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0 Quarterlies/2020 Q1/Stock Performance/"/>
    </mc:Choice>
  </mc:AlternateContent>
  <xr:revisionPtr revIDLastSave="11" documentId="8_{298BFB37-82D9-4A37-A78D-C51EEDB462F3}" xr6:coauthVersionLast="44" xr6:coauthVersionMax="44" xr10:uidLastSave="{782ECB83-FA6D-4697-9EEE-BAF42C40BEED}"/>
  <bookViews>
    <workbookView xWindow="-108" yWindow="-108" windowWidth="23256" windowHeight="12576" tabRatio="806" xr2:uid="{00000000-000D-0000-FFFF-FFFF00000000}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05" state="veryHidden" r:id="rId22"/>
    <sheet name="YTD Calculation" sheetId="106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master!$B$1:$IT$122</definedName>
    <definedName name="_xlnm.Print_Area" localSheetId="17">Master_Lookup!$A$1:$EO$60</definedName>
    <definedName name="_xlnm.Print_Area" localSheetId="6">'V. 10Y Treasury-Daily'!$A$1:$Q$26</definedName>
    <definedName name="_xlnm.Print_Area" localSheetId="9">'VIII. Returns by Quarter'!$A$1:$BL$46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0" i="4" l="1"/>
  <c r="C180" i="4"/>
  <c r="B181" i="4"/>
  <c r="C181" i="4"/>
  <c r="D181" i="4" s="1"/>
  <c r="B182" i="4"/>
  <c r="C182" i="4"/>
  <c r="D182" i="4" s="1"/>
  <c r="D97" i="4"/>
  <c r="D98" i="4"/>
  <c r="D99" i="4"/>
  <c r="BO7" i="20" l="1"/>
  <c r="BL7" i="20"/>
  <c r="BJ27" i="20" l="1"/>
  <c r="F15211" i="19" l="1"/>
  <c r="D15211" i="19"/>
  <c r="D15210" i="19"/>
  <c r="D15209" i="19"/>
  <c r="D15208" i="19"/>
  <c r="D15207" i="19"/>
  <c r="E15211" i="19" s="1"/>
  <c r="F15206" i="19"/>
  <c r="D15206" i="19"/>
  <c r="D15205" i="19"/>
  <c r="D15204" i="19"/>
  <c r="D15203" i="19"/>
  <c r="D15202" i="19"/>
  <c r="E15206" i="19" s="1"/>
  <c r="F15201" i="19"/>
  <c r="D15201" i="19"/>
  <c r="D15200" i="19"/>
  <c r="D15199" i="19"/>
  <c r="D15198" i="19"/>
  <c r="D15197" i="19"/>
  <c r="E15201" i="19" s="1"/>
  <c r="F15196" i="19"/>
  <c r="D15196" i="19"/>
  <c r="D15195" i="19"/>
  <c r="D15194" i="19"/>
  <c r="D15193" i="19"/>
  <c r="D15192" i="19"/>
  <c r="E15196" i="19" s="1"/>
  <c r="F15191" i="19"/>
  <c r="E15191" i="19"/>
  <c r="D15191" i="19"/>
  <c r="D15190" i="19"/>
  <c r="D15189" i="19"/>
  <c r="D15188" i="19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E15176" i="19" s="1"/>
  <c r="F15171" i="19"/>
  <c r="D15171" i="19"/>
  <c r="D15170" i="19"/>
  <c r="D15169" i="19"/>
  <c r="D15168" i="19"/>
  <c r="D15167" i="19"/>
  <c r="E15171" i="19" s="1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B830" i="12"/>
  <c r="B831" i="12" s="1"/>
  <c r="B832" i="12" s="1"/>
  <c r="E22" i="3"/>
  <c r="E15166" i="19" l="1"/>
  <c r="E15156" i="19"/>
  <c r="E15161" i="19"/>
  <c r="E15186" i="19"/>
  <c r="E15181" i="19"/>
  <c r="I9" i="45"/>
  <c r="I7" i="45"/>
  <c r="I6" i="45"/>
  <c r="H5" i="45"/>
  <c r="I3" i="45"/>
  <c r="J3" i="45" s="1"/>
  <c r="I2" i="45"/>
  <c r="J2" i="45" s="1"/>
  <c r="J5" i="45" s="1"/>
  <c r="I5" i="45" l="1"/>
  <c r="AR112" i="106"/>
  <c r="AO112" i="106"/>
  <c r="AH112" i="106"/>
  <c r="AB112" i="106"/>
  <c r="AA112" i="106"/>
  <c r="X112" i="106"/>
  <c r="W110" i="106" s="1"/>
  <c r="Q112" i="106"/>
  <c r="N112" i="106"/>
  <c r="G112" i="106"/>
  <c r="F110" i="106" s="1"/>
  <c r="BC111" i="106"/>
  <c r="M111" i="106"/>
  <c r="K111" i="106"/>
  <c r="J111" i="106" s="1"/>
  <c r="H111" i="106"/>
  <c r="F111" i="106"/>
  <c r="C111" i="106"/>
  <c r="BC110" i="106"/>
  <c r="AS110" i="106"/>
  <c r="AI110" i="106" s="1"/>
  <c r="Y110" i="106" s="1"/>
  <c r="O110" i="106" s="1"/>
  <c r="H110" i="106" s="1"/>
  <c r="AQ110" i="106"/>
  <c r="AG110" i="106"/>
  <c r="AE110" i="106"/>
  <c r="AD110" i="106" s="1"/>
  <c r="U110" i="106"/>
  <c r="T110" i="106" s="1"/>
  <c r="M110" i="106"/>
  <c r="K110" i="106"/>
  <c r="D110" i="106"/>
  <c r="C110" i="106" s="1"/>
  <c r="BC109" i="106"/>
  <c r="AS109" i="106"/>
  <c r="AI109" i="106" s="1"/>
  <c r="Y109" i="106" s="1"/>
  <c r="O109" i="106" s="1"/>
  <c r="H109" i="106" s="1"/>
  <c r="AQ109" i="106"/>
  <c r="AG109" i="106"/>
  <c r="AE109" i="106"/>
  <c r="AD109" i="106"/>
  <c r="W109" i="106"/>
  <c r="J109" i="106" s="1"/>
  <c r="U109" i="106"/>
  <c r="T109" i="106"/>
  <c r="M109" i="106"/>
  <c r="K109" i="106"/>
  <c r="F109" i="106"/>
  <c r="D109" i="106"/>
  <c r="C109" i="106"/>
  <c r="BC108" i="106"/>
  <c r="AS108" i="106"/>
  <c r="AQ108" i="106"/>
  <c r="AI108" i="106"/>
  <c r="Y108" i="106" s="1"/>
  <c r="O108" i="106" s="1"/>
  <c r="H108" i="106" s="1"/>
  <c r="AG108" i="106"/>
  <c r="AE108" i="106"/>
  <c r="AD108" i="106" s="1"/>
  <c r="W108" i="106"/>
  <c r="U108" i="106"/>
  <c r="T108" i="106"/>
  <c r="K108" i="106"/>
  <c r="J108" i="106"/>
  <c r="BC107" i="106"/>
  <c r="AS107" i="106"/>
  <c r="AI107" i="106" s="1"/>
  <c r="Y107" i="106" s="1"/>
  <c r="O107" i="106" s="1"/>
  <c r="H107" i="106" s="1"/>
  <c r="AQ107" i="106"/>
  <c r="AG107" i="106"/>
  <c r="AE107" i="106"/>
  <c r="W107" i="106"/>
  <c r="U107" i="106"/>
  <c r="T107" i="106" s="1"/>
  <c r="M107" i="106"/>
  <c r="K107" i="106"/>
  <c r="J107" i="106" s="1"/>
  <c r="F107" i="106"/>
  <c r="D107" i="106"/>
  <c r="C107" i="106" s="1"/>
  <c r="BC106" i="106"/>
  <c r="AS106" i="106"/>
  <c r="AQ106" i="106"/>
  <c r="AI106" i="106"/>
  <c r="Y106" i="106" s="1"/>
  <c r="O106" i="106" s="1"/>
  <c r="H106" i="106" s="1"/>
  <c r="AG106" i="106"/>
  <c r="AE106" i="106"/>
  <c r="AD106" i="106"/>
  <c r="W106" i="106"/>
  <c r="U106" i="106"/>
  <c r="M106" i="106"/>
  <c r="K106" i="106"/>
  <c r="J106" i="106"/>
  <c r="F106" i="106"/>
  <c r="D106" i="106"/>
  <c r="C106" i="106" s="1"/>
  <c r="BC105" i="106"/>
  <c r="BB105" i="106"/>
  <c r="BA105" i="106"/>
  <c r="AS105" i="106"/>
  <c r="AI105" i="106" s="1"/>
  <c r="Y105" i="106" s="1"/>
  <c r="O105" i="106" s="1"/>
  <c r="H105" i="106" s="1"/>
  <c r="AQ105" i="106"/>
  <c r="AG105" i="106"/>
  <c r="AE105" i="106"/>
  <c r="AD105" i="106" s="1"/>
  <c r="W105" i="106"/>
  <c r="U105" i="106"/>
  <c r="T105" i="106" s="1"/>
  <c r="M105" i="106"/>
  <c r="K105" i="106"/>
  <c r="J105" i="106" s="1"/>
  <c r="F105" i="106"/>
  <c r="D105" i="106"/>
  <c r="C105" i="106" s="1"/>
  <c r="BC104" i="106"/>
  <c r="AS104" i="106"/>
  <c r="AI104" i="106" s="1"/>
  <c r="Y104" i="106" s="1"/>
  <c r="O104" i="106" s="1"/>
  <c r="H104" i="106" s="1"/>
  <c r="AQ104" i="106"/>
  <c r="AG104" i="106"/>
  <c r="AE104" i="106"/>
  <c r="AD104" i="106" s="1"/>
  <c r="W104" i="106"/>
  <c r="U104" i="106"/>
  <c r="T104" i="106"/>
  <c r="K104" i="106"/>
  <c r="J104" i="106" s="1"/>
  <c r="BC103" i="106"/>
  <c r="AS103" i="106"/>
  <c r="AQ103" i="106"/>
  <c r="AI103" i="106"/>
  <c r="AG103" i="106"/>
  <c r="AE103" i="106"/>
  <c r="AD103" i="106"/>
  <c r="Y103" i="106"/>
  <c r="O103" i="106" s="1"/>
  <c r="H103" i="106" s="1"/>
  <c r="W103" i="106"/>
  <c r="U103" i="106"/>
  <c r="T103" i="106" s="1"/>
  <c r="K103" i="106"/>
  <c r="J103" i="106" s="1"/>
  <c r="F103" i="106"/>
  <c r="BC102" i="106"/>
  <c r="AS102" i="106"/>
  <c r="AI102" i="106" s="1"/>
  <c r="Y102" i="106" s="1"/>
  <c r="AQ102" i="106"/>
  <c r="AN102" i="106"/>
  <c r="AG102" i="106"/>
  <c r="AE102" i="106"/>
  <c r="AD102" i="106"/>
  <c r="W102" i="106"/>
  <c r="U102" i="106"/>
  <c r="H102" i="106"/>
  <c r="BC101" i="106"/>
  <c r="AS101" i="106"/>
  <c r="AI101" i="106" s="1"/>
  <c r="Y101" i="106" s="1"/>
  <c r="O101" i="106" s="1"/>
  <c r="H101" i="106" s="1"/>
  <c r="AQ101" i="106"/>
  <c r="AG101" i="106"/>
  <c r="AE101" i="106"/>
  <c r="W101" i="106"/>
  <c r="J101" i="106" s="1"/>
  <c r="U101" i="106"/>
  <c r="T101" i="106" s="1"/>
  <c r="K101" i="106"/>
  <c r="F101" i="106"/>
  <c r="BC100" i="106"/>
  <c r="AS100" i="106"/>
  <c r="AQ100" i="106"/>
  <c r="AI100" i="106"/>
  <c r="AG100" i="106"/>
  <c r="AE100" i="106"/>
  <c r="AD100" i="106"/>
  <c r="Y100" i="106"/>
  <c r="O100" i="106" s="1"/>
  <c r="H100" i="106" s="1"/>
  <c r="W100" i="106"/>
  <c r="U100" i="106"/>
  <c r="T100" i="106" s="1"/>
  <c r="M100" i="106"/>
  <c r="K100" i="106"/>
  <c r="J100" i="106"/>
  <c r="F100" i="106"/>
  <c r="D100" i="106"/>
  <c r="C100" i="106" s="1"/>
  <c r="BC99" i="106"/>
  <c r="AS99" i="106"/>
  <c r="AQ99" i="106"/>
  <c r="AN99" i="106"/>
  <c r="AI99" i="106"/>
  <c r="Y99" i="106" s="1"/>
  <c r="AG99" i="106"/>
  <c r="AE99" i="106"/>
  <c r="AD99" i="106" s="1"/>
  <c r="W99" i="106"/>
  <c r="U99" i="106"/>
  <c r="T99" i="106"/>
  <c r="O99" i="106"/>
  <c r="H99" i="106" s="1"/>
  <c r="K99" i="106"/>
  <c r="J99" i="106"/>
  <c r="BC98" i="106"/>
  <c r="AS98" i="106"/>
  <c r="AQ98" i="106"/>
  <c r="AN98" i="106"/>
  <c r="AI98" i="106"/>
  <c r="Y98" i="106" s="1"/>
  <c r="O98" i="106" s="1"/>
  <c r="H98" i="106" s="1"/>
  <c r="AG98" i="106"/>
  <c r="AE98" i="106"/>
  <c r="AD98" i="106" s="1"/>
  <c r="W98" i="106"/>
  <c r="U98" i="106"/>
  <c r="T98" i="106"/>
  <c r="K98" i="106"/>
  <c r="J98" i="106"/>
  <c r="F98" i="106"/>
  <c r="BC97" i="106"/>
  <c r="AS97" i="106"/>
  <c r="AI97" i="106" s="1"/>
  <c r="Y97" i="106" s="1"/>
  <c r="O97" i="106" s="1"/>
  <c r="H97" i="106" s="1"/>
  <c r="AQ97" i="106"/>
  <c r="AG97" i="106"/>
  <c r="AE97" i="106"/>
  <c r="AD97" i="106" s="1"/>
  <c r="W97" i="106"/>
  <c r="U97" i="106"/>
  <c r="T97" i="106" s="1"/>
  <c r="M97" i="106"/>
  <c r="K97" i="106"/>
  <c r="J97" i="106" s="1"/>
  <c r="F97" i="106"/>
  <c r="D97" i="106"/>
  <c r="C97" i="106" s="1"/>
  <c r="BC96" i="106"/>
  <c r="AS96" i="106"/>
  <c r="AQ96" i="106"/>
  <c r="AI96" i="106"/>
  <c r="Y96" i="106" s="1"/>
  <c r="O96" i="106" s="1"/>
  <c r="H96" i="106" s="1"/>
  <c r="AG96" i="106"/>
  <c r="AE96" i="106"/>
  <c r="AD96" i="106"/>
  <c r="W96" i="106"/>
  <c r="U96" i="106"/>
  <c r="M96" i="106"/>
  <c r="K96" i="106"/>
  <c r="J96" i="106"/>
  <c r="F96" i="106"/>
  <c r="D96" i="106"/>
  <c r="C96" i="106" s="1"/>
  <c r="BC95" i="106"/>
  <c r="AS95" i="106"/>
  <c r="AI95" i="106" s="1"/>
  <c r="Y95" i="106" s="1"/>
  <c r="O95" i="106" s="1"/>
  <c r="H95" i="106" s="1"/>
  <c r="AQ95" i="106"/>
  <c r="AN95" i="106"/>
  <c r="AG95" i="106"/>
  <c r="AE95" i="106"/>
  <c r="AD95" i="106" s="1"/>
  <c r="W95" i="106"/>
  <c r="U95" i="106"/>
  <c r="T95" i="106"/>
  <c r="BC94" i="106"/>
  <c r="AS94" i="106"/>
  <c r="AI94" i="106" s="1"/>
  <c r="Y94" i="106" s="1"/>
  <c r="O94" i="106" s="1"/>
  <c r="H94" i="106" s="1"/>
  <c r="AQ94" i="106"/>
  <c r="AG94" i="106"/>
  <c r="AE94" i="106"/>
  <c r="AD94" i="106" s="1"/>
  <c r="W94" i="106"/>
  <c r="U94" i="106"/>
  <c r="T94" i="106" s="1"/>
  <c r="M94" i="106"/>
  <c r="K94" i="106"/>
  <c r="J94" i="106" s="1"/>
  <c r="F94" i="106"/>
  <c r="D94" i="106"/>
  <c r="C94" i="106" s="1"/>
  <c r="BC93" i="106"/>
  <c r="AS93" i="106"/>
  <c r="AI93" i="106" s="1"/>
  <c r="Y93" i="106" s="1"/>
  <c r="O93" i="106" s="1"/>
  <c r="H93" i="106" s="1"/>
  <c r="AQ93" i="106"/>
  <c r="AN93" i="106"/>
  <c r="AG93" i="106"/>
  <c r="AE93" i="106"/>
  <c r="AD93" i="106" s="1"/>
  <c r="W93" i="106"/>
  <c r="U93" i="106"/>
  <c r="T93" i="106" s="1"/>
  <c r="BC92" i="106"/>
  <c r="AS92" i="106"/>
  <c r="AI92" i="106" s="1"/>
  <c r="Y92" i="106" s="1"/>
  <c r="O92" i="106" s="1"/>
  <c r="H92" i="106" s="1"/>
  <c r="AQ92" i="106"/>
  <c r="AG92" i="106"/>
  <c r="AE92" i="106"/>
  <c r="AD92" i="106"/>
  <c r="W92" i="106"/>
  <c r="U92" i="106"/>
  <c r="T92" i="106"/>
  <c r="M92" i="106"/>
  <c r="K92" i="106"/>
  <c r="J92" i="106"/>
  <c r="F92" i="106"/>
  <c r="D92" i="106"/>
  <c r="C92" i="106"/>
  <c r="BC91" i="106"/>
  <c r="AS91" i="106"/>
  <c r="AI91" i="106" s="1"/>
  <c r="Y91" i="106" s="1"/>
  <c r="O91" i="106" s="1"/>
  <c r="H91" i="106" s="1"/>
  <c r="AQ91" i="106"/>
  <c r="AD91" i="106" s="1"/>
  <c r="AN91" i="106"/>
  <c r="AG91" i="106"/>
  <c r="AE91" i="106"/>
  <c r="W91" i="106"/>
  <c r="U91" i="106"/>
  <c r="BC90" i="106"/>
  <c r="AS90" i="106"/>
  <c r="AQ90" i="106"/>
  <c r="AI90" i="106"/>
  <c r="Y90" i="106" s="1"/>
  <c r="O90" i="106" s="1"/>
  <c r="H90" i="106" s="1"/>
  <c r="AG90" i="106"/>
  <c r="AE90" i="106"/>
  <c r="AD90" i="106"/>
  <c r="W90" i="106"/>
  <c r="U90" i="106"/>
  <c r="T90" i="106" s="1"/>
  <c r="M90" i="106"/>
  <c r="K90" i="106"/>
  <c r="J90" i="106"/>
  <c r="F90" i="106"/>
  <c r="D90" i="106"/>
  <c r="BC89" i="106"/>
  <c r="AS89" i="106"/>
  <c r="AQ89" i="106"/>
  <c r="AI89" i="106"/>
  <c r="AG89" i="106"/>
  <c r="AE89" i="106"/>
  <c r="AD89" i="106"/>
  <c r="Y89" i="106"/>
  <c r="O89" i="106" s="1"/>
  <c r="H89" i="106" s="1"/>
  <c r="W89" i="106"/>
  <c r="U89" i="106"/>
  <c r="T89" i="106" s="1"/>
  <c r="M89" i="106"/>
  <c r="K89" i="106"/>
  <c r="J89" i="106"/>
  <c r="F89" i="106"/>
  <c r="D89" i="106"/>
  <c r="C89" i="106" s="1"/>
  <c r="BC88" i="106"/>
  <c r="AS88" i="106"/>
  <c r="AQ88" i="106"/>
  <c r="AN88" i="106"/>
  <c r="AI88" i="106"/>
  <c r="Y88" i="106" s="1"/>
  <c r="AG88" i="106"/>
  <c r="AE88" i="106"/>
  <c r="AD88" i="106" s="1"/>
  <c r="W88" i="106"/>
  <c r="U88" i="106"/>
  <c r="T88" i="106"/>
  <c r="O88" i="106"/>
  <c r="H88" i="106" s="1"/>
  <c r="K88" i="106"/>
  <c r="J88" i="106"/>
  <c r="F88" i="106"/>
  <c r="BC87" i="106"/>
  <c r="AS87" i="106"/>
  <c r="AI87" i="106" s="1"/>
  <c r="Y87" i="106" s="1"/>
  <c r="O87" i="106" s="1"/>
  <c r="H87" i="106" s="1"/>
  <c r="AQ87" i="106"/>
  <c r="AD87" i="106" s="1"/>
  <c r="AN87" i="106"/>
  <c r="AG87" i="106"/>
  <c r="AE87" i="106"/>
  <c r="W87" i="106"/>
  <c r="U87" i="106"/>
  <c r="T87" i="106"/>
  <c r="BC86" i="106"/>
  <c r="AS86" i="106"/>
  <c r="AQ86" i="106"/>
  <c r="AI86" i="106"/>
  <c r="Y86" i="106" s="1"/>
  <c r="O86" i="106" s="1"/>
  <c r="H86" i="106" s="1"/>
  <c r="AG86" i="106"/>
  <c r="AE86" i="106"/>
  <c r="AD86" i="106" s="1"/>
  <c r="W86" i="106"/>
  <c r="U86" i="106"/>
  <c r="T86" i="106"/>
  <c r="M86" i="106"/>
  <c r="K86" i="106"/>
  <c r="J86" i="106" s="1"/>
  <c r="F86" i="106"/>
  <c r="D86" i="106"/>
  <c r="C86" i="106"/>
  <c r="BC85" i="106"/>
  <c r="AS85" i="106"/>
  <c r="AQ85" i="106"/>
  <c r="AN85" i="106"/>
  <c r="AI85" i="106"/>
  <c r="AG85" i="106"/>
  <c r="AE85" i="106"/>
  <c r="AD85" i="106"/>
  <c r="Y85" i="106"/>
  <c r="O85" i="106" s="1"/>
  <c r="H85" i="106" s="1"/>
  <c r="W85" i="106"/>
  <c r="U85" i="106"/>
  <c r="T85" i="106" s="1"/>
  <c r="K85" i="106"/>
  <c r="J85" i="106"/>
  <c r="F85" i="106"/>
  <c r="BC84" i="106"/>
  <c r="AS84" i="106"/>
  <c r="AQ84" i="106"/>
  <c r="AI84" i="106"/>
  <c r="AG84" i="106"/>
  <c r="AE84" i="106"/>
  <c r="AD84" i="106" s="1"/>
  <c r="Y84" i="106"/>
  <c r="O84" i="106" s="1"/>
  <c r="H84" i="106" s="1"/>
  <c r="W84" i="106"/>
  <c r="U84" i="106"/>
  <c r="T84" i="106" s="1"/>
  <c r="M84" i="106"/>
  <c r="K84" i="106"/>
  <c r="J84" i="106" s="1"/>
  <c r="F84" i="106"/>
  <c r="D84" i="106"/>
  <c r="C84" i="106" s="1"/>
  <c r="BC83" i="106"/>
  <c r="AS83" i="106"/>
  <c r="AI83" i="106" s="1"/>
  <c r="Y83" i="106" s="1"/>
  <c r="AQ83" i="106"/>
  <c r="AN83" i="106"/>
  <c r="AG83" i="106"/>
  <c r="AE83" i="106"/>
  <c r="W83" i="106"/>
  <c r="U83" i="106"/>
  <c r="H83" i="106"/>
  <c r="BC82" i="106"/>
  <c r="AS82" i="106"/>
  <c r="AQ82" i="106"/>
  <c r="AI82" i="106"/>
  <c r="Y82" i="106" s="1"/>
  <c r="O82" i="106" s="1"/>
  <c r="H82" i="106" s="1"/>
  <c r="AG82" i="106"/>
  <c r="T82" i="106" s="1"/>
  <c r="AE82" i="106"/>
  <c r="AD82" i="106"/>
  <c r="W82" i="106"/>
  <c r="U82" i="106"/>
  <c r="M82" i="106"/>
  <c r="C82" i="106" s="1"/>
  <c r="K82" i="106"/>
  <c r="J82" i="106"/>
  <c r="F82" i="106"/>
  <c r="D82" i="106"/>
  <c r="BC81" i="106"/>
  <c r="AS81" i="106"/>
  <c r="AI81" i="106" s="1"/>
  <c r="Y81" i="106" s="1"/>
  <c r="O81" i="106" s="1"/>
  <c r="H81" i="106" s="1"/>
  <c r="AQ81" i="106"/>
  <c r="AN81" i="106"/>
  <c r="AG81" i="106"/>
  <c r="AE81" i="106"/>
  <c r="AD81" i="106" s="1"/>
  <c r="W81" i="106"/>
  <c r="U81" i="106"/>
  <c r="T81" i="106"/>
  <c r="K81" i="106"/>
  <c r="J81" i="106" s="1"/>
  <c r="F81" i="106"/>
  <c r="BC80" i="106"/>
  <c r="AS80" i="106"/>
  <c r="AQ80" i="106"/>
  <c r="AD80" i="106" s="1"/>
  <c r="AN80" i="106"/>
  <c r="AI80" i="106"/>
  <c r="AG80" i="106"/>
  <c r="AE80" i="106"/>
  <c r="Y80" i="106"/>
  <c r="O80" i="106" s="1"/>
  <c r="H80" i="106" s="1"/>
  <c r="W80" i="106"/>
  <c r="U80" i="106"/>
  <c r="T80" i="106" s="1"/>
  <c r="K80" i="106"/>
  <c r="J80" i="106" s="1"/>
  <c r="BC79" i="106"/>
  <c r="AN79" i="106"/>
  <c r="AD79" i="106"/>
  <c r="H79" i="106"/>
  <c r="BC78" i="106"/>
  <c r="AS78" i="106"/>
  <c r="AQ78" i="106"/>
  <c r="AN78" i="106"/>
  <c r="AI78" i="106"/>
  <c r="AG78" i="106"/>
  <c r="W78" i="106"/>
  <c r="H78" i="106"/>
  <c r="BC77" i="106"/>
  <c r="AS77" i="106"/>
  <c r="AQ77" i="106"/>
  <c r="AN77" i="106"/>
  <c r="AI77" i="106"/>
  <c r="Y77" i="106" s="1"/>
  <c r="O77" i="106" s="1"/>
  <c r="H77" i="106" s="1"/>
  <c r="AG77" i="106"/>
  <c r="AE77" i="106"/>
  <c r="AD77" i="106" s="1"/>
  <c r="W77" i="106"/>
  <c r="U77" i="106"/>
  <c r="T77" i="106"/>
  <c r="BC76" i="106"/>
  <c r="AS76" i="106"/>
  <c r="AI76" i="106" s="1"/>
  <c r="AQ76" i="106"/>
  <c r="AN76" i="106"/>
  <c r="AG76" i="106"/>
  <c r="W76" i="106"/>
  <c r="H76" i="106"/>
  <c r="BC75" i="106"/>
  <c r="AS75" i="106"/>
  <c r="AI75" i="106" s="1"/>
  <c r="Y75" i="106" s="1"/>
  <c r="O75" i="106" s="1"/>
  <c r="H75" i="106" s="1"/>
  <c r="AQ75" i="106"/>
  <c r="AN75" i="106"/>
  <c r="AG75" i="106"/>
  <c r="AE75" i="106"/>
  <c r="AD75" i="106" s="1"/>
  <c r="W75" i="106"/>
  <c r="U75" i="106"/>
  <c r="T75" i="106" s="1"/>
  <c r="K75" i="106"/>
  <c r="J75" i="106"/>
  <c r="F75" i="106"/>
  <c r="BC74" i="106"/>
  <c r="AS74" i="106"/>
  <c r="AI74" i="106" s="1"/>
  <c r="Y74" i="106" s="1"/>
  <c r="O74" i="106" s="1"/>
  <c r="H74" i="106" s="1"/>
  <c r="AQ74" i="106"/>
  <c r="AN74" i="106"/>
  <c r="AG74" i="106"/>
  <c r="AE74" i="106"/>
  <c r="AD74" i="106"/>
  <c r="W74" i="106"/>
  <c r="U74" i="106"/>
  <c r="K74" i="106"/>
  <c r="J74" i="106" s="1"/>
  <c r="F74" i="106"/>
  <c r="BC73" i="106"/>
  <c r="AS73" i="106"/>
  <c r="AQ73" i="106"/>
  <c r="AI73" i="106"/>
  <c r="AG73" i="106"/>
  <c r="AE73" i="106"/>
  <c r="AD73" i="106"/>
  <c r="Y73" i="106"/>
  <c r="W73" i="106"/>
  <c r="U73" i="106"/>
  <c r="T73" i="106"/>
  <c r="O73" i="106"/>
  <c r="H73" i="106" s="1"/>
  <c r="M73" i="106"/>
  <c r="K73" i="106"/>
  <c r="J73" i="106"/>
  <c r="F73" i="106"/>
  <c r="D73" i="106"/>
  <c r="C73" i="106"/>
  <c r="BC72" i="106"/>
  <c r="AS72" i="106"/>
  <c r="AI72" i="106" s="1"/>
  <c r="Y72" i="106" s="1"/>
  <c r="AQ72" i="106"/>
  <c r="AN72" i="106"/>
  <c r="AG72" i="106"/>
  <c r="AE72" i="106"/>
  <c r="AD72" i="106"/>
  <c r="W72" i="106"/>
  <c r="U72" i="106"/>
  <c r="H72" i="106"/>
  <c r="BC71" i="106"/>
  <c r="AS71" i="106"/>
  <c r="AQ71" i="106"/>
  <c r="AN71" i="106"/>
  <c r="AI71" i="106"/>
  <c r="Y71" i="106" s="1"/>
  <c r="O71" i="106" s="1"/>
  <c r="H71" i="106" s="1"/>
  <c r="AG71" i="106"/>
  <c r="AE71" i="106"/>
  <c r="AD71" i="106"/>
  <c r="W71" i="106"/>
  <c r="U71" i="106"/>
  <c r="T71" i="106"/>
  <c r="K71" i="106"/>
  <c r="J71" i="106" s="1"/>
  <c r="F71" i="106"/>
  <c r="BC70" i="106"/>
  <c r="AS70" i="106"/>
  <c r="AI70" i="106" s="1"/>
  <c r="Y70" i="106" s="1"/>
  <c r="AQ70" i="106"/>
  <c r="AN70" i="106"/>
  <c r="AG70" i="106"/>
  <c r="AE70" i="106"/>
  <c r="W70" i="106"/>
  <c r="U70" i="106"/>
  <c r="T70" i="106" s="1"/>
  <c r="H70" i="106"/>
  <c r="BC69" i="106"/>
  <c r="AS69" i="106"/>
  <c r="AI69" i="106" s="1"/>
  <c r="Y69" i="106" s="1"/>
  <c r="O69" i="106" s="1"/>
  <c r="H69" i="106" s="1"/>
  <c r="AQ69" i="106"/>
  <c r="AN69" i="106"/>
  <c r="AG69" i="106"/>
  <c r="AE69" i="106"/>
  <c r="AD69" i="106"/>
  <c r="W69" i="106"/>
  <c r="U69" i="106"/>
  <c r="K69" i="106"/>
  <c r="J69" i="106" s="1"/>
  <c r="F69" i="106"/>
  <c r="BC68" i="106"/>
  <c r="AS68" i="106"/>
  <c r="AQ68" i="106"/>
  <c r="AI68" i="106"/>
  <c r="Y68" i="106" s="1"/>
  <c r="O68" i="106" s="1"/>
  <c r="H68" i="106" s="1"/>
  <c r="AG68" i="106"/>
  <c r="AE68" i="106"/>
  <c r="AD68" i="106"/>
  <c r="W68" i="106"/>
  <c r="U68" i="106"/>
  <c r="T68" i="106"/>
  <c r="M68" i="106"/>
  <c r="K68" i="106"/>
  <c r="J68" i="106"/>
  <c r="F68" i="106"/>
  <c r="D68" i="106"/>
  <c r="C68" i="106"/>
  <c r="BC67" i="106"/>
  <c r="AS67" i="106"/>
  <c r="AI67" i="106" s="1"/>
  <c r="AQ67" i="106"/>
  <c r="AN67" i="106"/>
  <c r="AG67" i="106"/>
  <c r="W67" i="106"/>
  <c r="H67" i="106"/>
  <c r="BC66" i="106"/>
  <c r="AS66" i="106"/>
  <c r="AI66" i="106" s="1"/>
  <c r="Y66" i="106" s="1"/>
  <c r="O66" i="106" s="1"/>
  <c r="H66" i="106" s="1"/>
  <c r="AQ66" i="106"/>
  <c r="AN66" i="106"/>
  <c r="AG66" i="106"/>
  <c r="AE66" i="106"/>
  <c r="AD66" i="106"/>
  <c r="W66" i="106"/>
  <c r="U66" i="106"/>
  <c r="T66" i="106"/>
  <c r="K66" i="106"/>
  <c r="J66" i="106"/>
  <c r="F66" i="106"/>
  <c r="BC65" i="106"/>
  <c r="AS65" i="106"/>
  <c r="AI65" i="106" s="1"/>
  <c r="AQ65" i="106"/>
  <c r="AN65" i="106"/>
  <c r="AG65" i="106"/>
  <c r="AE65" i="106"/>
  <c r="AD65" i="106" s="1"/>
  <c r="W65" i="106"/>
  <c r="H65" i="106"/>
  <c r="BC64" i="106"/>
  <c r="AS64" i="106"/>
  <c r="AQ64" i="106"/>
  <c r="AI64" i="106"/>
  <c r="Y64" i="106" s="1"/>
  <c r="O64" i="106" s="1"/>
  <c r="H64" i="106" s="1"/>
  <c r="AG64" i="106"/>
  <c r="AE64" i="106"/>
  <c r="AD64" i="106"/>
  <c r="W64" i="106"/>
  <c r="U64" i="106"/>
  <c r="T64" i="106"/>
  <c r="M64" i="106"/>
  <c r="K64" i="106"/>
  <c r="J64" i="106"/>
  <c r="F64" i="106"/>
  <c r="D64" i="106"/>
  <c r="C64" i="106"/>
  <c r="BC63" i="106"/>
  <c r="AS63" i="106"/>
  <c r="AI63" i="106" s="1"/>
  <c r="Y63" i="106" s="1"/>
  <c r="O63" i="106" s="1"/>
  <c r="H63" i="106" s="1"/>
  <c r="AQ63" i="106"/>
  <c r="AG63" i="106"/>
  <c r="AE63" i="106"/>
  <c r="AD63" i="106" s="1"/>
  <c r="W63" i="106"/>
  <c r="U63" i="106"/>
  <c r="T63" i="106" s="1"/>
  <c r="K63" i="106"/>
  <c r="J63" i="106"/>
  <c r="F63" i="106"/>
  <c r="BC62" i="106"/>
  <c r="AS62" i="106"/>
  <c r="AQ62" i="106"/>
  <c r="AI62" i="106"/>
  <c r="Y62" i="106" s="1"/>
  <c r="AG62" i="106"/>
  <c r="AE62" i="106"/>
  <c r="AD62" i="106" s="1"/>
  <c r="W62" i="106"/>
  <c r="U62" i="106"/>
  <c r="T62" i="106"/>
  <c r="O62" i="106"/>
  <c r="H62" i="106" s="1"/>
  <c r="M62" i="106"/>
  <c r="K62" i="106"/>
  <c r="J62" i="106" s="1"/>
  <c r="F62" i="106"/>
  <c r="D62" i="106"/>
  <c r="C62" i="106"/>
  <c r="BC61" i="106"/>
  <c r="AS61" i="106"/>
  <c r="AQ61" i="106"/>
  <c r="AN61" i="106"/>
  <c r="AI61" i="106"/>
  <c r="AG61" i="106"/>
  <c r="AE61" i="106"/>
  <c r="AD61" i="106"/>
  <c r="Y61" i="106"/>
  <c r="O61" i="106" s="1"/>
  <c r="H61" i="106" s="1"/>
  <c r="W61" i="106"/>
  <c r="U61" i="106"/>
  <c r="T61" i="106" s="1"/>
  <c r="K61" i="106"/>
  <c r="J61" i="106" s="1"/>
  <c r="F61" i="106"/>
  <c r="BC60" i="106"/>
  <c r="AS60" i="106"/>
  <c r="AI60" i="106" s="1"/>
  <c r="Y60" i="106" s="1"/>
  <c r="O60" i="106" s="1"/>
  <c r="H60" i="106" s="1"/>
  <c r="AQ60" i="106"/>
  <c r="AN60" i="106"/>
  <c r="AG60" i="106"/>
  <c r="AE60" i="106"/>
  <c r="AD60" i="106"/>
  <c r="W60" i="106"/>
  <c r="J60" i="106" s="1"/>
  <c r="U60" i="106"/>
  <c r="T60" i="106"/>
  <c r="K60" i="106"/>
  <c r="F60" i="106"/>
  <c r="BC59" i="106"/>
  <c r="AS59" i="106"/>
  <c r="AI59" i="106" s="1"/>
  <c r="Y59" i="106" s="1"/>
  <c r="O59" i="106" s="1"/>
  <c r="H59" i="106" s="1"/>
  <c r="AQ59" i="106"/>
  <c r="AN59" i="106"/>
  <c r="AG59" i="106"/>
  <c r="AE59" i="106"/>
  <c r="AD59" i="106" s="1"/>
  <c r="W59" i="106"/>
  <c r="U59" i="106"/>
  <c r="T59" i="106" s="1"/>
  <c r="BC58" i="106"/>
  <c r="AS58" i="106"/>
  <c r="AI58" i="106" s="1"/>
  <c r="Y58" i="106" s="1"/>
  <c r="O58" i="106" s="1"/>
  <c r="AQ58" i="106"/>
  <c r="AG58" i="106"/>
  <c r="AE58" i="106"/>
  <c r="AD58" i="106"/>
  <c r="W58" i="106"/>
  <c r="U58" i="106"/>
  <c r="T58" i="106"/>
  <c r="K58" i="106"/>
  <c r="J58" i="106"/>
  <c r="H58" i="106"/>
  <c r="F58" i="106"/>
  <c r="BC57" i="106"/>
  <c r="AS57" i="106"/>
  <c r="AQ57" i="106"/>
  <c r="AN57" i="106"/>
  <c r="AG57" i="106"/>
  <c r="H57" i="106"/>
  <c r="BC56" i="106"/>
  <c r="AS56" i="106"/>
  <c r="AI56" i="106" s="1"/>
  <c r="Y56" i="106" s="1"/>
  <c r="O56" i="106" s="1"/>
  <c r="H56" i="106" s="1"/>
  <c r="AQ56" i="106"/>
  <c r="AG56" i="106"/>
  <c r="AE56" i="106"/>
  <c r="AD56" i="106"/>
  <c r="W56" i="106"/>
  <c r="U56" i="106"/>
  <c r="T56" i="106"/>
  <c r="M56" i="106"/>
  <c r="K56" i="106"/>
  <c r="J56" i="106"/>
  <c r="F56" i="106"/>
  <c r="D56" i="106"/>
  <c r="C56" i="106"/>
  <c r="BC55" i="106"/>
  <c r="AS55" i="106"/>
  <c r="AI55" i="106" s="1"/>
  <c r="Y55" i="106" s="1"/>
  <c r="O55" i="106" s="1"/>
  <c r="H55" i="106" s="1"/>
  <c r="AQ55" i="106"/>
  <c r="AG55" i="106"/>
  <c r="AE55" i="106"/>
  <c r="AD55" i="106" s="1"/>
  <c r="W55" i="106"/>
  <c r="U55" i="106"/>
  <c r="T55" i="106" s="1"/>
  <c r="M55" i="106"/>
  <c r="K55" i="106"/>
  <c r="J55" i="106" s="1"/>
  <c r="F55" i="106"/>
  <c r="D55" i="106"/>
  <c r="C55" i="106" s="1"/>
  <c r="BC54" i="106"/>
  <c r="AS54" i="106"/>
  <c r="AI54" i="106" s="1"/>
  <c r="Y54" i="106" s="1"/>
  <c r="O54" i="106" s="1"/>
  <c r="H54" i="106" s="1"/>
  <c r="AQ54" i="106"/>
  <c r="AN54" i="106"/>
  <c r="AG54" i="106"/>
  <c r="AE54" i="106"/>
  <c r="AD54" i="106" s="1"/>
  <c r="W54" i="106"/>
  <c r="U54" i="106"/>
  <c r="T54" i="106" s="1"/>
  <c r="BC53" i="106"/>
  <c r="AS53" i="106"/>
  <c r="AI53" i="106" s="1"/>
  <c r="Y53" i="106" s="1"/>
  <c r="O53" i="106" s="1"/>
  <c r="H53" i="106" s="1"/>
  <c r="AQ53" i="106"/>
  <c r="AG53" i="106"/>
  <c r="AE53" i="106"/>
  <c r="AD53" i="106"/>
  <c r="W53" i="106"/>
  <c r="U53" i="106"/>
  <c r="T53" i="106"/>
  <c r="K53" i="106"/>
  <c r="J53" i="106"/>
  <c r="F53" i="106"/>
  <c r="BC52" i="106"/>
  <c r="AS52" i="106"/>
  <c r="AI52" i="106" s="1"/>
  <c r="AQ52" i="106"/>
  <c r="AN52" i="106"/>
  <c r="AG52" i="106"/>
  <c r="W52" i="106"/>
  <c r="H52" i="106"/>
  <c r="BC51" i="106"/>
  <c r="AS51" i="106"/>
  <c r="AI51" i="106" s="1"/>
  <c r="Y51" i="106" s="1"/>
  <c r="O51" i="106" s="1"/>
  <c r="H51" i="106" s="1"/>
  <c r="AQ51" i="106"/>
  <c r="AG51" i="106"/>
  <c r="T51" i="106" s="1"/>
  <c r="AE51" i="106"/>
  <c r="AD51" i="106"/>
  <c r="W51" i="106"/>
  <c r="J51" i="106" s="1"/>
  <c r="U51" i="106"/>
  <c r="M51" i="106"/>
  <c r="C51" i="106" s="1"/>
  <c r="K51" i="106"/>
  <c r="F51" i="106"/>
  <c r="D51" i="106"/>
  <c r="BC50" i="106"/>
  <c r="AS50" i="106"/>
  <c r="AQ50" i="106"/>
  <c r="AI50" i="106"/>
  <c r="AG50" i="106"/>
  <c r="AE50" i="106"/>
  <c r="AD50" i="106"/>
  <c r="Y50" i="106"/>
  <c r="O50" i="106" s="1"/>
  <c r="H50" i="106" s="1"/>
  <c r="W50" i="106"/>
  <c r="U50" i="106"/>
  <c r="T50" i="106" s="1"/>
  <c r="M50" i="106"/>
  <c r="K50" i="106"/>
  <c r="J50" i="106"/>
  <c r="F50" i="106"/>
  <c r="D50" i="106"/>
  <c r="C50" i="106" s="1"/>
  <c r="BC49" i="106"/>
  <c r="AN49" i="106"/>
  <c r="AD49" i="106"/>
  <c r="W49" i="106"/>
  <c r="H49" i="106"/>
  <c r="BC48" i="106"/>
  <c r="AS48" i="106"/>
  <c r="AQ48" i="106"/>
  <c r="AI48" i="106"/>
  <c r="AG48" i="106"/>
  <c r="AE48" i="106"/>
  <c r="AD48" i="106" s="1"/>
  <c r="Y48" i="106"/>
  <c r="O48" i="106" s="1"/>
  <c r="H48" i="106" s="1"/>
  <c r="W48" i="106"/>
  <c r="U48" i="106"/>
  <c r="T48" i="106" s="1"/>
  <c r="M48" i="106"/>
  <c r="K48" i="106"/>
  <c r="J48" i="106" s="1"/>
  <c r="F48" i="106"/>
  <c r="D48" i="106"/>
  <c r="C48" i="106" s="1"/>
  <c r="BC47" i="106"/>
  <c r="AS47" i="106"/>
  <c r="AI47" i="106" s="1"/>
  <c r="Y47" i="106" s="1"/>
  <c r="O47" i="106" s="1"/>
  <c r="H47" i="106" s="1"/>
  <c r="AQ47" i="106"/>
  <c r="AG47" i="106"/>
  <c r="T47" i="106" s="1"/>
  <c r="AE47" i="106"/>
  <c r="AD47" i="106"/>
  <c r="W47" i="106"/>
  <c r="J47" i="106" s="1"/>
  <c r="U47" i="106"/>
  <c r="M47" i="106"/>
  <c r="C47" i="106" s="1"/>
  <c r="K47" i="106"/>
  <c r="F47" i="106"/>
  <c r="D47" i="106"/>
  <c r="BC46" i="106"/>
  <c r="AS46" i="106"/>
  <c r="AQ46" i="106"/>
  <c r="AI46" i="106"/>
  <c r="Y46" i="106" s="1"/>
  <c r="O46" i="106" s="1"/>
  <c r="H46" i="106" s="1"/>
  <c r="AG46" i="106"/>
  <c r="AE46" i="106"/>
  <c r="AD46" i="106" s="1"/>
  <c r="W46" i="106"/>
  <c r="U46" i="106"/>
  <c r="T46" i="106" s="1"/>
  <c r="M46" i="106"/>
  <c r="K46" i="106"/>
  <c r="J46" i="106" s="1"/>
  <c r="F46" i="106"/>
  <c r="D46" i="106"/>
  <c r="C46" i="106" s="1"/>
  <c r="BC45" i="106"/>
  <c r="AS45" i="106"/>
  <c r="AI45" i="106" s="1"/>
  <c r="Y45" i="106" s="1"/>
  <c r="O45" i="106" s="1"/>
  <c r="H45" i="106" s="1"/>
  <c r="AQ45" i="106"/>
  <c r="AG45" i="106"/>
  <c r="AE45" i="106"/>
  <c r="AD45" i="106"/>
  <c r="W45" i="106"/>
  <c r="U45" i="106"/>
  <c r="T45" i="106"/>
  <c r="M45" i="106"/>
  <c r="K45" i="106"/>
  <c r="J45" i="106"/>
  <c r="F45" i="106"/>
  <c r="D45" i="106"/>
  <c r="C45" i="106"/>
  <c r="BC44" i="106"/>
  <c r="AS44" i="106"/>
  <c r="AI44" i="106" s="1"/>
  <c r="Y44" i="106" s="1"/>
  <c r="O44" i="106" s="1"/>
  <c r="H44" i="106" s="1"/>
  <c r="AQ44" i="106"/>
  <c r="AN44" i="106"/>
  <c r="AG44" i="106"/>
  <c r="AE44" i="106"/>
  <c r="AD44" i="106"/>
  <c r="W44" i="106"/>
  <c r="U44" i="106"/>
  <c r="T44" i="106"/>
  <c r="BC43" i="106"/>
  <c r="AS43" i="106"/>
  <c r="AI43" i="106" s="1"/>
  <c r="Y43" i="106" s="1"/>
  <c r="O43" i="106" s="1"/>
  <c r="H43" i="106" s="1"/>
  <c r="AQ43" i="106"/>
  <c r="AN43" i="106"/>
  <c r="AG43" i="106"/>
  <c r="T43" i="106" s="1"/>
  <c r="AE43" i="106"/>
  <c r="AD43" i="106"/>
  <c r="W43" i="106"/>
  <c r="U43" i="106"/>
  <c r="K43" i="106"/>
  <c r="J43" i="106" s="1"/>
  <c r="F43" i="106"/>
  <c r="BC42" i="106"/>
  <c r="AS42" i="106"/>
  <c r="AQ42" i="106"/>
  <c r="AN42" i="106"/>
  <c r="AI42" i="106"/>
  <c r="Y42" i="106" s="1"/>
  <c r="AG42" i="106"/>
  <c r="AE42" i="106"/>
  <c r="AD42" i="106" s="1"/>
  <c r="W42" i="106"/>
  <c r="U42" i="106"/>
  <c r="T42" i="106" s="1"/>
  <c r="O42" i="106"/>
  <c r="H42" i="106" s="1"/>
  <c r="K42" i="106"/>
  <c r="J42" i="106"/>
  <c r="F42" i="106"/>
  <c r="BC41" i="106"/>
  <c r="AN41" i="106"/>
  <c r="AD41" i="106"/>
  <c r="H41" i="106"/>
  <c r="BC40" i="106"/>
  <c r="AS40" i="106"/>
  <c r="AQ40" i="106"/>
  <c r="AI40" i="106"/>
  <c r="Y40" i="106" s="1"/>
  <c r="O40" i="106" s="1"/>
  <c r="H40" i="106" s="1"/>
  <c r="AG40" i="106"/>
  <c r="AE40" i="106"/>
  <c r="AD40" i="106" s="1"/>
  <c r="W40" i="106"/>
  <c r="U40" i="106"/>
  <c r="T40" i="106" s="1"/>
  <c r="K40" i="106"/>
  <c r="J40" i="106"/>
  <c r="F40" i="106"/>
  <c r="BC39" i="106"/>
  <c r="AS39" i="106"/>
  <c r="AQ39" i="106"/>
  <c r="AI39" i="106"/>
  <c r="Y39" i="106" s="1"/>
  <c r="AG39" i="106"/>
  <c r="AE39" i="106"/>
  <c r="AD39" i="106" s="1"/>
  <c r="W39" i="106"/>
  <c r="U39" i="106"/>
  <c r="T39" i="106" s="1"/>
  <c r="O39" i="106"/>
  <c r="H39" i="106" s="1"/>
  <c r="M39" i="106"/>
  <c r="K39" i="106"/>
  <c r="J39" i="106" s="1"/>
  <c r="F39" i="106"/>
  <c r="D39" i="106"/>
  <c r="C39" i="106" s="1"/>
  <c r="BC38" i="106"/>
  <c r="AS38" i="106"/>
  <c r="AQ38" i="106"/>
  <c r="AN38" i="106"/>
  <c r="AI38" i="106"/>
  <c r="AG38" i="106"/>
  <c r="W38" i="106"/>
  <c r="H38" i="106"/>
  <c r="BC37" i="106"/>
  <c r="AS37" i="106"/>
  <c r="AQ37" i="106"/>
  <c r="AN37" i="106"/>
  <c r="AI37" i="106"/>
  <c r="AG37" i="106"/>
  <c r="AE37" i="106"/>
  <c r="AD37" i="106" s="1"/>
  <c r="Y37" i="106"/>
  <c r="O37" i="106" s="1"/>
  <c r="H37" i="106" s="1"/>
  <c r="W37" i="106"/>
  <c r="U37" i="106"/>
  <c r="T37" i="106" s="1"/>
  <c r="K37" i="106"/>
  <c r="J37" i="106"/>
  <c r="F37" i="106"/>
  <c r="BC36" i="106"/>
  <c r="AS36" i="106"/>
  <c r="AQ36" i="106"/>
  <c r="AI36" i="106"/>
  <c r="Y36" i="106" s="1"/>
  <c r="O36" i="106" s="1"/>
  <c r="H36" i="106" s="1"/>
  <c r="AG36" i="106"/>
  <c r="AE36" i="106"/>
  <c r="AD36" i="106" s="1"/>
  <c r="W36" i="106"/>
  <c r="U36" i="106"/>
  <c r="T36" i="106" s="1"/>
  <c r="M36" i="106"/>
  <c r="K36" i="106"/>
  <c r="J36" i="106" s="1"/>
  <c r="F36" i="106"/>
  <c r="D36" i="106"/>
  <c r="C36" i="106" s="1"/>
  <c r="BC35" i="106"/>
  <c r="AS35" i="106"/>
  <c r="AI35" i="106" s="1"/>
  <c r="Y35" i="106" s="1"/>
  <c r="O35" i="106" s="1"/>
  <c r="H35" i="106" s="1"/>
  <c r="AQ35" i="106"/>
  <c r="AG35" i="106"/>
  <c r="AE35" i="106"/>
  <c r="AD35" i="106"/>
  <c r="W35" i="106"/>
  <c r="J35" i="106" s="1"/>
  <c r="U35" i="106"/>
  <c r="T35" i="106" s="1"/>
  <c r="M35" i="106"/>
  <c r="K35" i="106"/>
  <c r="F35" i="106"/>
  <c r="D35" i="106"/>
  <c r="C35" i="106" s="1"/>
  <c r="BC34" i="106"/>
  <c r="AS34" i="106"/>
  <c r="AQ34" i="106"/>
  <c r="AI34" i="106"/>
  <c r="Y34" i="106" s="1"/>
  <c r="O34" i="106" s="1"/>
  <c r="H34" i="106" s="1"/>
  <c r="AG34" i="106"/>
  <c r="AE34" i="106"/>
  <c r="AD34" i="106" s="1"/>
  <c r="W34" i="106"/>
  <c r="U34" i="106"/>
  <c r="T34" i="106" s="1"/>
  <c r="M34" i="106"/>
  <c r="K34" i="106"/>
  <c r="J34" i="106" s="1"/>
  <c r="F34" i="106"/>
  <c r="D34" i="106"/>
  <c r="C34" i="106" s="1"/>
  <c r="BC33" i="106"/>
  <c r="AN33" i="106"/>
  <c r="AD33" i="106"/>
  <c r="H33" i="106"/>
  <c r="BC32" i="106"/>
  <c r="AS32" i="106"/>
  <c r="AQ32" i="106"/>
  <c r="AN32" i="106"/>
  <c r="AI32" i="106"/>
  <c r="Y32" i="106" s="1"/>
  <c r="AG32" i="106"/>
  <c r="AE32" i="106"/>
  <c r="AD32" i="106" s="1"/>
  <c r="W32" i="106"/>
  <c r="U32" i="106"/>
  <c r="T32" i="106" s="1"/>
  <c r="O32" i="106"/>
  <c r="H32" i="106" s="1"/>
  <c r="K32" i="106"/>
  <c r="J32" i="106" s="1"/>
  <c r="F32" i="106"/>
  <c r="BC31" i="106"/>
  <c r="AS31" i="106"/>
  <c r="AI31" i="106" s="1"/>
  <c r="Y31" i="106" s="1"/>
  <c r="O31" i="106" s="1"/>
  <c r="H31" i="106" s="1"/>
  <c r="AQ31" i="106"/>
  <c r="AN31" i="106"/>
  <c r="AG31" i="106"/>
  <c r="AE31" i="106"/>
  <c r="AD31" i="106"/>
  <c r="W31" i="106"/>
  <c r="U31" i="106"/>
  <c r="T31" i="106"/>
  <c r="K31" i="106"/>
  <c r="J31" i="106" s="1"/>
  <c r="F31" i="106"/>
  <c r="BC30" i="106"/>
  <c r="AS30" i="106"/>
  <c r="AQ30" i="106"/>
  <c r="AN30" i="106"/>
  <c r="AI30" i="106"/>
  <c r="Y30" i="106" s="1"/>
  <c r="O30" i="106" s="1"/>
  <c r="H30" i="106" s="1"/>
  <c r="AG30" i="106"/>
  <c r="AE30" i="106"/>
  <c r="W30" i="106"/>
  <c r="U30" i="106"/>
  <c r="T30" i="106" s="1"/>
  <c r="BC29" i="106"/>
  <c r="AS29" i="106"/>
  <c r="AI29" i="106" s="1"/>
  <c r="Y29" i="106" s="1"/>
  <c r="O29" i="106" s="1"/>
  <c r="H29" i="106" s="1"/>
  <c r="AQ29" i="106"/>
  <c r="AG29" i="106"/>
  <c r="AE29" i="106"/>
  <c r="AD29" i="106"/>
  <c r="W29" i="106"/>
  <c r="U29" i="106"/>
  <c r="T29" i="106"/>
  <c r="M29" i="106"/>
  <c r="K29" i="106"/>
  <c r="J29" i="106"/>
  <c r="F29" i="106"/>
  <c r="D29" i="106"/>
  <c r="C29" i="106"/>
  <c r="BC28" i="106"/>
  <c r="AS28" i="106"/>
  <c r="AQ28" i="106"/>
  <c r="AI28" i="106"/>
  <c r="AG28" i="106"/>
  <c r="AE28" i="106"/>
  <c r="AD28" i="106" s="1"/>
  <c r="Y28" i="106"/>
  <c r="O28" i="106" s="1"/>
  <c r="H28" i="106" s="1"/>
  <c r="W28" i="106"/>
  <c r="U28" i="106"/>
  <c r="T28" i="106" s="1"/>
  <c r="M28" i="106"/>
  <c r="K28" i="106"/>
  <c r="J28" i="106" s="1"/>
  <c r="F28" i="106"/>
  <c r="D28" i="106"/>
  <c r="C28" i="106" s="1"/>
  <c r="BC27" i="106"/>
  <c r="AS27" i="106"/>
  <c r="AI27" i="106" s="1"/>
  <c r="Y27" i="106" s="1"/>
  <c r="O27" i="106" s="1"/>
  <c r="H27" i="106" s="1"/>
  <c r="AQ27" i="106"/>
  <c r="AG27" i="106"/>
  <c r="T27" i="106" s="1"/>
  <c r="AE27" i="106"/>
  <c r="AD27" i="106"/>
  <c r="W27" i="106"/>
  <c r="U27" i="106"/>
  <c r="K27" i="106"/>
  <c r="J27" i="106" s="1"/>
  <c r="F27" i="106"/>
  <c r="BC26" i="106"/>
  <c r="AS26" i="106"/>
  <c r="AI26" i="106" s="1"/>
  <c r="Y26" i="106" s="1"/>
  <c r="O26" i="106" s="1"/>
  <c r="H26" i="106" s="1"/>
  <c r="AQ26" i="106"/>
  <c r="AG26" i="106"/>
  <c r="AE26" i="106"/>
  <c r="AD26" i="106"/>
  <c r="W26" i="106"/>
  <c r="U26" i="106"/>
  <c r="T26" i="106"/>
  <c r="M26" i="106"/>
  <c r="K26" i="106"/>
  <c r="J26" i="106"/>
  <c r="F26" i="106"/>
  <c r="D26" i="106"/>
  <c r="C26" i="106"/>
  <c r="BC25" i="106"/>
  <c r="AS25" i="106"/>
  <c r="AI25" i="106" s="1"/>
  <c r="Y25" i="106" s="1"/>
  <c r="O25" i="106" s="1"/>
  <c r="H25" i="106" s="1"/>
  <c r="AQ25" i="106"/>
  <c r="AN25" i="106"/>
  <c r="AG25" i="106"/>
  <c r="AE25" i="106"/>
  <c r="AD25" i="106"/>
  <c r="W25" i="106"/>
  <c r="U25" i="106"/>
  <c r="T25" i="106"/>
  <c r="BC24" i="106"/>
  <c r="AS24" i="106"/>
  <c r="AI24" i="106" s="1"/>
  <c r="AQ24" i="106"/>
  <c r="AN24" i="106"/>
  <c r="AG24" i="106"/>
  <c r="W24" i="106"/>
  <c r="H24" i="106"/>
  <c r="BC23" i="106"/>
  <c r="AS23" i="106"/>
  <c r="AQ23" i="106"/>
  <c r="AI23" i="106"/>
  <c r="AG23" i="106"/>
  <c r="AE23" i="106"/>
  <c r="AD23" i="106" s="1"/>
  <c r="Y23" i="106"/>
  <c r="W23" i="106"/>
  <c r="U23" i="106"/>
  <c r="T23" i="106" s="1"/>
  <c r="O23" i="106"/>
  <c r="H23" i="106" s="1"/>
  <c r="M23" i="106"/>
  <c r="K23" i="106"/>
  <c r="J23" i="106" s="1"/>
  <c r="F23" i="106"/>
  <c r="D23" i="106"/>
  <c r="C23" i="106" s="1"/>
  <c r="BC22" i="106"/>
  <c r="AS22" i="106"/>
  <c r="AI22" i="106" s="1"/>
  <c r="Y22" i="106" s="1"/>
  <c r="O22" i="106" s="1"/>
  <c r="H22" i="106" s="1"/>
  <c r="AQ22" i="106"/>
  <c r="AG22" i="106"/>
  <c r="AE22" i="106"/>
  <c r="AD22" i="106"/>
  <c r="W22" i="106"/>
  <c r="U22" i="106"/>
  <c r="T22" i="106"/>
  <c r="M22" i="106"/>
  <c r="C22" i="106" s="1"/>
  <c r="K22" i="106"/>
  <c r="J22" i="106"/>
  <c r="F22" i="106"/>
  <c r="D22" i="106"/>
  <c r="BC21" i="106"/>
  <c r="AS21" i="106"/>
  <c r="AI21" i="106" s="1"/>
  <c r="Y21" i="106" s="1"/>
  <c r="O21" i="106" s="1"/>
  <c r="H21" i="106" s="1"/>
  <c r="AQ21" i="106"/>
  <c r="AG21" i="106"/>
  <c r="AE21" i="106"/>
  <c r="AD21" i="106"/>
  <c r="W21" i="106"/>
  <c r="J21" i="106" s="1"/>
  <c r="U21" i="106"/>
  <c r="T21" i="106" s="1"/>
  <c r="M21" i="106"/>
  <c r="K21" i="106"/>
  <c r="F21" i="106"/>
  <c r="D21" i="106"/>
  <c r="C21" i="106" s="1"/>
  <c r="BC20" i="106"/>
  <c r="AS20" i="106"/>
  <c r="AI20" i="106" s="1"/>
  <c r="Y20" i="106" s="1"/>
  <c r="O20" i="106" s="1"/>
  <c r="H20" i="106" s="1"/>
  <c r="AQ20" i="106"/>
  <c r="AN20" i="106"/>
  <c r="AG20" i="106"/>
  <c r="T20" i="106" s="1"/>
  <c r="AE20" i="106"/>
  <c r="AD20" i="106" s="1"/>
  <c r="W20" i="106"/>
  <c r="U20" i="106"/>
  <c r="K20" i="106"/>
  <c r="J20" i="106"/>
  <c r="F20" i="106"/>
  <c r="BC19" i="106"/>
  <c r="AS19" i="106"/>
  <c r="AQ19" i="106"/>
  <c r="AD19" i="106" s="1"/>
  <c r="AN19" i="106"/>
  <c r="AI19" i="106"/>
  <c r="Y19" i="106" s="1"/>
  <c r="O19" i="106" s="1"/>
  <c r="AG19" i="106"/>
  <c r="AE19" i="106"/>
  <c r="W19" i="106"/>
  <c r="U19" i="106"/>
  <c r="T19" i="106" s="1"/>
  <c r="H19" i="106"/>
  <c r="BC18" i="106"/>
  <c r="AS18" i="106"/>
  <c r="AQ18" i="106"/>
  <c r="AN18" i="106"/>
  <c r="AI18" i="106"/>
  <c r="Y18" i="106" s="1"/>
  <c r="O18" i="106" s="1"/>
  <c r="H18" i="106" s="1"/>
  <c r="AG18" i="106"/>
  <c r="AE18" i="106"/>
  <c r="AD18" i="106"/>
  <c r="W18" i="106"/>
  <c r="U18" i="106"/>
  <c r="T18" i="106" s="1"/>
  <c r="M18" i="106"/>
  <c r="K18" i="106"/>
  <c r="J18" i="106"/>
  <c r="F18" i="106"/>
  <c r="BC17" i="106"/>
  <c r="AS17" i="106"/>
  <c r="AQ17" i="106"/>
  <c r="AD17" i="106" s="1"/>
  <c r="AN17" i="106"/>
  <c r="AI17" i="106"/>
  <c r="Y17" i="106" s="1"/>
  <c r="O17" i="106" s="1"/>
  <c r="AG17" i="106"/>
  <c r="AE17" i="106"/>
  <c r="W17" i="106"/>
  <c r="U17" i="106"/>
  <c r="T17" i="106" s="1"/>
  <c r="H17" i="106"/>
  <c r="BC16" i="106"/>
  <c r="AS16" i="106"/>
  <c r="AI16" i="106" s="1"/>
  <c r="Y16" i="106" s="1"/>
  <c r="O16" i="106" s="1"/>
  <c r="H16" i="106" s="1"/>
  <c r="AQ16" i="106"/>
  <c r="AG16" i="106"/>
  <c r="T16" i="106" s="1"/>
  <c r="AE16" i="106"/>
  <c r="AD16" i="106" s="1"/>
  <c r="W16" i="106"/>
  <c r="U16" i="106"/>
  <c r="M16" i="106"/>
  <c r="K16" i="106"/>
  <c r="J16" i="106" s="1"/>
  <c r="F16" i="106"/>
  <c r="BC15" i="106"/>
  <c r="AS15" i="106"/>
  <c r="AQ15" i="106"/>
  <c r="AN15" i="106"/>
  <c r="AI15" i="106"/>
  <c r="Y15" i="106" s="1"/>
  <c r="O15" i="106" s="1"/>
  <c r="H15" i="106" s="1"/>
  <c r="AG15" i="106"/>
  <c r="AE15" i="106"/>
  <c r="AD15" i="106"/>
  <c r="W15" i="106"/>
  <c r="U15" i="106"/>
  <c r="T15" i="106"/>
  <c r="BC14" i="106"/>
  <c r="AS14" i="106"/>
  <c r="AQ14" i="106"/>
  <c r="AN14" i="106"/>
  <c r="AG14" i="106"/>
  <c r="H14" i="106"/>
  <c r="BC13" i="106"/>
  <c r="AS13" i="106"/>
  <c r="AQ13" i="106"/>
  <c r="AN13" i="106"/>
  <c r="AI13" i="106"/>
  <c r="AG13" i="106"/>
  <c r="AE13" i="106"/>
  <c r="AD13" i="106"/>
  <c r="Y13" i="106"/>
  <c r="O13" i="106" s="1"/>
  <c r="H13" i="106" s="1"/>
  <c r="W13" i="106"/>
  <c r="U13" i="106"/>
  <c r="T13" i="106"/>
  <c r="M13" i="106"/>
  <c r="K13" i="106"/>
  <c r="J13" i="106"/>
  <c r="F13" i="106"/>
  <c r="BC12" i="106"/>
  <c r="AS12" i="106"/>
  <c r="AI12" i="106" s="1"/>
  <c r="Y12" i="106" s="1"/>
  <c r="O12" i="106" s="1"/>
  <c r="H12" i="106" s="1"/>
  <c r="AQ12" i="106"/>
  <c r="AN12" i="106"/>
  <c r="AG12" i="106"/>
  <c r="T12" i="106" s="1"/>
  <c r="AE12" i="106"/>
  <c r="AD12" i="106" s="1"/>
  <c r="W12" i="106"/>
  <c r="U12" i="106"/>
  <c r="M12" i="106"/>
  <c r="K12" i="106"/>
  <c r="J12" i="106" s="1"/>
  <c r="F12" i="106"/>
  <c r="BC11" i="106"/>
  <c r="AS11" i="106"/>
  <c r="AI11" i="106" s="1"/>
  <c r="Y11" i="106" s="1"/>
  <c r="O11" i="106" s="1"/>
  <c r="H11" i="106" s="1"/>
  <c r="AQ11" i="106"/>
  <c r="AG11" i="106"/>
  <c r="AE11" i="106"/>
  <c r="AD11" i="106" s="1"/>
  <c r="W11" i="106"/>
  <c r="U11" i="106"/>
  <c r="T11" i="106"/>
  <c r="M11" i="106"/>
  <c r="K11" i="106"/>
  <c r="J11" i="106" s="1"/>
  <c r="F11" i="106"/>
  <c r="D11" i="106"/>
  <c r="C11" i="106"/>
  <c r="BC10" i="106"/>
  <c r="AS10" i="106"/>
  <c r="AQ10" i="106"/>
  <c r="AN10" i="106"/>
  <c r="AI10" i="106"/>
  <c r="Y10" i="106" s="1"/>
  <c r="O10" i="106" s="1"/>
  <c r="AG10" i="106"/>
  <c r="AE10" i="106"/>
  <c r="AD10" i="106"/>
  <c r="W10" i="106"/>
  <c r="U10" i="106"/>
  <c r="T10" i="106" s="1"/>
  <c r="K10" i="106"/>
  <c r="J10" i="106"/>
  <c r="H10" i="106"/>
  <c r="F10" i="106"/>
  <c r="BC9" i="106"/>
  <c r="AS9" i="106"/>
  <c r="AI9" i="106" s="1"/>
  <c r="AQ9" i="106"/>
  <c r="AN9" i="106"/>
  <c r="AG9" i="106"/>
  <c r="W9" i="106"/>
  <c r="H9" i="106"/>
  <c r="BC8" i="106"/>
  <c r="AS8" i="106"/>
  <c r="AQ8" i="106"/>
  <c r="AD8" i="106" s="1"/>
  <c r="AI8" i="106"/>
  <c r="AG8" i="106"/>
  <c r="AE8" i="106"/>
  <c r="Y8" i="106"/>
  <c r="O8" i="106" s="1"/>
  <c r="H8" i="106" s="1"/>
  <c r="W8" i="106"/>
  <c r="J8" i="106" s="1"/>
  <c r="U8" i="106"/>
  <c r="M8" i="106"/>
  <c r="M114" i="106" s="1"/>
  <c r="K8" i="106"/>
  <c r="F8" i="106"/>
  <c r="D8" i="106"/>
  <c r="D112" i="106" s="1"/>
  <c r="BC7" i="106"/>
  <c r="AS7" i="106"/>
  <c r="AI7" i="106" s="1"/>
  <c r="Y7" i="106" s="1"/>
  <c r="O7" i="106" s="1"/>
  <c r="H7" i="106" s="1"/>
  <c r="H112" i="106" s="1"/>
  <c r="AQ7" i="106"/>
  <c r="AN7" i="106"/>
  <c r="AN112" i="106" s="1"/>
  <c r="AG7" i="106"/>
  <c r="T7" i="106" s="1"/>
  <c r="T112" i="106" s="1"/>
  <c r="AE7" i="106"/>
  <c r="AE112" i="106" s="1"/>
  <c r="W7" i="106"/>
  <c r="J7" i="106" s="1"/>
  <c r="J112" i="106" s="1"/>
  <c r="U7" i="106"/>
  <c r="U112" i="106" s="1"/>
  <c r="K7" i="106"/>
  <c r="K112" i="106" s="1"/>
  <c r="F7" i="106"/>
  <c r="AU112" i="105"/>
  <c r="AT107" i="105" s="1"/>
  <c r="AR112" i="105"/>
  <c r="AN112" i="105"/>
  <c r="AK112" i="105"/>
  <c r="AJ106" i="105" s="1"/>
  <c r="W106" i="105" s="1"/>
  <c r="AE112" i="105"/>
  <c r="AD112" i="105"/>
  <c r="AA112" i="105"/>
  <c r="Z108" i="105" s="1"/>
  <c r="T112" i="105"/>
  <c r="Q112" i="105"/>
  <c r="P55" i="105" s="1"/>
  <c r="C55" i="105" s="1"/>
  <c r="G112" i="105"/>
  <c r="N111" i="105"/>
  <c r="M111" i="105" s="1"/>
  <c r="H111" i="105"/>
  <c r="F111" i="105"/>
  <c r="BF110" i="105"/>
  <c r="AV110" i="105"/>
  <c r="AL110" i="105" s="1"/>
  <c r="AB110" i="105" s="1"/>
  <c r="R110" i="105" s="1"/>
  <c r="H110" i="105" s="1"/>
  <c r="AT110" i="105"/>
  <c r="AJ110" i="105"/>
  <c r="AH110" i="105"/>
  <c r="Z110" i="105"/>
  <c r="X110" i="105"/>
  <c r="W110" i="105" s="1"/>
  <c r="N110" i="105"/>
  <c r="M110" i="105" s="1"/>
  <c r="F110" i="105"/>
  <c r="D110" i="105"/>
  <c r="BF109" i="105"/>
  <c r="AV109" i="105"/>
  <c r="AL109" i="105"/>
  <c r="AB109" i="105" s="1"/>
  <c r="R109" i="105" s="1"/>
  <c r="H109" i="105" s="1"/>
  <c r="AJ109" i="105"/>
  <c r="AH109" i="105"/>
  <c r="Z109" i="105"/>
  <c r="M109" i="105" s="1"/>
  <c r="X109" i="105"/>
  <c r="W109" i="105" s="1"/>
  <c r="N109" i="105"/>
  <c r="F109" i="105"/>
  <c r="D109" i="105"/>
  <c r="BF108" i="105"/>
  <c r="AV108" i="105"/>
  <c r="AL108" i="105"/>
  <c r="AH108" i="105"/>
  <c r="AB108" i="105"/>
  <c r="R108" i="105" s="1"/>
  <c r="H108" i="105" s="1"/>
  <c r="X108" i="105"/>
  <c r="N108" i="105"/>
  <c r="M108" i="105" s="1"/>
  <c r="F108" i="105"/>
  <c r="BF107" i="105"/>
  <c r="AV107" i="105"/>
  <c r="AL107" i="105" s="1"/>
  <c r="AB107" i="105" s="1"/>
  <c r="R107" i="105" s="1"/>
  <c r="H107" i="105" s="1"/>
  <c r="AJ107" i="105"/>
  <c r="AH107" i="105"/>
  <c r="AG107" i="105" s="1"/>
  <c r="Z107" i="105"/>
  <c r="X107" i="105"/>
  <c r="W107" i="105" s="1"/>
  <c r="N107" i="105"/>
  <c r="M107" i="105" s="1"/>
  <c r="F107" i="105"/>
  <c r="D107" i="105"/>
  <c r="BF106" i="105"/>
  <c r="AV106" i="105"/>
  <c r="AL106" i="105" s="1"/>
  <c r="AB106" i="105" s="1"/>
  <c r="R106" i="105" s="1"/>
  <c r="H106" i="105" s="1"/>
  <c r="AH106" i="105"/>
  <c r="Z106" i="105"/>
  <c r="X106" i="105"/>
  <c r="N106" i="105"/>
  <c r="M106" i="105" s="1"/>
  <c r="F106" i="105"/>
  <c r="D106" i="105"/>
  <c r="BF105" i="105"/>
  <c r="BE105" i="105"/>
  <c r="BD105" i="105"/>
  <c r="AV105" i="105"/>
  <c r="AL105" i="105" s="1"/>
  <c r="AB105" i="105" s="1"/>
  <c r="R105" i="105" s="1"/>
  <c r="H105" i="105" s="1"/>
  <c r="AT105" i="105"/>
  <c r="AJ105" i="105"/>
  <c r="AH105" i="105"/>
  <c r="AG105" i="105" s="1"/>
  <c r="Z105" i="105"/>
  <c r="X105" i="105"/>
  <c r="W105" i="105" s="1"/>
  <c r="N105" i="105"/>
  <c r="M105" i="105" s="1"/>
  <c r="F105" i="105"/>
  <c r="D105" i="105"/>
  <c r="BF104" i="105"/>
  <c r="AV104" i="105"/>
  <c r="AL104" i="105"/>
  <c r="AB104" i="105" s="1"/>
  <c r="R104" i="105" s="1"/>
  <c r="H104" i="105" s="1"/>
  <c r="AJ104" i="105"/>
  <c r="AH104" i="105"/>
  <c r="Z104" i="105"/>
  <c r="X104" i="105"/>
  <c r="W104" i="105" s="1"/>
  <c r="N104" i="105"/>
  <c r="M104" i="105" s="1"/>
  <c r="BF103" i="105"/>
  <c r="AV103" i="105"/>
  <c r="AL103" i="105"/>
  <c r="AB103" i="105" s="1"/>
  <c r="AH103" i="105"/>
  <c r="Z103" i="105"/>
  <c r="M103" i="105" s="1"/>
  <c r="X103" i="105"/>
  <c r="R103" i="105"/>
  <c r="H103" i="105" s="1"/>
  <c r="N103" i="105"/>
  <c r="F103" i="105"/>
  <c r="BF102" i="105"/>
  <c r="AV102" i="105"/>
  <c r="AL102" i="105" s="1"/>
  <c r="AB102" i="105" s="1"/>
  <c r="AT102" i="105"/>
  <c r="AJ102" i="105"/>
  <c r="AH102" i="105"/>
  <c r="Z102" i="105"/>
  <c r="X102" i="105"/>
  <c r="H102" i="105"/>
  <c r="BF101" i="105"/>
  <c r="AV101" i="105"/>
  <c r="AL101" i="105"/>
  <c r="AB101" i="105" s="1"/>
  <c r="R101" i="105" s="1"/>
  <c r="H101" i="105" s="1"/>
  <c r="AJ101" i="105"/>
  <c r="AH101" i="105"/>
  <c r="Z101" i="105"/>
  <c r="X101" i="105"/>
  <c r="W101" i="105" s="1"/>
  <c r="N101" i="105"/>
  <c r="M101" i="105" s="1"/>
  <c r="F101" i="105"/>
  <c r="BF100" i="105"/>
  <c r="AV100" i="105"/>
  <c r="AT100" i="105"/>
  <c r="AL100" i="105"/>
  <c r="AH100" i="105"/>
  <c r="AG100" i="105" s="1"/>
  <c r="AB100" i="105"/>
  <c r="R100" i="105" s="1"/>
  <c r="H100" i="105" s="1"/>
  <c r="Z100" i="105"/>
  <c r="X100" i="105"/>
  <c r="N100" i="105"/>
  <c r="M100" i="105" s="1"/>
  <c r="F100" i="105"/>
  <c r="D100" i="105"/>
  <c r="BF99" i="105"/>
  <c r="AV99" i="105"/>
  <c r="AL99" i="105" s="1"/>
  <c r="AB99" i="105" s="1"/>
  <c r="R99" i="105" s="1"/>
  <c r="H99" i="105" s="1"/>
  <c r="AT99" i="105"/>
  <c r="AJ99" i="105"/>
  <c r="AH99" i="105"/>
  <c r="AG99" i="105" s="1"/>
  <c r="Z99" i="105"/>
  <c r="X99" i="105"/>
  <c r="W99" i="105" s="1"/>
  <c r="N99" i="105"/>
  <c r="M99" i="105"/>
  <c r="BF98" i="105"/>
  <c r="AV98" i="105"/>
  <c r="AT98" i="105"/>
  <c r="AG98" i="105" s="1"/>
  <c r="AL98" i="105"/>
  <c r="AB98" i="105" s="1"/>
  <c r="R98" i="105" s="1"/>
  <c r="H98" i="105" s="1"/>
  <c r="AJ98" i="105"/>
  <c r="AH98" i="105"/>
  <c r="Z98" i="105"/>
  <c r="X98" i="105"/>
  <c r="N98" i="105"/>
  <c r="M98" i="105" s="1"/>
  <c r="F98" i="105"/>
  <c r="BF97" i="105"/>
  <c r="AV97" i="105"/>
  <c r="AT97" i="105"/>
  <c r="AL97" i="105"/>
  <c r="AH97" i="105"/>
  <c r="AG97" i="105" s="1"/>
  <c r="AB97" i="105"/>
  <c r="R97" i="105" s="1"/>
  <c r="H97" i="105" s="1"/>
  <c r="Z97" i="105"/>
  <c r="X97" i="105"/>
  <c r="N97" i="105"/>
  <c r="M97" i="105" s="1"/>
  <c r="F97" i="105"/>
  <c r="D97" i="105"/>
  <c r="BF96" i="105"/>
  <c r="AV96" i="105"/>
  <c r="AL96" i="105" s="1"/>
  <c r="AB96" i="105" s="1"/>
  <c r="R96" i="105" s="1"/>
  <c r="H96" i="105" s="1"/>
  <c r="AT96" i="105"/>
  <c r="AJ96" i="105"/>
  <c r="AH96" i="105"/>
  <c r="AG96" i="105" s="1"/>
  <c r="Z96" i="105"/>
  <c r="X96" i="105"/>
  <c r="W96" i="105" s="1"/>
  <c r="N96" i="105"/>
  <c r="M96" i="105" s="1"/>
  <c r="F96" i="105"/>
  <c r="D96" i="105"/>
  <c r="BF95" i="105"/>
  <c r="AV95" i="105"/>
  <c r="AL95" i="105" s="1"/>
  <c r="AB95" i="105" s="1"/>
  <c r="R95" i="105" s="1"/>
  <c r="H95" i="105" s="1"/>
  <c r="AJ95" i="105"/>
  <c r="W95" i="105" s="1"/>
  <c r="AH95" i="105"/>
  <c r="Z95" i="105"/>
  <c r="X95" i="105"/>
  <c r="BF94" i="105"/>
  <c r="AV94" i="105"/>
  <c r="AL94" i="105" s="1"/>
  <c r="AB94" i="105" s="1"/>
  <c r="R94" i="105" s="1"/>
  <c r="H94" i="105" s="1"/>
  <c r="AT94" i="105"/>
  <c r="AJ94" i="105"/>
  <c r="AH94" i="105"/>
  <c r="Z94" i="105"/>
  <c r="X94" i="105"/>
  <c r="W94" i="105" s="1"/>
  <c r="N94" i="105"/>
  <c r="M94" i="105" s="1"/>
  <c r="F94" i="105"/>
  <c r="D94" i="105"/>
  <c r="BF93" i="105"/>
  <c r="AV93" i="105"/>
  <c r="AT93" i="105"/>
  <c r="AG93" i="105" s="1"/>
  <c r="AL93" i="105"/>
  <c r="AB93" i="105" s="1"/>
  <c r="R93" i="105" s="1"/>
  <c r="H93" i="105" s="1"/>
  <c r="AJ93" i="105"/>
  <c r="AH93" i="105"/>
  <c r="Z93" i="105"/>
  <c r="X93" i="105"/>
  <c r="BF92" i="105"/>
  <c r="AV92" i="105"/>
  <c r="AL92" i="105" s="1"/>
  <c r="AB92" i="105" s="1"/>
  <c r="R92" i="105" s="1"/>
  <c r="H92" i="105" s="1"/>
  <c r="AT92" i="105"/>
  <c r="AJ92" i="105"/>
  <c r="AH92" i="105"/>
  <c r="AG92" i="105" s="1"/>
  <c r="Z92" i="105"/>
  <c r="X92" i="105"/>
  <c r="W92" i="105" s="1"/>
  <c r="N92" i="105"/>
  <c r="M92" i="105" s="1"/>
  <c r="F92" i="105"/>
  <c r="D92" i="105"/>
  <c r="BF91" i="105"/>
  <c r="AV91" i="105"/>
  <c r="AL91" i="105" s="1"/>
  <c r="AT91" i="105"/>
  <c r="AJ91" i="105"/>
  <c r="AH91" i="105"/>
  <c r="AG91" i="105" s="1"/>
  <c r="AB91" i="105"/>
  <c r="R91" i="105" s="1"/>
  <c r="H91" i="105" s="1"/>
  <c r="Z91" i="105"/>
  <c r="X91" i="105"/>
  <c r="BF90" i="105"/>
  <c r="AV90" i="105"/>
  <c r="AT90" i="105"/>
  <c r="AL90" i="105"/>
  <c r="AJ90" i="105"/>
  <c r="AH90" i="105"/>
  <c r="AB90" i="105"/>
  <c r="R90" i="105" s="1"/>
  <c r="H90" i="105" s="1"/>
  <c r="Z90" i="105"/>
  <c r="X90" i="105"/>
  <c r="W90" i="105"/>
  <c r="N90" i="105"/>
  <c r="M90" i="105" s="1"/>
  <c r="F90" i="105"/>
  <c r="D90" i="105"/>
  <c r="BF89" i="105"/>
  <c r="AV89" i="105"/>
  <c r="AL89" i="105" s="1"/>
  <c r="AB89" i="105" s="1"/>
  <c r="R89" i="105" s="1"/>
  <c r="H89" i="105" s="1"/>
  <c r="AT89" i="105"/>
  <c r="AJ89" i="105"/>
  <c r="AH89" i="105"/>
  <c r="AG89" i="105" s="1"/>
  <c r="Z89" i="105"/>
  <c r="X89" i="105"/>
  <c r="N89" i="105"/>
  <c r="M89" i="105" s="1"/>
  <c r="F89" i="105"/>
  <c r="D89" i="105"/>
  <c r="BF88" i="105"/>
  <c r="AV88" i="105"/>
  <c r="AT88" i="105"/>
  <c r="AL88" i="105"/>
  <c r="AJ88" i="105"/>
  <c r="W88" i="105" s="1"/>
  <c r="AH88" i="105"/>
  <c r="AG88" i="105" s="1"/>
  <c r="AB88" i="105"/>
  <c r="R88" i="105" s="1"/>
  <c r="H88" i="105" s="1"/>
  <c r="Z88" i="105"/>
  <c r="X88" i="105"/>
  <c r="N88" i="105"/>
  <c r="M88" i="105" s="1"/>
  <c r="F88" i="105"/>
  <c r="BF87" i="105"/>
  <c r="AV87" i="105"/>
  <c r="AT87" i="105"/>
  <c r="AL87" i="105"/>
  <c r="AB87" i="105" s="1"/>
  <c r="R87" i="105" s="1"/>
  <c r="H87" i="105" s="1"/>
  <c r="AJ87" i="105"/>
  <c r="AH87" i="105"/>
  <c r="AG87" i="105"/>
  <c r="Z87" i="105"/>
  <c r="X87" i="105"/>
  <c r="W87" i="105" s="1"/>
  <c r="BF86" i="105"/>
  <c r="AV86" i="105"/>
  <c r="AT86" i="105"/>
  <c r="AL86" i="105"/>
  <c r="AJ86" i="105"/>
  <c r="AH86" i="105"/>
  <c r="AG86" i="105"/>
  <c r="AB86" i="105"/>
  <c r="R86" i="105" s="1"/>
  <c r="Z86" i="105"/>
  <c r="X86" i="105"/>
  <c r="W86" i="105"/>
  <c r="N86" i="105"/>
  <c r="M86" i="105"/>
  <c r="H86" i="105"/>
  <c r="F86" i="105"/>
  <c r="D86" i="105"/>
  <c r="BF85" i="105"/>
  <c r="AV85" i="105"/>
  <c r="AL85" i="105" s="1"/>
  <c r="AB85" i="105" s="1"/>
  <c r="R85" i="105" s="1"/>
  <c r="H85" i="105" s="1"/>
  <c r="AT85" i="105"/>
  <c r="AJ85" i="105"/>
  <c r="AH85" i="105"/>
  <c r="AG85" i="105" s="1"/>
  <c r="Z85" i="105"/>
  <c r="X85" i="105"/>
  <c r="W85" i="105"/>
  <c r="N85" i="105"/>
  <c r="M85" i="105"/>
  <c r="F85" i="105"/>
  <c r="BF84" i="105"/>
  <c r="AV84" i="105"/>
  <c r="AL84" i="105" s="1"/>
  <c r="AB84" i="105" s="1"/>
  <c r="R84" i="105" s="1"/>
  <c r="H84" i="105" s="1"/>
  <c r="AT84" i="105"/>
  <c r="AJ84" i="105"/>
  <c r="W84" i="105" s="1"/>
  <c r="AH84" i="105"/>
  <c r="AG84" i="105" s="1"/>
  <c r="Z84" i="105"/>
  <c r="X84" i="105"/>
  <c r="N84" i="105"/>
  <c r="F84" i="105"/>
  <c r="D84" i="105"/>
  <c r="BF83" i="105"/>
  <c r="AV83" i="105"/>
  <c r="AT83" i="105"/>
  <c r="AL83" i="105"/>
  <c r="AB83" i="105" s="1"/>
  <c r="AJ83" i="105"/>
  <c r="AH83" i="105"/>
  <c r="AG83" i="105"/>
  <c r="Z83" i="105"/>
  <c r="X83" i="105"/>
  <c r="H83" i="105"/>
  <c r="BF82" i="105"/>
  <c r="AV82" i="105"/>
  <c r="AT82" i="105"/>
  <c r="AG82" i="105" s="1"/>
  <c r="AL82" i="105"/>
  <c r="AB82" i="105" s="1"/>
  <c r="R82" i="105" s="1"/>
  <c r="H82" i="105" s="1"/>
  <c r="AJ82" i="105"/>
  <c r="AH82" i="105"/>
  <c r="Z82" i="105"/>
  <c r="X82" i="105"/>
  <c r="W82" i="105"/>
  <c r="N82" i="105"/>
  <c r="M82" i="105"/>
  <c r="F82" i="105"/>
  <c r="D82" i="105"/>
  <c r="BF81" i="105"/>
  <c r="AV81" i="105"/>
  <c r="AL81" i="105" s="1"/>
  <c r="AB81" i="105" s="1"/>
  <c r="R81" i="105" s="1"/>
  <c r="H81" i="105" s="1"/>
  <c r="AT81" i="105"/>
  <c r="AJ81" i="105"/>
  <c r="AH81" i="105"/>
  <c r="AG81" i="105" s="1"/>
  <c r="Z81" i="105"/>
  <c r="X81" i="105"/>
  <c r="W81" i="105" s="1"/>
  <c r="N81" i="105"/>
  <c r="M81" i="105" s="1"/>
  <c r="F81" i="105"/>
  <c r="BF80" i="105"/>
  <c r="AV80" i="105"/>
  <c r="AT80" i="105"/>
  <c r="AL80" i="105"/>
  <c r="AB80" i="105" s="1"/>
  <c r="R80" i="105" s="1"/>
  <c r="H80" i="105" s="1"/>
  <c r="AJ80" i="105"/>
  <c r="AH80" i="105"/>
  <c r="AG80" i="105"/>
  <c r="Z80" i="105"/>
  <c r="X80" i="105"/>
  <c r="W80" i="105"/>
  <c r="N80" i="105"/>
  <c r="M80" i="105" s="1"/>
  <c r="BF79" i="105"/>
  <c r="AG79" i="105"/>
  <c r="H79" i="105"/>
  <c r="BF78" i="105"/>
  <c r="AV78" i="105"/>
  <c r="AL78" i="105" s="1"/>
  <c r="AT78" i="105"/>
  <c r="AJ78" i="105"/>
  <c r="Z78" i="105"/>
  <c r="H78" i="105"/>
  <c r="BF77" i="105"/>
  <c r="AV77" i="105"/>
  <c r="AT77" i="105"/>
  <c r="AL77" i="105"/>
  <c r="AB77" i="105" s="1"/>
  <c r="R77" i="105" s="1"/>
  <c r="H77" i="105" s="1"/>
  <c r="AJ77" i="105"/>
  <c r="W77" i="105" s="1"/>
  <c r="AH77" i="105"/>
  <c r="AG77" i="105" s="1"/>
  <c r="Z77" i="105"/>
  <c r="X77" i="105"/>
  <c r="BF76" i="105"/>
  <c r="AV76" i="105"/>
  <c r="AL76" i="105" s="1"/>
  <c r="AT76" i="105"/>
  <c r="AJ76" i="105"/>
  <c r="Z76" i="105"/>
  <c r="H76" i="105"/>
  <c r="BF75" i="105"/>
  <c r="AV75" i="105"/>
  <c r="AL75" i="105" s="1"/>
  <c r="AB75" i="105" s="1"/>
  <c r="R75" i="105" s="1"/>
  <c r="H75" i="105" s="1"/>
  <c r="AT75" i="105"/>
  <c r="AJ75" i="105"/>
  <c r="W75" i="105" s="1"/>
  <c r="AH75" i="105"/>
  <c r="AG75" i="105" s="1"/>
  <c r="Z75" i="105"/>
  <c r="X75" i="105"/>
  <c r="N75" i="105"/>
  <c r="M75" i="105"/>
  <c r="F75" i="105"/>
  <c r="BF74" i="105"/>
  <c r="AV74" i="105"/>
  <c r="AT74" i="105"/>
  <c r="AL74" i="105"/>
  <c r="AB74" i="105" s="1"/>
  <c r="AJ74" i="105"/>
  <c r="AH74" i="105"/>
  <c r="AG74" i="105" s="1"/>
  <c r="Z74" i="105"/>
  <c r="X74" i="105"/>
  <c r="W74" i="105"/>
  <c r="R74" i="105"/>
  <c r="H74" i="105" s="1"/>
  <c r="N74" i="105"/>
  <c r="M74" i="105"/>
  <c r="F74" i="105"/>
  <c r="BF73" i="105"/>
  <c r="AV73" i="105"/>
  <c r="AL73" i="105" s="1"/>
  <c r="AB73" i="105" s="1"/>
  <c r="R73" i="105" s="1"/>
  <c r="H73" i="105" s="1"/>
  <c r="AT73" i="105"/>
  <c r="AG73" i="105" s="1"/>
  <c r="AJ73" i="105"/>
  <c r="AH73" i="105"/>
  <c r="Z73" i="105"/>
  <c r="X73" i="105"/>
  <c r="N73" i="105"/>
  <c r="M73" i="105"/>
  <c r="F73" i="105"/>
  <c r="D73" i="105"/>
  <c r="BF72" i="105"/>
  <c r="AV72" i="105"/>
  <c r="AT72" i="105"/>
  <c r="AL72" i="105"/>
  <c r="AB72" i="105" s="1"/>
  <c r="AJ72" i="105"/>
  <c r="AH72" i="105"/>
  <c r="AG72" i="105"/>
  <c r="Z72" i="105"/>
  <c r="X72" i="105"/>
  <c r="H72" i="105"/>
  <c r="BF71" i="105"/>
  <c r="AV71" i="105"/>
  <c r="AT71" i="105"/>
  <c r="AL71" i="105"/>
  <c r="AB71" i="105" s="1"/>
  <c r="R71" i="105" s="1"/>
  <c r="H71" i="105" s="1"/>
  <c r="AJ71" i="105"/>
  <c r="AH71" i="105"/>
  <c r="AG71" i="105"/>
  <c r="Z71" i="105"/>
  <c r="X71" i="105"/>
  <c r="W71" i="105" s="1"/>
  <c r="N71" i="105"/>
  <c r="M71" i="105" s="1"/>
  <c r="F71" i="105"/>
  <c r="BF70" i="105"/>
  <c r="AV70" i="105"/>
  <c r="AL70" i="105" s="1"/>
  <c r="AB70" i="105" s="1"/>
  <c r="AT70" i="105"/>
  <c r="AG70" i="105" s="1"/>
  <c r="AJ70" i="105"/>
  <c r="AH70" i="105"/>
  <c r="Z70" i="105"/>
  <c r="X70" i="105"/>
  <c r="W70" i="105" s="1"/>
  <c r="H70" i="105"/>
  <c r="BF69" i="105"/>
  <c r="AV69" i="105"/>
  <c r="AT69" i="105"/>
  <c r="AL69" i="105"/>
  <c r="AB69" i="105" s="1"/>
  <c r="R69" i="105" s="1"/>
  <c r="H69" i="105" s="1"/>
  <c r="AJ69" i="105"/>
  <c r="AH69" i="105"/>
  <c r="AG69" i="105"/>
  <c r="Z69" i="105"/>
  <c r="X69" i="105"/>
  <c r="W69" i="105" s="1"/>
  <c r="N69" i="105"/>
  <c r="M69" i="105" s="1"/>
  <c r="F69" i="105"/>
  <c r="BF68" i="105"/>
  <c r="AV68" i="105"/>
  <c r="AL68" i="105" s="1"/>
  <c r="AB68" i="105" s="1"/>
  <c r="R68" i="105" s="1"/>
  <c r="H68" i="105" s="1"/>
  <c r="AT68" i="105"/>
  <c r="AG68" i="105" s="1"/>
  <c r="AJ68" i="105"/>
  <c r="AH68" i="105"/>
  <c r="Z68" i="105"/>
  <c r="X68" i="105"/>
  <c r="W68" i="105" s="1"/>
  <c r="P68" i="105"/>
  <c r="N68" i="105"/>
  <c r="M68" i="105"/>
  <c r="F68" i="105"/>
  <c r="D68" i="105"/>
  <c r="C68" i="105" s="1"/>
  <c r="BF67" i="105"/>
  <c r="AV67" i="105"/>
  <c r="AL67" i="105" s="1"/>
  <c r="AT67" i="105"/>
  <c r="AJ67" i="105"/>
  <c r="Z67" i="105"/>
  <c r="H67" i="105"/>
  <c r="BF66" i="105"/>
  <c r="AV66" i="105"/>
  <c r="AT66" i="105"/>
  <c r="AL66" i="105"/>
  <c r="AB66" i="105" s="1"/>
  <c r="R66" i="105" s="1"/>
  <c r="H66" i="105" s="1"/>
  <c r="AJ66" i="105"/>
  <c r="AH66" i="105"/>
  <c r="AG66" i="105"/>
  <c r="Z66" i="105"/>
  <c r="X66" i="105"/>
  <c r="W66" i="105" s="1"/>
  <c r="N66" i="105"/>
  <c r="M66" i="105" s="1"/>
  <c r="F66" i="105"/>
  <c r="BF65" i="105"/>
  <c r="AV65" i="105"/>
  <c r="AL65" i="105" s="1"/>
  <c r="AT65" i="105"/>
  <c r="AG65" i="105" s="1"/>
  <c r="AJ65" i="105"/>
  <c r="AH65" i="105"/>
  <c r="Z65" i="105"/>
  <c r="H65" i="105"/>
  <c r="BF64" i="105"/>
  <c r="AV64" i="105"/>
  <c r="AT64" i="105"/>
  <c r="AG64" i="105" s="1"/>
  <c r="AL64" i="105"/>
  <c r="AJ64" i="105"/>
  <c r="AH64" i="105"/>
  <c r="AB64" i="105"/>
  <c r="R64" i="105" s="1"/>
  <c r="H64" i="105" s="1"/>
  <c r="Z64" i="105"/>
  <c r="X64" i="105"/>
  <c r="W64" i="105" s="1"/>
  <c r="N64" i="105"/>
  <c r="M64" i="105"/>
  <c r="F64" i="105"/>
  <c r="D64" i="105"/>
  <c r="BF63" i="105"/>
  <c r="AV63" i="105"/>
  <c r="AL63" i="105" s="1"/>
  <c r="AB63" i="105" s="1"/>
  <c r="R63" i="105" s="1"/>
  <c r="H63" i="105" s="1"/>
  <c r="AT63" i="105"/>
  <c r="AG63" i="105" s="1"/>
  <c r="AJ63" i="105"/>
  <c r="AH63" i="105"/>
  <c r="Z63" i="105"/>
  <c r="X63" i="105"/>
  <c r="W63" i="105" s="1"/>
  <c r="N63" i="105"/>
  <c r="M63" i="105" s="1"/>
  <c r="F63" i="105"/>
  <c r="BF62" i="105"/>
  <c r="AV62" i="105"/>
  <c r="AL62" i="105" s="1"/>
  <c r="AB62" i="105" s="1"/>
  <c r="R62" i="105" s="1"/>
  <c r="H62" i="105" s="1"/>
  <c r="AT62" i="105"/>
  <c r="AJ62" i="105"/>
  <c r="AH62" i="105"/>
  <c r="AG62" i="105" s="1"/>
  <c r="Z62" i="105"/>
  <c r="X62" i="105"/>
  <c r="W62" i="105"/>
  <c r="N62" i="105"/>
  <c r="M62" i="105" s="1"/>
  <c r="F62" i="105"/>
  <c r="D62" i="105"/>
  <c r="BF61" i="105"/>
  <c r="AV61" i="105"/>
  <c r="AL61" i="105" s="1"/>
  <c r="AB61" i="105" s="1"/>
  <c r="R61" i="105" s="1"/>
  <c r="H61" i="105" s="1"/>
  <c r="AT61" i="105"/>
  <c r="AJ61" i="105"/>
  <c r="AH61" i="105"/>
  <c r="AG61" i="105" s="1"/>
  <c r="Z61" i="105"/>
  <c r="X61" i="105"/>
  <c r="W61" i="105"/>
  <c r="N61" i="105"/>
  <c r="M61" i="105"/>
  <c r="F61" i="105"/>
  <c r="BF60" i="105"/>
  <c r="AV60" i="105"/>
  <c r="AT60" i="105"/>
  <c r="AL60" i="105"/>
  <c r="AB60" i="105" s="1"/>
  <c r="R60" i="105" s="1"/>
  <c r="H60" i="105" s="1"/>
  <c r="AJ60" i="105"/>
  <c r="AH60" i="105"/>
  <c r="AG60" i="105"/>
  <c r="Z60" i="105"/>
  <c r="M60" i="105" s="1"/>
  <c r="X60" i="105"/>
  <c r="W60" i="105" s="1"/>
  <c r="N60" i="105"/>
  <c r="F60" i="105"/>
  <c r="BF59" i="105"/>
  <c r="AV59" i="105"/>
  <c r="AT59" i="105"/>
  <c r="AG59" i="105" s="1"/>
  <c r="AL59" i="105"/>
  <c r="AJ59" i="105"/>
  <c r="AH59" i="105"/>
  <c r="AB59" i="105"/>
  <c r="R59" i="105" s="1"/>
  <c r="H59" i="105" s="1"/>
  <c r="Z59" i="105"/>
  <c r="X59" i="105"/>
  <c r="W59" i="105" s="1"/>
  <c r="BF58" i="105"/>
  <c r="AV58" i="105"/>
  <c r="AL58" i="105" s="1"/>
  <c r="AB58" i="105" s="1"/>
  <c r="R58" i="105" s="1"/>
  <c r="H58" i="105" s="1"/>
  <c r="AT58" i="105"/>
  <c r="AJ58" i="105"/>
  <c r="AH58" i="105"/>
  <c r="AG58" i="105" s="1"/>
  <c r="Z58" i="105"/>
  <c r="X58" i="105"/>
  <c r="W58" i="105"/>
  <c r="N58" i="105"/>
  <c r="M58" i="105"/>
  <c r="BF57" i="105"/>
  <c r="AV57" i="105"/>
  <c r="AT57" i="105"/>
  <c r="AJ57" i="105"/>
  <c r="H57" i="105"/>
  <c r="BF56" i="105"/>
  <c r="AV56" i="105"/>
  <c r="AL56" i="105" s="1"/>
  <c r="AB56" i="105" s="1"/>
  <c r="R56" i="105" s="1"/>
  <c r="H56" i="105" s="1"/>
  <c r="AT56" i="105"/>
  <c r="AJ56" i="105"/>
  <c r="AH56" i="105"/>
  <c r="AG56" i="105" s="1"/>
  <c r="Z56" i="105"/>
  <c r="X56" i="105"/>
  <c r="W56" i="105"/>
  <c r="N56" i="105"/>
  <c r="M56" i="105" s="1"/>
  <c r="F56" i="105"/>
  <c r="D56" i="105"/>
  <c r="BF55" i="105"/>
  <c r="AV55" i="105"/>
  <c r="AL55" i="105" s="1"/>
  <c r="AB55" i="105" s="1"/>
  <c r="R55" i="105" s="1"/>
  <c r="H55" i="105" s="1"/>
  <c r="AT55" i="105"/>
  <c r="AJ55" i="105"/>
  <c r="AH55" i="105"/>
  <c r="AG55" i="105" s="1"/>
  <c r="Z55" i="105"/>
  <c r="X55" i="105"/>
  <c r="W55" i="105"/>
  <c r="N55" i="105"/>
  <c r="M55" i="105" s="1"/>
  <c r="F55" i="105"/>
  <c r="D55" i="105"/>
  <c r="BF54" i="105"/>
  <c r="AV54" i="105"/>
  <c r="AL54" i="105" s="1"/>
  <c r="AB54" i="105" s="1"/>
  <c r="R54" i="105" s="1"/>
  <c r="H54" i="105" s="1"/>
  <c r="AT54" i="105"/>
  <c r="AJ54" i="105"/>
  <c r="AH54" i="105"/>
  <c r="AG54" i="105" s="1"/>
  <c r="Z54" i="105"/>
  <c r="X54" i="105"/>
  <c r="W54" i="105"/>
  <c r="BF53" i="105"/>
  <c r="AV53" i="105"/>
  <c r="AT53" i="105"/>
  <c r="AG53" i="105" s="1"/>
  <c r="AL53" i="105"/>
  <c r="AJ53" i="105"/>
  <c r="AH53" i="105"/>
  <c r="AB53" i="105"/>
  <c r="R53" i="105" s="1"/>
  <c r="H53" i="105" s="1"/>
  <c r="Z53" i="105"/>
  <c r="X53" i="105"/>
  <c r="W53" i="105" s="1"/>
  <c r="N53" i="105"/>
  <c r="M53" i="105" s="1"/>
  <c r="F53" i="105"/>
  <c r="BF52" i="105"/>
  <c r="AV52" i="105"/>
  <c r="AT52" i="105"/>
  <c r="AL52" i="105"/>
  <c r="AJ52" i="105"/>
  <c r="Z52" i="105"/>
  <c r="H52" i="105"/>
  <c r="BF51" i="105"/>
  <c r="AV51" i="105"/>
  <c r="AT51" i="105"/>
  <c r="AL51" i="105"/>
  <c r="AB51" i="105" s="1"/>
  <c r="R51" i="105" s="1"/>
  <c r="H51" i="105" s="1"/>
  <c r="AJ51" i="105"/>
  <c r="AH51" i="105"/>
  <c r="AG51" i="105"/>
  <c r="Z51" i="105"/>
  <c r="X51" i="105"/>
  <c r="W51" i="105" s="1"/>
  <c r="N51" i="105"/>
  <c r="M51" i="105"/>
  <c r="F51" i="105"/>
  <c r="D51" i="105"/>
  <c r="BF50" i="105"/>
  <c r="AV50" i="105"/>
  <c r="AT50" i="105"/>
  <c r="AG50" i="105" s="1"/>
  <c r="AL50" i="105"/>
  <c r="AJ50" i="105"/>
  <c r="AH50" i="105"/>
  <c r="AB50" i="105"/>
  <c r="R50" i="105" s="1"/>
  <c r="H50" i="105" s="1"/>
  <c r="Z50" i="105"/>
  <c r="X50" i="105"/>
  <c r="W50" i="105" s="1"/>
  <c r="N50" i="105"/>
  <c r="M50" i="105"/>
  <c r="F50" i="105"/>
  <c r="D50" i="105"/>
  <c r="BF49" i="105"/>
  <c r="AG49" i="105"/>
  <c r="Z49" i="105"/>
  <c r="H49" i="105"/>
  <c r="BF48" i="105"/>
  <c r="AV48" i="105"/>
  <c r="AT48" i="105"/>
  <c r="AL48" i="105"/>
  <c r="AB48" i="105" s="1"/>
  <c r="R48" i="105" s="1"/>
  <c r="H48" i="105" s="1"/>
  <c r="AJ48" i="105"/>
  <c r="AH48" i="105"/>
  <c r="AG48" i="105"/>
  <c r="Z48" i="105"/>
  <c r="X48" i="105"/>
  <c r="W48" i="105" s="1"/>
  <c r="N48" i="105"/>
  <c r="M48" i="105"/>
  <c r="F48" i="105"/>
  <c r="D48" i="105"/>
  <c r="BF47" i="105"/>
  <c r="AV47" i="105"/>
  <c r="AT47" i="105"/>
  <c r="AG47" i="105" s="1"/>
  <c r="AL47" i="105"/>
  <c r="AJ47" i="105"/>
  <c r="AH47" i="105"/>
  <c r="AB47" i="105"/>
  <c r="R47" i="105" s="1"/>
  <c r="H47" i="105" s="1"/>
  <c r="Z47" i="105"/>
  <c r="X47" i="105"/>
  <c r="W47" i="105" s="1"/>
  <c r="N47" i="105"/>
  <c r="M47" i="105"/>
  <c r="F47" i="105"/>
  <c r="D47" i="105"/>
  <c r="BF46" i="105"/>
  <c r="AV46" i="105"/>
  <c r="AT46" i="105"/>
  <c r="AG46" i="105" s="1"/>
  <c r="AL46" i="105"/>
  <c r="AJ46" i="105"/>
  <c r="AH46" i="105"/>
  <c r="AB46" i="105"/>
  <c r="R46" i="105" s="1"/>
  <c r="H46" i="105" s="1"/>
  <c r="Z46" i="105"/>
  <c r="X46" i="105"/>
  <c r="W46" i="105" s="1"/>
  <c r="P46" i="105"/>
  <c r="N46" i="105"/>
  <c r="M46" i="105"/>
  <c r="F46" i="105"/>
  <c r="D46" i="105"/>
  <c r="C46" i="105" s="1"/>
  <c r="BF45" i="105"/>
  <c r="AV45" i="105"/>
  <c r="AT45" i="105"/>
  <c r="AL45" i="105"/>
  <c r="AJ45" i="105"/>
  <c r="AH45" i="105"/>
  <c r="AG45" i="105" s="1"/>
  <c r="AB45" i="105"/>
  <c r="R45" i="105" s="1"/>
  <c r="H45" i="105" s="1"/>
  <c r="Z45" i="105"/>
  <c r="X45" i="105"/>
  <c r="W45" i="105"/>
  <c r="N45" i="105"/>
  <c r="M45" i="105" s="1"/>
  <c r="F45" i="105"/>
  <c r="D45" i="105"/>
  <c r="BF44" i="105"/>
  <c r="AV44" i="105"/>
  <c r="AL44" i="105" s="1"/>
  <c r="AB44" i="105" s="1"/>
  <c r="R44" i="105" s="1"/>
  <c r="H44" i="105" s="1"/>
  <c r="AT44" i="105"/>
  <c r="AJ44" i="105"/>
  <c r="AH44" i="105"/>
  <c r="AG44" i="105" s="1"/>
  <c r="Z44" i="105"/>
  <c r="X44" i="105"/>
  <c r="W44" i="105"/>
  <c r="BF43" i="105"/>
  <c r="AV43" i="105"/>
  <c r="AT43" i="105"/>
  <c r="AL43" i="105"/>
  <c r="AB43" i="105" s="1"/>
  <c r="R43" i="105" s="1"/>
  <c r="H43" i="105" s="1"/>
  <c r="AJ43" i="105"/>
  <c r="AH43" i="105"/>
  <c r="AG43" i="105"/>
  <c r="Z43" i="105"/>
  <c r="M43" i="105" s="1"/>
  <c r="X43" i="105"/>
  <c r="W43" i="105" s="1"/>
  <c r="N43" i="105"/>
  <c r="F43" i="105"/>
  <c r="BF42" i="105"/>
  <c r="AV42" i="105"/>
  <c r="AT42" i="105"/>
  <c r="AG42" i="105" s="1"/>
  <c r="AL42" i="105"/>
  <c r="AJ42" i="105"/>
  <c r="AH42" i="105"/>
  <c r="AB42" i="105"/>
  <c r="R42" i="105" s="1"/>
  <c r="H42" i="105" s="1"/>
  <c r="Z42" i="105"/>
  <c r="X42" i="105"/>
  <c r="W42" i="105" s="1"/>
  <c r="N42" i="105"/>
  <c r="M42" i="105" s="1"/>
  <c r="F42" i="105"/>
  <c r="BF41" i="105"/>
  <c r="AG41" i="105"/>
  <c r="H41" i="105"/>
  <c r="BF40" i="105"/>
  <c r="AV40" i="105"/>
  <c r="AL40" i="105" s="1"/>
  <c r="AB40" i="105" s="1"/>
  <c r="R40" i="105" s="1"/>
  <c r="H40" i="105" s="1"/>
  <c r="AT40" i="105"/>
  <c r="AJ40" i="105"/>
  <c r="AH40" i="105"/>
  <c r="AG40" i="105" s="1"/>
  <c r="Z40" i="105"/>
  <c r="X40" i="105"/>
  <c r="W40" i="105"/>
  <c r="N40" i="105"/>
  <c r="M40" i="105"/>
  <c r="F40" i="105"/>
  <c r="BF39" i="105"/>
  <c r="AV39" i="105"/>
  <c r="AL39" i="105" s="1"/>
  <c r="AB39" i="105" s="1"/>
  <c r="R39" i="105" s="1"/>
  <c r="H39" i="105" s="1"/>
  <c r="AT39" i="105"/>
  <c r="AJ39" i="105"/>
  <c r="AH39" i="105"/>
  <c r="AG39" i="105"/>
  <c r="Z39" i="105"/>
  <c r="M39" i="105" s="1"/>
  <c r="X39" i="105"/>
  <c r="W39" i="105"/>
  <c r="N39" i="105"/>
  <c r="F39" i="105"/>
  <c r="D39" i="105"/>
  <c r="BF38" i="105"/>
  <c r="AV38" i="105"/>
  <c r="AT38" i="105"/>
  <c r="AL38" i="105"/>
  <c r="AJ38" i="105"/>
  <c r="Z38" i="105"/>
  <c r="H38" i="105"/>
  <c r="BF37" i="105"/>
  <c r="AV37" i="105"/>
  <c r="AL37" i="105" s="1"/>
  <c r="AB37" i="105" s="1"/>
  <c r="R37" i="105" s="1"/>
  <c r="H37" i="105" s="1"/>
  <c r="AT37" i="105"/>
  <c r="AJ37" i="105"/>
  <c r="AH37" i="105"/>
  <c r="AG37" i="105" s="1"/>
  <c r="Z37" i="105"/>
  <c r="X37" i="105"/>
  <c r="W37" i="105"/>
  <c r="N37" i="105"/>
  <c r="M37" i="105"/>
  <c r="F37" i="105"/>
  <c r="BF36" i="105"/>
  <c r="AV36" i="105"/>
  <c r="AL36" i="105" s="1"/>
  <c r="AB36" i="105" s="1"/>
  <c r="R36" i="105" s="1"/>
  <c r="H36" i="105" s="1"/>
  <c r="AT36" i="105"/>
  <c r="AJ36" i="105"/>
  <c r="AH36" i="105"/>
  <c r="AG36" i="105"/>
  <c r="Z36" i="105"/>
  <c r="M36" i="105" s="1"/>
  <c r="X36" i="105"/>
  <c r="W36" i="105"/>
  <c r="N36" i="105"/>
  <c r="F36" i="105"/>
  <c r="D36" i="105"/>
  <c r="BF35" i="105"/>
  <c r="AV35" i="105"/>
  <c r="AT35" i="105"/>
  <c r="AL35" i="105"/>
  <c r="AB35" i="105" s="1"/>
  <c r="AJ35" i="105"/>
  <c r="AH35" i="105"/>
  <c r="AG35" i="105"/>
  <c r="Z35" i="105"/>
  <c r="X35" i="105"/>
  <c r="W35" i="105" s="1"/>
  <c r="R35" i="105"/>
  <c r="H35" i="105" s="1"/>
  <c r="N35" i="105"/>
  <c r="M35" i="105"/>
  <c r="F35" i="105"/>
  <c r="D35" i="105"/>
  <c r="BF34" i="105"/>
  <c r="AV34" i="105"/>
  <c r="AT34" i="105"/>
  <c r="AL34" i="105"/>
  <c r="AB34" i="105" s="1"/>
  <c r="R34" i="105" s="1"/>
  <c r="H34" i="105" s="1"/>
  <c r="AJ34" i="105"/>
  <c r="AH34" i="105"/>
  <c r="AG34" i="105"/>
  <c r="Z34" i="105"/>
  <c r="X34" i="105"/>
  <c r="W34" i="105" s="1"/>
  <c r="N34" i="105"/>
  <c r="M34" i="105"/>
  <c r="F34" i="105"/>
  <c r="D34" i="105"/>
  <c r="BF33" i="105"/>
  <c r="AG33" i="105"/>
  <c r="H33" i="105"/>
  <c r="BF32" i="105"/>
  <c r="AV32" i="105"/>
  <c r="AL32" i="105" s="1"/>
  <c r="AB32" i="105" s="1"/>
  <c r="R32" i="105" s="1"/>
  <c r="H32" i="105" s="1"/>
  <c r="AT32" i="105"/>
  <c r="AG32" i="105" s="1"/>
  <c r="AJ32" i="105"/>
  <c r="W32" i="105" s="1"/>
  <c r="AH32" i="105"/>
  <c r="Z32" i="105"/>
  <c r="X32" i="105"/>
  <c r="N32" i="105"/>
  <c r="M32" i="105" s="1"/>
  <c r="F32" i="105"/>
  <c r="BF31" i="105"/>
  <c r="AV31" i="105"/>
  <c r="AL31" i="105" s="1"/>
  <c r="AB31" i="105" s="1"/>
  <c r="R31" i="105" s="1"/>
  <c r="H31" i="105" s="1"/>
  <c r="AT31" i="105"/>
  <c r="AJ31" i="105"/>
  <c r="AH31" i="105"/>
  <c r="AG31" i="105" s="1"/>
  <c r="Z31" i="105"/>
  <c r="X31" i="105"/>
  <c r="W31" i="105"/>
  <c r="N31" i="105"/>
  <c r="M31" i="105"/>
  <c r="F31" i="105"/>
  <c r="BF30" i="105"/>
  <c r="AV30" i="105"/>
  <c r="AL30" i="105" s="1"/>
  <c r="AB30" i="105" s="1"/>
  <c r="R30" i="105" s="1"/>
  <c r="H30" i="105" s="1"/>
  <c r="AT30" i="105"/>
  <c r="AJ30" i="105"/>
  <c r="AH30" i="105"/>
  <c r="AG30" i="105"/>
  <c r="Z30" i="105"/>
  <c r="X30" i="105"/>
  <c r="W30" i="105"/>
  <c r="BF29" i="105"/>
  <c r="AV29" i="105"/>
  <c r="AT29" i="105"/>
  <c r="AG29" i="105" s="1"/>
  <c r="AL29" i="105"/>
  <c r="AJ29" i="105"/>
  <c r="AH29" i="105"/>
  <c r="AB29" i="105"/>
  <c r="R29" i="105" s="1"/>
  <c r="H29" i="105" s="1"/>
  <c r="Z29" i="105"/>
  <c r="X29" i="105"/>
  <c r="W29" i="105" s="1"/>
  <c r="N29" i="105"/>
  <c r="M29" i="105"/>
  <c r="F29" i="105"/>
  <c r="D29" i="105"/>
  <c r="BF28" i="105"/>
  <c r="AV28" i="105"/>
  <c r="AL28" i="105" s="1"/>
  <c r="AB28" i="105" s="1"/>
  <c r="R28" i="105" s="1"/>
  <c r="H28" i="105" s="1"/>
  <c r="AT28" i="105"/>
  <c r="AJ28" i="105"/>
  <c r="W28" i="105" s="1"/>
  <c r="AH28" i="105"/>
  <c r="AG28" i="105"/>
  <c r="Z28" i="105"/>
  <c r="X28" i="105"/>
  <c r="P28" i="105"/>
  <c r="C28" i="105" s="1"/>
  <c r="N28" i="105"/>
  <c r="M28" i="105"/>
  <c r="F28" i="105"/>
  <c r="D28" i="105"/>
  <c r="BF27" i="105"/>
  <c r="AV27" i="105"/>
  <c r="AT27" i="105"/>
  <c r="AL27" i="105"/>
  <c r="AJ27" i="105"/>
  <c r="AH27" i="105"/>
  <c r="AG27" i="105" s="1"/>
  <c r="AB27" i="105"/>
  <c r="R27" i="105" s="1"/>
  <c r="H27" i="105" s="1"/>
  <c r="Z27" i="105"/>
  <c r="X27" i="105"/>
  <c r="W27" i="105"/>
  <c r="N27" i="105"/>
  <c r="M27" i="105"/>
  <c r="BF26" i="105"/>
  <c r="AV26" i="105"/>
  <c r="AL26" i="105" s="1"/>
  <c r="AB26" i="105" s="1"/>
  <c r="R26" i="105" s="1"/>
  <c r="H26" i="105" s="1"/>
  <c r="AT26" i="105"/>
  <c r="AJ26" i="105"/>
  <c r="AH26" i="105"/>
  <c r="AG26" i="105"/>
  <c r="Z26" i="105"/>
  <c r="X26" i="105"/>
  <c r="W26" i="105" s="1"/>
  <c r="N26" i="105"/>
  <c r="M26" i="105"/>
  <c r="F26" i="105"/>
  <c r="D26" i="105"/>
  <c r="BF25" i="105"/>
  <c r="AV25" i="105"/>
  <c r="AT25" i="105"/>
  <c r="AL25" i="105"/>
  <c r="AJ25" i="105"/>
  <c r="AH25" i="105"/>
  <c r="AG25" i="105" s="1"/>
  <c r="AB25" i="105"/>
  <c r="R25" i="105" s="1"/>
  <c r="H25" i="105" s="1"/>
  <c r="Z25" i="105"/>
  <c r="X25" i="105"/>
  <c r="W25" i="105" s="1"/>
  <c r="BF24" i="105"/>
  <c r="AV24" i="105"/>
  <c r="AL24" i="105" s="1"/>
  <c r="AT24" i="105"/>
  <c r="AJ24" i="105"/>
  <c r="Z24" i="105"/>
  <c r="H24" i="105"/>
  <c r="BF23" i="105"/>
  <c r="AV23" i="105"/>
  <c r="AT23" i="105"/>
  <c r="AL23" i="105"/>
  <c r="AJ23" i="105"/>
  <c r="AH23" i="105"/>
  <c r="AG23" i="105" s="1"/>
  <c r="AB23" i="105"/>
  <c r="R23" i="105" s="1"/>
  <c r="H23" i="105" s="1"/>
  <c r="Z23" i="105"/>
  <c r="X23" i="105"/>
  <c r="W23" i="105" s="1"/>
  <c r="N23" i="105"/>
  <c r="M23" i="105" s="1"/>
  <c r="F23" i="105"/>
  <c r="D23" i="105"/>
  <c r="BF22" i="105"/>
  <c r="AV22" i="105"/>
  <c r="AL22" i="105" s="1"/>
  <c r="AB22" i="105" s="1"/>
  <c r="R22" i="105" s="1"/>
  <c r="H22" i="105" s="1"/>
  <c r="AT22" i="105"/>
  <c r="AJ22" i="105"/>
  <c r="W22" i="105" s="1"/>
  <c r="AH22" i="105"/>
  <c r="AG22" i="105"/>
  <c r="Z22" i="105"/>
  <c r="M22" i="105" s="1"/>
  <c r="X22" i="105"/>
  <c r="P22" i="105"/>
  <c r="C22" i="105" s="1"/>
  <c r="N22" i="105"/>
  <c r="F22" i="105"/>
  <c r="D22" i="105"/>
  <c r="BF21" i="105"/>
  <c r="AV21" i="105"/>
  <c r="AT21" i="105"/>
  <c r="AL21" i="105"/>
  <c r="AJ21" i="105"/>
  <c r="AH21" i="105"/>
  <c r="AG21" i="105" s="1"/>
  <c r="AB21" i="105"/>
  <c r="R21" i="105" s="1"/>
  <c r="Z21" i="105"/>
  <c r="X21" i="105"/>
  <c r="W21" i="105"/>
  <c r="N21" i="105"/>
  <c r="M21" i="105" s="1"/>
  <c r="H21" i="105"/>
  <c r="F21" i="105"/>
  <c r="D21" i="105"/>
  <c r="BF20" i="105"/>
  <c r="AV20" i="105"/>
  <c r="AL20" i="105" s="1"/>
  <c r="AB20" i="105" s="1"/>
  <c r="R20" i="105" s="1"/>
  <c r="H20" i="105" s="1"/>
  <c r="AT20" i="105"/>
  <c r="AJ20" i="105"/>
  <c r="AH20" i="105"/>
  <c r="AG20" i="105" s="1"/>
  <c r="Z20" i="105"/>
  <c r="X20" i="105"/>
  <c r="W20" i="105"/>
  <c r="N20" i="105"/>
  <c r="M20" i="105"/>
  <c r="F20" i="105"/>
  <c r="BF19" i="105"/>
  <c r="AV19" i="105"/>
  <c r="AL19" i="105" s="1"/>
  <c r="AB19" i="105" s="1"/>
  <c r="R19" i="105" s="1"/>
  <c r="H19" i="105" s="1"/>
  <c r="AT19" i="105"/>
  <c r="AJ19" i="105"/>
  <c r="AH19" i="105"/>
  <c r="AG19" i="105"/>
  <c r="Z19" i="105"/>
  <c r="X19" i="105"/>
  <c r="W19" i="105"/>
  <c r="BF18" i="105"/>
  <c r="AV18" i="105"/>
  <c r="AT18" i="105"/>
  <c r="AL18" i="105"/>
  <c r="AJ18" i="105"/>
  <c r="AH18" i="105"/>
  <c r="AB18" i="105"/>
  <c r="R18" i="105" s="1"/>
  <c r="H18" i="105" s="1"/>
  <c r="Z18" i="105"/>
  <c r="X18" i="105"/>
  <c r="W18" i="105" s="1"/>
  <c r="N18" i="105"/>
  <c r="M18" i="105" s="1"/>
  <c r="F18" i="105"/>
  <c r="BF17" i="105"/>
  <c r="AV17" i="105"/>
  <c r="AT17" i="105"/>
  <c r="AL17" i="105"/>
  <c r="AJ17" i="105"/>
  <c r="AH17" i="105"/>
  <c r="AG17" i="105" s="1"/>
  <c r="AB17" i="105"/>
  <c r="R17" i="105" s="1"/>
  <c r="H17" i="105" s="1"/>
  <c r="Z17" i="105"/>
  <c r="X17" i="105"/>
  <c r="W17" i="105"/>
  <c r="BF16" i="105"/>
  <c r="AV16" i="105"/>
  <c r="AL16" i="105" s="1"/>
  <c r="AB16" i="105" s="1"/>
  <c r="R16" i="105" s="1"/>
  <c r="H16" i="105" s="1"/>
  <c r="AT16" i="105"/>
  <c r="AJ16" i="105"/>
  <c r="AH16" i="105"/>
  <c r="AG16" i="105"/>
  <c r="Z16" i="105"/>
  <c r="X16" i="105"/>
  <c r="W16" i="105"/>
  <c r="N16" i="105"/>
  <c r="M16" i="105" s="1"/>
  <c r="F16" i="105"/>
  <c r="BF15" i="105"/>
  <c r="AV15" i="105"/>
  <c r="AL15" i="105" s="1"/>
  <c r="AB15" i="105" s="1"/>
  <c r="R15" i="105" s="1"/>
  <c r="H15" i="105" s="1"/>
  <c r="AT15" i="105"/>
  <c r="AJ15" i="105"/>
  <c r="AH15" i="105"/>
  <c r="AG15" i="105"/>
  <c r="Z15" i="105"/>
  <c r="X15" i="105"/>
  <c r="W15" i="105" s="1"/>
  <c r="BF14" i="105"/>
  <c r="AV14" i="105"/>
  <c r="AT14" i="105"/>
  <c r="AJ14" i="105"/>
  <c r="H14" i="105"/>
  <c r="BF13" i="105"/>
  <c r="AV13" i="105"/>
  <c r="AL13" i="105" s="1"/>
  <c r="AB13" i="105" s="1"/>
  <c r="R13" i="105" s="1"/>
  <c r="H13" i="105" s="1"/>
  <c r="AT13" i="105"/>
  <c r="AJ13" i="105"/>
  <c r="AH13" i="105"/>
  <c r="AG13" i="105"/>
  <c r="Z13" i="105"/>
  <c r="X13" i="105"/>
  <c r="W13" i="105"/>
  <c r="N13" i="105"/>
  <c r="F13" i="105"/>
  <c r="BF12" i="105"/>
  <c r="AV12" i="105"/>
  <c r="AL12" i="105" s="1"/>
  <c r="AB12" i="105" s="1"/>
  <c r="R12" i="105" s="1"/>
  <c r="AT12" i="105"/>
  <c r="AJ12" i="105"/>
  <c r="AH12" i="105"/>
  <c r="AG12" i="105"/>
  <c r="Z12" i="105"/>
  <c r="X12" i="105"/>
  <c r="W12" i="105" s="1"/>
  <c r="N12" i="105"/>
  <c r="M12" i="105" s="1"/>
  <c r="H12" i="105"/>
  <c r="F12" i="105"/>
  <c r="BF11" i="105"/>
  <c r="AV11" i="105"/>
  <c r="AL11" i="105" s="1"/>
  <c r="AB11" i="105" s="1"/>
  <c r="R11" i="105" s="1"/>
  <c r="H11" i="105" s="1"/>
  <c r="AT11" i="105"/>
  <c r="AJ11" i="105"/>
  <c r="W11" i="105" s="1"/>
  <c r="AH11" i="105"/>
  <c r="AG11" i="105"/>
  <c r="Z11" i="105"/>
  <c r="X11" i="105"/>
  <c r="P11" i="105"/>
  <c r="C11" i="105" s="1"/>
  <c r="N11" i="105"/>
  <c r="M11" i="105"/>
  <c r="F11" i="105"/>
  <c r="D11" i="105"/>
  <c r="BF10" i="105"/>
  <c r="AV10" i="105"/>
  <c r="AL10" i="105" s="1"/>
  <c r="AB10" i="105" s="1"/>
  <c r="R10" i="105" s="1"/>
  <c r="H10" i="105" s="1"/>
  <c r="AT10" i="105"/>
  <c r="AJ10" i="105"/>
  <c r="AH10" i="105"/>
  <c r="AG10" i="105" s="1"/>
  <c r="Z10" i="105"/>
  <c r="X10" i="105"/>
  <c r="W10" i="105"/>
  <c r="N10" i="105"/>
  <c r="M10" i="105"/>
  <c r="F10" i="105"/>
  <c r="BF9" i="105"/>
  <c r="AV9" i="105"/>
  <c r="AL9" i="105" s="1"/>
  <c r="AT9" i="105"/>
  <c r="AJ9" i="105"/>
  <c r="Z9" i="105"/>
  <c r="H9" i="105"/>
  <c r="BF8" i="105"/>
  <c r="AV8" i="105"/>
  <c r="AL8" i="105" s="1"/>
  <c r="AB8" i="105" s="1"/>
  <c r="R8" i="105" s="1"/>
  <c r="H8" i="105" s="1"/>
  <c r="AT8" i="105"/>
  <c r="AJ8" i="105"/>
  <c r="W8" i="105" s="1"/>
  <c r="AH8" i="105"/>
  <c r="AG8" i="105" s="1"/>
  <c r="Z8" i="105"/>
  <c r="X8" i="105"/>
  <c r="P8" i="105"/>
  <c r="N8" i="105"/>
  <c r="M8" i="105" s="1"/>
  <c r="F8" i="105"/>
  <c r="D8" i="105"/>
  <c r="AV7" i="105"/>
  <c r="AT7" i="105"/>
  <c r="AQ7" i="105"/>
  <c r="AQ112" i="105" s="1"/>
  <c r="AL7" i="105"/>
  <c r="AJ7" i="105"/>
  <c r="AH7" i="105"/>
  <c r="AH112" i="105" s="1"/>
  <c r="AB7" i="105"/>
  <c r="R7" i="105" s="1"/>
  <c r="H7" i="105" s="1"/>
  <c r="H112" i="105" s="1"/>
  <c r="Z7" i="105"/>
  <c r="X7" i="105"/>
  <c r="N7" i="105"/>
  <c r="N112" i="105" s="1"/>
  <c r="F7" i="105"/>
  <c r="E5" i="88"/>
  <c r="D5" i="88"/>
  <c r="C5" i="88"/>
  <c r="H8" i="45"/>
  <c r="I8" i="45"/>
  <c r="C51" i="105" l="1"/>
  <c r="AG18" i="105"/>
  <c r="BG31" i="105"/>
  <c r="AQ31" i="105" s="1"/>
  <c r="BG44" i="105"/>
  <c r="AQ44" i="105" s="1"/>
  <c r="C8" i="105"/>
  <c r="BG58" i="105"/>
  <c r="AQ58" i="105" s="1"/>
  <c r="BG56" i="105"/>
  <c r="AQ56" i="105" s="1"/>
  <c r="BG49" i="105"/>
  <c r="AQ49" i="105" s="1"/>
  <c r="BG62" i="105"/>
  <c r="AQ62" i="105" s="1"/>
  <c r="C34" i="105"/>
  <c r="C23" i="105"/>
  <c r="X112" i="105"/>
  <c r="W7" i="105"/>
  <c r="W112" i="105" s="1"/>
  <c r="M13" i="105"/>
  <c r="BG98" i="105"/>
  <c r="AQ98" i="105" s="1"/>
  <c r="P56" i="105"/>
  <c r="C56" i="105" s="1"/>
  <c r="P62" i="105"/>
  <c r="C62" i="105" s="1"/>
  <c r="W73" i="105"/>
  <c r="M84" i="105"/>
  <c r="P92" i="105"/>
  <c r="BG95" i="105"/>
  <c r="AQ95" i="105" s="1"/>
  <c r="BG107" i="105"/>
  <c r="AQ107" i="105" s="1"/>
  <c r="P35" i="105"/>
  <c r="C35" i="105" s="1"/>
  <c r="P84" i="105"/>
  <c r="C84" i="105" s="1"/>
  <c r="W93" i="105"/>
  <c r="C109" i="105"/>
  <c r="AG110" i="105"/>
  <c r="W98" i="105"/>
  <c r="BG104" i="105"/>
  <c r="AQ104" i="105" s="1"/>
  <c r="T8" i="106"/>
  <c r="P110" i="105"/>
  <c r="P105" i="105"/>
  <c r="P94" i="105"/>
  <c r="C94" i="105" s="1"/>
  <c r="P106" i="105"/>
  <c r="C106" i="105" s="1"/>
  <c r="P86" i="105"/>
  <c r="C86" i="105" s="1"/>
  <c r="P82" i="105"/>
  <c r="C82" i="105" s="1"/>
  <c r="P111" i="105"/>
  <c r="C111" i="105" s="1"/>
  <c r="P107" i="105"/>
  <c r="C107" i="105" s="1"/>
  <c r="P96" i="105"/>
  <c r="C96" i="105" s="1"/>
  <c r="P100" i="105"/>
  <c r="C100" i="105" s="1"/>
  <c r="P97" i="105"/>
  <c r="C97" i="105" s="1"/>
  <c r="P90" i="105"/>
  <c r="C90" i="105" s="1"/>
  <c r="P26" i="105"/>
  <c r="C26" i="105" s="1"/>
  <c r="P34" i="105"/>
  <c r="P48" i="105"/>
  <c r="C48" i="105" s="1"/>
  <c r="P51" i="105"/>
  <c r="C105" i="105"/>
  <c r="P109" i="105"/>
  <c r="C110" i="105"/>
  <c r="F112" i="105"/>
  <c r="AG7" i="105"/>
  <c r="AG112" i="105" s="1"/>
  <c r="P21" i="105"/>
  <c r="C21" i="105" s="1"/>
  <c r="P45" i="105"/>
  <c r="C45" i="105" s="1"/>
  <c r="C92" i="105"/>
  <c r="AG95" i="105"/>
  <c r="BD107" i="106"/>
  <c r="AN107" i="106" s="1"/>
  <c r="M7" i="105"/>
  <c r="M112" i="105" s="1"/>
  <c r="P36" i="105"/>
  <c r="C36" i="105" s="1"/>
  <c r="P39" i="105"/>
  <c r="C39" i="105" s="1"/>
  <c r="P73" i="105"/>
  <c r="C73" i="105" s="1"/>
  <c r="P89" i="105"/>
  <c r="C89" i="105" s="1"/>
  <c r="AG90" i="105"/>
  <c r="AG94" i="105"/>
  <c r="AG102" i="105"/>
  <c r="BF112" i="105"/>
  <c r="BG9" i="105" s="1"/>
  <c r="AQ9" i="105" s="1"/>
  <c r="P23" i="105"/>
  <c r="P29" i="105"/>
  <c r="C29" i="105" s="1"/>
  <c r="P47" i="105"/>
  <c r="C47" i="105" s="1"/>
  <c r="P50" i="105"/>
  <c r="C50" i="105" s="1"/>
  <c r="P64" i="105"/>
  <c r="C64" i="105" s="1"/>
  <c r="W89" i="105"/>
  <c r="BG106" i="105"/>
  <c r="AQ106" i="105" s="1"/>
  <c r="AJ97" i="105"/>
  <c r="W97" i="105" s="1"/>
  <c r="AJ100" i="105"/>
  <c r="W100" i="105" s="1"/>
  <c r="AT108" i="105"/>
  <c r="AG108" i="105" s="1"/>
  <c r="T69" i="106"/>
  <c r="AT95" i="105"/>
  <c r="AJ103" i="105"/>
  <c r="W103" i="105" s="1"/>
  <c r="AT106" i="105"/>
  <c r="AG106" i="105" s="1"/>
  <c r="BD84" i="106"/>
  <c r="AN84" i="106" s="1"/>
  <c r="AD101" i="106"/>
  <c r="BD105" i="106"/>
  <c r="AN105" i="106" s="1"/>
  <c r="AT103" i="105"/>
  <c r="AG103" i="105" s="1"/>
  <c r="AD7" i="106"/>
  <c r="AD112" i="106" s="1"/>
  <c r="C8" i="106"/>
  <c r="C112" i="106" s="1"/>
  <c r="AD70" i="106"/>
  <c r="BD104" i="106"/>
  <c r="AN104" i="106" s="1"/>
  <c r="AT101" i="105"/>
  <c r="AG101" i="105" s="1"/>
  <c r="AT104" i="105"/>
  <c r="AG104" i="105" s="1"/>
  <c r="AJ108" i="105"/>
  <c r="W108" i="105" s="1"/>
  <c r="AT109" i="105"/>
  <c r="AG109" i="105" s="1"/>
  <c r="BD46" i="106"/>
  <c r="AN46" i="106" s="1"/>
  <c r="BD110" i="106"/>
  <c r="AN110" i="106" s="1"/>
  <c r="AD30" i="106"/>
  <c r="BD48" i="106"/>
  <c r="AN48" i="106" s="1"/>
  <c r="T74" i="106"/>
  <c r="C90" i="106"/>
  <c r="T96" i="106"/>
  <c r="AD107" i="106"/>
  <c r="BD108" i="106"/>
  <c r="AN108" i="106" s="1"/>
  <c r="J110" i="106"/>
  <c r="BC112" i="106"/>
  <c r="BD16" i="106" s="1"/>
  <c r="AN16" i="106" s="1"/>
  <c r="BD39" i="106"/>
  <c r="AN39" i="106" s="1"/>
  <c r="BD55" i="106"/>
  <c r="AN55" i="106" s="1"/>
  <c r="AD83" i="106"/>
  <c r="T106" i="106"/>
  <c r="F108" i="106"/>
  <c r="B178" i="4"/>
  <c r="C178" i="4"/>
  <c r="B179" i="4"/>
  <c r="C179" i="4"/>
  <c r="D180" i="4" s="1"/>
  <c r="D95" i="4"/>
  <c r="D96" i="4"/>
  <c r="BG99" i="105" l="1"/>
  <c r="AQ99" i="105" s="1"/>
  <c r="BG10" i="105"/>
  <c r="AQ10" i="105" s="1"/>
  <c r="BG27" i="105"/>
  <c r="AQ27" i="105" s="1"/>
  <c r="BG52" i="105"/>
  <c r="AQ52" i="105" s="1"/>
  <c r="BG37" i="105"/>
  <c r="AQ37" i="105" s="1"/>
  <c r="BG40" i="105"/>
  <c r="AQ40" i="105" s="1"/>
  <c r="BD89" i="106"/>
  <c r="AN89" i="106" s="1"/>
  <c r="BD109" i="106"/>
  <c r="AN109" i="106" s="1"/>
  <c r="BD103" i="106"/>
  <c r="AN103" i="106" s="1"/>
  <c r="BD47" i="106"/>
  <c r="AN47" i="106" s="1"/>
  <c r="BD40" i="106"/>
  <c r="AN40" i="106" s="1"/>
  <c r="BG93" i="105"/>
  <c r="AQ93" i="105" s="1"/>
  <c r="BG18" i="105"/>
  <c r="AQ18" i="105" s="1"/>
  <c r="BG46" i="105"/>
  <c r="AQ46" i="105" s="1"/>
  <c r="BG41" i="105"/>
  <c r="AQ41" i="105" s="1"/>
  <c r="BG25" i="105"/>
  <c r="AQ25" i="105" s="1"/>
  <c r="BD50" i="106"/>
  <c r="AN50" i="106" s="1"/>
  <c r="BG105" i="105"/>
  <c r="AQ105" i="105" s="1"/>
  <c r="BG103" i="105"/>
  <c r="AQ103" i="105" s="1"/>
  <c r="BG100" i="105"/>
  <c r="AQ100" i="105" s="1"/>
  <c r="BG97" i="105"/>
  <c r="AQ97" i="105" s="1"/>
  <c r="BG90" i="105"/>
  <c r="AQ90" i="105" s="1"/>
  <c r="BG85" i="105"/>
  <c r="AQ85" i="105" s="1"/>
  <c r="BG110" i="105"/>
  <c r="AQ110" i="105" s="1"/>
  <c r="BG102" i="105"/>
  <c r="AQ102" i="105" s="1"/>
  <c r="BG94" i="105"/>
  <c r="AQ94" i="105" s="1"/>
  <c r="BG81" i="105"/>
  <c r="AQ81" i="105" s="1"/>
  <c r="BG78" i="105"/>
  <c r="AQ78" i="105" s="1"/>
  <c r="BG82" i="105"/>
  <c r="AQ82" i="105" s="1"/>
  <c r="BG76" i="105"/>
  <c r="AQ76" i="105" s="1"/>
  <c r="BG72" i="105"/>
  <c r="AQ72" i="105" s="1"/>
  <c r="BG60" i="105"/>
  <c r="AQ60" i="105" s="1"/>
  <c r="BG43" i="105"/>
  <c r="AQ43" i="105" s="1"/>
  <c r="BG38" i="105"/>
  <c r="AQ38" i="105" s="1"/>
  <c r="BG35" i="105"/>
  <c r="AQ35" i="105" s="1"/>
  <c r="BG66" i="105"/>
  <c r="AQ66" i="105" s="1"/>
  <c r="BG48" i="105"/>
  <c r="AQ48" i="105" s="1"/>
  <c r="BG87" i="105"/>
  <c r="AQ87" i="105" s="1"/>
  <c r="BG24" i="105"/>
  <c r="AQ24" i="105" s="1"/>
  <c r="BG20" i="105"/>
  <c r="AQ20" i="105" s="1"/>
  <c r="BG64" i="105"/>
  <c r="AQ64" i="105" s="1"/>
  <c r="BG59" i="105"/>
  <c r="AQ59" i="105" s="1"/>
  <c r="BG57" i="105"/>
  <c r="AQ57" i="105" s="1"/>
  <c r="BG53" i="105"/>
  <c r="AQ53" i="105" s="1"/>
  <c r="BG50" i="105"/>
  <c r="AQ50" i="105" s="1"/>
  <c r="BG47" i="105"/>
  <c r="AQ47" i="105" s="1"/>
  <c r="BG86" i="105"/>
  <c r="AQ86" i="105" s="1"/>
  <c r="BG83" i="105"/>
  <c r="AQ83" i="105" s="1"/>
  <c r="BG80" i="105"/>
  <c r="AQ80" i="105" s="1"/>
  <c r="BG79" i="105"/>
  <c r="AQ79" i="105" s="1"/>
  <c r="BG54" i="105"/>
  <c r="AQ54" i="105" s="1"/>
  <c r="BG39" i="105"/>
  <c r="AQ39" i="105" s="1"/>
  <c r="BG36" i="105"/>
  <c r="AQ36" i="105" s="1"/>
  <c r="BG30" i="105"/>
  <c r="AQ30" i="105" s="1"/>
  <c r="BG19" i="105"/>
  <c r="AQ19" i="105" s="1"/>
  <c r="BG16" i="105"/>
  <c r="AQ16" i="105" s="1"/>
  <c r="BG13" i="105"/>
  <c r="AQ13" i="105" s="1"/>
  <c r="BG51" i="105"/>
  <c r="AQ51" i="105" s="1"/>
  <c r="BG74" i="105"/>
  <c r="AQ74" i="105" s="1"/>
  <c r="BG73" i="105"/>
  <c r="AQ73" i="105" s="1"/>
  <c r="BG71" i="105"/>
  <c r="AQ71" i="105" s="1"/>
  <c r="BG69" i="105"/>
  <c r="AQ69" i="105" s="1"/>
  <c r="BG26" i="105"/>
  <c r="AQ26" i="105" s="1"/>
  <c r="BG15" i="105"/>
  <c r="AQ15" i="105" s="1"/>
  <c r="BG12" i="105"/>
  <c r="AQ12" i="105" s="1"/>
  <c r="BG34" i="105"/>
  <c r="AQ34" i="105" s="1"/>
  <c r="BG89" i="105"/>
  <c r="AQ89" i="105" s="1"/>
  <c r="BG91" i="105"/>
  <c r="AQ91" i="105" s="1"/>
  <c r="BG84" i="105"/>
  <c r="AQ84" i="105" s="1"/>
  <c r="BG68" i="105"/>
  <c r="AQ68" i="105" s="1"/>
  <c r="BG61" i="105"/>
  <c r="AQ61" i="105" s="1"/>
  <c r="BG33" i="105"/>
  <c r="AQ33" i="105" s="1"/>
  <c r="BG17" i="105"/>
  <c r="AQ17" i="105" s="1"/>
  <c r="BG23" i="105"/>
  <c r="AQ23" i="105" s="1"/>
  <c r="BG70" i="105"/>
  <c r="AQ70" i="105" s="1"/>
  <c r="BD86" i="106"/>
  <c r="AN86" i="106" s="1"/>
  <c r="BD36" i="106"/>
  <c r="AN36" i="106" s="1"/>
  <c r="BD100" i="106"/>
  <c r="AN100" i="106" s="1"/>
  <c r="BD28" i="106"/>
  <c r="AN28" i="106" s="1"/>
  <c r="BG92" i="105"/>
  <c r="AQ92" i="105" s="1"/>
  <c r="BG96" i="105"/>
  <c r="AQ96" i="105" s="1"/>
  <c r="BD8" i="106"/>
  <c r="BG88" i="105"/>
  <c r="AQ88" i="105" s="1"/>
  <c r="BG63" i="105"/>
  <c r="AQ63" i="105" s="1"/>
  <c r="BG22" i="105"/>
  <c r="AQ22" i="105" s="1"/>
  <c r="BG29" i="105"/>
  <c r="AQ29" i="105" s="1"/>
  <c r="C112" i="105"/>
  <c r="BG21" i="105"/>
  <c r="AQ21" i="105" s="1"/>
  <c r="BD34" i="106"/>
  <c r="AN34" i="106" s="1"/>
  <c r="BD23" i="106"/>
  <c r="AN23" i="106" s="1"/>
  <c r="BG77" i="105"/>
  <c r="AQ77" i="105" s="1"/>
  <c r="BG101" i="105"/>
  <c r="AQ101" i="105" s="1"/>
  <c r="BG75" i="105"/>
  <c r="AQ75" i="105" s="1"/>
  <c r="BG28" i="105"/>
  <c r="AQ28" i="105" s="1"/>
  <c r="BG45" i="105"/>
  <c r="AQ45" i="105" s="1"/>
  <c r="BG14" i="105"/>
  <c r="AQ14" i="105" s="1"/>
  <c r="BG32" i="105"/>
  <c r="AQ32" i="105" s="1"/>
  <c r="P114" i="105"/>
  <c r="BD73" i="106"/>
  <c r="AN73" i="106" s="1"/>
  <c r="BD68" i="106"/>
  <c r="AN68" i="106" s="1"/>
  <c r="BD64" i="106"/>
  <c r="AN64" i="106" s="1"/>
  <c r="BD29" i="106"/>
  <c r="AN29" i="106" s="1"/>
  <c r="BD101" i="106"/>
  <c r="AN101" i="106" s="1"/>
  <c r="BD97" i="106"/>
  <c r="AN97" i="106" s="1"/>
  <c r="BD94" i="106"/>
  <c r="AN94" i="106" s="1"/>
  <c r="BD35" i="106"/>
  <c r="AN35" i="106" s="1"/>
  <c r="BD27" i="106"/>
  <c r="AN27" i="106" s="1"/>
  <c r="BD106" i="106"/>
  <c r="AN106" i="106" s="1"/>
  <c r="BD96" i="106"/>
  <c r="AN96" i="106" s="1"/>
  <c r="BD90" i="106"/>
  <c r="AN90" i="106" s="1"/>
  <c r="BD82" i="106"/>
  <c r="AN82" i="106" s="1"/>
  <c r="BD51" i="106"/>
  <c r="AN51" i="106" s="1"/>
  <c r="BD56" i="106"/>
  <c r="AN56" i="106" s="1"/>
  <c r="BD92" i="106"/>
  <c r="AN92" i="106" s="1"/>
  <c r="BD53" i="106"/>
  <c r="AN53" i="106" s="1"/>
  <c r="BD26" i="106"/>
  <c r="AN26" i="106" s="1"/>
  <c r="BD22" i="106"/>
  <c r="AN22" i="106" s="1"/>
  <c r="BD58" i="106"/>
  <c r="AN58" i="106" s="1"/>
  <c r="BD45" i="106"/>
  <c r="AN45" i="106" s="1"/>
  <c r="BD63" i="106"/>
  <c r="AN63" i="106" s="1"/>
  <c r="BD62" i="106"/>
  <c r="AN62" i="106" s="1"/>
  <c r="BD21" i="106"/>
  <c r="AN21" i="106" s="1"/>
  <c r="BD11" i="106"/>
  <c r="AN11" i="106" s="1"/>
  <c r="BG109" i="105"/>
  <c r="AQ109" i="105" s="1"/>
  <c r="BG108" i="105"/>
  <c r="AQ108" i="105" s="1"/>
  <c r="BG42" i="105"/>
  <c r="AQ42" i="105" s="1"/>
  <c r="BG65" i="105"/>
  <c r="AQ65" i="105" s="1"/>
  <c r="BG67" i="105"/>
  <c r="AQ67" i="105" s="1"/>
  <c r="BG55" i="105"/>
  <c r="AQ55" i="105" s="1"/>
  <c r="BG11" i="105"/>
  <c r="AQ11" i="105" s="1"/>
  <c r="BG8" i="105"/>
  <c r="D179" i="4"/>
  <c r="BD112" i="106" l="1"/>
  <c r="AN8" i="106"/>
  <c r="BG112" i="105"/>
  <c r="AQ8" i="105"/>
  <c r="F15151" i="19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E15146" i="19" s="1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B827" i="12"/>
  <c r="B828" i="12" s="1"/>
  <c r="B829" i="12" s="1"/>
  <c r="E15141" i="19" l="1"/>
  <c r="E15136" i="19"/>
  <c r="E15131" i="19"/>
  <c r="E15151" i="19"/>
  <c r="E15101" i="19"/>
  <c r="E15121" i="19"/>
  <c r="E15096" i="19"/>
  <c r="E15116" i="19"/>
  <c r="E15111" i="19"/>
  <c r="E15106" i="19"/>
  <c r="E15126" i="19"/>
  <c r="M9" i="45"/>
  <c r="M7" i="45"/>
  <c r="M6" i="45"/>
  <c r="M5" i="45"/>
  <c r="L5" i="45"/>
  <c r="M3" i="45"/>
  <c r="N3" i="45" s="1"/>
  <c r="N2" i="45"/>
  <c r="M2" i="45"/>
  <c r="H5" i="88"/>
  <c r="G5" i="88"/>
  <c r="F5" i="88"/>
  <c r="M8" i="45"/>
  <c r="L8" i="45"/>
  <c r="N5" i="45" l="1"/>
  <c r="B175" i="4"/>
  <c r="C175" i="4"/>
  <c r="B176" i="4"/>
  <c r="C176" i="4"/>
  <c r="B177" i="4"/>
  <c r="C177" i="4"/>
  <c r="D178" i="4" s="1"/>
  <c r="D94" i="4"/>
  <c r="D176" i="4" l="1"/>
  <c r="D177" i="4"/>
  <c r="BO8" i="20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B823" i="12"/>
  <c r="B824" i="12" s="1"/>
  <c r="B825" i="12" s="1"/>
  <c r="B826" i="12" s="1"/>
  <c r="Q9" i="45"/>
  <c r="Q7" i="45"/>
  <c r="Q6" i="45"/>
  <c r="P5" i="45"/>
  <c r="Q3" i="45"/>
  <c r="R3" i="45" s="1"/>
  <c r="Q2" i="45"/>
  <c r="Q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R2" i="45"/>
  <c r="R5" i="45" s="1"/>
  <c r="K5" i="88"/>
  <c r="J5" i="88"/>
  <c r="I5" i="88"/>
  <c r="P8" i="45"/>
  <c r="Q8" i="45"/>
  <c r="D93" i="4" l="1"/>
  <c r="D92" i="4"/>
  <c r="D821" i="12" l="1"/>
  <c r="D822" i="12"/>
  <c r="D823" i="12"/>
  <c r="B818" i="12"/>
  <c r="B819" i="12" s="1"/>
  <c r="B820" i="12" s="1"/>
  <c r="B821" i="12" s="1"/>
  <c r="B822" i="12" s="1"/>
  <c r="U9" i="45" l="1"/>
  <c r="U7" i="45"/>
  <c r="U6" i="45"/>
  <c r="T5" i="45"/>
  <c r="U3" i="45"/>
  <c r="V3" i="45" s="1"/>
  <c r="U2" i="45"/>
  <c r="U5" i="45" s="1"/>
  <c r="V2" i="45" l="1"/>
  <c r="V5" i="45" s="1"/>
  <c r="N5" i="88"/>
  <c r="M5" i="88"/>
  <c r="L5" i="88"/>
  <c r="T8" i="45"/>
  <c r="U8" i="45"/>
  <c r="B173" i="4" l="1"/>
  <c r="C173" i="4"/>
  <c r="B174" i="4"/>
  <c r="C174" i="4"/>
  <c r="D175" i="4" s="1"/>
  <c r="D91" i="4"/>
  <c r="D174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B817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Y9" i="45"/>
  <c r="Y7" i="45"/>
  <c r="Y6" i="45"/>
  <c r="X5" i="45"/>
  <c r="Y3" i="45"/>
  <c r="Z3" i="45" s="1"/>
  <c r="Y2" i="45"/>
  <c r="Y5" i="45" s="1"/>
  <c r="Q5" i="88"/>
  <c r="P5" i="88"/>
  <c r="O5" i="88"/>
  <c r="X8" i="45"/>
  <c r="Y8" i="45"/>
  <c r="Z2" i="45" l="1"/>
  <c r="Z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AC9" i="45"/>
  <c r="AC7" i="45"/>
  <c r="AC6" i="45"/>
  <c r="AB5" i="45"/>
  <c r="AC3" i="45"/>
  <c r="AD3" i="45" s="1"/>
  <c r="AC2" i="45"/>
  <c r="T5" i="88"/>
  <c r="S5" i="88"/>
  <c r="R5" i="88"/>
  <c r="AB8" i="45"/>
  <c r="AC5" i="45" l="1"/>
  <c r="AD2" i="45"/>
  <c r="AD5" i="45" s="1"/>
  <c r="B172" i="4"/>
  <c r="C172" i="4"/>
  <c r="D173" i="4" s="1"/>
  <c r="D90" i="4"/>
  <c r="AC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E14786" i="19" s="1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E14761" i="19" s="1"/>
  <c r="D14756" i="19"/>
  <c r="D14755" i="19"/>
  <c r="D14754" i="19"/>
  <c r="D14753" i="19"/>
  <c r="D14752" i="19"/>
  <c r="D812" i="12"/>
  <c r="D813" i="12"/>
  <c r="D814" i="12"/>
  <c r="AG9" i="45"/>
  <c r="AG7" i="45"/>
  <c r="AG6" i="45"/>
  <c r="AF5" i="45"/>
  <c r="AG3" i="45"/>
  <c r="AH3" i="45" s="1"/>
  <c r="AG2" i="45"/>
  <c r="AG5" i="45" s="1"/>
  <c r="E14766" i="19" l="1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AH2" i="45"/>
  <c r="AH5" i="45" s="1"/>
  <c r="W5" i="88"/>
  <c r="V5" i="88"/>
  <c r="U5" i="88"/>
  <c r="AG8" i="45"/>
  <c r="AF8" i="45"/>
  <c r="B171" i="4" l="1"/>
  <c r="C171" i="4"/>
  <c r="D172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AK9" i="45"/>
  <c r="AK7" i="45"/>
  <c r="AK6" i="45"/>
  <c r="AJ5" i="45"/>
  <c r="AK3" i="45"/>
  <c r="AL3" i="45" s="1"/>
  <c r="AK2" i="45"/>
  <c r="AK5" i="45" l="1"/>
  <c r="AL2" i="45"/>
  <c r="AL5" i="45" s="1"/>
  <c r="Z5" i="88"/>
  <c r="Y5" i="88"/>
  <c r="X5" i="88"/>
  <c r="AJ8" i="45"/>
  <c r="AK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AC5" i="88"/>
  <c r="AB5" i="88"/>
  <c r="AA5" i="88"/>
  <c r="IV232" i="88"/>
  <c r="IU232" i="88"/>
  <c r="IV231" i="88"/>
  <c r="IU231" i="88"/>
  <c r="IV230" i="88"/>
  <c r="IU230" i="88"/>
  <c r="IV229" i="88"/>
  <c r="IU229" i="88"/>
  <c r="IV228" i="88"/>
  <c r="IU228" i="88"/>
  <c r="IV226" i="88"/>
  <c r="IU226" i="88"/>
  <c r="IV225" i="88"/>
  <c r="IU225" i="88"/>
  <c r="IV224" i="88"/>
  <c r="IU224" i="88"/>
  <c r="IV223" i="88"/>
  <c r="IU223" i="88"/>
  <c r="IV222" i="88"/>
  <c r="IU222" i="88"/>
  <c r="IV221" i="88"/>
  <c r="IU221" i="88"/>
  <c r="IV220" i="88"/>
  <c r="IU220" i="88"/>
  <c r="IV219" i="88"/>
  <c r="IU219" i="88"/>
  <c r="IV218" i="88"/>
  <c r="IU218" i="88"/>
  <c r="IV217" i="88"/>
  <c r="IU217" i="88"/>
  <c r="IV216" i="88"/>
  <c r="IU216" i="88"/>
  <c r="IV215" i="88"/>
  <c r="IU215" i="88"/>
  <c r="IV214" i="88"/>
  <c r="IU214" i="88"/>
  <c r="IV213" i="88"/>
  <c r="IU213" i="88"/>
  <c r="IV212" i="88"/>
  <c r="IU212" i="88"/>
  <c r="IV211" i="88"/>
  <c r="IU211" i="88"/>
  <c r="IV209" i="88"/>
  <c r="IU209" i="88"/>
  <c r="IU207" i="88"/>
  <c r="IV206" i="88"/>
  <c r="IU206" i="88"/>
  <c r="IV205" i="88"/>
  <c r="IU205" i="88"/>
  <c r="IV204" i="88"/>
  <c r="IU204" i="88"/>
  <c r="IV203" i="88"/>
  <c r="IU203" i="88"/>
  <c r="IV202" i="88"/>
  <c r="IU202" i="88"/>
  <c r="IV201" i="88"/>
  <c r="IU201" i="88"/>
  <c r="IV200" i="88"/>
  <c r="IU200" i="88"/>
  <c r="IV199" i="88"/>
  <c r="IU199" i="88"/>
  <c r="IV198" i="88"/>
  <c r="IU198" i="88"/>
  <c r="IV197" i="88"/>
  <c r="IU197" i="88"/>
  <c r="IV196" i="88"/>
  <c r="IU196" i="88"/>
  <c r="IV195" i="88"/>
  <c r="IU195" i="88"/>
  <c r="IV194" i="88"/>
  <c r="IU194" i="88"/>
  <c r="IV193" i="88"/>
  <c r="IU193" i="88"/>
  <c r="IV192" i="88"/>
  <c r="IU192" i="88"/>
  <c r="IV191" i="88"/>
  <c r="IU191" i="88"/>
  <c r="IV190" i="88"/>
  <c r="IU190" i="88"/>
  <c r="IV189" i="88"/>
  <c r="IU189" i="88"/>
  <c r="IV188" i="88"/>
  <c r="IU188" i="88"/>
  <c r="IV187" i="88"/>
  <c r="IU187" i="88"/>
  <c r="IV186" i="88"/>
  <c r="IU186" i="88"/>
  <c r="IV185" i="88"/>
  <c r="IU185" i="88"/>
  <c r="IV184" i="88"/>
  <c r="IU184" i="88"/>
  <c r="IV183" i="88"/>
  <c r="IU183" i="88"/>
  <c r="IV182" i="88"/>
  <c r="IU182" i="88"/>
  <c r="IV181" i="88"/>
  <c r="IU181" i="88"/>
  <c r="IV180" i="88"/>
  <c r="IU180" i="88"/>
  <c r="IV179" i="88"/>
  <c r="IU179" i="88"/>
  <c r="IV178" i="88"/>
  <c r="IU178" i="88"/>
  <c r="IV177" i="88"/>
  <c r="IU177" i="88"/>
  <c r="IV176" i="88"/>
  <c r="IU176" i="88"/>
  <c r="IV175" i="88"/>
  <c r="IU175" i="88"/>
  <c r="IV174" i="88"/>
  <c r="IU174" i="88"/>
  <c r="IV173" i="88"/>
  <c r="IU173" i="88"/>
  <c r="IV172" i="88"/>
  <c r="IU172" i="88"/>
  <c r="IV171" i="88"/>
  <c r="IU171" i="88"/>
  <c r="IV170" i="88"/>
  <c r="IU170" i="88"/>
  <c r="IV169" i="88"/>
  <c r="IU169" i="88"/>
  <c r="IV168" i="88"/>
  <c r="IU168" i="88"/>
  <c r="IV167" i="88"/>
  <c r="IU167" i="88"/>
  <c r="IV166" i="88"/>
  <c r="IU166" i="88"/>
  <c r="IV165" i="88"/>
  <c r="IU165" i="88"/>
  <c r="IV164" i="88"/>
  <c r="IU164" i="88"/>
  <c r="IV163" i="88"/>
  <c r="IU163" i="88"/>
  <c r="IV162" i="88"/>
  <c r="IU162" i="88"/>
  <c r="IV161" i="88"/>
  <c r="IU161" i="88"/>
  <c r="IV159" i="88"/>
  <c r="IU159" i="88"/>
  <c r="IV158" i="88"/>
  <c r="IU158" i="88"/>
  <c r="IV157" i="88"/>
  <c r="IU157" i="88"/>
  <c r="IV156" i="88"/>
  <c r="IU156" i="88"/>
  <c r="IV155" i="88"/>
  <c r="IU155" i="88"/>
  <c r="IV154" i="88"/>
  <c r="IU154" i="88"/>
  <c r="IV153" i="88"/>
  <c r="IU153" i="88"/>
  <c r="IV152" i="88"/>
  <c r="IU152" i="88"/>
  <c r="IV151" i="88"/>
  <c r="IU151" i="88"/>
  <c r="IV150" i="88"/>
  <c r="IU150" i="88"/>
  <c r="IV149" i="88"/>
  <c r="IU149" i="88"/>
  <c r="IV148" i="88"/>
  <c r="IU148" i="88"/>
  <c r="IV147" i="88"/>
  <c r="IU147" i="88"/>
  <c r="IV146" i="88"/>
  <c r="IU146" i="88"/>
  <c r="IV145" i="88"/>
  <c r="IU145" i="88"/>
  <c r="IV144" i="88"/>
  <c r="IU144" i="88"/>
  <c r="IV143" i="88"/>
  <c r="IU143" i="88"/>
  <c r="IV142" i="88"/>
  <c r="IU142" i="88"/>
  <c r="IV141" i="88"/>
  <c r="IU141" i="88"/>
  <c r="IV140" i="88"/>
  <c r="IU140" i="88"/>
  <c r="IV139" i="88"/>
  <c r="IU139" i="88"/>
  <c r="IV138" i="88"/>
  <c r="IU138" i="88"/>
  <c r="IV137" i="88"/>
  <c r="IU137" i="88"/>
  <c r="IV136" i="88"/>
  <c r="IU136" i="88"/>
  <c r="IV135" i="88"/>
  <c r="IU135" i="88"/>
  <c r="IV134" i="88"/>
  <c r="IU134" i="88"/>
  <c r="IV133" i="88"/>
  <c r="IU133" i="88"/>
  <c r="IV132" i="88"/>
  <c r="IU132" i="88"/>
  <c r="IV131" i="88"/>
  <c r="IU131" i="88"/>
  <c r="IV130" i="88"/>
  <c r="IU130" i="88"/>
  <c r="IQ122" i="88"/>
  <c r="IP122" i="88"/>
  <c r="FT111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ED110" i="88"/>
  <c r="EC110" i="88"/>
  <c r="EB110" i="88"/>
  <c r="EA110" i="88"/>
  <c r="DZ110" i="88"/>
  <c r="DY110" i="88"/>
  <c r="DX110" i="88"/>
  <c r="DW110" i="88"/>
  <c r="DV110" i="88"/>
  <c r="DU110" i="88"/>
  <c r="DT110" i="88"/>
  <c r="DS110" i="88"/>
  <c r="DR110" i="88"/>
  <c r="DQ110" i="88"/>
  <c r="DP110" i="88"/>
  <c r="DO110" i="88"/>
  <c r="DN110" i="88"/>
  <c r="DM110" i="88"/>
  <c r="DL110" i="88"/>
  <c r="DK110" i="88"/>
  <c r="DJ110" i="88"/>
  <c r="FT109" i="88"/>
  <c r="FT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BP108" i="88"/>
  <c r="BO108" i="88"/>
  <c r="BN108" i="88"/>
  <c r="BM108" i="88"/>
  <c r="BL108" i="88"/>
  <c r="BK108" i="88"/>
  <c r="BJ108" i="88"/>
  <c r="BI108" i="88"/>
  <c r="BH108" i="88"/>
  <c r="BG108" i="88"/>
  <c r="BF108" i="88"/>
  <c r="BE108" i="88"/>
  <c r="BD108" i="88"/>
  <c r="BC108" i="88"/>
  <c r="BB108" i="88"/>
  <c r="BA108" i="88"/>
  <c r="AZ108" i="88"/>
  <c r="AY108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D107" i="88"/>
  <c r="KC107" i="88"/>
  <c r="KB107" i="88"/>
  <c r="KA107" i="88"/>
  <c r="JZ107" i="88"/>
  <c r="JY107" i="88"/>
  <c r="JX107" i="88"/>
  <c r="JW107" i="88"/>
  <c r="JV107" i="88"/>
  <c r="JU107" i="88"/>
  <c r="JT107" i="88"/>
  <c r="JS107" i="88"/>
  <c r="JR107" i="88"/>
  <c r="JQ107" i="88"/>
  <c r="JP107" i="88"/>
  <c r="JO107" i="88"/>
  <c r="JN107" i="88"/>
  <c r="JM107" i="88"/>
  <c r="JL107" i="88"/>
  <c r="JK107" i="88"/>
  <c r="JJ107" i="88"/>
  <c r="JH107" i="88"/>
  <c r="JG107" i="88"/>
  <c r="JE107" i="88"/>
  <c r="JD107" i="88"/>
  <c r="JB107" i="88"/>
  <c r="JA107" i="88"/>
  <c r="IY107" i="88"/>
  <c r="IX107" i="88"/>
  <c r="IW107" i="88"/>
  <c r="IU107" i="88"/>
  <c r="IU227" i="88" s="1"/>
  <c r="IT107" i="88"/>
  <c r="FT106" i="88"/>
  <c r="FT104" i="88"/>
  <c r="FT103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FN100" i="88"/>
  <c r="FM100" i="88"/>
  <c r="FL100" i="88"/>
  <c r="FK100" i="88"/>
  <c r="FJ100" i="88"/>
  <c r="FI100" i="88"/>
  <c r="FH100" i="88"/>
  <c r="FG100" i="88"/>
  <c r="FF100" i="88"/>
  <c r="FE100" i="88"/>
  <c r="FD100" i="88"/>
  <c r="FC100" i="88"/>
  <c r="FB100" i="88"/>
  <c r="FA100" i="88"/>
  <c r="EZ100" i="88"/>
  <c r="EY100" i="88"/>
  <c r="EX100" i="88"/>
  <c r="EW100" i="88"/>
  <c r="EV100" i="88"/>
  <c r="EU100" i="88"/>
  <c r="ET100" i="88"/>
  <c r="FT99" i="88"/>
  <c r="FT97" i="88"/>
  <c r="FT93" i="88"/>
  <c r="KQ92" i="88"/>
  <c r="FT92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JO90" i="88"/>
  <c r="JN90" i="88"/>
  <c r="JM90" i="88"/>
  <c r="JL90" i="88"/>
  <c r="JK90" i="88"/>
  <c r="JJ90" i="88"/>
  <c r="JI90" i="88"/>
  <c r="JH90" i="88"/>
  <c r="JG90" i="88"/>
  <c r="JF90" i="88"/>
  <c r="JE90" i="88"/>
  <c r="JD90" i="88"/>
  <c r="JC90" i="88"/>
  <c r="JB90" i="88"/>
  <c r="JA90" i="88"/>
  <c r="IZ90" i="88"/>
  <c r="IY90" i="88"/>
  <c r="IX90" i="88"/>
  <c r="IW90" i="88"/>
  <c r="IV90" i="88"/>
  <c r="IU90" i="88"/>
  <c r="FT90" i="88"/>
  <c r="FT89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N88" i="88"/>
  <c r="JM88" i="88"/>
  <c r="JL88" i="88"/>
  <c r="JK88" i="88"/>
  <c r="JJ88" i="88"/>
  <c r="JI88" i="88"/>
  <c r="JH88" i="88"/>
  <c r="JG88" i="88"/>
  <c r="JF88" i="88"/>
  <c r="JE88" i="88"/>
  <c r="JD88" i="88"/>
  <c r="JC88" i="88"/>
  <c r="JB88" i="88"/>
  <c r="JA88" i="88"/>
  <c r="IZ88" i="88"/>
  <c r="IY88" i="88"/>
  <c r="IX88" i="88"/>
  <c r="IW88" i="88"/>
  <c r="IV88" i="88"/>
  <c r="IU88" i="88"/>
  <c r="IT88" i="88"/>
  <c r="IT122" i="88" s="1"/>
  <c r="IS88" i="88"/>
  <c r="IS122" i="88" s="1"/>
  <c r="IR88" i="88"/>
  <c r="IR122" i="88" s="1"/>
  <c r="IO88" i="88"/>
  <c r="IO122" i="88" s="1"/>
  <c r="MQ87" i="88"/>
  <c r="MN87" i="88"/>
  <c r="MM87" i="88"/>
  <c r="MK87" i="88"/>
  <c r="MJ87" i="88"/>
  <c r="MH87" i="88"/>
  <c r="MG87" i="88"/>
  <c r="ME87" i="88"/>
  <c r="MD87" i="88"/>
  <c r="MC87" i="88"/>
  <c r="MB87" i="88"/>
  <c r="MA87" i="88"/>
  <c r="LZ87" i="88"/>
  <c r="LY87" i="88"/>
  <c r="LX87" i="88"/>
  <c r="LW87" i="88"/>
  <c r="LV87" i="88"/>
  <c r="LU87" i="88"/>
  <c r="LT87" i="88"/>
  <c r="LS87" i="88"/>
  <c r="LR87" i="88"/>
  <c r="LQ87" i="88"/>
  <c r="LP87" i="88"/>
  <c r="LO87" i="88"/>
  <c r="LN87" i="88"/>
  <c r="LM87" i="88"/>
  <c r="LL87" i="88"/>
  <c r="LK87" i="88"/>
  <c r="LJ87" i="88"/>
  <c r="LH87" i="88"/>
  <c r="LG87" i="88"/>
  <c r="LE87" i="88"/>
  <c r="LD87" i="88"/>
  <c r="LB87" i="88"/>
  <c r="LA87" i="88"/>
  <c r="KZ87" i="88"/>
  <c r="KY87" i="88"/>
  <c r="KX87" i="88"/>
  <c r="KW87" i="88"/>
  <c r="KV87" i="88"/>
  <c r="KU87" i="88"/>
  <c r="KT87" i="88"/>
  <c r="KS87" i="88"/>
  <c r="KR87" i="88"/>
  <c r="KQ87" i="88"/>
  <c r="KP87" i="88"/>
  <c r="KO87" i="88"/>
  <c r="KN87" i="88"/>
  <c r="KM87" i="88"/>
  <c r="KL87" i="88"/>
  <c r="KK87" i="88"/>
  <c r="KJ87" i="88"/>
  <c r="KI87" i="88"/>
  <c r="KH87" i="88"/>
  <c r="KG87" i="88"/>
  <c r="KF87" i="88"/>
  <c r="KE87" i="88"/>
  <c r="KD87" i="88"/>
  <c r="KC87" i="88"/>
  <c r="KB87" i="88"/>
  <c r="KA87" i="88"/>
  <c r="JZ87" i="88"/>
  <c r="JY87" i="88"/>
  <c r="JX87" i="88"/>
  <c r="JW87" i="88"/>
  <c r="JV87" i="88"/>
  <c r="JT87" i="88"/>
  <c r="JS87" i="88"/>
  <c r="JQ87" i="88"/>
  <c r="JP87" i="88"/>
  <c r="JN87" i="88"/>
  <c r="JM87" i="88"/>
  <c r="JK87" i="88"/>
  <c r="JJ87" i="88"/>
  <c r="JH87" i="88"/>
  <c r="JG87" i="88"/>
  <c r="JE87" i="88"/>
  <c r="JB87" i="88"/>
  <c r="FT87" i="88"/>
  <c r="FT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CT85" i="88"/>
  <c r="CS85" i="88"/>
  <c r="CR85" i="88"/>
  <c r="CQ85" i="88"/>
  <c r="CP85" i="88"/>
  <c r="CO85" i="88"/>
  <c r="CN85" i="88"/>
  <c r="CM85" i="88"/>
  <c r="CL85" i="88"/>
  <c r="CK85" i="88"/>
  <c r="CJ85" i="88"/>
  <c r="CI85" i="88"/>
  <c r="CH85" i="88"/>
  <c r="CG85" i="88"/>
  <c r="CF85" i="88"/>
  <c r="CE85" i="88"/>
  <c r="CD85" i="88"/>
  <c r="CC85" i="88"/>
  <c r="CB85" i="88"/>
  <c r="CA85" i="88"/>
  <c r="BZ85" i="88"/>
  <c r="FT84" i="88"/>
  <c r="FT77" i="88"/>
  <c r="FT76" i="88"/>
  <c r="FT74" i="88"/>
  <c r="FT72" i="88"/>
  <c r="FT69" i="88"/>
  <c r="FT67" i="88"/>
  <c r="FT65" i="88"/>
  <c r="FT64" i="88"/>
  <c r="FT63" i="88"/>
  <c r="FT61" i="88"/>
  <c r="FT59" i="88"/>
  <c r="FT57" i="88"/>
  <c r="FT56" i="88"/>
  <c r="FT54" i="88"/>
  <c r="FT53" i="88"/>
  <c r="FT51" i="88"/>
  <c r="FT50" i="88"/>
  <c r="EN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CZ50" i="88"/>
  <c r="CY50" i="88"/>
  <c r="CX50" i="88"/>
  <c r="CW50" i="88"/>
  <c r="CV50" i="88"/>
  <c r="CU50" i="88"/>
  <c r="CT50" i="88"/>
  <c r="CS50" i="88"/>
  <c r="CR50" i="88"/>
  <c r="CQ50" i="88"/>
  <c r="CP50" i="88"/>
  <c r="CO50" i="88"/>
  <c r="CN50" i="88"/>
  <c r="CM50" i="88"/>
  <c r="CL50" i="88"/>
  <c r="CK50" i="88"/>
  <c r="CJ50" i="88"/>
  <c r="CI50" i="88"/>
  <c r="CH50" i="88"/>
  <c r="CG50" i="88"/>
  <c r="CF50" i="88"/>
  <c r="FT49" i="88"/>
  <c r="FT48" i="88"/>
  <c r="FT45" i="88"/>
  <c r="FT43" i="88"/>
  <c r="FT42" i="88"/>
  <c r="MQ40" i="88"/>
  <c r="MP40" i="88"/>
  <c r="MN40" i="88"/>
  <c r="MM40" i="88"/>
  <c r="MK40" i="88"/>
  <c r="MJ40" i="88"/>
  <c r="MH40" i="88"/>
  <c r="MG40" i="88"/>
  <c r="ME40" i="88"/>
  <c r="MD40" i="88"/>
  <c r="MB40" i="88"/>
  <c r="MA40" i="88"/>
  <c r="LY40" i="88"/>
  <c r="LX40" i="88"/>
  <c r="LV40" i="88"/>
  <c r="LU40" i="88"/>
  <c r="LR40" i="88"/>
  <c r="LP40" i="88"/>
  <c r="LO40" i="88"/>
  <c r="LM40" i="88"/>
  <c r="LL40" i="88"/>
  <c r="LJ40" i="88"/>
  <c r="LI40" i="88"/>
  <c r="LG40" i="88"/>
  <c r="LF40" i="88"/>
  <c r="LE40" i="88"/>
  <c r="LD40" i="88"/>
  <c r="LC40" i="88"/>
  <c r="LB40" i="88"/>
  <c r="LA40" i="88"/>
  <c r="KZ40" i="88"/>
  <c r="KY40" i="88"/>
  <c r="KW40" i="88"/>
  <c r="KV40" i="88"/>
  <c r="KT40" i="88"/>
  <c r="IV160" i="88" s="1"/>
  <c r="KR40" i="88"/>
  <c r="KQ40" i="88"/>
  <c r="KO40" i="88"/>
  <c r="KN40" i="88"/>
  <c r="KL40" i="88"/>
  <c r="KK40" i="88"/>
  <c r="KI40" i="88"/>
  <c r="KH40" i="88"/>
  <c r="KG40" i="88"/>
  <c r="KF40" i="88"/>
  <c r="KE40" i="88"/>
  <c r="KD40" i="88"/>
  <c r="KC40" i="88"/>
  <c r="KB40" i="88"/>
  <c r="KA40" i="88"/>
  <c r="JZ40" i="88"/>
  <c r="JY40" i="88"/>
  <c r="JX40" i="88"/>
  <c r="JW40" i="88"/>
  <c r="JV40" i="88"/>
  <c r="JU40" i="88"/>
  <c r="JT40" i="88"/>
  <c r="JS40" i="88"/>
  <c r="JR40" i="88"/>
  <c r="JQ40" i="88"/>
  <c r="JP40" i="88"/>
  <c r="JO40" i="88"/>
  <c r="JN40" i="88"/>
  <c r="JM40" i="88"/>
  <c r="JL40" i="88"/>
  <c r="JK40" i="88"/>
  <c r="JJ40" i="88"/>
  <c r="JI40" i="88"/>
  <c r="JH40" i="88"/>
  <c r="JG40" i="88"/>
  <c r="JF40" i="88"/>
  <c r="JE40" i="88"/>
  <c r="JD40" i="88"/>
  <c r="JD122" i="88" s="1"/>
  <c r="JC40" i="88"/>
  <c r="JB40" i="88"/>
  <c r="JA40" i="88"/>
  <c r="IZ40" i="88"/>
  <c r="IY40" i="88"/>
  <c r="IX40" i="88"/>
  <c r="IU40" i="88"/>
  <c r="IU160" i="88" s="1"/>
  <c r="FT39" i="88"/>
  <c r="FT38" i="88"/>
  <c r="FT37" i="88"/>
  <c r="FT35" i="88"/>
  <c r="FT32" i="88"/>
  <c r="FT31" i="88"/>
  <c r="FT30" i="88"/>
  <c r="HX26" i="88"/>
  <c r="HU26" i="88"/>
  <c r="HR26" i="88"/>
  <c r="HO26" i="88"/>
  <c r="HL26" i="88"/>
  <c r="HI26" i="88"/>
  <c r="HF26" i="88"/>
  <c r="HC26" i="88"/>
  <c r="GZ26" i="88"/>
  <c r="GW26" i="88"/>
  <c r="GT26" i="88"/>
  <c r="GQ26" i="88"/>
  <c r="GN26" i="88"/>
  <c r="GK26" i="88"/>
  <c r="GH26" i="88"/>
  <c r="GE26" i="88"/>
  <c r="GB26" i="88"/>
  <c r="FY26" i="88"/>
  <c r="FV26" i="88"/>
  <c r="FT26" i="88"/>
  <c r="FS26" i="88"/>
  <c r="FP26" i="88"/>
  <c r="FM26" i="88"/>
  <c r="FL26" i="88"/>
  <c r="FJ26" i="88"/>
  <c r="CT26" i="88"/>
  <c r="CS26" i="88"/>
  <c r="CR26" i="88"/>
  <c r="CO26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Q25" i="88"/>
  <c r="FP25" i="88"/>
  <c r="FO25" i="88"/>
  <c r="FN25" i="88"/>
  <c r="FM25" i="88"/>
  <c r="FL25" i="88"/>
  <c r="FK25" i="88"/>
  <c r="FJ25" i="88"/>
  <c r="FI25" i="88"/>
  <c r="FH25" i="88"/>
  <c r="FG25" i="88"/>
  <c r="FF25" i="88"/>
  <c r="FE25" i="88"/>
  <c r="FD25" i="88"/>
  <c r="FC25" i="88"/>
  <c r="FB25" i="88"/>
  <c r="FA25" i="88"/>
  <c r="EZ25" i="88"/>
  <c r="EY25" i="88"/>
  <c r="EX25" i="88"/>
  <c r="EW25" i="88"/>
  <c r="ET25" i="88"/>
  <c r="FT24" i="88"/>
  <c r="FT23" i="88"/>
  <c r="FT21" i="88"/>
  <c r="FT19" i="88"/>
  <c r="FT16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X15" i="88"/>
  <c r="GW15" i="88"/>
  <c r="GV15" i="88"/>
  <c r="GU15" i="88"/>
  <c r="GT15" i="88"/>
  <c r="GS15" i="88"/>
  <c r="GR15" i="88"/>
  <c r="GQ15" i="88"/>
  <c r="GP15" i="88"/>
  <c r="GO15" i="88"/>
  <c r="GN15" i="88"/>
  <c r="GM15" i="88"/>
  <c r="GL15" i="88"/>
  <c r="GK15" i="88"/>
  <c r="GJ15" i="88"/>
  <c r="GI15" i="88"/>
  <c r="GH15" i="88"/>
  <c r="GG15" i="88"/>
  <c r="GF15" i="88"/>
  <c r="GE15" i="88"/>
  <c r="GD15" i="88"/>
  <c r="GB15" i="88"/>
  <c r="GA15" i="88"/>
  <c r="FT15" i="88"/>
  <c r="CZ15" i="88"/>
  <c r="FT14" i="88"/>
  <c r="FT11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AX5" i="88"/>
  <c r="AW5" i="88"/>
  <c r="AV5" i="88"/>
  <c r="AU5" i="88"/>
  <c r="AT5" i="88"/>
  <c r="AS5" i="88"/>
  <c r="AR5" i="88"/>
  <c r="AQ5" i="88"/>
  <c r="AP5" i="88"/>
  <c r="AO5" i="88"/>
  <c r="AN5" i="88"/>
  <c r="AM5" i="88"/>
  <c r="AL5" i="88"/>
  <c r="AK5" i="88"/>
  <c r="AJ5" i="88"/>
  <c r="AI5" i="88"/>
  <c r="AH5" i="88"/>
  <c r="AG5" i="88"/>
  <c r="AF5" i="88"/>
  <c r="AE5" i="88"/>
  <c r="AD5" i="88"/>
  <c r="IU208" i="88" l="1"/>
  <c r="IY122" i="88"/>
  <c r="IV208" i="88"/>
  <c r="IV122" i="88"/>
  <c r="IZ122" i="88"/>
  <c r="JA122" i="88"/>
  <c r="CU115" i="88"/>
  <c r="IV207" i="88"/>
  <c r="IX122" i="88"/>
  <c r="IU210" i="88"/>
  <c r="IV210" i="88"/>
  <c r="IV227" i="88"/>
  <c r="IW122" i="88"/>
  <c r="IU122" i="88"/>
  <c r="AO9" i="45"/>
  <c r="AO7" i="45"/>
  <c r="AO6" i="45"/>
  <c r="AN5" i="45"/>
  <c r="AO3" i="45"/>
  <c r="AP3" i="45" s="1"/>
  <c r="AO2" i="45"/>
  <c r="AN8" i="45"/>
  <c r="AO5" i="45" l="1"/>
  <c r="AP2" i="45"/>
  <c r="AP5" i="45" s="1"/>
  <c r="AO8" i="45"/>
  <c r="C170" i="4" l="1"/>
  <c r="D171" i="4" s="1"/>
  <c r="B170" i="4"/>
  <c r="C169" i="4"/>
  <c r="B169" i="4"/>
  <c r="D170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AS9" i="45"/>
  <c r="AS7" i="45"/>
  <c r="AS6" i="45"/>
  <c r="AR5" i="45"/>
  <c r="AS3" i="45"/>
  <c r="AT3" i="45" s="1"/>
  <c r="AS2" i="45"/>
  <c r="AT2" i="45" s="1"/>
  <c r="AR8" i="45"/>
  <c r="AT5" i="45" l="1"/>
  <c r="AS5" i="45"/>
  <c r="D87" i="4"/>
  <c r="D86" i="4"/>
  <c r="D85" i="4"/>
  <c r="AS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AW9" i="45"/>
  <c r="AW7" i="45"/>
  <c r="AW6" i="45"/>
  <c r="AV5" i="45"/>
  <c r="AW3" i="45"/>
  <c r="AX3" i="45" s="1"/>
  <c r="AW2" i="45"/>
  <c r="AV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AW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AX2" i="45"/>
  <c r="AX5" i="45" s="1"/>
  <c r="AW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BA9" i="45"/>
  <c r="BA7" i="45"/>
  <c r="BA6" i="45"/>
  <c r="AZ5" i="45"/>
  <c r="BA3" i="45"/>
  <c r="BB3" i="45" s="1"/>
  <c r="BA2" i="45"/>
  <c r="AZ8" i="45"/>
  <c r="E14436" i="19" l="1"/>
  <c r="E14461" i="19"/>
  <c r="BA5" i="45"/>
  <c r="E14481" i="19"/>
  <c r="E14476" i="19"/>
  <c r="E14441" i="19"/>
  <c r="E14471" i="19"/>
  <c r="E14466" i="19"/>
  <c r="E14446" i="19"/>
  <c r="E14451" i="19"/>
  <c r="E14456" i="19"/>
  <c r="BB2" i="45"/>
  <c r="BB5" i="45" s="1"/>
  <c r="D84" i="4"/>
  <c r="C167" i="4"/>
  <c r="C168" i="4"/>
  <c r="D169" i="4" s="1"/>
  <c r="BA8" i="45"/>
  <c r="D168" i="4" l="1"/>
  <c r="BL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BE9" i="45"/>
  <c r="BE7" i="45"/>
  <c r="BE6" i="45"/>
  <c r="BD5" i="45"/>
  <c r="BE3" i="45"/>
  <c r="BF3" i="45" s="1"/>
  <c r="BE2" i="45"/>
  <c r="BE5" i="45" l="1"/>
  <c r="BF2" i="45"/>
  <c r="BF5" i="45" s="1"/>
  <c r="B168" i="4" l="1"/>
  <c r="B167" i="4"/>
  <c r="B166" i="4"/>
  <c r="C166" i="4"/>
  <c r="D167" i="4" s="1"/>
  <c r="BD8" i="45"/>
  <c r="BE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BI9" i="45"/>
  <c r="BI7" i="45"/>
  <c r="BI6" i="45"/>
  <c r="BH5" i="45"/>
  <c r="BI3" i="45"/>
  <c r="BJ3" i="45" s="1"/>
  <c r="BI2" i="45"/>
  <c r="BH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BI5" i="45"/>
  <c r="BJ2" i="45"/>
  <c r="BJ5" i="45" s="1"/>
  <c r="BI8" i="45"/>
  <c r="C165" i="4" l="1"/>
  <c r="D166" i="4" s="1"/>
  <c r="B165" i="4"/>
  <c r="C164" i="4"/>
  <c r="B164" i="4"/>
  <c r="C163" i="4"/>
  <c r="B163" i="4"/>
  <c r="C162" i="4"/>
  <c r="B162" i="4"/>
  <c r="C161" i="4"/>
  <c r="B161" i="4"/>
  <c r="C160" i="4"/>
  <c r="B160" i="4"/>
  <c r="C159" i="4"/>
  <c r="B159" i="4"/>
  <c r="C158" i="4"/>
  <c r="B158" i="4"/>
  <c r="C157" i="4"/>
  <c r="B157" i="4"/>
  <c r="D83" i="4"/>
  <c r="D82" i="4"/>
  <c r="D81" i="4"/>
  <c r="D80" i="4"/>
  <c r="D79" i="4"/>
  <c r="D78" i="4"/>
  <c r="D158" i="4" l="1"/>
  <c r="D160" i="4"/>
  <c r="D162" i="4"/>
  <c r="D164" i="4"/>
  <c r="D159" i="4"/>
  <c r="D163" i="4"/>
  <c r="D161" i="4"/>
  <c r="D165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BM9" i="45"/>
  <c r="BM7" i="45"/>
  <c r="BM6" i="45"/>
  <c r="BL5" i="45"/>
  <c r="BM3" i="45"/>
  <c r="BN3" i="45" s="1"/>
  <c r="BM2" i="45"/>
  <c r="BL8" i="45"/>
  <c r="BM5" i="45" l="1"/>
  <c r="BN2" i="45"/>
  <c r="BN5" i="45" s="1"/>
  <c r="BM8" i="45"/>
  <c r="BQ9" i="45" l="1"/>
  <c r="BQ7" i="45"/>
  <c r="BQ6" i="45"/>
  <c r="BP5" i="45"/>
  <c r="BQ3" i="45"/>
  <c r="BR3" i="45" s="1"/>
  <c r="BQ2" i="45"/>
  <c r="BP8" i="45"/>
  <c r="BQ5" i="45" l="1"/>
  <c r="BR2" i="45"/>
  <c r="BR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BQ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BU9" i="45"/>
  <c r="BU7" i="45"/>
  <c r="BU6" i="45"/>
  <c r="BT5" i="45"/>
  <c r="BU3" i="45"/>
  <c r="BV3" i="45" s="1"/>
  <c r="BU2" i="45"/>
  <c r="BU5" i="45" l="1"/>
  <c r="BV2" i="45"/>
  <c r="BV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BY9" i="45"/>
  <c r="BY7" i="45"/>
  <c r="BY6" i="45"/>
  <c r="BX5" i="45"/>
  <c r="BY3" i="45"/>
  <c r="BZ3" i="45" s="1"/>
  <c r="BY2" i="45"/>
  <c r="BT8" i="45"/>
  <c r="BU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BY5" i="45"/>
  <c r="BZ2" i="45"/>
  <c r="BZ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BY8" i="45"/>
  <c r="BX8" i="45"/>
  <c r="CC9" i="45" l="1"/>
  <c r="CC7" i="45"/>
  <c r="CC6" i="45"/>
  <c r="CB5" i="45"/>
  <c r="CC3" i="45"/>
  <c r="CD3" i="45" s="1"/>
  <c r="CC2" i="45"/>
  <c r="CD2" i="45" s="1"/>
  <c r="CC5" i="45" l="1"/>
  <c r="CD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CG9" i="45"/>
  <c r="CG7" i="45"/>
  <c r="CG6" i="45"/>
  <c r="CF5" i="45"/>
  <c r="CG3" i="45"/>
  <c r="CH3" i="45" s="1"/>
  <c r="CG2" i="45"/>
  <c r="E13951" i="19" l="1"/>
  <c r="CG5" i="45"/>
  <c r="E13931" i="19"/>
  <c r="E13921" i="19"/>
  <c r="E13941" i="19"/>
  <c r="E13916" i="19"/>
  <c r="E13906" i="19"/>
  <c r="E13926" i="19"/>
  <c r="E13901" i="19"/>
  <c r="E13946" i="19"/>
  <c r="E13936" i="19"/>
  <c r="E13911" i="19"/>
  <c r="CH2" i="45"/>
  <c r="CH5" i="45" s="1"/>
  <c r="CC8" i="45"/>
  <c r="CB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E26" i="3"/>
  <c r="F26" i="3" s="1"/>
  <c r="G26" i="3" s="1"/>
  <c r="H26" i="3" s="1"/>
  <c r="E24" i="3"/>
  <c r="F24" i="3" l="1"/>
  <c r="G24" i="3" s="1"/>
  <c r="H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CK9" i="45"/>
  <c r="CK7" i="45"/>
  <c r="CK6" i="45"/>
  <c r="CJ5" i="45"/>
  <c r="CK3" i="45"/>
  <c r="CL3" i="45" s="1"/>
  <c r="CK2" i="45"/>
  <c r="CK5" i="45" l="1"/>
  <c r="CL2" i="45"/>
  <c r="CL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CF8" i="45"/>
  <c r="CG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CO9" i="45"/>
  <c r="CO7" i="45"/>
  <c r="CO6" i="45"/>
  <c r="CN5" i="45"/>
  <c r="CO3" i="45"/>
  <c r="CP3" i="45" s="1"/>
  <c r="CO2" i="45"/>
  <c r="CK8" i="45"/>
  <c r="CN8" i="45"/>
  <c r="CJ8" i="45"/>
  <c r="CO5" i="45" l="1"/>
  <c r="CP2" i="45"/>
  <c r="CP5" i="45" s="1"/>
  <c r="CO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CW9" i="45"/>
  <c r="CW7" i="45"/>
  <c r="CW6" i="45"/>
  <c r="CV5" i="45"/>
  <c r="CW3" i="45"/>
  <c r="CX3" i="45" s="1"/>
  <c r="CW2" i="45"/>
  <c r="CV8" i="45"/>
  <c r="CW5" i="45" l="1"/>
  <c r="CX2" i="45"/>
  <c r="CX5" i="45" s="1"/>
  <c r="CW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56" i="4"/>
  <c r="D157" i="4" s="1"/>
  <c r="B156" i="4"/>
  <c r="C155" i="4"/>
  <c r="B155" i="4"/>
  <c r="CS9" i="45"/>
  <c r="CS7" i="45"/>
  <c r="CS6" i="45"/>
  <c r="CR5" i="45"/>
  <c r="CS3" i="45"/>
  <c r="CT3" i="45" s="1"/>
  <c r="CS2" i="45"/>
  <c r="DA9" i="45"/>
  <c r="DA7" i="45"/>
  <c r="DA6" i="45"/>
  <c r="CZ5" i="45"/>
  <c r="DA3" i="45"/>
  <c r="DB3" i="45" s="1"/>
  <c r="DA2" i="45"/>
  <c r="DB2" i="45" s="1"/>
  <c r="CZ8" i="45"/>
  <c r="CR8" i="45"/>
  <c r="DB5" i="45" l="1"/>
  <c r="D156" i="4"/>
  <c r="DA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CS5" i="45"/>
  <c r="CT2" i="45"/>
  <c r="CT5" i="45" s="1"/>
  <c r="DA8" i="45"/>
  <c r="CS8" i="45"/>
  <c r="AH14" i="20" l="1"/>
  <c r="AG14" i="20"/>
  <c r="AF14" i="20"/>
  <c r="AE14" i="20"/>
  <c r="AH13" i="20"/>
  <c r="AG13" i="20"/>
  <c r="AF13" i="20"/>
  <c r="AE13" i="20"/>
  <c r="AF4" i="20"/>
  <c r="AE4" i="20"/>
  <c r="DI9" i="45" l="1"/>
  <c r="DI7" i="45"/>
  <c r="DI6" i="45"/>
  <c r="DH5" i="45"/>
  <c r="DI3" i="45"/>
  <c r="DJ3" i="45" s="1"/>
  <c r="DI2" i="45"/>
  <c r="DI5" i="45" l="1"/>
  <c r="DJ2" i="45"/>
  <c r="DJ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DM9" i="45" l="1"/>
  <c r="DM7" i="45"/>
  <c r="DM6" i="45"/>
  <c r="DL5" i="45"/>
  <c r="DM3" i="45"/>
  <c r="DN3" i="45" s="1"/>
  <c r="DM2" i="45"/>
  <c r="DN2" i="45" s="1"/>
  <c r="DI8" i="45"/>
  <c r="DL8" i="45"/>
  <c r="DH8" i="45"/>
  <c r="DN5" i="45" l="1"/>
  <c r="DM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DM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DE9" i="45"/>
  <c r="DE7" i="45"/>
  <c r="DE6" i="45"/>
  <c r="DD5" i="45"/>
  <c r="DE3" i="45"/>
  <c r="DF3" i="45" s="1"/>
  <c r="DE2" i="45"/>
  <c r="DD8" i="45"/>
  <c r="DE5" i="45" l="1"/>
  <c r="DF2" i="45"/>
  <c r="DF5" i="45" s="1"/>
  <c r="DE8" i="45"/>
  <c r="DQ9" i="45" l="1"/>
  <c r="DQ7" i="45"/>
  <c r="DQ6" i="45"/>
  <c r="DP5" i="45"/>
  <c r="DQ3" i="45"/>
  <c r="DR3" i="45" s="1"/>
  <c r="DQ2" i="45"/>
  <c r="DR2" i="45" s="1"/>
  <c r="DP8" i="45"/>
  <c r="DR5" i="45" l="1"/>
  <c r="DQ5" i="45"/>
  <c r="DQ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DU9" i="45" l="1"/>
  <c r="DU7" i="45"/>
  <c r="DU6" i="45"/>
  <c r="DT5" i="45"/>
  <c r="DU3" i="45"/>
  <c r="DV3" i="45" s="1"/>
  <c r="DU2" i="45"/>
  <c r="DU5" i="45" l="1"/>
  <c r="DV2" i="45"/>
  <c r="DV5" i="45" s="1"/>
  <c r="D757" i="12" l="1"/>
  <c r="D744" i="12"/>
  <c r="D743" i="12"/>
  <c r="DT8" i="45"/>
  <c r="DU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DY9" i="45" l="1"/>
  <c r="DY7" i="45"/>
  <c r="DY6" i="45"/>
  <c r="DX5" i="45"/>
  <c r="DY3" i="45"/>
  <c r="DZ3" i="45" s="1"/>
  <c r="DY2" i="45"/>
  <c r="DX8" i="45"/>
  <c r="DY5" i="45" l="1"/>
  <c r="DZ2" i="45"/>
  <c r="DZ5" i="45" s="1"/>
  <c r="DY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05" i="4"/>
  <c r="C105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EK3" i="45"/>
  <c r="EL3" i="45" s="1"/>
  <c r="EK2" i="45"/>
  <c r="EL2" i="45" s="1"/>
  <c r="EG3" i="45"/>
  <c r="EH3" i="45" s="1"/>
  <c r="EG2" i="45"/>
  <c r="EH2" i="45" s="1"/>
  <c r="EC2" i="45"/>
  <c r="ED2" i="45" s="1"/>
  <c r="G3" i="48"/>
  <c r="F3" i="48"/>
  <c r="M3" i="1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54" i="4"/>
  <c r="B153" i="4"/>
  <c r="B152" i="4"/>
  <c r="C154" i="4"/>
  <c r="D155" i="4" s="1"/>
  <c r="C153" i="4"/>
  <c r="C152" i="4"/>
  <c r="C151" i="4"/>
  <c r="B151" i="4"/>
  <c r="D69" i="4"/>
  <c r="D68" i="4"/>
  <c r="D152" i="4" l="1"/>
  <c r="D153" i="4"/>
  <c r="D154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0" i="4"/>
  <c r="D151" i="4" s="1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D106" i="4" s="1"/>
  <c r="B150" i="4"/>
  <c r="B149" i="4"/>
  <c r="B148" i="4"/>
  <c r="AL13" i="20"/>
  <c r="M5" i="14"/>
  <c r="N9" i="35"/>
  <c r="L11" i="6"/>
  <c r="D111" i="4" l="1"/>
  <c r="D123" i="4"/>
  <c r="D135" i="4"/>
  <c r="D139" i="4"/>
  <c r="D107" i="4"/>
  <c r="D119" i="4"/>
  <c r="D127" i="4"/>
  <c r="D143" i="4"/>
  <c r="D108" i="4"/>
  <c r="D112" i="4"/>
  <c r="D116" i="4"/>
  <c r="D120" i="4"/>
  <c r="D124" i="4"/>
  <c r="D128" i="4"/>
  <c r="D132" i="4"/>
  <c r="D136" i="4"/>
  <c r="D140" i="4"/>
  <c r="D144" i="4"/>
  <c r="D148" i="4"/>
  <c r="D109" i="4"/>
  <c r="D113" i="4"/>
  <c r="D117" i="4"/>
  <c r="D121" i="4"/>
  <c r="D125" i="4"/>
  <c r="D129" i="4"/>
  <c r="D133" i="4"/>
  <c r="D137" i="4"/>
  <c r="D141" i="4"/>
  <c r="D145" i="4"/>
  <c r="D149" i="4"/>
  <c r="D110" i="4"/>
  <c r="D114" i="4"/>
  <c r="D118" i="4"/>
  <c r="D122" i="4"/>
  <c r="D126" i="4"/>
  <c r="D130" i="4"/>
  <c r="D134" i="4"/>
  <c r="D138" i="4"/>
  <c r="D142" i="4"/>
  <c r="D146" i="4"/>
  <c r="D115" i="4"/>
  <c r="D131" i="4"/>
  <c r="D147" i="4"/>
  <c r="D150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4" i="14"/>
  <c r="J12" i="14"/>
  <c r="I15" i="14" l="1"/>
  <c r="J15" i="14"/>
  <c r="I16" i="14" l="1"/>
  <c r="J7" i="14"/>
  <c r="K7" i="14" s="1"/>
  <c r="K13" i="14"/>
  <c r="J16" i="14"/>
  <c r="I17" i="14" l="1"/>
  <c r="K17" i="14"/>
  <c r="K12" i="14"/>
  <c r="K15" i="14"/>
  <c r="O13" i="14"/>
  <c r="K14" i="14"/>
  <c r="S13" i="14"/>
  <c r="K16" i="14"/>
  <c r="J17" i="14"/>
  <c r="I18" i="14" l="1"/>
  <c r="S14" i="14"/>
  <c r="O16" i="14"/>
  <c r="O15" i="14"/>
  <c r="S15" i="14"/>
  <c r="O17" i="14"/>
  <c r="O12" i="14"/>
  <c r="O14" i="14"/>
  <c r="S16" i="14"/>
  <c r="S17" i="14"/>
  <c r="Q13" i="14"/>
  <c r="K18" i="14"/>
  <c r="S12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EK9" i="45"/>
  <c r="EK7" i="45"/>
  <c r="EK6" i="45"/>
  <c r="EK5" i="45"/>
  <c r="EJ5" i="45"/>
  <c r="EL5" i="45"/>
  <c r="Q12" i="14"/>
  <c r="Q17" i="14"/>
  <c r="Q16" i="14"/>
  <c r="J18" i="14"/>
  <c r="O18" i="14"/>
  <c r="S18" i="14"/>
  <c r="Q15" i="14"/>
  <c r="Q14" i="14"/>
  <c r="K19" i="14"/>
  <c r="I20" i="14" l="1"/>
  <c r="F13" i="42"/>
  <c r="O6" i="48"/>
  <c r="C7" i="48"/>
  <c r="D7" i="48" s="1"/>
  <c r="Q7" i="48"/>
  <c r="R7" i="48" s="1"/>
  <c r="S7" i="48" s="1"/>
  <c r="J19" i="14"/>
  <c r="J20" i="14"/>
  <c r="S19" i="14"/>
  <c r="Q18" i="14"/>
  <c r="O19" i="14"/>
  <c r="I21" i="14" l="1"/>
  <c r="B13" i="48"/>
  <c r="K20" i="14"/>
  <c r="Q19" i="14"/>
  <c r="J21" i="14"/>
  <c r="C13" i="48"/>
  <c r="I22" i="14" l="1"/>
  <c r="B14" i="48"/>
  <c r="O20" i="14"/>
  <c r="K22" i="14"/>
  <c r="K21" i="14"/>
  <c r="J22" i="14"/>
  <c r="S20" i="14"/>
  <c r="C14" i="48"/>
  <c r="C12" i="48"/>
  <c r="I23" i="14" l="1"/>
  <c r="B15" i="48"/>
  <c r="S21" i="14"/>
  <c r="O22" i="14"/>
  <c r="Q20" i="14"/>
  <c r="O21" i="14"/>
  <c r="K23" i="14"/>
  <c r="S22" i="14"/>
  <c r="J23" i="14"/>
  <c r="C15" i="48"/>
  <c r="I24" i="14" l="1"/>
  <c r="B16" i="48"/>
  <c r="G5" i="48"/>
  <c r="F5" i="48"/>
  <c r="K24" i="14"/>
  <c r="Q22" i="14"/>
  <c r="Q21" i="14"/>
  <c r="S23" i="14"/>
  <c r="O23" i="14"/>
  <c r="J24" i="14"/>
  <c r="D14" i="48"/>
  <c r="D13" i="48"/>
  <c r="D12" i="48"/>
  <c r="D16" i="48"/>
  <c r="D15" i="48"/>
  <c r="I25" i="14" l="1"/>
  <c r="B17" i="48"/>
  <c r="Z11" i="6"/>
  <c r="S24" i="14"/>
  <c r="Q23" i="14"/>
  <c r="K25" i="14"/>
  <c r="O24" i="14"/>
  <c r="O16" i="48"/>
  <c r="O13" i="48"/>
  <c r="Q13" i="48"/>
  <c r="Q16" i="48"/>
  <c r="Q14" i="48"/>
  <c r="Q12" i="48"/>
  <c r="O12" i="48"/>
  <c r="C17" i="48"/>
  <c r="O14" i="48"/>
  <c r="C16" i="48"/>
  <c r="O15" i="48"/>
  <c r="Q15" i="48"/>
  <c r="I26" i="14" l="1"/>
  <c r="B18" i="48"/>
  <c r="K26" i="14"/>
  <c r="O25" i="14"/>
  <c r="J25" i="14"/>
  <c r="Q24" i="14"/>
  <c r="S25" i="14"/>
  <c r="S12" i="48"/>
  <c r="R16" i="48"/>
  <c r="S15" i="48"/>
  <c r="S16" i="48"/>
  <c r="C18" i="48"/>
  <c r="S13" i="48"/>
  <c r="R15" i="48"/>
  <c r="R14" i="48"/>
  <c r="D18" i="48"/>
  <c r="R13" i="48"/>
  <c r="D17" i="48"/>
  <c r="R12" i="48"/>
  <c r="S14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O26" i="14"/>
  <c r="K27" i="14"/>
  <c r="J27" i="14"/>
  <c r="S26" i="14"/>
  <c r="Q25" i="14"/>
  <c r="J26" i="14"/>
  <c r="O18" i="48"/>
  <c r="O17" i="48"/>
  <c r="D19" i="48"/>
  <c r="C19" i="48"/>
  <c r="Q17" i="48"/>
  <c r="I14" i="48"/>
  <c r="I16" i="48"/>
  <c r="Q18" i="48"/>
  <c r="I17" i="48"/>
  <c r="I18" i="48"/>
  <c r="I28" i="14" l="1"/>
  <c r="B20" i="48"/>
  <c r="O27" i="14"/>
  <c r="J28" i="14"/>
  <c r="K28" i="14"/>
  <c r="S27" i="14"/>
  <c r="Q26" i="14"/>
  <c r="I13" i="48"/>
  <c r="I19" i="48"/>
  <c r="O19" i="48"/>
  <c r="R17" i="48"/>
  <c r="I12" i="48"/>
  <c r="D20" i="48"/>
  <c r="C20" i="48"/>
  <c r="S18" i="48"/>
  <c r="S17" i="48"/>
  <c r="I15" i="48"/>
  <c r="Q19" i="48"/>
  <c r="R18" i="48"/>
  <c r="AA17" i="48" l="1"/>
  <c r="AK17" i="48"/>
  <c r="AF17" i="48"/>
  <c r="AK18" i="48"/>
  <c r="AF18" i="48"/>
  <c r="AA18" i="48"/>
  <c r="I29" i="14"/>
  <c r="B21" i="48"/>
  <c r="S28" i="14"/>
  <c r="J29" i="14"/>
  <c r="Q27" i="14"/>
  <c r="O28" i="14"/>
  <c r="K29" i="14"/>
  <c r="I20" i="48"/>
  <c r="R19" i="48"/>
  <c r="O20" i="48"/>
  <c r="S19" i="48"/>
  <c r="Q20" i="48"/>
  <c r="C21" i="48"/>
  <c r="AA19" i="48" l="1"/>
  <c r="AK19" i="48"/>
  <c r="AF19" i="48"/>
  <c r="I30" i="14"/>
  <c r="B22" i="48"/>
  <c r="Q28" i="14"/>
  <c r="K30" i="14"/>
  <c r="O29" i="14"/>
  <c r="S29" i="14"/>
  <c r="D21" i="48"/>
  <c r="S20" i="48"/>
  <c r="R20" i="48"/>
  <c r="C22" i="48"/>
  <c r="AJ20" i="48" l="1"/>
  <c r="Z20" i="48"/>
  <c r="AE20" i="48"/>
  <c r="AF20" i="48"/>
  <c r="AK20" i="48"/>
  <c r="AA20" i="48"/>
  <c r="I31" i="14"/>
  <c r="B23" i="48"/>
  <c r="S30" i="14"/>
  <c r="O30" i="14"/>
  <c r="J30" i="14"/>
  <c r="J31" i="14"/>
  <c r="Q29" i="14"/>
  <c r="C23" i="48"/>
  <c r="Q21" i="48"/>
  <c r="I21" i="48"/>
  <c r="O21" i="48"/>
  <c r="D22" i="48"/>
  <c r="I32" i="14" l="1"/>
  <c r="B24" i="48"/>
  <c r="Q30" i="14"/>
  <c r="K32" i="14"/>
  <c r="K31" i="14"/>
  <c r="R21" i="48"/>
  <c r="S21" i="48"/>
  <c r="D23" i="48"/>
  <c r="O22" i="48"/>
  <c r="I22" i="48"/>
  <c r="Q22" i="48"/>
  <c r="C24" i="48"/>
  <c r="AE21" i="48" l="1"/>
  <c r="AK21" i="48"/>
  <c r="AJ21" i="48"/>
  <c r="AA21" i="48"/>
  <c r="Z21" i="48"/>
  <c r="AF21" i="48"/>
  <c r="I33" i="14"/>
  <c r="B25" i="48"/>
  <c r="O31" i="14"/>
  <c r="J33" i="14"/>
  <c r="K33" i="14"/>
  <c r="J32" i="14"/>
  <c r="S32" i="14"/>
  <c r="S31" i="14"/>
  <c r="O32" i="14"/>
  <c r="D24" i="48"/>
  <c r="C25" i="48"/>
  <c r="I23" i="48"/>
  <c r="O23" i="48"/>
  <c r="S22" i="48"/>
  <c r="Q23" i="48"/>
  <c r="R22" i="48"/>
  <c r="D25" i="48"/>
  <c r="AK22" i="48" l="1"/>
  <c r="AA22" i="48"/>
  <c r="AF22" i="48"/>
  <c r="I34" i="14"/>
  <c r="B26" i="48"/>
  <c r="O33" i="14"/>
  <c r="S33" i="14"/>
  <c r="Q32" i="14"/>
  <c r="Q31" i="14"/>
  <c r="K34" i="14"/>
  <c r="D26" i="48"/>
  <c r="S23" i="48"/>
  <c r="Q24" i="48"/>
  <c r="O25" i="48"/>
  <c r="R23" i="48"/>
  <c r="O24" i="48"/>
  <c r="I25" i="48"/>
  <c r="I24" i="48"/>
  <c r="Q25" i="48"/>
  <c r="AF23" i="48" l="1"/>
  <c r="AA23" i="48"/>
  <c r="AK23" i="48"/>
  <c r="I35" i="14"/>
  <c r="B27" i="48"/>
  <c r="Q33" i="14"/>
  <c r="J34" i="14"/>
  <c r="S34" i="14"/>
  <c r="O34" i="14"/>
  <c r="K35" i="14"/>
  <c r="S25" i="48"/>
  <c r="Q26" i="48"/>
  <c r="D27" i="48"/>
  <c r="S24" i="48"/>
  <c r="C26" i="48"/>
  <c r="R24" i="48"/>
  <c r="I26" i="48"/>
  <c r="O26" i="48"/>
  <c r="R25" i="48"/>
  <c r="C27" i="48"/>
  <c r="AF24" i="48" l="1"/>
  <c r="AK24" i="48"/>
  <c r="AA24" i="48"/>
  <c r="AK25" i="48"/>
  <c r="AA25" i="48"/>
  <c r="AF25" i="48"/>
  <c r="I36" i="14"/>
  <c r="B28" i="48"/>
  <c r="S35" i="14"/>
  <c r="K36" i="14"/>
  <c r="J35" i="14"/>
  <c r="Q34" i="14"/>
  <c r="O35" i="14"/>
  <c r="R26" i="48"/>
  <c r="O27" i="48"/>
  <c r="D28" i="48"/>
  <c r="C28" i="48"/>
  <c r="S26" i="48"/>
  <c r="I27" i="48"/>
  <c r="Q27" i="48"/>
  <c r="AA26" i="48" l="1"/>
  <c r="AK26" i="48"/>
  <c r="AF26" i="48"/>
  <c r="I37" i="14"/>
  <c r="B29" i="48"/>
  <c r="J36" i="14"/>
  <c r="J37" i="14"/>
  <c r="Q35" i="14"/>
  <c r="S36" i="14"/>
  <c r="O36" i="14"/>
  <c r="D29" i="48"/>
  <c r="R27" i="48"/>
  <c r="O28" i="48"/>
  <c r="Q28" i="48"/>
  <c r="I28" i="48"/>
  <c r="S27" i="48"/>
  <c r="C29" i="48"/>
  <c r="AF27" i="48" l="1"/>
  <c r="AA27" i="48"/>
  <c r="AK27" i="48"/>
  <c r="I38" i="14"/>
  <c r="B30" i="48"/>
  <c r="K37" i="14"/>
  <c r="K38" i="14"/>
  <c r="Q36" i="14"/>
  <c r="Q29" i="48"/>
  <c r="I29" i="48"/>
  <c r="C30" i="48"/>
  <c r="R28" i="48"/>
  <c r="S28" i="48"/>
  <c r="O29" i="48"/>
  <c r="AJ28" i="48" l="1"/>
  <c r="Z28" i="48"/>
  <c r="AK28" i="48"/>
  <c r="AA28" i="48"/>
  <c r="AE28" i="48"/>
  <c r="AF28" i="48"/>
  <c r="I39" i="14"/>
  <c r="B31" i="48"/>
  <c r="F2" i="39"/>
  <c r="G2" i="39" s="1"/>
  <c r="H2" i="39" s="1"/>
  <c r="S37" i="14"/>
  <c r="J38" i="14"/>
  <c r="S38" i="14"/>
  <c r="O37" i="14"/>
  <c r="J39" i="14"/>
  <c r="O38" i="14"/>
  <c r="K39" i="14"/>
  <c r="D30" i="48"/>
  <c r="S29" i="48"/>
  <c r="D31" i="48"/>
  <c r="R29" i="48"/>
  <c r="AA29" i="48" l="1"/>
  <c r="AF29" i="48"/>
  <c r="AK29" i="48"/>
  <c r="I40" i="14"/>
  <c r="B32" i="48"/>
  <c r="EH5" i="45"/>
  <c r="EG9" i="45"/>
  <c r="EG7" i="45"/>
  <c r="EG6" i="45"/>
  <c r="EG5" i="45"/>
  <c r="EF5" i="45"/>
  <c r="EC3" i="45"/>
  <c r="ED3" i="45" s="1"/>
  <c r="ED5" i="45" s="1"/>
  <c r="EC7" i="45"/>
  <c r="EO6" i="45"/>
  <c r="EC9" i="45"/>
  <c r="EC6" i="45"/>
  <c r="D6" i="45"/>
  <c r="K40" i="14"/>
  <c r="J40" i="14"/>
  <c r="Q38" i="14"/>
  <c r="S39" i="14"/>
  <c r="Q37" i="14"/>
  <c r="O39" i="14"/>
  <c r="C31" i="48"/>
  <c r="I31" i="48"/>
  <c r="I30" i="48"/>
  <c r="O30" i="48"/>
  <c r="Q31" i="48"/>
  <c r="Q30" i="48"/>
  <c r="D32" i="48"/>
  <c r="C32" i="48"/>
  <c r="O31" i="48"/>
  <c r="D10" i="45"/>
  <c r="I41" i="14" l="1"/>
  <c r="B33" i="48"/>
  <c r="E6" i="45"/>
  <c r="EC5" i="45"/>
  <c r="EB5" i="45"/>
  <c r="K41" i="14"/>
  <c r="V9" i="6"/>
  <c r="W9" i="6"/>
  <c r="O40" i="14"/>
  <c r="S40" i="14"/>
  <c r="Q39" i="14"/>
  <c r="Q32" i="48"/>
  <c r="R31" i="48"/>
  <c r="C33" i="48"/>
  <c r="L9" i="48"/>
  <c r="L23" i="48"/>
  <c r="L27" i="48"/>
  <c r="L31" i="48"/>
  <c r="L22" i="48"/>
  <c r="K9" i="48"/>
  <c r="K15" i="48"/>
  <c r="K21" i="48"/>
  <c r="K18" i="48"/>
  <c r="K28" i="48"/>
  <c r="L13" i="48"/>
  <c r="K31" i="48"/>
  <c r="K19" i="48"/>
  <c r="K26" i="48"/>
  <c r="L18" i="48"/>
  <c r="K22" i="48"/>
  <c r="K17" i="48"/>
  <c r="L17" i="48"/>
  <c r="S31" i="48"/>
  <c r="O32" i="48"/>
  <c r="L14" i="48"/>
  <c r="K12" i="48"/>
  <c r="K13" i="48"/>
  <c r="L12" i="48"/>
  <c r="L25" i="48"/>
  <c r="L16" i="48"/>
  <c r="L24" i="48"/>
  <c r="K30" i="48"/>
  <c r="S30" i="48"/>
  <c r="L28" i="48"/>
  <c r="I32" i="48"/>
  <c r="K29" i="48"/>
  <c r="R30" i="48"/>
  <c r="K27" i="48"/>
  <c r="L20" i="48"/>
  <c r="L26" i="48"/>
  <c r="EK8" i="45"/>
  <c r="EO10" i="45"/>
  <c r="D11" i="45"/>
  <c r="EF8" i="45"/>
  <c r="C10" i="45"/>
  <c r="C11" i="45"/>
  <c r="EG8" i="45"/>
  <c r="EJ8" i="45"/>
  <c r="EC8" i="45"/>
  <c r="E10" i="45"/>
  <c r="EB8" i="45"/>
  <c r="L30" i="48"/>
  <c r="L29" i="48"/>
  <c r="L15" i="48"/>
  <c r="L21" i="48"/>
  <c r="K24" i="48"/>
  <c r="K23" i="48"/>
  <c r="K25" i="48"/>
  <c r="K20" i="48"/>
  <c r="K14" i="48"/>
  <c r="K16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J41" i="14"/>
  <c r="C34" i="48"/>
  <c r="L32" i="48"/>
  <c r="L19" i="48"/>
  <c r="H10" i="45"/>
  <c r="I10" i="45"/>
  <c r="BI10" i="45"/>
  <c r="BX10" i="45"/>
  <c r="AS10" i="45"/>
  <c r="CG10" i="45"/>
  <c r="CK10" i="45"/>
  <c r="AZ10" i="45"/>
  <c r="BY10" i="45"/>
  <c r="BQ10" i="45"/>
  <c r="AR10" i="45"/>
  <c r="D12" i="45"/>
  <c r="AW10" i="45"/>
  <c r="CW10" i="45"/>
  <c r="BE10" i="45"/>
  <c r="X10" i="45"/>
  <c r="AK10" i="45"/>
  <c r="BL10" i="45"/>
  <c r="CF10" i="45"/>
  <c r="U10" i="45"/>
  <c r="DI10" i="45"/>
  <c r="AB10" i="45"/>
  <c r="CZ10" i="45"/>
  <c r="BA10" i="45"/>
  <c r="BT10" i="45"/>
  <c r="BU10" i="45"/>
  <c r="CN10" i="45"/>
  <c r="CB10" i="45"/>
  <c r="AG10" i="45"/>
  <c r="CC10" i="45"/>
  <c r="T10" i="45"/>
  <c r="AC10" i="45"/>
  <c r="BH10" i="45"/>
  <c r="AF10" i="45"/>
  <c r="Q10" i="45"/>
  <c r="Y10" i="45"/>
  <c r="BD10" i="45"/>
  <c r="BM10" i="45"/>
  <c r="M10" i="45"/>
  <c r="EO11" i="45"/>
  <c r="AO10" i="45"/>
  <c r="E11" i="45"/>
  <c r="CV10" i="45"/>
  <c r="AV10" i="45"/>
  <c r="CO10" i="45"/>
  <c r="AN10" i="45"/>
  <c r="L10" i="45"/>
  <c r="P10" i="45"/>
  <c r="AJ10" i="45"/>
  <c r="BP10" i="45"/>
  <c r="CJ10" i="45"/>
  <c r="J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BN10" i="45"/>
  <c r="BR10" i="45"/>
  <c r="M19" i="48"/>
  <c r="V19" i="48" s="1"/>
  <c r="BV10" i="45"/>
  <c r="BZ10" i="45"/>
  <c r="CD10" i="45"/>
  <c r="CH10" i="45"/>
  <c r="CL10" i="45"/>
  <c r="CP10" i="45"/>
  <c r="CX10" i="45"/>
  <c r="Q40" i="14"/>
  <c r="V11" i="6"/>
  <c r="H11" i="45"/>
  <c r="I11" i="45"/>
  <c r="Y11" i="45"/>
  <c r="AZ11" i="45"/>
  <c r="AS11" i="45"/>
  <c r="CG11" i="45"/>
  <c r="M11" i="45"/>
  <c r="CR10" i="45"/>
  <c r="CK11" i="45"/>
  <c r="DM10" i="45"/>
  <c r="CN11" i="45"/>
  <c r="CO11" i="45"/>
  <c r="BD11" i="45"/>
  <c r="CW11" i="45"/>
  <c r="BM11" i="45"/>
  <c r="BQ11" i="45"/>
  <c r="DA10" i="45"/>
  <c r="CJ11" i="45"/>
  <c r="X11" i="45"/>
  <c r="AG11" i="45"/>
  <c r="DL10" i="45"/>
  <c r="BU11" i="45"/>
  <c r="T11" i="45"/>
  <c r="BA11" i="45"/>
  <c r="DY10" i="45"/>
  <c r="EF10" i="45"/>
  <c r="BT11" i="45"/>
  <c r="AR11" i="45"/>
  <c r="DT10" i="45"/>
  <c r="BY11" i="45"/>
  <c r="L11" i="45"/>
  <c r="BI11" i="45"/>
  <c r="CC11" i="45"/>
  <c r="BH11" i="45"/>
  <c r="EK10" i="45"/>
  <c r="CB11" i="45"/>
  <c r="AB11" i="45"/>
  <c r="AJ11" i="45"/>
  <c r="CF11" i="45"/>
  <c r="AV11" i="45"/>
  <c r="AN11" i="45"/>
  <c r="BP11" i="45"/>
  <c r="Q11" i="45"/>
  <c r="EG10" i="45"/>
  <c r="AO11" i="45"/>
  <c r="AC11" i="45"/>
  <c r="BE11" i="45"/>
  <c r="U11" i="45"/>
  <c r="AF11" i="45"/>
  <c r="CV11" i="45"/>
  <c r="DP10" i="45"/>
  <c r="P11" i="45"/>
  <c r="DQ10" i="45"/>
  <c r="BX11" i="45"/>
  <c r="BL11" i="45"/>
  <c r="AW11" i="45"/>
  <c r="AK11" i="45"/>
  <c r="J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L11" i="45"/>
  <c r="CP11" i="45"/>
  <c r="CX11" i="45"/>
  <c r="S41" i="14"/>
  <c r="W11" i="6"/>
  <c r="D34" i="48"/>
  <c r="K32" i="48"/>
  <c r="C12" i="45"/>
  <c r="DH10" i="45"/>
  <c r="EB10" i="45"/>
  <c r="CS10" i="45"/>
  <c r="CT10" i="45" l="1"/>
  <c r="DB10" i="45"/>
  <c r="DJ10" i="45"/>
  <c r="DN10" i="45"/>
  <c r="J42" i="14"/>
  <c r="CS11" i="45"/>
  <c r="CR11" i="45"/>
  <c r="DM11" i="45"/>
  <c r="EC10" i="45"/>
  <c r="DA11" i="45"/>
  <c r="CZ11" i="45"/>
  <c r="DX10" i="45"/>
  <c r="DI11" i="45"/>
  <c r="DH11" i="45"/>
  <c r="CT11" i="45" l="1"/>
  <c r="DB11" i="45"/>
  <c r="DJ11" i="45"/>
  <c r="DD10" i="45"/>
  <c r="EJ10" i="45"/>
  <c r="DL11" i="45"/>
  <c r="DN11" i="45" l="1"/>
  <c r="K42" i="14"/>
  <c r="O41" i="14"/>
  <c r="D33" i="48"/>
  <c r="R32" i="48"/>
  <c r="S32" i="48"/>
  <c r="E12" i="45"/>
  <c r="DE10" i="45"/>
  <c r="DU10" i="45"/>
  <c r="DF10" i="45" l="1"/>
  <c r="DR10" i="45"/>
  <c r="DV10" i="45"/>
  <c r="DZ10" i="45"/>
  <c r="X11" i="6"/>
  <c r="N11" i="6" s="1"/>
  <c r="M32" i="48"/>
  <c r="V32" i="48" s="1"/>
  <c r="EL10" i="45"/>
  <c r="I43" i="14"/>
  <c r="B35" i="48"/>
  <c r="ED10" i="45"/>
  <c r="EH10" i="45"/>
  <c r="Q41" i="14"/>
  <c r="S42" i="14"/>
  <c r="J43" i="14"/>
  <c r="O42" i="14"/>
  <c r="Q33" i="48"/>
  <c r="I34" i="48"/>
  <c r="I33" i="48"/>
  <c r="C35" i="48"/>
  <c r="O34" i="48"/>
  <c r="Q34" i="48"/>
  <c r="D35" i="48"/>
  <c r="O33" i="48"/>
  <c r="DU11" i="45"/>
  <c r="DY11" i="45"/>
  <c r="EC11" i="45"/>
  <c r="DE11" i="45"/>
  <c r="EK11" i="45"/>
  <c r="DP11" i="45"/>
  <c r="DT11" i="45"/>
  <c r="EJ11" i="45"/>
  <c r="EO12" i="45"/>
  <c r="E13" i="45"/>
  <c r="EG11" i="45"/>
  <c r="EB11" i="45"/>
  <c r="EF11" i="45"/>
  <c r="DQ11" i="45"/>
  <c r="DX11" i="45"/>
  <c r="DD11" i="45"/>
  <c r="DF11" i="45" l="1"/>
  <c r="DR11" i="45"/>
  <c r="DV11" i="45"/>
  <c r="DZ11" i="45"/>
  <c r="EL11" i="45"/>
  <c r="I44" i="14"/>
  <c r="B36" i="48"/>
  <c r="ED11" i="45"/>
  <c r="EH11" i="45"/>
  <c r="K44" i="14"/>
  <c r="K43" i="14"/>
  <c r="Q42" i="14"/>
  <c r="L33" i="48"/>
  <c r="R34" i="48"/>
  <c r="L34" i="48"/>
  <c r="S33" i="48"/>
  <c r="R33" i="48"/>
  <c r="H12" i="45"/>
  <c r="I12" i="45"/>
  <c r="U12" i="45"/>
  <c r="CK12" i="45"/>
  <c r="DI12" i="45"/>
  <c r="BA12" i="45"/>
  <c r="DL12" i="45"/>
  <c r="CV12" i="45"/>
  <c r="BI12" i="45"/>
  <c r="AF12" i="45"/>
  <c r="BT12" i="45"/>
  <c r="DM12" i="45"/>
  <c r="AB12" i="45"/>
  <c r="T12" i="45"/>
  <c r="CZ12" i="45"/>
  <c r="M12" i="45"/>
  <c r="BP12" i="45"/>
  <c r="CO12" i="45"/>
  <c r="BE12" i="45"/>
  <c r="AS12" i="45"/>
  <c r="CG12" i="45"/>
  <c r="AR12" i="45"/>
  <c r="P12" i="45"/>
  <c r="CR12" i="45"/>
  <c r="EJ12" i="45"/>
  <c r="Y12" i="45"/>
  <c r="X12" i="45"/>
  <c r="BM12" i="45"/>
  <c r="BU12" i="45"/>
  <c r="CF12" i="45"/>
  <c r="DH12" i="45"/>
  <c r="L12" i="45"/>
  <c r="AG12" i="45"/>
  <c r="CB12" i="45"/>
  <c r="AO12" i="45"/>
  <c r="AV12" i="45"/>
  <c r="CN12" i="45"/>
  <c r="AJ12" i="45"/>
  <c r="BQ12" i="45"/>
  <c r="AW12" i="45"/>
  <c r="AK12" i="45"/>
  <c r="AC12" i="45"/>
  <c r="AN12" i="45"/>
  <c r="Q12" i="45"/>
  <c r="CJ12" i="45"/>
  <c r="CW12" i="45"/>
  <c r="DA12" i="45"/>
  <c r="BX12" i="45"/>
  <c r="BH12" i="45"/>
  <c r="CC12" i="45"/>
  <c r="EB12" i="45"/>
  <c r="BL12" i="45"/>
  <c r="BD12" i="45"/>
  <c r="DX12" i="45"/>
  <c r="AZ12" i="45"/>
  <c r="BY12" i="45"/>
  <c r="J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L12" i="45"/>
  <c r="CP12" i="45"/>
  <c r="CX12" i="45"/>
  <c r="K33" i="48"/>
  <c r="I35" i="48"/>
  <c r="CS12" i="45"/>
  <c r="CT12" i="45" l="1"/>
  <c r="DB12" i="45"/>
  <c r="DJ12" i="45"/>
  <c r="DN12" i="45"/>
  <c r="J44" i="14"/>
  <c r="Q35" i="48"/>
  <c r="D36" i="48"/>
  <c r="S34" i="48"/>
  <c r="C36" i="48"/>
  <c r="O35" i="48"/>
  <c r="K34" i="48"/>
  <c r="DQ12" i="45"/>
  <c r="EF12" i="45"/>
  <c r="C13" i="45"/>
  <c r="DP12" i="45"/>
  <c r="DT12" i="45"/>
  <c r="DY12" i="45"/>
  <c r="D13" i="45"/>
  <c r="D14" i="45"/>
  <c r="EC12" i="45"/>
  <c r="DU12" i="45"/>
  <c r="DE12" i="45"/>
  <c r="EG12" i="45"/>
  <c r="E14" i="45"/>
  <c r="C14" i="45"/>
  <c r="DD12" i="45"/>
  <c r="EK12" i="45"/>
  <c r="DF12" i="45" l="1"/>
  <c r="DR12" i="45"/>
  <c r="DV12" i="45"/>
  <c r="DZ12" i="45"/>
  <c r="M33" i="48"/>
  <c r="V33" i="48" s="1"/>
  <c r="M34" i="48"/>
  <c r="V34" i="48" s="1"/>
  <c r="EL12" i="45"/>
  <c r="I45" i="14"/>
  <c r="B37" i="48"/>
  <c r="EH12" i="45"/>
  <c r="ED12" i="45"/>
  <c r="S43" i="14"/>
  <c r="O43" i="14"/>
  <c r="S44" i="14"/>
  <c r="K45" i="14"/>
  <c r="J45" i="14"/>
  <c r="O44" i="14"/>
  <c r="K35" i="48"/>
  <c r="L35" i="48"/>
  <c r="Q36" i="48"/>
  <c r="S35" i="48"/>
  <c r="I36" i="48"/>
  <c r="O36" i="48"/>
  <c r="R35" i="48"/>
  <c r="D37" i="48"/>
  <c r="C15" i="45"/>
  <c r="EO14" i="45"/>
  <c r="EO13" i="45"/>
  <c r="D15" i="45"/>
  <c r="E15" i="45"/>
  <c r="M35" i="48" l="1"/>
  <c r="V35" i="48" s="1"/>
  <c r="I46" i="14"/>
  <c r="B38" i="48"/>
  <c r="K36" i="48"/>
  <c r="H13" i="45"/>
  <c r="I13" i="45"/>
  <c r="H14" i="45"/>
  <c r="I14" i="45"/>
  <c r="AG14" i="45"/>
  <c r="BU13" i="45"/>
  <c r="CJ14" i="45"/>
  <c r="CG14" i="45"/>
  <c r="BT13" i="45"/>
  <c r="BL13" i="45"/>
  <c r="CK14" i="45"/>
  <c r="BY13" i="45"/>
  <c r="BT14" i="45"/>
  <c r="CO14" i="45"/>
  <c r="X13" i="45"/>
  <c r="BM14" i="45"/>
  <c r="AC14" i="45"/>
  <c r="CW13" i="45"/>
  <c r="BI13" i="45"/>
  <c r="CC14" i="45"/>
  <c r="U13" i="45"/>
  <c r="BM13" i="45"/>
  <c r="AB13" i="45"/>
  <c r="AS13" i="45"/>
  <c r="AN14" i="45"/>
  <c r="BQ14" i="45"/>
  <c r="AR14" i="45"/>
  <c r="BA13" i="45"/>
  <c r="X14" i="45"/>
  <c r="CC13" i="45"/>
  <c r="CJ13" i="45"/>
  <c r="L13" i="45"/>
  <c r="BL14" i="45"/>
  <c r="BX14" i="45"/>
  <c r="BE14" i="45"/>
  <c r="AZ14" i="45"/>
  <c r="BH14" i="45"/>
  <c r="BY14" i="45"/>
  <c r="AK13" i="45"/>
  <c r="M13" i="45"/>
  <c r="AF14" i="45"/>
  <c r="CB13" i="45"/>
  <c r="CF14" i="45"/>
  <c r="BH13" i="45"/>
  <c r="DH14" i="45"/>
  <c r="Y14" i="45"/>
  <c r="T14" i="45"/>
  <c r="BI14" i="45"/>
  <c r="AF13" i="45"/>
  <c r="Q14" i="45"/>
  <c r="P13" i="45"/>
  <c r="AW13" i="45"/>
  <c r="T13" i="45"/>
  <c r="BP14" i="45"/>
  <c r="CN13" i="45"/>
  <c r="CG13" i="45"/>
  <c r="CN14" i="45"/>
  <c r="AK14" i="45"/>
  <c r="DA13" i="45"/>
  <c r="CW14" i="45"/>
  <c r="AZ13" i="45"/>
  <c r="AJ13" i="45"/>
  <c r="BU14" i="45"/>
  <c r="BE13" i="45"/>
  <c r="AG13" i="45"/>
  <c r="BX13" i="45"/>
  <c r="AN13" i="45"/>
  <c r="AW14" i="45"/>
  <c r="AB14" i="45"/>
  <c r="CK13" i="45"/>
  <c r="M14" i="45"/>
  <c r="CO13" i="45"/>
  <c r="BQ13" i="45"/>
  <c r="AJ14" i="45"/>
  <c r="AR13" i="45"/>
  <c r="CF13" i="45"/>
  <c r="L14" i="45"/>
  <c r="AV13" i="45"/>
  <c r="AO14" i="45"/>
  <c r="Q13" i="45"/>
  <c r="U14" i="45"/>
  <c r="AC13" i="45"/>
  <c r="BP13" i="45"/>
  <c r="AO13" i="45"/>
  <c r="CB14" i="45"/>
  <c r="Y13" i="45"/>
  <c r="BD13" i="45"/>
  <c r="CV13" i="45"/>
  <c r="BD14" i="45"/>
  <c r="BA14" i="45"/>
  <c r="CV14" i="45"/>
  <c r="AS14" i="45"/>
  <c r="P14" i="45"/>
  <c r="AV14" i="45"/>
  <c r="J14" i="45" l="1"/>
  <c r="J13" i="45"/>
  <c r="N14" i="45"/>
  <c r="N13" i="45"/>
  <c r="R14" i="45"/>
  <c r="R13" i="45"/>
  <c r="V13" i="45"/>
  <c r="V14" i="45"/>
  <c r="Z13" i="45"/>
  <c r="Z14" i="45"/>
  <c r="AD14" i="45"/>
  <c r="AD13" i="45"/>
  <c r="AH13" i="45"/>
  <c r="AH14" i="45"/>
  <c r="AL13" i="45"/>
  <c r="AL14" i="45"/>
  <c r="AP13" i="45"/>
  <c r="AP14" i="45"/>
  <c r="AT14" i="45"/>
  <c r="AT13" i="45"/>
  <c r="AX13" i="45"/>
  <c r="AX14" i="45"/>
  <c r="BB14" i="45"/>
  <c r="BB13" i="45"/>
  <c r="BF14" i="45"/>
  <c r="BF13" i="45"/>
  <c r="BJ14" i="45"/>
  <c r="BJ13" i="45"/>
  <c r="BN13" i="45"/>
  <c r="BN14" i="45"/>
  <c r="BR14" i="45"/>
  <c r="BR13" i="45"/>
  <c r="BV13" i="45"/>
  <c r="BV14" i="45"/>
  <c r="BZ14" i="45"/>
  <c r="BZ13" i="45"/>
  <c r="CD14" i="45"/>
  <c r="CD13" i="45"/>
  <c r="CH13" i="45"/>
  <c r="CH14" i="45"/>
  <c r="CL13" i="45"/>
  <c r="CL14" i="45"/>
  <c r="CP14" i="45"/>
  <c r="CP13" i="45"/>
  <c r="CX13" i="45"/>
  <c r="CX14" i="45"/>
  <c r="C38" i="48"/>
  <c r="DM13" i="45"/>
  <c r="EG13" i="45"/>
  <c r="DH13" i="45"/>
  <c r="DI14" i="45"/>
  <c r="DI13" i="45"/>
  <c r="DY13" i="45"/>
  <c r="CS13" i="45"/>
  <c r="DA14" i="45"/>
  <c r="DL14" i="45"/>
  <c r="DL13" i="45"/>
  <c r="CR13" i="45"/>
  <c r="CZ14" i="45"/>
  <c r="DM14" i="45"/>
  <c r="CS14" i="45"/>
  <c r="CZ13" i="45"/>
  <c r="CT13" i="45" l="1"/>
  <c r="DB14" i="45"/>
  <c r="DB13" i="45"/>
  <c r="DJ13" i="45"/>
  <c r="DJ14" i="45"/>
  <c r="DN13" i="45"/>
  <c r="DN14" i="45"/>
  <c r="K46" i="14"/>
  <c r="S45" i="14"/>
  <c r="C37" i="48"/>
  <c r="Q37" i="48"/>
  <c r="DD13" i="45"/>
  <c r="CR14" i="45"/>
  <c r="DE13" i="45"/>
  <c r="EF13" i="45"/>
  <c r="EC13" i="45"/>
  <c r="DX14" i="45"/>
  <c r="EJ14" i="45"/>
  <c r="EK14" i="45"/>
  <c r="DY14" i="45"/>
  <c r="EB14" i="45"/>
  <c r="DU13" i="45"/>
  <c r="EO15" i="45"/>
  <c r="EJ13" i="45"/>
  <c r="CT14" i="45" l="1"/>
  <c r="DF13" i="45"/>
  <c r="DZ14" i="45"/>
  <c r="EH13" i="45"/>
  <c r="EL14" i="45"/>
  <c r="I47" i="14"/>
  <c r="B39" i="48"/>
  <c r="Q43" i="14"/>
  <c r="Q44" i="14"/>
  <c r="O45" i="14"/>
  <c r="O46" i="14"/>
  <c r="J46" i="14"/>
  <c r="J47" i="14"/>
  <c r="K47" i="14"/>
  <c r="O37" i="48"/>
  <c r="I37" i="48"/>
  <c r="L36" i="48"/>
  <c r="R36" i="48"/>
  <c r="H15" i="45"/>
  <c r="I15" i="45"/>
  <c r="BY15" i="45"/>
  <c r="AZ15" i="45"/>
  <c r="AV15" i="45"/>
  <c r="U15" i="45"/>
  <c r="EF14" i="45"/>
  <c r="Y15" i="45"/>
  <c r="CC15" i="45"/>
  <c r="D16" i="45"/>
  <c r="DD14" i="45"/>
  <c r="BT15" i="45"/>
  <c r="BA15" i="45"/>
  <c r="CF15" i="45"/>
  <c r="BU15" i="45"/>
  <c r="DH15" i="45"/>
  <c r="AG15" i="45"/>
  <c r="AK15" i="45"/>
  <c r="CV15" i="45"/>
  <c r="Q15" i="45"/>
  <c r="AW15" i="45"/>
  <c r="EK13" i="45"/>
  <c r="DX15" i="45"/>
  <c r="E16" i="45"/>
  <c r="EF15" i="45"/>
  <c r="DE14" i="45"/>
  <c r="EB13" i="45"/>
  <c r="EC14" i="45"/>
  <c r="BL15" i="45"/>
  <c r="CB15" i="45"/>
  <c r="AC15" i="45"/>
  <c r="CK15" i="45"/>
  <c r="AR15" i="45"/>
  <c r="X15" i="45"/>
  <c r="BH15" i="45"/>
  <c r="DQ14" i="45"/>
  <c r="DA15" i="45"/>
  <c r="DX13" i="45"/>
  <c r="T15" i="45"/>
  <c r="EC15" i="45"/>
  <c r="DI15" i="45"/>
  <c r="DQ13" i="45"/>
  <c r="CG15" i="45"/>
  <c r="CZ15" i="45"/>
  <c r="CN15" i="45"/>
  <c r="BM15" i="45"/>
  <c r="CJ15" i="45"/>
  <c r="AB15" i="45"/>
  <c r="AF15" i="45"/>
  <c r="EG14" i="45"/>
  <c r="DT13" i="45"/>
  <c r="DP13" i="45"/>
  <c r="BP15" i="45"/>
  <c r="AN15" i="45"/>
  <c r="AS15" i="45"/>
  <c r="AJ15" i="45"/>
  <c r="CW15" i="45"/>
  <c r="BI15" i="45"/>
  <c r="BD15" i="45"/>
  <c r="P15" i="45"/>
  <c r="BX15" i="45"/>
  <c r="BQ15" i="45"/>
  <c r="M15" i="45"/>
  <c r="DY15" i="45"/>
  <c r="CO15" i="45"/>
  <c r="L15" i="45"/>
  <c r="AO15" i="45"/>
  <c r="BE15" i="45"/>
  <c r="DU14" i="45"/>
  <c r="DT14" i="45"/>
  <c r="J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L15" i="45"/>
  <c r="CP15" i="45"/>
  <c r="CX15" i="45"/>
  <c r="S36" i="48"/>
  <c r="DE15" i="45"/>
  <c r="DP14" i="45"/>
  <c r="DM15" i="45"/>
  <c r="DL15" i="45"/>
  <c r="EK15" i="45"/>
  <c r="CS15" i="45"/>
  <c r="C16" i="45"/>
  <c r="EJ15" i="45"/>
  <c r="DB15" i="45" l="1"/>
  <c r="DZ13" i="45"/>
  <c r="DR14" i="45"/>
  <c r="ED13" i="45"/>
  <c r="DR13" i="45"/>
  <c r="DV13" i="45"/>
  <c r="DJ15" i="45"/>
  <c r="EH14" i="45"/>
  <c r="M36" i="48"/>
  <c r="V36" i="48" s="1"/>
  <c r="ED14" i="45"/>
  <c r="DV14" i="45"/>
  <c r="DF14" i="45"/>
  <c r="EL13" i="45"/>
  <c r="DN15" i="45"/>
  <c r="Q45" i="14"/>
  <c r="S46" i="14"/>
  <c r="R37" i="48"/>
  <c r="L37" i="48"/>
  <c r="D39" i="48"/>
  <c r="C39" i="48"/>
  <c r="D38" i="48"/>
  <c r="S37" i="48"/>
  <c r="K37" i="48"/>
  <c r="DU15" i="45"/>
  <c r="EO16" i="45"/>
  <c r="EG15" i="45"/>
  <c r="CR15" i="45"/>
  <c r="DD15" i="45"/>
  <c r="EB15" i="45"/>
  <c r="DP15" i="45"/>
  <c r="DT15" i="45"/>
  <c r="DQ15" i="45"/>
  <c r="CT15" i="45" l="1"/>
  <c r="DF15" i="45"/>
  <c r="DR15" i="45"/>
  <c r="DV15" i="45"/>
  <c r="DZ15" i="45"/>
  <c r="M37" i="48"/>
  <c r="V37" i="48" s="1"/>
  <c r="EL15" i="45"/>
  <c r="I48" i="14"/>
  <c r="B40" i="48"/>
  <c r="ED15" i="45"/>
  <c r="EH15" i="45"/>
  <c r="Q46" i="14"/>
  <c r="O47" i="14"/>
  <c r="J48" i="14"/>
  <c r="O39" i="48"/>
  <c r="D40" i="48"/>
  <c r="I39" i="48"/>
  <c r="H16" i="45"/>
  <c r="I16" i="45"/>
  <c r="DI16" i="45"/>
  <c r="AC16" i="45"/>
  <c r="CR16" i="45"/>
  <c r="DA16" i="45"/>
  <c r="BA16" i="45"/>
  <c r="BE16" i="45"/>
  <c r="BP16" i="45"/>
  <c r="AF16" i="45"/>
  <c r="Y16" i="45"/>
  <c r="CW16" i="45"/>
  <c r="Q16" i="45"/>
  <c r="AK16" i="45"/>
  <c r="AB16" i="45"/>
  <c r="T16" i="45"/>
  <c r="BY16" i="45"/>
  <c r="AN16" i="45"/>
  <c r="CO16" i="45"/>
  <c r="CZ16" i="45"/>
  <c r="AO16" i="45"/>
  <c r="AW16" i="45"/>
  <c r="BM16" i="45"/>
  <c r="CF16" i="45"/>
  <c r="CV16" i="45"/>
  <c r="BU16" i="45"/>
  <c r="U16" i="45"/>
  <c r="AV16" i="45"/>
  <c r="BL16" i="45"/>
  <c r="DT16" i="45"/>
  <c r="P16" i="45"/>
  <c r="AS16" i="45"/>
  <c r="M16" i="45"/>
  <c r="EK16" i="45"/>
  <c r="X16" i="45"/>
  <c r="AZ16" i="45"/>
  <c r="BI16" i="45"/>
  <c r="L16" i="45"/>
  <c r="CK16" i="45"/>
  <c r="CJ16" i="45"/>
  <c r="AR16" i="45"/>
  <c r="CB16" i="45"/>
  <c r="CG16" i="45"/>
  <c r="AJ16" i="45"/>
  <c r="DQ16" i="45"/>
  <c r="DY16" i="45"/>
  <c r="CC16" i="45"/>
  <c r="DL16" i="45"/>
  <c r="BD16" i="45"/>
  <c r="BQ16" i="45"/>
  <c r="AG16" i="45"/>
  <c r="DU16" i="45"/>
  <c r="BX16" i="45"/>
  <c r="EC16" i="45"/>
  <c r="BT16" i="45"/>
  <c r="DD16" i="45"/>
  <c r="DH16" i="45"/>
  <c r="CN16" i="45"/>
  <c r="BH16" i="45"/>
  <c r="J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L16" i="45"/>
  <c r="CP16" i="45"/>
  <c r="CX16" i="45"/>
  <c r="S47" i="14"/>
  <c r="I38" i="48"/>
  <c r="Q38" i="48"/>
  <c r="C40" i="48"/>
  <c r="O38" i="48"/>
  <c r="Q39" i="48"/>
  <c r="DM16" i="45"/>
  <c r="DE16" i="45"/>
  <c r="CS16" i="45"/>
  <c r="C17" i="45"/>
  <c r="EF16" i="45"/>
  <c r="EG16" i="45"/>
  <c r="DX16" i="45"/>
  <c r="EB16" i="45"/>
  <c r="DP16" i="45"/>
  <c r="EJ16" i="45"/>
  <c r="E17" i="45"/>
  <c r="DB16" i="45" l="1"/>
  <c r="CT16" i="45"/>
  <c r="DJ16" i="45"/>
  <c r="DN16" i="45"/>
  <c r="DF16" i="45"/>
  <c r="DR16" i="45"/>
  <c r="DV16" i="45"/>
  <c r="DZ16" i="45"/>
  <c r="EL16" i="45"/>
  <c r="I49" i="14"/>
  <c r="B41" i="48"/>
  <c r="ED16" i="45"/>
  <c r="EH16" i="45"/>
  <c r="K49" i="14"/>
  <c r="K48" i="14"/>
  <c r="Q47" i="14"/>
  <c r="J49" i="14"/>
  <c r="L38" i="48"/>
  <c r="R38" i="48"/>
  <c r="S38" i="48"/>
  <c r="D41" i="48"/>
  <c r="R39" i="48"/>
  <c r="S39" i="48"/>
  <c r="L39" i="48"/>
  <c r="K39" i="48"/>
  <c r="Q40" i="48"/>
  <c r="I40" i="48"/>
  <c r="C41" i="48"/>
  <c r="K38" i="48"/>
  <c r="O40" i="48"/>
  <c r="D17" i="45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J50" i="14"/>
  <c r="O49" i="14"/>
  <c r="S48" i="14"/>
  <c r="O48" i="14"/>
  <c r="S49" i="14"/>
  <c r="L40" i="48"/>
  <c r="K40" i="48"/>
  <c r="O41" i="48"/>
  <c r="C42" i="48"/>
  <c r="R40" i="48"/>
  <c r="D42" i="48"/>
  <c r="S40" i="48"/>
  <c r="I41" i="48"/>
  <c r="Q41" i="48"/>
  <c r="D18" i="45"/>
  <c r="C18" i="45"/>
  <c r="EO17" i="45"/>
  <c r="M40" i="48" l="1"/>
  <c r="V40" i="48" s="1"/>
  <c r="AF40" i="48"/>
  <c r="AK40" i="48"/>
  <c r="AA40" i="48"/>
  <c r="I51" i="14"/>
  <c r="B43" i="48"/>
  <c r="K50" i="14"/>
  <c r="H17" i="45"/>
  <c r="I17" i="45"/>
  <c r="BX17" i="45"/>
  <c r="AF17" i="45"/>
  <c r="CK17" i="45"/>
  <c r="AC17" i="45"/>
  <c r="AB17" i="45"/>
  <c r="AJ17" i="45"/>
  <c r="AG17" i="45"/>
  <c r="BL17" i="45"/>
  <c r="BH17" i="45"/>
  <c r="U17" i="45"/>
  <c r="CG17" i="45"/>
  <c r="AK17" i="45"/>
  <c r="P17" i="45"/>
  <c r="AW17" i="45"/>
  <c r="CO17" i="45"/>
  <c r="CW17" i="45"/>
  <c r="CF17" i="45"/>
  <c r="AV17" i="45"/>
  <c r="Y17" i="45"/>
  <c r="BD17" i="45"/>
  <c r="BT17" i="45"/>
  <c r="CJ17" i="45"/>
  <c r="BU17" i="45"/>
  <c r="X17" i="45"/>
  <c r="BA17" i="45"/>
  <c r="BP17" i="45"/>
  <c r="BE17" i="45"/>
  <c r="BM17" i="45"/>
  <c r="Q17" i="45"/>
  <c r="DH17" i="45"/>
  <c r="AO17" i="45"/>
  <c r="CB17" i="45"/>
  <c r="M17" i="45"/>
  <c r="CC17" i="45"/>
  <c r="T17" i="45"/>
  <c r="AR17" i="45"/>
  <c r="CV17" i="45"/>
  <c r="L17" i="45"/>
  <c r="AS17" i="45"/>
  <c r="CN17" i="45"/>
  <c r="BI17" i="45"/>
  <c r="BQ17" i="45"/>
  <c r="DI17" i="45"/>
  <c r="BY17" i="45"/>
  <c r="AZ17" i="45"/>
  <c r="AN17" i="45"/>
  <c r="J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L17" i="45"/>
  <c r="CP17" i="45"/>
  <c r="CX17" i="45"/>
  <c r="O50" i="14"/>
  <c r="CR17" i="45"/>
  <c r="CS17" i="45"/>
  <c r="DA17" i="45"/>
  <c r="DT17" i="45"/>
  <c r="DL17" i="45"/>
  <c r="CZ17" i="45"/>
  <c r="DM17" i="45"/>
  <c r="CT17" i="45" l="1"/>
  <c r="DB17" i="45"/>
  <c r="DJ17" i="45"/>
  <c r="DN17" i="45"/>
  <c r="K51" i="14"/>
  <c r="J51" i="14"/>
  <c r="S50" i="14"/>
  <c r="Q49" i="14"/>
  <c r="Q48" i="14"/>
  <c r="C43" i="48"/>
  <c r="L41" i="48"/>
  <c r="Q42" i="48"/>
  <c r="I42" i="48"/>
  <c r="S41" i="48"/>
  <c r="K41" i="48"/>
  <c r="O42" i="48"/>
  <c r="R41" i="48"/>
  <c r="C19" i="45"/>
  <c r="DP17" i="45"/>
  <c r="DY17" i="45"/>
  <c r="DX17" i="45"/>
  <c r="DD17" i="45"/>
  <c r="EG17" i="45"/>
  <c r="EK17" i="45"/>
  <c r="EO18" i="45"/>
  <c r="DE17" i="45"/>
  <c r="E19" i="45"/>
  <c r="EB17" i="45"/>
  <c r="DQ17" i="45"/>
  <c r="EJ17" i="45"/>
  <c r="D19" i="45"/>
  <c r="E18" i="45"/>
  <c r="DU17" i="45"/>
  <c r="EF17" i="45"/>
  <c r="EC17" i="45"/>
  <c r="DF17" i="45" l="1"/>
  <c r="DR17" i="45"/>
  <c r="DV17" i="45"/>
  <c r="DZ17" i="45"/>
  <c r="EL17" i="45"/>
  <c r="EH17" i="45"/>
  <c r="ED17" i="45"/>
  <c r="M41" i="48"/>
  <c r="V41" i="48" s="1"/>
  <c r="AK41" i="48"/>
  <c r="AA41" i="48"/>
  <c r="AF41" i="48"/>
  <c r="I52" i="14"/>
  <c r="B44" i="48"/>
  <c r="C44" i="48"/>
  <c r="R42" i="48"/>
  <c r="H18" i="45"/>
  <c r="I18" i="45"/>
  <c r="CZ18" i="45"/>
  <c r="CN18" i="45"/>
  <c r="M18" i="45"/>
  <c r="U18" i="45"/>
  <c r="DY18" i="45"/>
  <c r="BY18" i="45"/>
  <c r="BE18" i="45"/>
  <c r="E20" i="45"/>
  <c r="AN18" i="45"/>
  <c r="EO19" i="45"/>
  <c r="AO18" i="45"/>
  <c r="BI18" i="45"/>
  <c r="CG18" i="45"/>
  <c r="AR18" i="45"/>
  <c r="BL18" i="45"/>
  <c r="BP18" i="45"/>
  <c r="BA18" i="45"/>
  <c r="BD18" i="45"/>
  <c r="X18" i="45"/>
  <c r="CV18" i="45"/>
  <c r="CW18" i="45"/>
  <c r="CF18" i="45"/>
  <c r="AS18" i="45"/>
  <c r="AF18" i="45"/>
  <c r="CB18" i="45"/>
  <c r="AW18" i="45"/>
  <c r="CO18" i="45"/>
  <c r="T18" i="45"/>
  <c r="CC18" i="45"/>
  <c r="P18" i="45"/>
  <c r="BU18" i="45"/>
  <c r="AJ18" i="45"/>
  <c r="CJ18" i="45"/>
  <c r="BQ18" i="45"/>
  <c r="BX18" i="45"/>
  <c r="AC18" i="45"/>
  <c r="AB18" i="45"/>
  <c r="L18" i="45"/>
  <c r="AK18" i="45"/>
  <c r="BT18" i="45"/>
  <c r="BH18" i="45"/>
  <c r="AV18" i="45"/>
  <c r="AZ18" i="45"/>
  <c r="DL18" i="45"/>
  <c r="CK18" i="45"/>
  <c r="AG18" i="45"/>
  <c r="Q18" i="45"/>
  <c r="BM18" i="45"/>
  <c r="Y18" i="45"/>
  <c r="J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L18" i="45"/>
  <c r="CP18" i="45"/>
  <c r="CX18" i="45"/>
  <c r="Q50" i="14"/>
  <c r="S51" i="14"/>
  <c r="O51" i="14"/>
  <c r="K52" i="14"/>
  <c r="J52" i="14"/>
  <c r="K42" i="48"/>
  <c r="D44" i="48"/>
  <c r="H19" i="45"/>
  <c r="I19" i="45"/>
  <c r="BQ19" i="45"/>
  <c r="BH19" i="45"/>
  <c r="BU19" i="45"/>
  <c r="AB19" i="45"/>
  <c r="BE19" i="45"/>
  <c r="D20" i="45"/>
  <c r="EF18" i="45"/>
  <c r="AG19" i="45"/>
  <c r="T19" i="45"/>
  <c r="DX18" i="45"/>
  <c r="BL19" i="45"/>
  <c r="DT18" i="45"/>
  <c r="CN19" i="45"/>
  <c r="AZ19" i="45"/>
  <c r="AO19" i="45"/>
  <c r="CO19" i="45"/>
  <c r="BT19" i="45"/>
  <c r="EK18" i="45"/>
  <c r="DD18" i="45"/>
  <c r="CS18" i="45"/>
  <c r="AR19" i="45"/>
  <c r="CC19" i="45"/>
  <c r="M19" i="45"/>
  <c r="U19" i="45"/>
  <c r="CW19" i="45"/>
  <c r="CG19" i="45"/>
  <c r="BY19" i="45"/>
  <c r="DI18" i="45"/>
  <c r="DP18" i="45"/>
  <c r="AC19" i="45"/>
  <c r="AW19" i="45"/>
  <c r="BM19" i="45"/>
  <c r="EB18" i="45"/>
  <c r="CF19" i="45"/>
  <c r="DA18" i="45"/>
  <c r="DH18" i="45"/>
  <c r="BA19" i="45"/>
  <c r="AJ19" i="45"/>
  <c r="AF19" i="45"/>
  <c r="P19" i="45"/>
  <c r="AS19" i="45"/>
  <c r="Y19" i="45"/>
  <c r="AV19" i="45"/>
  <c r="Q19" i="45"/>
  <c r="CB19" i="45"/>
  <c r="DM18" i="45"/>
  <c r="EG18" i="45"/>
  <c r="AN19" i="45"/>
  <c r="AK19" i="45"/>
  <c r="CK19" i="45"/>
  <c r="BP19" i="45"/>
  <c r="L19" i="45"/>
  <c r="X19" i="45"/>
  <c r="BI19" i="45"/>
  <c r="CV19" i="45"/>
  <c r="CJ19" i="45"/>
  <c r="BD19" i="45"/>
  <c r="EJ18" i="45"/>
  <c r="BX19" i="45"/>
  <c r="J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L19" i="45"/>
  <c r="CP19" i="45"/>
  <c r="CX19" i="45"/>
  <c r="CR18" i="45"/>
  <c r="DB18" i="45" l="1"/>
  <c r="CT18" i="45"/>
  <c r="DJ18" i="45"/>
  <c r="DN18" i="45"/>
  <c r="L42" i="48"/>
  <c r="D43" i="48"/>
  <c r="DU18" i="45"/>
  <c r="C20" i="45"/>
  <c r="DI19" i="45"/>
  <c r="DH19" i="45"/>
  <c r="CS19" i="45"/>
  <c r="DA19" i="45"/>
  <c r="CZ19" i="45"/>
  <c r="DB19" i="45" l="1"/>
  <c r="DJ19" i="45"/>
  <c r="S42" i="48"/>
  <c r="DQ18" i="45"/>
  <c r="EC18" i="45"/>
  <c r="DL19" i="45"/>
  <c r="DE18" i="45"/>
  <c r="CR19" i="45"/>
  <c r="DM19" i="45"/>
  <c r="CT19" i="45" l="1"/>
  <c r="DN19" i="45"/>
  <c r="DF18" i="45"/>
  <c r="DR18" i="45"/>
  <c r="DV18" i="45"/>
  <c r="DZ18" i="45"/>
  <c r="M42" i="48"/>
  <c r="V42" i="48" s="1"/>
  <c r="EL18" i="45"/>
  <c r="AK42" i="48"/>
  <c r="AA42" i="48"/>
  <c r="AF42" i="48"/>
  <c r="I53" i="14"/>
  <c r="B45" i="48"/>
  <c r="ED18" i="45"/>
  <c r="EH18" i="45"/>
  <c r="Q51" i="14"/>
  <c r="J53" i="14"/>
  <c r="O52" i="14"/>
  <c r="S52" i="14"/>
  <c r="C45" i="48"/>
  <c r="I44" i="48"/>
  <c r="Q44" i="48"/>
  <c r="D45" i="48"/>
  <c r="Q43" i="48"/>
  <c r="O43" i="48"/>
  <c r="I43" i="48"/>
  <c r="O44" i="48"/>
  <c r="EO20" i="45"/>
  <c r="EK19" i="45"/>
  <c r="EJ19" i="45"/>
  <c r="D21" i="45"/>
  <c r="EB19" i="45"/>
  <c r="DT19" i="45"/>
  <c r="DX19" i="45"/>
  <c r="DQ19" i="45"/>
  <c r="EG19" i="45"/>
  <c r="C21" i="45"/>
  <c r="DP19" i="45"/>
  <c r="EF19" i="45"/>
  <c r="E21" i="45"/>
  <c r="DD19" i="45"/>
  <c r="DY19" i="45"/>
  <c r="DE19" i="45"/>
  <c r="EC19" i="45"/>
  <c r="DU19" i="45"/>
  <c r="DF19" i="45" l="1"/>
  <c r="DR19" i="45"/>
  <c r="DV19" i="45"/>
  <c r="DZ19" i="45"/>
  <c r="EL19" i="45"/>
  <c r="I54" i="14"/>
  <c r="B46" i="48"/>
  <c r="ED19" i="45"/>
  <c r="EH19" i="45"/>
  <c r="K53" i="14"/>
  <c r="S43" i="48"/>
  <c r="H20" i="45"/>
  <c r="I20" i="45"/>
  <c r="CB20" i="45"/>
  <c r="CK20" i="45"/>
  <c r="CO20" i="45"/>
  <c r="BE20" i="45"/>
  <c r="CV20" i="45"/>
  <c r="AO20" i="45"/>
  <c r="BU20" i="45"/>
  <c r="BL20" i="45"/>
  <c r="BH20" i="45"/>
  <c r="BT20" i="45"/>
  <c r="CW20" i="45"/>
  <c r="BX20" i="45"/>
  <c r="AK20" i="45"/>
  <c r="BP20" i="45"/>
  <c r="BA20" i="45"/>
  <c r="M20" i="45"/>
  <c r="AV20" i="45"/>
  <c r="L20" i="45"/>
  <c r="AZ20" i="45"/>
  <c r="AS20" i="45"/>
  <c r="BQ20" i="45"/>
  <c r="U20" i="45"/>
  <c r="BD20" i="45"/>
  <c r="AF20" i="45"/>
  <c r="X20" i="45"/>
  <c r="AR20" i="45"/>
  <c r="CN20" i="45"/>
  <c r="BM20" i="45"/>
  <c r="T20" i="45"/>
  <c r="AC20" i="45"/>
  <c r="Y20" i="45"/>
  <c r="P20" i="45"/>
  <c r="CG20" i="45"/>
  <c r="AG20" i="45"/>
  <c r="AJ20" i="45"/>
  <c r="Q20" i="45"/>
  <c r="CC20" i="45"/>
  <c r="AN20" i="45"/>
  <c r="BY20" i="45"/>
  <c r="AW20" i="45"/>
  <c r="AB20" i="45"/>
  <c r="CF20" i="45"/>
  <c r="BI20" i="45"/>
  <c r="CJ20" i="45"/>
  <c r="J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L20" i="45"/>
  <c r="CP20" i="45"/>
  <c r="CX20" i="45"/>
  <c r="S53" i="14"/>
  <c r="J54" i="14"/>
  <c r="D46" i="48"/>
  <c r="R43" i="48"/>
  <c r="R44" i="48"/>
  <c r="CR20" i="45"/>
  <c r="DH20" i="45"/>
  <c r="CS20" i="45"/>
  <c r="DA20" i="45"/>
  <c r="DI20" i="45"/>
  <c r="CZ20" i="45"/>
  <c r="EK20" i="45"/>
  <c r="CT20" i="45" l="1"/>
  <c r="DB20" i="45"/>
  <c r="DJ20" i="45"/>
  <c r="Q52" i="14"/>
  <c r="K54" i="14"/>
  <c r="O53" i="14"/>
  <c r="C46" i="48"/>
  <c r="I45" i="48"/>
  <c r="L44" i="48"/>
  <c r="L43" i="48"/>
  <c r="O45" i="48"/>
  <c r="K44" i="48"/>
  <c r="S44" i="48"/>
  <c r="Q45" i="48"/>
  <c r="K43" i="48"/>
  <c r="EF20" i="45"/>
  <c r="DL20" i="45"/>
  <c r="EO21" i="45"/>
  <c r="D22" i="45"/>
  <c r="DQ20" i="45"/>
  <c r="EC20" i="45"/>
  <c r="EG20" i="45"/>
  <c r="DD20" i="45"/>
  <c r="EJ20" i="45"/>
  <c r="EB20" i="45"/>
  <c r="DX20" i="45"/>
  <c r="DT20" i="45"/>
  <c r="DY20" i="45"/>
  <c r="DP20" i="45"/>
  <c r="DM20" i="45"/>
  <c r="DE20" i="45"/>
  <c r="E22" i="45"/>
  <c r="DU20" i="45"/>
  <c r="C22" i="45"/>
  <c r="DN20" i="45" l="1"/>
  <c r="DF20" i="45"/>
  <c r="DR20" i="45"/>
  <c r="DV20" i="45"/>
  <c r="DZ20" i="45"/>
  <c r="M43" i="48"/>
  <c r="V43" i="48" s="1"/>
  <c r="AF43" i="48"/>
  <c r="AA43" i="48"/>
  <c r="AK43" i="48"/>
  <c r="M44" i="48"/>
  <c r="V44" i="48" s="1"/>
  <c r="EL20" i="45"/>
  <c r="AF44" i="48"/>
  <c r="AK44" i="48"/>
  <c r="AA44" i="48"/>
  <c r="I55" i="14"/>
  <c r="B47" i="48"/>
  <c r="ED20" i="45"/>
  <c r="EH20" i="45"/>
  <c r="O54" i="14"/>
  <c r="J55" i="14"/>
  <c r="Q46" i="48"/>
  <c r="O46" i="48"/>
  <c r="R45" i="48"/>
  <c r="K45" i="48"/>
  <c r="H21" i="45"/>
  <c r="I21" i="45"/>
  <c r="BL21" i="45"/>
  <c r="BM21" i="45"/>
  <c r="T21" i="45"/>
  <c r="BA21" i="45"/>
  <c r="CK21" i="45"/>
  <c r="DI21" i="45"/>
  <c r="CZ21" i="45"/>
  <c r="X21" i="45"/>
  <c r="CB21" i="45"/>
  <c r="M21" i="45"/>
  <c r="CJ21" i="45"/>
  <c r="Q21" i="45"/>
  <c r="AZ21" i="45"/>
  <c r="AG21" i="45"/>
  <c r="AF21" i="45"/>
  <c r="DU21" i="45"/>
  <c r="CG21" i="45"/>
  <c r="BH21" i="45"/>
  <c r="BY21" i="45"/>
  <c r="BQ21" i="45"/>
  <c r="AK21" i="45"/>
  <c r="CF21" i="45"/>
  <c r="AW21" i="45"/>
  <c r="BT21" i="45"/>
  <c r="DT21" i="45"/>
  <c r="AN21" i="45"/>
  <c r="DH21" i="45"/>
  <c r="U21" i="45"/>
  <c r="BU21" i="45"/>
  <c r="L21" i="45"/>
  <c r="AV21" i="45"/>
  <c r="AR21" i="45"/>
  <c r="AJ21" i="45"/>
  <c r="CW21" i="45"/>
  <c r="Y21" i="45"/>
  <c r="EO22" i="45"/>
  <c r="BP21" i="45"/>
  <c r="AO21" i="45"/>
  <c r="BI21" i="45"/>
  <c r="BD21" i="45"/>
  <c r="DQ21" i="45"/>
  <c r="CO21" i="45"/>
  <c r="AB21" i="45"/>
  <c r="CN21" i="45"/>
  <c r="CV21" i="45"/>
  <c r="AS21" i="45"/>
  <c r="BE21" i="45"/>
  <c r="AC21" i="45"/>
  <c r="BX21" i="45"/>
  <c r="P21" i="45"/>
  <c r="E23" i="45"/>
  <c r="CC21" i="45"/>
  <c r="J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L21" i="45"/>
  <c r="CP21" i="45"/>
  <c r="CX21" i="45"/>
  <c r="S54" i="14"/>
  <c r="K55" i="14"/>
  <c r="D47" i="48"/>
  <c r="I46" i="48"/>
  <c r="L45" i="48"/>
  <c r="H22" i="45"/>
  <c r="I22" i="45"/>
  <c r="CJ22" i="45"/>
  <c r="AJ22" i="45"/>
  <c r="AV22" i="45"/>
  <c r="BU22" i="45"/>
  <c r="AG22" i="45"/>
  <c r="AO22" i="45"/>
  <c r="AB22" i="45"/>
  <c r="BT22" i="45"/>
  <c r="AN22" i="45"/>
  <c r="CB22" i="45"/>
  <c r="BE22" i="45"/>
  <c r="DY21" i="45"/>
  <c r="BH22" i="45"/>
  <c r="CV22" i="45"/>
  <c r="BX22" i="45"/>
  <c r="AS22" i="45"/>
  <c r="DX21" i="45"/>
  <c r="AC22" i="45"/>
  <c r="CW22" i="45"/>
  <c r="L22" i="45"/>
  <c r="CG22" i="45"/>
  <c r="CK22" i="45"/>
  <c r="DP21" i="45"/>
  <c r="AR22" i="45"/>
  <c r="AW22" i="45"/>
  <c r="U22" i="45"/>
  <c r="Y22" i="45"/>
  <c r="BM22" i="45"/>
  <c r="CN22" i="45"/>
  <c r="EB21" i="45"/>
  <c r="BI22" i="45"/>
  <c r="DL21" i="45"/>
  <c r="BA22" i="45"/>
  <c r="CR21" i="45"/>
  <c r="AF22" i="45"/>
  <c r="AK22" i="45"/>
  <c r="Q22" i="45"/>
  <c r="BQ22" i="45"/>
  <c r="CC22" i="45"/>
  <c r="BD22" i="45"/>
  <c r="DA21" i="45"/>
  <c r="DM21" i="45"/>
  <c r="X22" i="45"/>
  <c r="D23" i="45"/>
  <c r="P22" i="45"/>
  <c r="CO22" i="45"/>
  <c r="T22" i="45"/>
  <c r="AZ22" i="45"/>
  <c r="M22" i="45"/>
  <c r="BP22" i="45"/>
  <c r="CF22" i="45"/>
  <c r="EF21" i="45"/>
  <c r="BY22" i="45"/>
  <c r="BL22" i="45"/>
  <c r="J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L22" i="45"/>
  <c r="CP22" i="45"/>
  <c r="CX22" i="45"/>
  <c r="CS21" i="45"/>
  <c r="CT21" i="45" l="1"/>
  <c r="DB21" i="45"/>
  <c r="DJ21" i="45"/>
  <c r="DN21" i="45"/>
  <c r="DI22" i="45"/>
  <c r="CS22" i="45"/>
  <c r="DL22" i="45"/>
  <c r="DH22" i="45"/>
  <c r="CR22" i="45"/>
  <c r="DA22" i="45"/>
  <c r="CZ22" i="45"/>
  <c r="DB22" i="45" l="1"/>
  <c r="CT22" i="45"/>
  <c r="DJ22" i="45"/>
  <c r="Q53" i="14"/>
  <c r="S45" i="48"/>
  <c r="DD21" i="45"/>
  <c r="EJ21" i="45"/>
  <c r="EC21" i="45"/>
  <c r="DE21" i="45"/>
  <c r="DM22" i="45"/>
  <c r="C23" i="45"/>
  <c r="EK21" i="45"/>
  <c r="EG21" i="45"/>
  <c r="DN22" i="45" l="1"/>
  <c r="DF21" i="45"/>
  <c r="DR21" i="45"/>
  <c r="DV21" i="45"/>
  <c r="DZ21" i="45"/>
  <c r="M45" i="48"/>
  <c r="V45" i="48" s="1"/>
  <c r="AK45" i="48"/>
  <c r="AF45" i="48"/>
  <c r="AA45" i="48"/>
  <c r="EL21" i="45"/>
  <c r="I56" i="14"/>
  <c r="B48" i="48"/>
  <c r="EH21" i="45"/>
  <c r="ED21" i="45"/>
  <c r="K56" i="14"/>
  <c r="S55" i="14"/>
  <c r="J56" i="14"/>
  <c r="Q54" i="14"/>
  <c r="Q47" i="48"/>
  <c r="C48" i="48"/>
  <c r="L46" i="48"/>
  <c r="S46" i="48"/>
  <c r="O47" i="48"/>
  <c r="I47" i="48"/>
  <c r="EO23" i="45"/>
  <c r="EJ22" i="45"/>
  <c r="E24" i="45"/>
  <c r="D24" i="45"/>
  <c r="DE22" i="45"/>
  <c r="EK22" i="45"/>
  <c r="EC22" i="45"/>
  <c r="DU22" i="45"/>
  <c r="DQ22" i="45"/>
  <c r="EL22" i="45" l="1"/>
  <c r="I57" i="14"/>
  <c r="B49" i="48"/>
  <c r="H23" i="45"/>
  <c r="I23" i="45"/>
  <c r="CC23" i="45"/>
  <c r="L23" i="45"/>
  <c r="AJ23" i="45"/>
  <c r="BQ23" i="45"/>
  <c r="AR23" i="45"/>
  <c r="BE23" i="45"/>
  <c r="Y23" i="45"/>
  <c r="AC23" i="45"/>
  <c r="AF23" i="45"/>
  <c r="Q23" i="45"/>
  <c r="BA23" i="45"/>
  <c r="AK23" i="45"/>
  <c r="BL23" i="45"/>
  <c r="CO23" i="45"/>
  <c r="X23" i="45"/>
  <c r="DI23" i="45"/>
  <c r="BD23" i="45"/>
  <c r="C24" i="45"/>
  <c r="BH23" i="45"/>
  <c r="CB23" i="45"/>
  <c r="CJ23" i="45"/>
  <c r="CG23" i="45"/>
  <c r="BT23" i="45"/>
  <c r="T23" i="45"/>
  <c r="BX23" i="45"/>
  <c r="AW23" i="45"/>
  <c r="AS23" i="45"/>
  <c r="AG23" i="45"/>
  <c r="U23" i="45"/>
  <c r="BP23" i="45"/>
  <c r="AO23" i="45"/>
  <c r="CV23" i="45"/>
  <c r="P23" i="45"/>
  <c r="M23" i="45"/>
  <c r="AB23" i="45"/>
  <c r="CW23" i="45"/>
  <c r="BY23" i="45"/>
  <c r="AN23" i="45"/>
  <c r="CF23" i="45"/>
  <c r="BU23" i="45"/>
  <c r="CK23" i="45"/>
  <c r="AV23" i="45"/>
  <c r="BM23" i="45"/>
  <c r="AZ23" i="45"/>
  <c r="CN23" i="45"/>
  <c r="BI23" i="45"/>
  <c r="J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L23" i="45"/>
  <c r="CP23" i="45"/>
  <c r="CX23" i="45"/>
  <c r="O56" i="14"/>
  <c r="J57" i="14"/>
  <c r="Q55" i="14"/>
  <c r="O55" i="14"/>
  <c r="K46" i="48"/>
  <c r="C49" i="48"/>
  <c r="R46" i="48"/>
  <c r="D48" i="48"/>
  <c r="C47" i="48"/>
  <c r="R47" i="48"/>
  <c r="DY22" i="45"/>
  <c r="EB22" i="45"/>
  <c r="DX22" i="45"/>
  <c r="DD23" i="45"/>
  <c r="EG22" i="45"/>
  <c r="EF23" i="45"/>
  <c r="CS23" i="45"/>
  <c r="CZ23" i="45"/>
  <c r="DY23" i="45"/>
  <c r="DM23" i="45"/>
  <c r="EO24" i="45"/>
  <c r="DL23" i="45"/>
  <c r="DT22" i="45"/>
  <c r="DP23" i="45"/>
  <c r="CR23" i="45"/>
  <c r="DH23" i="45"/>
  <c r="EF22" i="45"/>
  <c r="DP22" i="45"/>
  <c r="DA23" i="45"/>
  <c r="EB23" i="45"/>
  <c r="DB23" i="45" l="1"/>
  <c r="CT23" i="45"/>
  <c r="DJ23" i="45"/>
  <c r="H24" i="45"/>
  <c r="I24" i="45"/>
  <c r="L24" i="45"/>
  <c r="CG24" i="45"/>
  <c r="AZ24" i="45"/>
  <c r="AO24" i="45"/>
  <c r="AR24" i="45"/>
  <c r="AV24" i="45"/>
  <c r="AB24" i="45"/>
  <c r="BY24" i="45"/>
  <c r="AG24" i="45"/>
  <c r="BE24" i="45"/>
  <c r="AC24" i="45"/>
  <c r="BH24" i="45"/>
  <c r="BT24" i="45"/>
  <c r="CK24" i="45"/>
  <c r="CW24" i="45"/>
  <c r="X24" i="45"/>
  <c r="AW24" i="45"/>
  <c r="BU24" i="45"/>
  <c r="AF24" i="45"/>
  <c r="BL24" i="45"/>
  <c r="BQ24" i="45"/>
  <c r="P24" i="45"/>
  <c r="T24" i="45"/>
  <c r="Q24" i="45"/>
  <c r="CB24" i="45"/>
  <c r="U24" i="45"/>
  <c r="BM24" i="45"/>
  <c r="Y24" i="45"/>
  <c r="BP24" i="45"/>
  <c r="CZ24" i="45"/>
  <c r="BD24" i="45"/>
  <c r="M24" i="45"/>
  <c r="CR24" i="45"/>
  <c r="DD22" i="45"/>
  <c r="AS24" i="45"/>
  <c r="AJ24" i="45"/>
  <c r="CO24" i="45"/>
  <c r="BI24" i="45"/>
  <c r="CJ24" i="45"/>
  <c r="CV24" i="45"/>
  <c r="CC24" i="45"/>
  <c r="AN24" i="45"/>
  <c r="CN24" i="45"/>
  <c r="BA24" i="45"/>
  <c r="BX24" i="45"/>
  <c r="CF24" i="45"/>
  <c r="AK24" i="45"/>
  <c r="J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L24" i="45"/>
  <c r="CP24" i="45"/>
  <c r="CX24" i="45"/>
  <c r="K47" i="48"/>
  <c r="CS24" i="45"/>
  <c r="DI24" i="45"/>
  <c r="DH24" i="45"/>
  <c r="DA24" i="45"/>
  <c r="DB24" i="45" l="1"/>
  <c r="CT24" i="45"/>
  <c r="DJ24" i="45"/>
  <c r="M46" i="48"/>
  <c r="V46" i="48" s="1"/>
  <c r="DF22" i="45"/>
  <c r="DV22" i="45"/>
  <c r="DR22" i="45"/>
  <c r="ED22" i="45"/>
  <c r="AK46" i="48"/>
  <c r="AA46" i="48"/>
  <c r="AF46" i="48"/>
  <c r="EH22" i="45"/>
  <c r="DZ22" i="45"/>
  <c r="DN23" i="45"/>
  <c r="K57" i="14"/>
  <c r="S56" i="14"/>
  <c r="O48" i="48"/>
  <c r="Q48" i="48"/>
  <c r="I48" i="48"/>
  <c r="L47" i="48"/>
  <c r="D49" i="48"/>
  <c r="S47" i="48"/>
  <c r="DT23" i="45"/>
  <c r="DL24" i="45"/>
  <c r="EK23" i="45"/>
  <c r="DX23" i="45"/>
  <c r="DU23" i="45"/>
  <c r="EJ23" i="45"/>
  <c r="DQ23" i="45"/>
  <c r="DE23" i="45"/>
  <c r="EC23" i="45"/>
  <c r="EG23" i="45"/>
  <c r="DM24" i="45"/>
  <c r="DN24" i="45" l="1"/>
  <c r="DF23" i="45"/>
  <c r="DR23" i="45"/>
  <c r="DV23" i="45"/>
  <c r="DZ23" i="45"/>
  <c r="M47" i="48"/>
  <c r="V47" i="48" s="1"/>
  <c r="EL23" i="45"/>
  <c r="AF47" i="48"/>
  <c r="AK47" i="48"/>
  <c r="AA47" i="48"/>
  <c r="I58" i="14"/>
  <c r="B50" i="48"/>
  <c r="ED23" i="45"/>
  <c r="EH23" i="45"/>
  <c r="Q56" i="14"/>
  <c r="S57" i="14"/>
  <c r="O57" i="14"/>
  <c r="K58" i="14"/>
  <c r="J58" i="14"/>
  <c r="Q49" i="48"/>
  <c r="L48" i="48"/>
  <c r="R48" i="48"/>
  <c r="I49" i="48"/>
  <c r="O49" i="48"/>
  <c r="S48" i="48"/>
  <c r="C50" i="48"/>
  <c r="K48" i="48"/>
  <c r="DY24" i="45"/>
  <c r="E25" i="45"/>
  <c r="EG24" i="45"/>
  <c r="DD24" i="45"/>
  <c r="EC24" i="45"/>
  <c r="C25" i="45"/>
  <c r="DU24" i="45"/>
  <c r="EJ24" i="45"/>
  <c r="DT24" i="45"/>
  <c r="DQ24" i="45"/>
  <c r="EB24" i="45"/>
  <c r="DX24" i="45"/>
  <c r="DE24" i="45"/>
  <c r="D25" i="45"/>
  <c r="DP24" i="45"/>
  <c r="EF24" i="45"/>
  <c r="EK24" i="45"/>
  <c r="DF24" i="45" l="1"/>
  <c r="DR24" i="45"/>
  <c r="DV24" i="45"/>
  <c r="DZ24" i="45"/>
  <c r="M48" i="48"/>
  <c r="V48" i="48" s="1"/>
  <c r="EL24" i="45"/>
  <c r="AK48" i="48"/>
  <c r="AA48" i="48"/>
  <c r="AF48" i="48"/>
  <c r="I59" i="14"/>
  <c r="B51" i="48"/>
  <c r="EH24" i="45"/>
  <c r="ED24" i="45"/>
  <c r="O58" i="14"/>
  <c r="S58" i="14"/>
  <c r="K59" i="14"/>
  <c r="Q57" i="14"/>
  <c r="L49" i="48"/>
  <c r="K49" i="48"/>
  <c r="D50" i="48"/>
  <c r="C51" i="48"/>
  <c r="S49" i="48"/>
  <c r="R49" i="48"/>
  <c r="EO25" i="45"/>
  <c r="D26" i="45"/>
  <c r="M49" i="48" l="1"/>
  <c r="V49" i="48" s="1"/>
  <c r="AK49" i="48"/>
  <c r="AA49" i="48"/>
  <c r="AF49" i="48"/>
  <c r="I60" i="14"/>
  <c r="B52" i="48"/>
  <c r="J59" i="14"/>
  <c r="Q58" i="14"/>
  <c r="O50" i="48"/>
  <c r="D51" i="48"/>
  <c r="Q50" i="48"/>
  <c r="D52" i="48"/>
  <c r="I50" i="48"/>
  <c r="H25" i="45"/>
  <c r="I25" i="45"/>
  <c r="AN25" i="45"/>
  <c r="Q25" i="45"/>
  <c r="AR25" i="45"/>
  <c r="CV25" i="45"/>
  <c r="EK25" i="45"/>
  <c r="BH25" i="45"/>
  <c r="BE25" i="45"/>
  <c r="BP25" i="45"/>
  <c r="AK25" i="45"/>
  <c r="DM25" i="45"/>
  <c r="Y25" i="45"/>
  <c r="CJ25" i="45"/>
  <c r="AJ25" i="45"/>
  <c r="CW25" i="45"/>
  <c r="BQ25" i="45"/>
  <c r="BM25" i="45"/>
  <c r="AC25" i="45"/>
  <c r="AO25" i="45"/>
  <c r="DT25" i="45"/>
  <c r="X25" i="45"/>
  <c r="AZ25" i="45"/>
  <c r="E27" i="45"/>
  <c r="BT25" i="45"/>
  <c r="BI25" i="45"/>
  <c r="EG25" i="45"/>
  <c r="CC25" i="45"/>
  <c r="BA25" i="45"/>
  <c r="AG25" i="45"/>
  <c r="BL25" i="45"/>
  <c r="AB25" i="45"/>
  <c r="DI25" i="45"/>
  <c r="AV25" i="45"/>
  <c r="DH25" i="45"/>
  <c r="EC25" i="45"/>
  <c r="DY25" i="45"/>
  <c r="CG25" i="45"/>
  <c r="AW25" i="45"/>
  <c r="CB25" i="45"/>
  <c r="AF25" i="45"/>
  <c r="C26" i="45"/>
  <c r="CF25" i="45"/>
  <c r="BX25" i="45"/>
  <c r="CZ25" i="45"/>
  <c r="P25" i="45"/>
  <c r="CO25" i="45"/>
  <c r="BU25" i="45"/>
  <c r="DU25" i="45"/>
  <c r="T25" i="45"/>
  <c r="E26" i="45"/>
  <c r="EO26" i="45"/>
  <c r="CN25" i="45"/>
  <c r="CK25" i="45"/>
  <c r="M25" i="45"/>
  <c r="DQ25" i="45"/>
  <c r="DL25" i="45"/>
  <c r="AS25" i="45"/>
  <c r="BD25" i="45"/>
  <c r="U25" i="45"/>
  <c r="BY25" i="45"/>
  <c r="DA25" i="45"/>
  <c r="L25" i="45"/>
  <c r="EF25" i="45"/>
  <c r="J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L25" i="45"/>
  <c r="CP25" i="45"/>
  <c r="CX25" i="45"/>
  <c r="O51" i="48"/>
  <c r="K50" i="48"/>
  <c r="R50" i="48"/>
  <c r="L50" i="48"/>
  <c r="H26" i="45"/>
  <c r="I26" i="45"/>
  <c r="DP25" i="45"/>
  <c r="BM26" i="45"/>
  <c r="C27" i="45"/>
  <c r="Y26" i="45"/>
  <c r="L26" i="45"/>
  <c r="BP26" i="45"/>
  <c r="CJ26" i="45"/>
  <c r="Q26" i="45"/>
  <c r="AG26" i="45"/>
  <c r="CK26" i="45"/>
  <c r="AN26" i="45"/>
  <c r="BI26" i="45"/>
  <c r="U26" i="45"/>
  <c r="BT26" i="45"/>
  <c r="AR26" i="45"/>
  <c r="BE26" i="45"/>
  <c r="CN26" i="45"/>
  <c r="BH26" i="45"/>
  <c r="CR25" i="45"/>
  <c r="AK26" i="45"/>
  <c r="AB26" i="45"/>
  <c r="BX26" i="45"/>
  <c r="BQ26" i="45"/>
  <c r="P26" i="45"/>
  <c r="AS26" i="45"/>
  <c r="EJ25" i="45"/>
  <c r="BY26" i="45"/>
  <c r="CG26" i="45"/>
  <c r="AF26" i="45"/>
  <c r="AZ26" i="45"/>
  <c r="AC26" i="45"/>
  <c r="CO26" i="45"/>
  <c r="CC26" i="45"/>
  <c r="BU26" i="45"/>
  <c r="CF26" i="45"/>
  <c r="CW26" i="45"/>
  <c r="BA26" i="45"/>
  <c r="M26" i="45"/>
  <c r="T26" i="45"/>
  <c r="AW26" i="45"/>
  <c r="AO26" i="45"/>
  <c r="AJ26" i="45"/>
  <c r="AV26" i="45"/>
  <c r="CB26" i="45"/>
  <c r="CV26" i="45"/>
  <c r="BL26" i="45"/>
  <c r="X26" i="45"/>
  <c r="BD26" i="45"/>
  <c r="J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L26" i="45"/>
  <c r="CP26" i="45"/>
  <c r="CX26" i="45"/>
  <c r="S59" i="14"/>
  <c r="DX25" i="45"/>
  <c r="EB25" i="45"/>
  <c r="CS25" i="45"/>
  <c r="CT25" i="45" l="1"/>
  <c r="DB25" i="45"/>
  <c r="DJ25" i="45"/>
  <c r="DN25" i="45"/>
  <c r="C52" i="48"/>
  <c r="DA26" i="45"/>
  <c r="DI26" i="45"/>
  <c r="DH26" i="45"/>
  <c r="DM26" i="45"/>
  <c r="CS26" i="45"/>
  <c r="CZ26" i="45"/>
  <c r="CR26" i="45"/>
  <c r="DB26" i="45" l="1"/>
  <c r="CT26" i="45"/>
  <c r="DJ26" i="45"/>
  <c r="K60" i="14"/>
  <c r="O59" i="14"/>
  <c r="I51" i="48"/>
  <c r="DD25" i="45"/>
  <c r="DL26" i="45"/>
  <c r="DN26" i="45" l="1"/>
  <c r="J60" i="14"/>
  <c r="S50" i="48"/>
  <c r="Q51" i="48"/>
  <c r="D27" i="45"/>
  <c r="DE25" i="45"/>
  <c r="DF25" i="45" l="1"/>
  <c r="DR25" i="45"/>
  <c r="DV25" i="45"/>
  <c r="DZ25" i="45"/>
  <c r="M50" i="48"/>
  <c r="V50" i="48" s="1"/>
  <c r="AK50" i="48"/>
  <c r="AA50" i="48"/>
  <c r="AF50" i="48"/>
  <c r="EL25" i="45"/>
  <c r="I61" i="14"/>
  <c r="B53" i="48"/>
  <c r="EH25" i="45"/>
  <c r="ED25" i="45"/>
  <c r="O60" i="14"/>
  <c r="Q59" i="14"/>
  <c r="J61" i="14"/>
  <c r="S60" i="14"/>
  <c r="R51" i="48"/>
  <c r="D53" i="48"/>
  <c r="C53" i="48"/>
  <c r="S51" i="48"/>
  <c r="O52" i="48"/>
  <c r="K51" i="48"/>
  <c r="E28" i="45"/>
  <c r="EC26" i="45"/>
  <c r="EF26" i="45"/>
  <c r="EO27" i="45"/>
  <c r="EK26" i="45"/>
  <c r="EJ26" i="45"/>
  <c r="DX26" i="45"/>
  <c r="DQ26" i="45"/>
  <c r="DY26" i="45"/>
  <c r="DP26" i="45"/>
  <c r="DU26" i="45"/>
  <c r="DT26" i="45"/>
  <c r="EG26" i="45"/>
  <c r="C28" i="45"/>
  <c r="D28" i="45"/>
  <c r="DD26" i="45"/>
  <c r="DR26" i="45" l="1"/>
  <c r="DV26" i="45"/>
  <c r="DZ26" i="45"/>
  <c r="AK51" i="48"/>
  <c r="AA51" i="48"/>
  <c r="AF51" i="48"/>
  <c r="EL26" i="45"/>
  <c r="I62" i="14"/>
  <c r="B54" i="48"/>
  <c r="EH26" i="45"/>
  <c r="C54" i="48"/>
  <c r="D54" i="48"/>
  <c r="I52" i="48"/>
  <c r="Q53" i="48"/>
  <c r="L51" i="48"/>
  <c r="H27" i="45"/>
  <c r="I27" i="45"/>
  <c r="BQ27" i="45"/>
  <c r="BE27" i="45"/>
  <c r="AB27" i="45"/>
  <c r="CV27" i="45"/>
  <c r="U27" i="45"/>
  <c r="AC27" i="45"/>
  <c r="DI27" i="45"/>
  <c r="AN27" i="45"/>
  <c r="BD27" i="45"/>
  <c r="P27" i="45"/>
  <c r="CJ27" i="45"/>
  <c r="BY27" i="45"/>
  <c r="EC27" i="45"/>
  <c r="BI27" i="45"/>
  <c r="CK27" i="45"/>
  <c r="BU27" i="45"/>
  <c r="Y27" i="45"/>
  <c r="AS27" i="45"/>
  <c r="CR27" i="45"/>
  <c r="Q27" i="45"/>
  <c r="CO27" i="45"/>
  <c r="CF27" i="45"/>
  <c r="BH27" i="45"/>
  <c r="EB26" i="45"/>
  <c r="AW27" i="45"/>
  <c r="CG27" i="45"/>
  <c r="BT27" i="45"/>
  <c r="AV27" i="45"/>
  <c r="DP27" i="45"/>
  <c r="AF27" i="45"/>
  <c r="CZ27" i="45"/>
  <c r="DA27" i="45"/>
  <c r="CC27" i="45"/>
  <c r="CW27" i="45"/>
  <c r="AK27" i="45"/>
  <c r="X27" i="45"/>
  <c r="BX27" i="45"/>
  <c r="AZ27" i="45"/>
  <c r="AO27" i="45"/>
  <c r="DD27" i="45"/>
  <c r="BA27" i="45"/>
  <c r="CN27" i="45"/>
  <c r="BM27" i="45"/>
  <c r="AJ27" i="45"/>
  <c r="AG27" i="45"/>
  <c r="T27" i="45"/>
  <c r="BP27" i="45"/>
  <c r="BL27" i="45"/>
  <c r="M27" i="45"/>
  <c r="AR27" i="45"/>
  <c r="CB27" i="45"/>
  <c r="L27" i="45"/>
  <c r="J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L27" i="45"/>
  <c r="CP27" i="45"/>
  <c r="CX27" i="45"/>
  <c r="K52" i="48"/>
  <c r="L52" i="48"/>
  <c r="K61" i="14"/>
  <c r="K62" i="14"/>
  <c r="Q60" i="14"/>
  <c r="O53" i="48"/>
  <c r="I53" i="48"/>
  <c r="Q52" i="48"/>
  <c r="E29" i="45"/>
  <c r="DY27" i="45"/>
  <c r="DE26" i="45"/>
  <c r="DT27" i="45"/>
  <c r="DE27" i="45"/>
  <c r="DL27" i="45"/>
  <c r="DQ27" i="45"/>
  <c r="DH27" i="45"/>
  <c r="DM27" i="45"/>
  <c r="EB27" i="45"/>
  <c r="DU27" i="45"/>
  <c r="EO28" i="45"/>
  <c r="EG27" i="45"/>
  <c r="CS27" i="45"/>
  <c r="CT27" i="45" l="1"/>
  <c r="DB27" i="45"/>
  <c r="M51" i="48"/>
  <c r="V51" i="48" s="1"/>
  <c r="ED26" i="45"/>
  <c r="DF26" i="45"/>
  <c r="DJ27" i="45"/>
  <c r="S52" i="48"/>
  <c r="R52" i="48"/>
  <c r="S61" i="14"/>
  <c r="O61" i="14"/>
  <c r="H28" i="45"/>
  <c r="I28" i="45"/>
  <c r="X28" i="45"/>
  <c r="CO28" i="45"/>
  <c r="P28" i="45"/>
  <c r="AR28" i="45"/>
  <c r="DI28" i="45"/>
  <c r="CB28" i="45"/>
  <c r="AO28" i="45"/>
  <c r="AZ28" i="45"/>
  <c r="BM28" i="45"/>
  <c r="AF28" i="45"/>
  <c r="BD28" i="45"/>
  <c r="DH28" i="45"/>
  <c r="U28" i="45"/>
  <c r="CS28" i="45"/>
  <c r="CW28" i="45"/>
  <c r="BE28" i="45"/>
  <c r="BQ28" i="45"/>
  <c r="BX28" i="45"/>
  <c r="AS28" i="45"/>
  <c r="DA28" i="45"/>
  <c r="Q28" i="45"/>
  <c r="CZ28" i="45"/>
  <c r="CF28" i="45"/>
  <c r="CK28" i="45"/>
  <c r="CN28" i="45"/>
  <c r="CC28" i="45"/>
  <c r="AK28" i="45"/>
  <c r="CJ28" i="45"/>
  <c r="AJ28" i="45"/>
  <c r="BH28" i="45"/>
  <c r="AV28" i="45"/>
  <c r="EF27" i="45"/>
  <c r="BY28" i="45"/>
  <c r="BU28" i="45"/>
  <c r="BP28" i="45"/>
  <c r="DX27" i="45"/>
  <c r="CG28" i="45"/>
  <c r="T28" i="45"/>
  <c r="AC28" i="45"/>
  <c r="CV28" i="45"/>
  <c r="AW28" i="45"/>
  <c r="M28" i="45"/>
  <c r="AG28" i="45"/>
  <c r="BA28" i="45"/>
  <c r="L28" i="45"/>
  <c r="BI28" i="45"/>
  <c r="Y28" i="45"/>
  <c r="BL28" i="45"/>
  <c r="CR28" i="45"/>
  <c r="AN28" i="45"/>
  <c r="AB28" i="45"/>
  <c r="BT28" i="45"/>
  <c r="J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L28" i="45"/>
  <c r="CP28" i="45"/>
  <c r="CX28" i="45"/>
  <c r="CT28" i="45"/>
  <c r="DB28" i="45"/>
  <c r="DJ28" i="45"/>
  <c r="DN27" i="45"/>
  <c r="DF27" i="45"/>
  <c r="DR27" i="45"/>
  <c r="DV27" i="45"/>
  <c r="DZ27" i="45"/>
  <c r="M52" i="48"/>
  <c r="V52" i="48" s="1"/>
  <c r="AF52" i="48"/>
  <c r="AK52" i="48"/>
  <c r="AA52" i="48"/>
  <c r="I63" i="14"/>
  <c r="I64" i="14" s="1"/>
  <c r="B55" i="48"/>
  <c r="ED27" i="45"/>
  <c r="EH27" i="45"/>
  <c r="Q61" i="14"/>
  <c r="EK28" i="45"/>
  <c r="EJ27" i="45"/>
  <c r="EK27" i="45"/>
  <c r="DQ28" i="45"/>
  <c r="EL27" i="45" l="1"/>
  <c r="R53" i="48"/>
  <c r="S53" i="48"/>
  <c r="K53" i="48"/>
  <c r="L53" i="48"/>
  <c r="O62" i="14"/>
  <c r="J62" i="14"/>
  <c r="K64" i="14"/>
  <c r="J64" i="14"/>
  <c r="S62" i="14"/>
  <c r="D55" i="48"/>
  <c r="Q54" i="48"/>
  <c r="O54" i="48"/>
  <c r="I54" i="48"/>
  <c r="DT28" i="45"/>
  <c r="EC28" i="45"/>
  <c r="DY28" i="45"/>
  <c r="C30" i="45"/>
  <c r="D30" i="45"/>
  <c r="DX28" i="45"/>
  <c r="EJ28" i="45"/>
  <c r="D29" i="45"/>
  <c r="EG28" i="45"/>
  <c r="DD28" i="45"/>
  <c r="DL28" i="45"/>
  <c r="DU28" i="45"/>
  <c r="E30" i="45"/>
  <c r="C29" i="45"/>
  <c r="EF28" i="45"/>
  <c r="DE28" i="45"/>
  <c r="DM28" i="45"/>
  <c r="EB28" i="45"/>
  <c r="DN28" i="45" l="1"/>
  <c r="DF28" i="45"/>
  <c r="DV28" i="45"/>
  <c r="DZ28" i="45"/>
  <c r="M53" i="48"/>
  <c r="V53" i="48" s="1"/>
  <c r="EL28" i="45"/>
  <c r="AK53" i="48"/>
  <c r="AA53" i="48"/>
  <c r="AF53" i="48"/>
  <c r="I65" i="14"/>
  <c r="B56" i="48"/>
  <c r="ED28" i="45"/>
  <c r="EH28" i="45"/>
  <c r="L54" i="48"/>
  <c r="K54" i="48"/>
  <c r="R54" i="48"/>
  <c r="S54" i="48"/>
  <c r="S64" i="14"/>
  <c r="J65" i="14"/>
  <c r="Q62" i="14"/>
  <c r="O64" i="14"/>
  <c r="K65" i="14"/>
  <c r="K63" i="14"/>
  <c r="J63" i="14"/>
  <c r="I55" i="48"/>
  <c r="Q55" i="48"/>
  <c r="D56" i="48"/>
  <c r="O55" i="48"/>
  <c r="C55" i="48"/>
  <c r="D31" i="45"/>
  <c r="EO29" i="45"/>
  <c r="DP28" i="45"/>
  <c r="E31" i="45"/>
  <c r="C31" i="45"/>
  <c r="EO30" i="45"/>
  <c r="DR28" i="45" l="1"/>
  <c r="M54" i="48"/>
  <c r="V54" i="48" s="1"/>
  <c r="AF54" i="48"/>
  <c r="AK54" i="48"/>
  <c r="AA54" i="48"/>
  <c r="I66" i="14"/>
  <c r="I67" i="14" s="1"/>
  <c r="B57" i="48"/>
  <c r="K66" i="14"/>
  <c r="C56" i="48"/>
  <c r="H30" i="45"/>
  <c r="I30" i="45"/>
  <c r="H29" i="45"/>
  <c r="I29" i="45"/>
  <c r="BU30" i="45"/>
  <c r="BH29" i="45"/>
  <c r="AC30" i="45"/>
  <c r="BU29" i="45"/>
  <c r="CV29" i="45"/>
  <c r="EB30" i="45"/>
  <c r="AZ30" i="45"/>
  <c r="L30" i="45"/>
  <c r="CS29" i="45"/>
  <c r="CK29" i="45"/>
  <c r="BA30" i="45"/>
  <c r="AZ29" i="45"/>
  <c r="Q30" i="45"/>
  <c r="AV29" i="45"/>
  <c r="DA30" i="45"/>
  <c r="BQ30" i="45"/>
  <c r="CB29" i="45"/>
  <c r="AN30" i="45"/>
  <c r="U29" i="45"/>
  <c r="BL30" i="45"/>
  <c r="CR29" i="45"/>
  <c r="CC30" i="45"/>
  <c r="AV30" i="45"/>
  <c r="CG29" i="45"/>
  <c r="DX30" i="45"/>
  <c r="BT30" i="45"/>
  <c r="CC29" i="45"/>
  <c r="CJ30" i="45"/>
  <c r="Y29" i="45"/>
  <c r="BI30" i="45"/>
  <c r="CO30" i="45"/>
  <c r="DA29" i="45"/>
  <c r="AK29" i="45"/>
  <c r="Y30" i="45"/>
  <c r="DD30" i="45"/>
  <c r="CN29" i="45"/>
  <c r="CO29" i="45"/>
  <c r="AG30" i="45"/>
  <c r="BY29" i="45"/>
  <c r="BI29" i="45"/>
  <c r="X30" i="45"/>
  <c r="AN29" i="45"/>
  <c r="AO29" i="45"/>
  <c r="CF29" i="45"/>
  <c r="CV30" i="45"/>
  <c r="CW29" i="45"/>
  <c r="U30" i="45"/>
  <c r="T29" i="45"/>
  <c r="EB29" i="45"/>
  <c r="BL29" i="45"/>
  <c r="CZ29" i="45"/>
  <c r="M29" i="45"/>
  <c r="DH29" i="45"/>
  <c r="AB30" i="45"/>
  <c r="BA29" i="45"/>
  <c r="CR30" i="45"/>
  <c r="AF29" i="45"/>
  <c r="CZ30" i="45"/>
  <c r="AS30" i="45"/>
  <c r="AB29" i="45"/>
  <c r="X29" i="45"/>
  <c r="AG29" i="45"/>
  <c r="Q29" i="45"/>
  <c r="CS30" i="45"/>
  <c r="AJ30" i="45"/>
  <c r="AO30" i="45"/>
  <c r="BX30" i="45"/>
  <c r="BP30" i="45"/>
  <c r="BD29" i="45"/>
  <c r="BE29" i="45"/>
  <c r="BQ29" i="45"/>
  <c r="P29" i="45"/>
  <c r="AW30" i="45"/>
  <c r="CF30" i="45"/>
  <c r="BH30" i="45"/>
  <c r="M30" i="45"/>
  <c r="BM29" i="45"/>
  <c r="P30" i="45"/>
  <c r="AR30" i="45"/>
  <c r="AS29" i="45"/>
  <c r="CB30" i="45"/>
  <c r="BX29" i="45"/>
  <c r="BE30" i="45"/>
  <c r="L29" i="45"/>
  <c r="AW29" i="45"/>
  <c r="AC29" i="45"/>
  <c r="CK30" i="45"/>
  <c r="BM30" i="45"/>
  <c r="BP29" i="45"/>
  <c r="BY30" i="45"/>
  <c r="AR29" i="45"/>
  <c r="AJ29" i="45"/>
  <c r="AF30" i="45"/>
  <c r="DT30" i="45"/>
  <c r="CN30" i="45"/>
  <c r="DI29" i="45"/>
  <c r="DH30" i="45"/>
  <c r="T30" i="45"/>
  <c r="CG30" i="45"/>
  <c r="CW30" i="45"/>
  <c r="BD30" i="45"/>
  <c r="AK30" i="45"/>
  <c r="DI30" i="45"/>
  <c r="CJ29" i="45"/>
  <c r="BT29" i="45"/>
  <c r="J29" i="45" l="1"/>
  <c r="J30" i="45"/>
  <c r="N29" i="45"/>
  <c r="N30" i="45"/>
  <c r="R30" i="45"/>
  <c r="R29" i="45"/>
  <c r="V29" i="45"/>
  <c r="V30" i="45"/>
  <c r="Z30" i="45"/>
  <c r="Z29" i="45"/>
  <c r="AD29" i="45"/>
  <c r="AD30" i="45"/>
  <c r="AH29" i="45"/>
  <c r="AH30" i="45"/>
  <c r="AL29" i="45"/>
  <c r="AL30" i="45"/>
  <c r="AP29" i="45"/>
  <c r="AP30" i="45"/>
  <c r="AT30" i="45"/>
  <c r="AT29" i="45"/>
  <c r="AX29" i="45"/>
  <c r="AX30" i="45"/>
  <c r="BB29" i="45"/>
  <c r="BB30" i="45"/>
  <c r="BF30" i="45"/>
  <c r="BF29" i="45"/>
  <c r="BJ29" i="45"/>
  <c r="BJ30" i="45"/>
  <c r="BN29" i="45"/>
  <c r="BN30" i="45"/>
  <c r="BR30" i="45"/>
  <c r="BR29" i="45"/>
  <c r="BV29" i="45"/>
  <c r="BV30" i="45"/>
  <c r="BZ29" i="45"/>
  <c r="BZ30" i="45"/>
  <c r="CD30" i="45"/>
  <c r="CD29" i="45"/>
  <c r="CH30" i="45"/>
  <c r="CH29" i="45"/>
  <c r="CL30" i="45"/>
  <c r="CL29" i="45"/>
  <c r="CP30" i="45"/>
  <c r="CP29" i="45"/>
  <c r="CX30" i="45"/>
  <c r="CX29" i="45"/>
  <c r="DB30" i="45"/>
  <c r="CT29" i="45"/>
  <c r="CT30" i="45"/>
  <c r="DB29" i="45"/>
  <c r="DJ29" i="45"/>
  <c r="DJ30" i="45"/>
  <c r="S55" i="48"/>
  <c r="R55" i="48"/>
  <c r="L55" i="48"/>
  <c r="Q64" i="14"/>
  <c r="O63" i="14"/>
  <c r="I56" i="48"/>
  <c r="O56" i="48"/>
  <c r="D57" i="48"/>
  <c r="Q56" i="48"/>
  <c r="EF29" i="45"/>
  <c r="EC29" i="45"/>
  <c r="EO31" i="45"/>
  <c r="DY30" i="45"/>
  <c r="DP29" i="45"/>
  <c r="DL29" i="45"/>
  <c r="DT29" i="45"/>
  <c r="EC30" i="45"/>
  <c r="EG30" i="45"/>
  <c r="DL30" i="45"/>
  <c r="DE29" i="45"/>
  <c r="EG29" i="45"/>
  <c r="EK30" i="45"/>
  <c r="DZ30" i="45" l="1"/>
  <c r="EH29" i="45"/>
  <c r="ED29" i="45"/>
  <c r="I68" i="14"/>
  <c r="AF55" i="48"/>
  <c r="AA55" i="48"/>
  <c r="AK55" i="48"/>
  <c r="B58" i="48"/>
  <c r="ED30" i="45"/>
  <c r="K55" i="48"/>
  <c r="S63" i="14"/>
  <c r="O65" i="14"/>
  <c r="S65" i="14"/>
  <c r="C57" i="48"/>
  <c r="O57" i="48"/>
  <c r="H31" i="45"/>
  <c r="I31" i="45"/>
  <c r="BL31" i="45"/>
  <c r="BX31" i="45"/>
  <c r="M31" i="45"/>
  <c r="CK31" i="45"/>
  <c r="AJ31" i="45"/>
  <c r="BE31" i="45"/>
  <c r="CB31" i="45"/>
  <c r="P31" i="45"/>
  <c r="AV31" i="45"/>
  <c r="AK31" i="45"/>
  <c r="EJ29" i="45"/>
  <c r="D32" i="45"/>
  <c r="X31" i="45"/>
  <c r="AC31" i="45"/>
  <c r="CN31" i="45"/>
  <c r="CV31" i="45"/>
  <c r="Q31" i="45"/>
  <c r="BP31" i="45"/>
  <c r="CF31" i="45"/>
  <c r="BH31" i="45"/>
  <c r="BT31" i="45"/>
  <c r="CJ31" i="45"/>
  <c r="CO31" i="45"/>
  <c r="CS31" i="45"/>
  <c r="DQ30" i="45"/>
  <c r="EF30" i="45"/>
  <c r="BI31" i="45"/>
  <c r="BU31" i="45"/>
  <c r="CZ31" i="45"/>
  <c r="CR31" i="45"/>
  <c r="CC31" i="45"/>
  <c r="DU30" i="45"/>
  <c r="DE30" i="45"/>
  <c r="DA31" i="45"/>
  <c r="BA31" i="45"/>
  <c r="CW31" i="45"/>
  <c r="AS31" i="45"/>
  <c r="AG31" i="45"/>
  <c r="DM30" i="45"/>
  <c r="Y31" i="45"/>
  <c r="AO31" i="45"/>
  <c r="DX29" i="45"/>
  <c r="DY29" i="45"/>
  <c r="CG31" i="45"/>
  <c r="DM29" i="45"/>
  <c r="AZ31" i="45"/>
  <c r="AF31" i="45"/>
  <c r="AB31" i="45"/>
  <c r="BY31" i="45"/>
  <c r="U31" i="45"/>
  <c r="EK29" i="45"/>
  <c r="EJ30" i="45"/>
  <c r="L31" i="45"/>
  <c r="DD29" i="45"/>
  <c r="BM31" i="45"/>
  <c r="DU29" i="45"/>
  <c r="AR31" i="45"/>
  <c r="C32" i="45"/>
  <c r="AN31" i="45"/>
  <c r="DI31" i="45"/>
  <c r="DQ29" i="45"/>
  <c r="AW31" i="45"/>
  <c r="BQ31" i="45"/>
  <c r="DH31" i="45"/>
  <c r="BD31" i="45"/>
  <c r="T31" i="45"/>
  <c r="DP30" i="45"/>
  <c r="J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L31" i="45"/>
  <c r="CP31" i="45"/>
  <c r="CX31" i="45"/>
  <c r="DB31" i="45"/>
  <c r="CT31" i="45"/>
  <c r="EL30" i="45"/>
  <c r="M55" i="48"/>
  <c r="V55" i="48" s="1"/>
  <c r="DJ31" i="45"/>
  <c r="DZ29" i="45"/>
  <c r="DF29" i="45"/>
  <c r="DR29" i="45"/>
  <c r="DF30" i="45"/>
  <c r="DN29" i="45"/>
  <c r="DR30" i="45"/>
  <c r="EH30" i="45"/>
  <c r="DN30" i="45"/>
  <c r="DV29" i="45"/>
  <c r="DV30" i="45"/>
  <c r="EL29" i="45"/>
  <c r="S56" i="48"/>
  <c r="L56" i="48"/>
  <c r="R56" i="48"/>
  <c r="O66" i="14"/>
  <c r="J66" i="14"/>
  <c r="S66" i="14"/>
  <c r="Q63" i="14"/>
  <c r="Q65" i="14"/>
  <c r="Q57" i="48"/>
  <c r="D58" i="48"/>
  <c r="EB31" i="45"/>
  <c r="E32" i="45"/>
  <c r="EJ31" i="45"/>
  <c r="EG31" i="45"/>
  <c r="DE31" i="45"/>
  <c r="C33" i="45"/>
  <c r="E33" i="45"/>
  <c r="DU31" i="45"/>
  <c r="D33" i="45"/>
  <c r="DL31" i="45"/>
  <c r="EO32" i="45"/>
  <c r="DM31" i="45"/>
  <c r="DX31" i="45"/>
  <c r="DD31" i="45"/>
  <c r="EK31" i="45"/>
  <c r="DP31" i="45"/>
  <c r="DN31" i="45" l="1"/>
  <c r="DF31" i="45"/>
  <c r="I69" i="14"/>
  <c r="EL31" i="45"/>
  <c r="M66" i="14"/>
  <c r="U66" i="14" s="1"/>
  <c r="AF56" i="48"/>
  <c r="AK56" i="48"/>
  <c r="AA56" i="48"/>
  <c r="B59" i="48"/>
  <c r="R57" i="48"/>
  <c r="K56" i="48"/>
  <c r="J67" i="14"/>
  <c r="K67" i="14"/>
  <c r="C58" i="48"/>
  <c r="Q58" i="48"/>
  <c r="I57" i="48"/>
  <c r="D59" i="48"/>
  <c r="H32" i="45"/>
  <c r="I32" i="45"/>
  <c r="Q32" i="45"/>
  <c r="D34" i="45"/>
  <c r="AV32" i="45"/>
  <c r="CR32" i="45"/>
  <c r="EJ32" i="45"/>
  <c r="BY32" i="45"/>
  <c r="BE32" i="45"/>
  <c r="BA32" i="45"/>
  <c r="CF32" i="45"/>
  <c r="BD32" i="45"/>
  <c r="CV32" i="45"/>
  <c r="BT32" i="45"/>
  <c r="DL32" i="45"/>
  <c r="BM32" i="45"/>
  <c r="BQ32" i="45"/>
  <c r="CO32" i="45"/>
  <c r="BL32" i="45"/>
  <c r="BU32" i="45"/>
  <c r="DI32" i="45"/>
  <c r="P32" i="45"/>
  <c r="AR32" i="45"/>
  <c r="AG32" i="45"/>
  <c r="U32" i="45"/>
  <c r="T32" i="45"/>
  <c r="AO32" i="45"/>
  <c r="EC31" i="45"/>
  <c r="CS32" i="45"/>
  <c r="DA32" i="45"/>
  <c r="CZ32" i="45"/>
  <c r="L32" i="45"/>
  <c r="EF31" i="45"/>
  <c r="DH32" i="45"/>
  <c r="DE32" i="45"/>
  <c r="CC32" i="45"/>
  <c r="EO33" i="45"/>
  <c r="AB32" i="45"/>
  <c r="CJ32" i="45"/>
  <c r="CG32" i="45"/>
  <c r="BP32" i="45"/>
  <c r="AW32" i="45"/>
  <c r="AS32" i="45"/>
  <c r="CN32" i="45"/>
  <c r="BI32" i="45"/>
  <c r="BX32" i="45"/>
  <c r="BH32" i="45"/>
  <c r="AC32" i="45"/>
  <c r="CK32" i="45"/>
  <c r="AK32" i="45"/>
  <c r="CW32" i="45"/>
  <c r="DQ31" i="45"/>
  <c r="X32" i="45"/>
  <c r="AF32" i="45"/>
  <c r="CB32" i="45"/>
  <c r="AJ32" i="45"/>
  <c r="AN32" i="45"/>
  <c r="AZ32" i="45"/>
  <c r="DT31" i="45"/>
  <c r="DY31" i="45"/>
  <c r="M32" i="45"/>
  <c r="Y32" i="45"/>
  <c r="J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L32" i="45"/>
  <c r="CP32" i="45"/>
  <c r="CX32" i="45"/>
  <c r="DB32" i="45"/>
  <c r="CT32" i="45"/>
  <c r="M56" i="48"/>
  <c r="V56" i="48" s="1"/>
  <c r="DZ31" i="45"/>
  <c r="DR31" i="45"/>
  <c r="DV31" i="45"/>
  <c r="ED31" i="45"/>
  <c r="EH31" i="45"/>
  <c r="DJ32" i="45"/>
  <c r="L57" i="48"/>
  <c r="S57" i="48"/>
  <c r="K57" i="48"/>
  <c r="S67" i="14"/>
  <c r="J68" i="14"/>
  <c r="Q66" i="14"/>
  <c r="K68" i="14"/>
  <c r="O67" i="14"/>
  <c r="O58" i="48"/>
  <c r="C59" i="48"/>
  <c r="I58" i="48"/>
  <c r="H33" i="45"/>
  <c r="I33" i="45"/>
  <c r="AZ33" i="45"/>
  <c r="DM32" i="45"/>
  <c r="AJ33" i="45"/>
  <c r="CB33" i="45"/>
  <c r="CZ33" i="45"/>
  <c r="BX33" i="45"/>
  <c r="L33" i="45"/>
  <c r="AR33" i="45"/>
  <c r="EC32" i="45"/>
  <c r="U33" i="45"/>
  <c r="CG33" i="45"/>
  <c r="AS33" i="45"/>
  <c r="T33" i="45"/>
  <c r="M33" i="45"/>
  <c r="BD33" i="45"/>
  <c r="CR33" i="45"/>
  <c r="DT32" i="45"/>
  <c r="BM33" i="45"/>
  <c r="CC33" i="45"/>
  <c r="CS33" i="45"/>
  <c r="DU32" i="45"/>
  <c r="Q33" i="45"/>
  <c r="BT33" i="45"/>
  <c r="CN33" i="45"/>
  <c r="DI33" i="45"/>
  <c r="X33" i="45"/>
  <c r="DH33" i="45"/>
  <c r="BE33" i="45"/>
  <c r="BY33" i="45"/>
  <c r="AK33" i="45"/>
  <c r="AV33" i="45"/>
  <c r="DQ32" i="45"/>
  <c r="E34" i="45"/>
  <c r="AG33" i="45"/>
  <c r="DP32" i="45"/>
  <c r="BP33" i="45"/>
  <c r="CF33" i="45"/>
  <c r="C34" i="45"/>
  <c r="CK33" i="45"/>
  <c r="CO33" i="45"/>
  <c r="BH33" i="45"/>
  <c r="DY32" i="45"/>
  <c r="DA33" i="45"/>
  <c r="EF32" i="45"/>
  <c r="AB33" i="45"/>
  <c r="BA33" i="45"/>
  <c r="CJ33" i="45"/>
  <c r="BU33" i="45"/>
  <c r="EG32" i="45"/>
  <c r="AW33" i="45"/>
  <c r="AN33" i="45"/>
  <c r="CV33" i="45"/>
  <c r="BI33" i="45"/>
  <c r="P33" i="45"/>
  <c r="EB32" i="45"/>
  <c r="CW33" i="45"/>
  <c r="Y33" i="45"/>
  <c r="DX32" i="45"/>
  <c r="BQ33" i="45"/>
  <c r="BL33" i="45"/>
  <c r="AO33" i="45"/>
  <c r="EK32" i="45"/>
  <c r="AC33" i="45"/>
  <c r="AF33" i="45"/>
  <c r="J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L33" i="45"/>
  <c r="CP33" i="45"/>
  <c r="CX33" i="45"/>
  <c r="CT33" i="45"/>
  <c r="DB33" i="45"/>
  <c r="DJ33" i="45"/>
  <c r="DN32" i="45"/>
  <c r="DR32" i="45"/>
  <c r="DV32" i="45"/>
  <c r="DZ32" i="45"/>
  <c r="M67" i="14"/>
  <c r="U67" i="14" s="1"/>
  <c r="I70" i="14"/>
  <c r="M57" i="48"/>
  <c r="V57" i="48" s="1"/>
  <c r="EL32" i="45"/>
  <c r="AK57" i="48"/>
  <c r="AA57" i="48"/>
  <c r="AF57" i="48"/>
  <c r="B60" i="48"/>
  <c r="ED32" i="45"/>
  <c r="EH32" i="45"/>
  <c r="R58" i="48"/>
  <c r="DD32" i="45"/>
  <c r="DF32" i="45" l="1"/>
  <c r="S58" i="48"/>
  <c r="K58" i="48"/>
  <c r="S68" i="14"/>
  <c r="O68" i="14"/>
  <c r="J69" i="14"/>
  <c r="Q67" i="14"/>
  <c r="I59" i="48"/>
  <c r="Q59" i="48"/>
  <c r="C60" i="48"/>
  <c r="EF33" i="45"/>
  <c r="DP33" i="45"/>
  <c r="DL33" i="45"/>
  <c r="DM33" i="45"/>
  <c r="EO34" i="45"/>
  <c r="D35" i="45"/>
  <c r="DE33" i="45"/>
  <c r="DY33" i="45"/>
  <c r="EB33" i="45"/>
  <c r="C35" i="45"/>
  <c r="DX33" i="45"/>
  <c r="EK33" i="45"/>
  <c r="DN33" i="45" l="1"/>
  <c r="DZ33" i="45"/>
  <c r="M68" i="14"/>
  <c r="U68" i="14" s="1"/>
  <c r="I71" i="14"/>
  <c r="AF58" i="48"/>
  <c r="AK58" i="48"/>
  <c r="AA58" i="48"/>
  <c r="B61" i="48"/>
  <c r="L58" i="48"/>
  <c r="K69" i="14"/>
  <c r="O59" i="48"/>
  <c r="H34" i="45"/>
  <c r="I34" i="45"/>
  <c r="T34" i="45"/>
  <c r="BD34" i="45"/>
  <c r="AO34" i="45"/>
  <c r="AR34" i="45"/>
  <c r="CZ34" i="45"/>
  <c r="BQ34" i="45"/>
  <c r="AN34" i="45"/>
  <c r="BT34" i="45"/>
  <c r="CC34" i="45"/>
  <c r="E35" i="45"/>
  <c r="M34" i="45"/>
  <c r="BX34" i="45"/>
  <c r="AV34" i="45"/>
  <c r="BL34" i="45"/>
  <c r="CG34" i="45"/>
  <c r="AW34" i="45"/>
  <c r="BH34" i="45"/>
  <c r="CV34" i="45"/>
  <c r="X34" i="45"/>
  <c r="CK34" i="45"/>
  <c r="DT33" i="45"/>
  <c r="DQ33" i="45"/>
  <c r="Q34" i="45"/>
  <c r="EG33" i="45"/>
  <c r="Y34" i="45"/>
  <c r="DD33" i="45"/>
  <c r="DI34" i="45"/>
  <c r="BP34" i="45"/>
  <c r="BY34" i="45"/>
  <c r="AK34" i="45"/>
  <c r="CW34" i="45"/>
  <c r="CJ34" i="45"/>
  <c r="EC33" i="45"/>
  <c r="CB34" i="45"/>
  <c r="CR34" i="45"/>
  <c r="DU33" i="45"/>
  <c r="AG34" i="45"/>
  <c r="BE34" i="45"/>
  <c r="BI34" i="45"/>
  <c r="P34" i="45"/>
  <c r="BA34" i="45"/>
  <c r="CS34" i="45"/>
  <c r="DH34" i="45"/>
  <c r="EJ33" i="45"/>
  <c r="AJ34" i="45"/>
  <c r="BM34" i="45"/>
  <c r="U34" i="45"/>
  <c r="AB34" i="45"/>
  <c r="AC34" i="45"/>
  <c r="AF34" i="45"/>
  <c r="CO34" i="45"/>
  <c r="CN34" i="45"/>
  <c r="AS34" i="45"/>
  <c r="BU34" i="45"/>
  <c r="DA34" i="45"/>
  <c r="L34" i="45"/>
  <c r="AZ34" i="45"/>
  <c r="CF34" i="45"/>
  <c r="J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L34" i="45"/>
  <c r="CP34" i="45"/>
  <c r="CX34" i="45"/>
  <c r="CT34" i="45"/>
  <c r="DB34" i="45"/>
  <c r="ED33" i="45"/>
  <c r="DV33" i="45"/>
  <c r="DF33" i="45"/>
  <c r="EH33" i="45"/>
  <c r="M58" i="48"/>
  <c r="V58" i="48" s="1"/>
  <c r="DJ34" i="45"/>
  <c r="DR33" i="45"/>
  <c r="EL33" i="45"/>
  <c r="L59" i="48"/>
  <c r="R59" i="48"/>
  <c r="S59" i="48"/>
  <c r="J70" i="14"/>
  <c r="S69" i="14"/>
  <c r="O69" i="14"/>
  <c r="Q68" i="14"/>
  <c r="D61" i="48"/>
  <c r="C61" i="48"/>
  <c r="EC34" i="45"/>
  <c r="DU34" i="45"/>
  <c r="D36" i="45"/>
  <c r="DX34" i="45"/>
  <c r="EG34" i="45"/>
  <c r="DE34" i="45"/>
  <c r="EK34" i="45"/>
  <c r="DM34" i="45"/>
  <c r="DP34" i="45"/>
  <c r="DL34" i="45"/>
  <c r="DT34" i="45"/>
  <c r="EF34" i="45"/>
  <c r="EJ34" i="45"/>
  <c r="DD34" i="45"/>
  <c r="EO35" i="45"/>
  <c r="DQ34" i="45"/>
  <c r="DN34" i="45" l="1"/>
  <c r="DF34" i="45"/>
  <c r="DR34" i="45"/>
  <c r="DV34" i="45"/>
  <c r="M69" i="14"/>
  <c r="U69" i="14" s="1"/>
  <c r="AK59" i="48"/>
  <c r="AA59" i="48"/>
  <c r="AF59" i="48"/>
  <c r="EL34" i="45"/>
  <c r="B62" i="48"/>
  <c r="EH34" i="45"/>
  <c r="K59" i="48"/>
  <c r="K70" i="14"/>
  <c r="D60" i="48"/>
  <c r="C62" i="48"/>
  <c r="O61" i="48"/>
  <c r="H35" i="45"/>
  <c r="I35" i="45"/>
  <c r="BM35" i="45"/>
  <c r="AS35" i="45"/>
  <c r="AV35" i="45"/>
  <c r="AZ35" i="45"/>
  <c r="AC35" i="45"/>
  <c r="CS35" i="45"/>
  <c r="DH35" i="45"/>
  <c r="Q35" i="45"/>
  <c r="BI35" i="45"/>
  <c r="AW35" i="45"/>
  <c r="BE35" i="45"/>
  <c r="CB35" i="45"/>
  <c r="L35" i="45"/>
  <c r="T35" i="45"/>
  <c r="AG35" i="45"/>
  <c r="AJ35" i="45"/>
  <c r="Y35" i="45"/>
  <c r="U35" i="45"/>
  <c r="AB35" i="45"/>
  <c r="EB34" i="45"/>
  <c r="BD35" i="45"/>
  <c r="BT35" i="45"/>
  <c r="AF35" i="45"/>
  <c r="C36" i="45"/>
  <c r="CR35" i="45"/>
  <c r="CW35" i="45"/>
  <c r="P35" i="45"/>
  <c r="DA35" i="45"/>
  <c r="AK35" i="45"/>
  <c r="BA35" i="45"/>
  <c r="BQ35" i="45"/>
  <c r="CV35" i="45"/>
  <c r="AO35" i="45"/>
  <c r="CJ35" i="45"/>
  <c r="BP35" i="45"/>
  <c r="DY34" i="45"/>
  <c r="X35" i="45"/>
  <c r="CN35" i="45"/>
  <c r="CG35" i="45"/>
  <c r="BX35" i="45"/>
  <c r="AR35" i="45"/>
  <c r="CC35" i="45"/>
  <c r="AN35" i="45"/>
  <c r="BU35" i="45"/>
  <c r="BH35" i="45"/>
  <c r="BY35" i="45"/>
  <c r="BL35" i="45"/>
  <c r="CZ35" i="45"/>
  <c r="M35" i="45"/>
  <c r="E36" i="45"/>
  <c r="CF35" i="45"/>
  <c r="CO35" i="45"/>
  <c r="CK35" i="45"/>
  <c r="DI35" i="45"/>
  <c r="J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L35" i="45"/>
  <c r="CP35" i="45"/>
  <c r="CX35" i="45"/>
  <c r="DB35" i="45"/>
  <c r="CT35" i="45"/>
  <c r="DJ35" i="45"/>
  <c r="M59" i="48"/>
  <c r="V59" i="48" s="1"/>
  <c r="DZ34" i="45"/>
  <c r="ED34" i="45"/>
  <c r="Q69" i="14"/>
  <c r="K71" i="14"/>
  <c r="S70" i="14"/>
  <c r="J71" i="14"/>
  <c r="I60" i="48"/>
  <c r="Q60" i="48"/>
  <c r="D62" i="48"/>
  <c r="EJ35" i="45"/>
  <c r="EO36" i="45"/>
  <c r="DY35" i="45"/>
  <c r="DQ35" i="45"/>
  <c r="DX35" i="45"/>
  <c r="DM35" i="45"/>
  <c r="DE35" i="45"/>
  <c r="EK35" i="45"/>
  <c r="EB35" i="45"/>
  <c r="DT35" i="45"/>
  <c r="EC35" i="45"/>
  <c r="DZ35" i="45" l="1"/>
  <c r="EL35" i="45"/>
  <c r="B63" i="48"/>
  <c r="ED35" i="45"/>
  <c r="K61" i="48"/>
  <c r="L61" i="48"/>
  <c r="R60" i="48"/>
  <c r="S60" i="48"/>
  <c r="Q70" i="14"/>
  <c r="S71" i="14"/>
  <c r="O71" i="14"/>
  <c r="O70" i="14"/>
  <c r="C63" i="48"/>
  <c r="I61" i="48"/>
  <c r="I62" i="48"/>
  <c r="O62" i="48"/>
  <c r="Q61" i="48"/>
  <c r="Q62" i="48"/>
  <c r="O60" i="48"/>
  <c r="H36" i="45"/>
  <c r="I36" i="45"/>
  <c r="BU36" i="45"/>
  <c r="EB36" i="45"/>
  <c r="AB36" i="45"/>
  <c r="DP35" i="45"/>
  <c r="CS36" i="45"/>
  <c r="CJ36" i="45"/>
  <c r="CF36" i="45"/>
  <c r="P36" i="45"/>
  <c r="AK36" i="45"/>
  <c r="DH36" i="45"/>
  <c r="CC36" i="45"/>
  <c r="DI36" i="45"/>
  <c r="BP36" i="45"/>
  <c r="X36" i="45"/>
  <c r="DE36" i="45"/>
  <c r="CR36" i="45"/>
  <c r="DM36" i="45"/>
  <c r="M36" i="45"/>
  <c r="BT36" i="45"/>
  <c r="BY36" i="45"/>
  <c r="CN36" i="45"/>
  <c r="EG35" i="45"/>
  <c r="EK36" i="45"/>
  <c r="AC36" i="45"/>
  <c r="BM36" i="45"/>
  <c r="BI36" i="45"/>
  <c r="EG36" i="45"/>
  <c r="L36" i="45"/>
  <c r="BD36" i="45"/>
  <c r="AJ36" i="45"/>
  <c r="AN36" i="45"/>
  <c r="T36" i="45"/>
  <c r="EF35" i="45"/>
  <c r="DL35" i="45"/>
  <c r="U36" i="45"/>
  <c r="DL36" i="45"/>
  <c r="AV36" i="45"/>
  <c r="BA36" i="45"/>
  <c r="EJ36" i="45"/>
  <c r="CO36" i="45"/>
  <c r="CZ36" i="45"/>
  <c r="DU36" i="45"/>
  <c r="CB36" i="45"/>
  <c r="AG36" i="45"/>
  <c r="BX36" i="45"/>
  <c r="Q36" i="45"/>
  <c r="AR36" i="45"/>
  <c r="AF36" i="45"/>
  <c r="D37" i="45"/>
  <c r="DD35" i="45"/>
  <c r="DY36" i="45"/>
  <c r="Y36" i="45"/>
  <c r="C37" i="45"/>
  <c r="AW36" i="45"/>
  <c r="DA36" i="45"/>
  <c r="BL36" i="45"/>
  <c r="CG36" i="45"/>
  <c r="CV36" i="45"/>
  <c r="BE36" i="45"/>
  <c r="EC36" i="45"/>
  <c r="CW36" i="45"/>
  <c r="DX36" i="45"/>
  <c r="E37" i="45"/>
  <c r="BQ36" i="45"/>
  <c r="AZ36" i="45"/>
  <c r="CK36" i="45"/>
  <c r="DQ36" i="45"/>
  <c r="DD36" i="45"/>
  <c r="EF36" i="45"/>
  <c r="AS36" i="45"/>
  <c r="DU35" i="45"/>
  <c r="DP36" i="45"/>
  <c r="BH36" i="45"/>
  <c r="AO36" i="45"/>
  <c r="J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L36" i="45"/>
  <c r="CP36" i="45"/>
  <c r="CX36" i="45"/>
  <c r="CT36" i="45"/>
  <c r="DB36" i="45"/>
  <c r="DN35" i="45"/>
  <c r="EH35" i="45"/>
  <c r="DR35" i="45"/>
  <c r="DF35" i="45"/>
  <c r="S61" i="48"/>
  <c r="R61" i="48"/>
  <c r="AK61" i="48" s="1"/>
  <c r="DJ36" i="45"/>
  <c r="M70" i="14"/>
  <c r="U70" i="14" s="1"/>
  <c r="DV35" i="45"/>
  <c r="DN36" i="45"/>
  <c r="DF36" i="45"/>
  <c r="DR36" i="45"/>
  <c r="DZ36" i="45"/>
  <c r="M71" i="14"/>
  <c r="U71" i="14" s="1"/>
  <c r="Z60" i="48"/>
  <c r="AF60" i="48"/>
  <c r="AK60" i="48"/>
  <c r="AJ60" i="48"/>
  <c r="AE60" i="48"/>
  <c r="AA60" i="48"/>
  <c r="M61" i="48"/>
  <c r="V61" i="48" s="1"/>
  <c r="EL36" i="45"/>
  <c r="B64" i="48"/>
  <c r="EH36" i="45"/>
  <c r="ED36" i="45"/>
  <c r="L62" i="48"/>
  <c r="S62" i="48"/>
  <c r="K62" i="48"/>
  <c r="R62" i="48"/>
  <c r="K60" i="48"/>
  <c r="L60" i="48"/>
  <c r="Q71" i="14"/>
  <c r="D64" i="48"/>
  <c r="D63" i="48"/>
  <c r="E38" i="45"/>
  <c r="EO37" i="45"/>
  <c r="D38" i="45"/>
  <c r="C38" i="45"/>
  <c r="DT36" i="45"/>
  <c r="AE61" i="48" l="1"/>
  <c r="M60" i="48"/>
  <c r="V60" i="48" s="1"/>
  <c r="AF61" i="48"/>
  <c r="Z61" i="48"/>
  <c r="AA61" i="48"/>
  <c r="AJ61" i="48"/>
  <c r="DV36" i="45"/>
  <c r="M62" i="48"/>
  <c r="V62" i="48" s="1"/>
  <c r="AK62" i="48"/>
  <c r="AA62" i="48"/>
  <c r="AJ62" i="48"/>
  <c r="Z62" i="48"/>
  <c r="AF62" i="48"/>
  <c r="AE62" i="48"/>
  <c r="B65" i="48"/>
  <c r="Q63" i="48"/>
  <c r="O64" i="48"/>
  <c r="Q64" i="48"/>
  <c r="O63" i="48"/>
  <c r="I64" i="48"/>
  <c r="I63" i="48"/>
  <c r="C64" i="48"/>
  <c r="H37" i="45"/>
  <c r="I37" i="45"/>
  <c r="AK37" i="45"/>
  <c r="AS37" i="45"/>
  <c r="CZ37" i="45"/>
  <c r="AJ37" i="45"/>
  <c r="M37" i="45"/>
  <c r="CW37" i="45"/>
  <c r="AV37" i="45"/>
  <c r="Y37" i="45"/>
  <c r="CV37" i="45"/>
  <c r="BM37" i="45"/>
  <c r="BD37" i="45"/>
  <c r="CN37" i="45"/>
  <c r="BL37" i="45"/>
  <c r="BE37" i="45"/>
  <c r="L37" i="45"/>
  <c r="BU37" i="45"/>
  <c r="Q37" i="45"/>
  <c r="AZ37" i="45"/>
  <c r="CK37" i="45"/>
  <c r="CR37" i="45"/>
  <c r="CJ37" i="45"/>
  <c r="T37" i="45"/>
  <c r="C39" i="45"/>
  <c r="U37" i="45"/>
  <c r="E39" i="45"/>
  <c r="BP37" i="45"/>
  <c r="CS37" i="45"/>
  <c r="CO37" i="45"/>
  <c r="CB37" i="45"/>
  <c r="BI37" i="45"/>
  <c r="BA37" i="45"/>
  <c r="AF37" i="45"/>
  <c r="AG37" i="45"/>
  <c r="AW37" i="45"/>
  <c r="AN37" i="45"/>
  <c r="CG37" i="45"/>
  <c r="BY37" i="45"/>
  <c r="CC37" i="45"/>
  <c r="AR37" i="45"/>
  <c r="DH37" i="45"/>
  <c r="BX37" i="45"/>
  <c r="DI37" i="45"/>
  <c r="P37" i="45"/>
  <c r="AC37" i="45"/>
  <c r="BH37" i="45"/>
  <c r="BT37" i="45"/>
  <c r="AO37" i="45"/>
  <c r="AB37" i="45"/>
  <c r="CF37" i="45"/>
  <c r="X37" i="45"/>
  <c r="BQ37" i="45"/>
  <c r="DA37" i="45"/>
  <c r="J37" i="45" l="1"/>
  <c r="N37" i="45"/>
  <c r="R37" i="45"/>
  <c r="V37" i="45"/>
  <c r="K63" i="48"/>
  <c r="L63" i="48"/>
  <c r="S63" i="48"/>
  <c r="R63" i="48"/>
  <c r="Z37" i="45"/>
  <c r="AD37" i="45"/>
  <c r="AH37" i="45"/>
  <c r="AL37" i="45"/>
  <c r="AP37" i="45"/>
  <c r="AT37" i="45"/>
  <c r="AX37" i="45"/>
  <c r="BB37" i="45"/>
  <c r="BF37" i="45"/>
  <c r="BJ37" i="45"/>
  <c r="BN37" i="45"/>
  <c r="BR37" i="45"/>
  <c r="BV37" i="45"/>
  <c r="BZ37" i="45"/>
  <c r="CD37" i="45"/>
  <c r="CH37" i="45"/>
  <c r="CL37" i="45"/>
  <c r="CP37" i="45"/>
  <c r="CX37" i="45"/>
  <c r="CT37" i="45"/>
  <c r="DB37" i="45"/>
  <c r="DJ37" i="45"/>
  <c r="D65" i="48"/>
  <c r="C65" i="48"/>
  <c r="EB37" i="45"/>
  <c r="EF37" i="45"/>
  <c r="DE37" i="45"/>
  <c r="EC37" i="45"/>
  <c r="DL37" i="45"/>
  <c r="DY37" i="45"/>
  <c r="EG37" i="45"/>
  <c r="DQ37" i="45"/>
  <c r="EO38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EH37" i="45"/>
  <c r="ED37" i="45"/>
  <c r="L64" i="48"/>
  <c r="K64" i="48"/>
  <c r="O65" i="48"/>
  <c r="I65" i="48"/>
  <c r="Q65" i="48"/>
  <c r="H38" i="45"/>
  <c r="I38" i="45"/>
  <c r="BE38" i="45"/>
  <c r="DX38" i="45"/>
  <c r="CW38" i="45"/>
  <c r="AK38" i="45"/>
  <c r="BH38" i="45"/>
  <c r="E40" i="45"/>
  <c r="DI38" i="45"/>
  <c r="AZ38" i="45"/>
  <c r="BT38" i="45"/>
  <c r="AJ38" i="45"/>
  <c r="AG38" i="45"/>
  <c r="CC38" i="45"/>
  <c r="CF38" i="45"/>
  <c r="AN38" i="45"/>
  <c r="AB38" i="45"/>
  <c r="CR38" i="45"/>
  <c r="M38" i="45"/>
  <c r="CK38" i="45"/>
  <c r="BD38" i="45"/>
  <c r="BI38" i="45"/>
  <c r="CJ38" i="45"/>
  <c r="Y38" i="45"/>
  <c r="CO38" i="45"/>
  <c r="DE38" i="45"/>
  <c r="D40" i="45"/>
  <c r="DM38" i="45"/>
  <c r="BX38" i="45"/>
  <c r="DP38" i="45"/>
  <c r="DA38" i="45"/>
  <c r="CG38" i="45"/>
  <c r="BP38" i="45"/>
  <c r="X38" i="45"/>
  <c r="EB38" i="45"/>
  <c r="AW38" i="45"/>
  <c r="P38" i="45"/>
  <c r="AF38" i="45"/>
  <c r="CZ38" i="45"/>
  <c r="Q38" i="45"/>
  <c r="EF38" i="45"/>
  <c r="CV38" i="45"/>
  <c r="BQ38" i="45"/>
  <c r="DM37" i="45"/>
  <c r="CB38" i="45"/>
  <c r="BM38" i="45"/>
  <c r="DT38" i="45"/>
  <c r="DD38" i="45"/>
  <c r="DX37" i="45"/>
  <c r="DQ38" i="45"/>
  <c r="AS38" i="45"/>
  <c r="EC38" i="45"/>
  <c r="AV38" i="45"/>
  <c r="DT37" i="45"/>
  <c r="DU37" i="45"/>
  <c r="EK37" i="45"/>
  <c r="AO38" i="45"/>
  <c r="BY38" i="45"/>
  <c r="T38" i="45"/>
  <c r="DD37" i="45"/>
  <c r="U38" i="45"/>
  <c r="DU38" i="45"/>
  <c r="AR38" i="45"/>
  <c r="D39" i="45"/>
  <c r="EJ37" i="45"/>
  <c r="CS38" i="45"/>
  <c r="CN38" i="45"/>
  <c r="AC38" i="45"/>
  <c r="DP37" i="45"/>
  <c r="DH38" i="45"/>
  <c r="BL38" i="45"/>
  <c r="DY38" i="45"/>
  <c r="EK38" i="45"/>
  <c r="BA38" i="45"/>
  <c r="BU38" i="45"/>
  <c r="EJ38" i="45"/>
  <c r="L38" i="45"/>
  <c r="J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L38" i="45"/>
  <c r="CP38" i="45"/>
  <c r="CX38" i="45"/>
  <c r="DB38" i="45"/>
  <c r="CT38" i="45"/>
  <c r="DN37" i="45"/>
  <c r="EL37" i="45"/>
  <c r="DZ37" i="45"/>
  <c r="DJ38" i="45"/>
  <c r="DF37" i="45"/>
  <c r="DV37" i="45"/>
  <c r="DR37" i="45"/>
  <c r="DF38" i="45"/>
  <c r="DR38" i="45"/>
  <c r="M64" i="48"/>
  <c r="V64" i="48" s="1"/>
  <c r="X64" i="48" s="1"/>
  <c r="DV38" i="45"/>
  <c r="DZ38" i="45"/>
  <c r="S65" i="48"/>
  <c r="G65" i="48"/>
  <c r="R65" i="48"/>
  <c r="F65" i="48"/>
  <c r="EL38" i="45"/>
  <c r="AK64" i="48"/>
  <c r="AA64" i="48"/>
  <c r="AE64" i="48"/>
  <c r="AF64" i="48"/>
  <c r="AJ64" i="48"/>
  <c r="Z64" i="48"/>
  <c r="ED38" i="45"/>
  <c r="K65" i="48"/>
  <c r="L65" i="48"/>
  <c r="EO40" i="45"/>
  <c r="C41" i="45"/>
  <c r="D41" i="45"/>
  <c r="E41" i="45"/>
  <c r="EO39" i="45"/>
  <c r="C40" i="45"/>
  <c r="DL38" i="45"/>
  <c r="EG38" i="45"/>
  <c r="EH38" i="45" l="1"/>
  <c r="DN38" i="45"/>
  <c r="M65" i="48"/>
  <c r="V65" i="48" s="1"/>
  <c r="X65" i="48" s="1"/>
  <c r="AJ65" i="48"/>
  <c r="AA65" i="48"/>
  <c r="AE65" i="48"/>
  <c r="AK65" i="48"/>
  <c r="Z65" i="48"/>
  <c r="AF65" i="48"/>
  <c r="R9" i="48"/>
  <c r="H39" i="45"/>
  <c r="I39" i="45"/>
  <c r="H40" i="45"/>
  <c r="I40" i="45"/>
  <c r="L40" i="45"/>
  <c r="BP39" i="45"/>
  <c r="CZ39" i="45"/>
  <c r="CF40" i="45"/>
  <c r="CR40" i="45"/>
  <c r="AC40" i="45"/>
  <c r="DI39" i="45"/>
  <c r="AF40" i="45"/>
  <c r="U39" i="45"/>
  <c r="M39" i="45"/>
  <c r="L39" i="45"/>
  <c r="CF39" i="45"/>
  <c r="BH40" i="45"/>
  <c r="EO41" i="45"/>
  <c r="AZ39" i="45"/>
  <c r="CB40" i="45"/>
  <c r="BE39" i="45"/>
  <c r="AO40" i="45"/>
  <c r="CO40" i="45"/>
  <c r="BA39" i="45"/>
  <c r="X39" i="45"/>
  <c r="X40" i="45"/>
  <c r="DL40" i="45"/>
  <c r="AJ40" i="45"/>
  <c r="AR39" i="45"/>
  <c r="BD39" i="45"/>
  <c r="U40" i="45"/>
  <c r="CK39" i="45"/>
  <c r="CS40" i="45"/>
  <c r="AJ39" i="45"/>
  <c r="AC39" i="45"/>
  <c r="BY40" i="45"/>
  <c r="BT40" i="45"/>
  <c r="DA40" i="45"/>
  <c r="CJ40" i="45"/>
  <c r="AV40" i="45"/>
  <c r="CB39" i="45"/>
  <c r="M40" i="45"/>
  <c r="CJ39" i="45"/>
  <c r="CZ40" i="45"/>
  <c r="CW40" i="45"/>
  <c r="CR39" i="45"/>
  <c r="Q40" i="45"/>
  <c r="CS39" i="45"/>
  <c r="CG40" i="45"/>
  <c r="CK40" i="45"/>
  <c r="AK40" i="45"/>
  <c r="DA39" i="45"/>
  <c r="AO39" i="45"/>
  <c r="BQ39" i="45"/>
  <c r="DI40" i="45"/>
  <c r="AW40" i="45"/>
  <c r="CN39" i="45"/>
  <c r="BM40" i="45"/>
  <c r="CC39" i="45"/>
  <c r="DH39" i="45"/>
  <c r="CV39" i="45"/>
  <c r="AB40" i="45"/>
  <c r="AW39" i="45"/>
  <c r="BM39" i="45"/>
  <c r="BL39" i="45"/>
  <c r="BY39" i="45"/>
  <c r="T40" i="45"/>
  <c r="T39" i="45"/>
  <c r="AG39" i="45"/>
  <c r="BI39" i="45"/>
  <c r="CG39" i="45"/>
  <c r="BE40" i="45"/>
  <c r="AV39" i="45"/>
  <c r="AN40" i="45"/>
  <c r="BX40" i="45"/>
  <c r="P40" i="45"/>
  <c r="BU39" i="45"/>
  <c r="BD40" i="45"/>
  <c r="AN39" i="45"/>
  <c r="AG40" i="45"/>
  <c r="BX39" i="45"/>
  <c r="CN40" i="45"/>
  <c r="BI40" i="45"/>
  <c r="AK39" i="45"/>
  <c r="AZ40" i="45"/>
  <c r="P39" i="45"/>
  <c r="AF39" i="45"/>
  <c r="AB39" i="45"/>
  <c r="BQ40" i="45"/>
  <c r="BL40" i="45"/>
  <c r="BP40" i="45"/>
  <c r="Q39" i="45"/>
  <c r="CC40" i="45"/>
  <c r="BU40" i="45"/>
  <c r="BA40" i="45"/>
  <c r="AR40" i="45"/>
  <c r="AS40" i="45"/>
  <c r="AS39" i="45"/>
  <c r="CO39" i="45"/>
  <c r="DH40" i="45"/>
  <c r="CV40" i="45"/>
  <c r="BT39" i="45"/>
  <c r="Y39" i="45"/>
  <c r="BH39" i="45"/>
  <c r="Y40" i="45"/>
  <c r="CW39" i="45"/>
  <c r="J40" i="45" l="1"/>
  <c r="J39" i="45"/>
  <c r="N39" i="45"/>
  <c r="N40" i="45"/>
  <c r="R39" i="45"/>
  <c r="R40" i="45"/>
  <c r="V39" i="45"/>
  <c r="V40" i="45"/>
  <c r="Z40" i="45"/>
  <c r="Z39" i="45"/>
  <c r="AD40" i="45"/>
  <c r="AD39" i="45"/>
  <c r="AH40" i="45"/>
  <c r="AH39" i="45"/>
  <c r="AL39" i="45"/>
  <c r="AL40" i="45"/>
  <c r="AP39" i="45"/>
  <c r="AP40" i="45"/>
  <c r="AT40" i="45"/>
  <c r="AT39" i="45"/>
  <c r="AX40" i="45"/>
  <c r="AX39" i="45"/>
  <c r="BB40" i="45"/>
  <c r="BB39" i="45"/>
  <c r="BF40" i="45"/>
  <c r="BF39" i="45"/>
  <c r="BJ39" i="45"/>
  <c r="BJ40" i="45"/>
  <c r="BN39" i="45"/>
  <c r="BN40" i="45"/>
  <c r="BR40" i="45"/>
  <c r="BR39" i="45"/>
  <c r="BV40" i="45"/>
  <c r="BV39" i="45"/>
  <c r="BZ40" i="45"/>
  <c r="BZ39" i="45"/>
  <c r="CD40" i="45"/>
  <c r="CD39" i="45"/>
  <c r="CH40" i="45"/>
  <c r="CH39" i="45"/>
  <c r="CL39" i="45"/>
  <c r="CL40" i="45"/>
  <c r="CP39" i="45"/>
  <c r="CP40" i="45"/>
  <c r="CX40" i="45"/>
  <c r="CX39" i="45"/>
  <c r="CT40" i="45"/>
  <c r="DB39" i="45"/>
  <c r="DB40" i="45"/>
  <c r="CT39" i="45"/>
  <c r="DJ39" i="45"/>
  <c r="DJ40" i="45"/>
  <c r="H41" i="45"/>
  <c r="I41" i="45"/>
  <c r="AV41" i="45"/>
  <c r="CF41" i="45"/>
  <c r="CB41" i="45"/>
  <c r="L41" i="45"/>
  <c r="BX41" i="45"/>
  <c r="EB39" i="45"/>
  <c r="T41" i="45"/>
  <c r="Y41" i="45"/>
  <c r="BD41" i="45"/>
  <c r="CG41" i="45"/>
  <c r="BE41" i="45"/>
  <c r="BH41" i="45"/>
  <c r="BM41" i="45"/>
  <c r="AN41" i="45"/>
  <c r="AR41" i="45"/>
  <c r="DI41" i="45"/>
  <c r="Q41" i="45"/>
  <c r="EK39" i="45"/>
  <c r="AO41" i="45"/>
  <c r="DA41" i="45"/>
  <c r="BQ41" i="45"/>
  <c r="AS41" i="45"/>
  <c r="AK41" i="45"/>
  <c r="DD39" i="45"/>
  <c r="M41" i="45"/>
  <c r="AB41" i="45"/>
  <c r="P41" i="45"/>
  <c r="BP41" i="45"/>
  <c r="DH41" i="45"/>
  <c r="D42" i="45"/>
  <c r="BU41" i="45"/>
  <c r="BI41" i="45"/>
  <c r="CN41" i="45"/>
  <c r="AW41" i="45"/>
  <c r="X41" i="45"/>
  <c r="AZ41" i="45"/>
  <c r="CR41" i="45"/>
  <c r="AC41" i="45"/>
  <c r="BY41" i="45"/>
  <c r="AG41" i="45"/>
  <c r="AJ41" i="45"/>
  <c r="EG39" i="45"/>
  <c r="DX40" i="45"/>
  <c r="CZ41" i="45"/>
  <c r="BL41" i="45"/>
  <c r="DU39" i="45"/>
  <c r="CC41" i="45"/>
  <c r="DM39" i="45"/>
  <c r="CS41" i="45"/>
  <c r="CV41" i="45"/>
  <c r="CK41" i="45"/>
  <c r="CW41" i="45"/>
  <c r="BA41" i="45"/>
  <c r="AF41" i="45"/>
  <c r="BT41" i="45"/>
  <c r="CO41" i="45"/>
  <c r="DT39" i="45"/>
  <c r="U41" i="45"/>
  <c r="CJ41" i="45"/>
  <c r="J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L41" i="45"/>
  <c r="CP41" i="45"/>
  <c r="CX41" i="45"/>
  <c r="CT41" i="45"/>
  <c r="DB41" i="45"/>
  <c r="DJ41" i="45"/>
  <c r="DD40" i="45"/>
  <c r="DL39" i="45"/>
  <c r="DU40" i="45"/>
  <c r="DQ39" i="45"/>
  <c r="DY40" i="45"/>
  <c r="EJ40" i="45"/>
  <c r="DE39" i="45"/>
  <c r="EF39" i="45"/>
  <c r="DP40" i="45"/>
  <c r="DQ40" i="45"/>
  <c r="EG40" i="45"/>
  <c r="DE40" i="45"/>
  <c r="DY39" i="45"/>
  <c r="DM40" i="45"/>
  <c r="DT40" i="45"/>
  <c r="DX39" i="45"/>
  <c r="C42" i="45"/>
  <c r="DN39" i="45" l="1"/>
  <c r="DN40" i="45"/>
  <c r="DF40" i="45"/>
  <c r="DF39" i="45"/>
  <c r="DR40" i="45"/>
  <c r="M69" i="48"/>
  <c r="DV40" i="45"/>
  <c r="DV39" i="45"/>
  <c r="DZ40" i="45"/>
  <c r="DZ39" i="45"/>
  <c r="EH39" i="45"/>
  <c r="EC39" i="45"/>
  <c r="EG41" i="45"/>
  <c r="EC40" i="45"/>
  <c r="EB40" i="45"/>
  <c r="C43" i="45"/>
  <c r="DP39" i="45"/>
  <c r="EJ39" i="45"/>
  <c r="EF40" i="45"/>
  <c r="EK40" i="45"/>
  <c r="EL39" i="45" l="1"/>
  <c r="DR39" i="45"/>
  <c r="ED39" i="45"/>
  <c r="EH40" i="45"/>
  <c r="ED40" i="45"/>
  <c r="EL40" i="45"/>
  <c r="DL41" i="45"/>
  <c r="DP41" i="45"/>
  <c r="DY41" i="45"/>
  <c r="E43" i="45"/>
  <c r="DT41" i="45"/>
  <c r="EB41" i="45"/>
  <c r="DE41" i="45"/>
  <c r="EC41" i="45"/>
  <c r="EK41" i="45"/>
  <c r="EO42" i="45"/>
  <c r="DM41" i="45"/>
  <c r="EF41" i="45"/>
  <c r="DN41" i="45" l="1"/>
  <c r="EH41" i="45"/>
  <c r="ED41" i="45"/>
  <c r="H42" i="45"/>
  <c r="I42" i="45"/>
  <c r="CC42" i="45"/>
  <c r="M42" i="45"/>
  <c r="CB42" i="45"/>
  <c r="BI42" i="45"/>
  <c r="CF42" i="45"/>
  <c r="EJ41" i="45"/>
  <c r="BU42" i="45"/>
  <c r="BT42" i="45"/>
  <c r="DX42" i="45"/>
  <c r="BH42" i="45"/>
  <c r="Q42" i="45"/>
  <c r="CZ42" i="45"/>
  <c r="DX41" i="45"/>
  <c r="AO42" i="45"/>
  <c r="CW42" i="45"/>
  <c r="CO42" i="45"/>
  <c r="CN42" i="45"/>
  <c r="AK42" i="45"/>
  <c r="AR42" i="45"/>
  <c r="CS42" i="45"/>
  <c r="BL42" i="45"/>
  <c r="DL42" i="45"/>
  <c r="U42" i="45"/>
  <c r="L42" i="45"/>
  <c r="AJ42" i="45"/>
  <c r="AS42" i="45"/>
  <c r="BE42" i="45"/>
  <c r="X42" i="45"/>
  <c r="BQ42" i="45"/>
  <c r="EB42" i="45"/>
  <c r="DA42" i="45"/>
  <c r="BM42" i="45"/>
  <c r="AF42" i="45"/>
  <c r="CJ42" i="45"/>
  <c r="AV42" i="45"/>
  <c r="DU41" i="45"/>
  <c r="BA42" i="45"/>
  <c r="AC42" i="45"/>
  <c r="AG42" i="45"/>
  <c r="DQ41" i="45"/>
  <c r="AZ42" i="45"/>
  <c r="DM42" i="45"/>
  <c r="CG42" i="45"/>
  <c r="DH42" i="45"/>
  <c r="P42" i="45"/>
  <c r="Y42" i="45"/>
  <c r="D44" i="45"/>
  <c r="CK42" i="45"/>
  <c r="BD42" i="45"/>
  <c r="DD41" i="45"/>
  <c r="DI42" i="45"/>
  <c r="CV42" i="45"/>
  <c r="E42" i="45"/>
  <c r="BY42" i="45"/>
  <c r="AW42" i="45"/>
  <c r="BP42" i="45"/>
  <c r="BX42" i="45"/>
  <c r="AN42" i="45"/>
  <c r="AB42" i="45"/>
  <c r="CR42" i="45"/>
  <c r="T42" i="45"/>
  <c r="J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L42" i="45"/>
  <c r="CP42" i="45"/>
  <c r="CX42" i="45"/>
  <c r="DB42" i="45"/>
  <c r="CT42" i="45"/>
  <c r="DZ41" i="45"/>
  <c r="EL41" i="45"/>
  <c r="DF41" i="45"/>
  <c r="DR41" i="45"/>
  <c r="DJ42" i="45"/>
  <c r="DV41" i="45"/>
  <c r="D43" i="45"/>
  <c r="DE42" i="45"/>
  <c r="E44" i="45"/>
  <c r="DQ42" i="45"/>
  <c r="DU42" i="45"/>
  <c r="EG42" i="45"/>
  <c r="EF42" i="45"/>
  <c r="EC42" i="45"/>
  <c r="EK42" i="45"/>
  <c r="DY42" i="45"/>
  <c r="DT42" i="45"/>
  <c r="DP42" i="45"/>
  <c r="DD42" i="45"/>
  <c r="DN42" i="45" l="1"/>
  <c r="DF42" i="45"/>
  <c r="DR42" i="45"/>
  <c r="DV42" i="45"/>
  <c r="DZ42" i="45"/>
  <c r="ED42" i="45"/>
  <c r="EH42" i="45"/>
  <c r="C44" i="45"/>
  <c r="D46" i="45"/>
  <c r="D45" i="45"/>
  <c r="E45" i="45"/>
  <c r="E46" i="45"/>
  <c r="EJ42" i="45"/>
  <c r="C45" i="45"/>
  <c r="EO44" i="45"/>
  <c r="EO43" i="45"/>
  <c r="C46" i="45"/>
  <c r="EL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H43" i="45"/>
  <c r="I43" i="45"/>
  <c r="I44" i="45"/>
  <c r="H44" i="45"/>
  <c r="CN44" i="45"/>
  <c r="AN43" i="45"/>
  <c r="BM44" i="45"/>
  <c r="AZ43" i="45"/>
  <c r="AJ43" i="45"/>
  <c r="AV43" i="45"/>
  <c r="CZ43" i="45"/>
  <c r="U44" i="45"/>
  <c r="T44" i="45"/>
  <c r="BQ44" i="45"/>
  <c r="AC43" i="45"/>
  <c r="AZ44" i="45"/>
  <c r="CB44" i="45"/>
  <c r="L44" i="45"/>
  <c r="BI43" i="45"/>
  <c r="BE43" i="45"/>
  <c r="CK43" i="45"/>
  <c r="CR43" i="45"/>
  <c r="CC44" i="45"/>
  <c r="E48" i="45"/>
  <c r="BD43" i="45"/>
  <c r="AG44" i="45"/>
  <c r="Q43" i="45"/>
  <c r="BQ43" i="45"/>
  <c r="CK44" i="45"/>
  <c r="CS43" i="45"/>
  <c r="BY43" i="45"/>
  <c r="DI44" i="45"/>
  <c r="CB43" i="45"/>
  <c r="CF43" i="45"/>
  <c r="BA44" i="45"/>
  <c r="BH44" i="45"/>
  <c r="U43" i="45"/>
  <c r="X44" i="45"/>
  <c r="BU43" i="45"/>
  <c r="BM43" i="45"/>
  <c r="X43" i="45"/>
  <c r="BA43" i="45"/>
  <c r="BE44" i="45"/>
  <c r="Y43" i="45"/>
  <c r="CC43" i="45"/>
  <c r="DA43" i="45"/>
  <c r="CV43" i="45"/>
  <c r="BT44" i="45"/>
  <c r="DA44" i="45"/>
  <c r="CW43" i="45"/>
  <c r="CZ44" i="45"/>
  <c r="AG43" i="45"/>
  <c r="AN44" i="45"/>
  <c r="BP44" i="45"/>
  <c r="AV44" i="45"/>
  <c r="L43" i="45"/>
  <c r="BX44" i="45"/>
  <c r="BI44" i="45"/>
  <c r="DI43" i="45"/>
  <c r="AW43" i="45"/>
  <c r="CV44" i="45"/>
  <c r="P44" i="45"/>
  <c r="AO43" i="45"/>
  <c r="AF43" i="45"/>
  <c r="T43" i="45"/>
  <c r="DH43" i="45"/>
  <c r="CO43" i="45"/>
  <c r="AR44" i="45"/>
  <c r="BL44" i="45"/>
  <c r="M43" i="45"/>
  <c r="CS44" i="45"/>
  <c r="CN43" i="45"/>
  <c r="CR44" i="45"/>
  <c r="CO44" i="45"/>
  <c r="CG43" i="45"/>
  <c r="AJ44" i="45"/>
  <c r="P43" i="45"/>
  <c r="BX43" i="45"/>
  <c r="CG44" i="45"/>
  <c r="AW44" i="45"/>
  <c r="AR43" i="45"/>
  <c r="BH43" i="45"/>
  <c r="BP43" i="45"/>
  <c r="M44" i="45"/>
  <c r="AC44" i="45"/>
  <c r="DH44" i="45"/>
  <c r="AK43" i="45"/>
  <c r="BL43" i="45"/>
  <c r="CF44" i="45"/>
  <c r="BT43" i="45"/>
  <c r="CW44" i="45"/>
  <c r="CJ44" i="45"/>
  <c r="AO44" i="45"/>
  <c r="DM44" i="45"/>
  <c r="BY44" i="45"/>
  <c r="AS43" i="45"/>
  <c r="BU44" i="45"/>
  <c r="Y44" i="45"/>
  <c r="AF44" i="45"/>
  <c r="AB43" i="45"/>
  <c r="AK44" i="45"/>
  <c r="AS44" i="45"/>
  <c r="BD44" i="45"/>
  <c r="Q44" i="45"/>
  <c r="AB44" i="45"/>
  <c r="CJ43" i="45"/>
  <c r="J44" i="45" l="1"/>
  <c r="J43" i="45"/>
  <c r="N44" i="45"/>
  <c r="N43" i="45"/>
  <c r="R44" i="45"/>
  <c r="R43" i="45"/>
  <c r="V43" i="45"/>
  <c r="V44" i="45"/>
  <c r="Z43" i="45"/>
  <c r="Z44" i="45"/>
  <c r="AD43" i="45"/>
  <c r="AD44" i="45"/>
  <c r="AH43" i="45"/>
  <c r="AH44" i="45"/>
  <c r="AL43" i="45"/>
  <c r="AL44" i="45"/>
  <c r="AP44" i="45"/>
  <c r="AP43" i="45"/>
  <c r="AT44" i="45"/>
  <c r="AT43" i="45"/>
  <c r="AX44" i="45"/>
  <c r="AX43" i="45"/>
  <c r="BB43" i="45"/>
  <c r="BB44" i="45"/>
  <c r="BF44" i="45"/>
  <c r="BF43" i="45"/>
  <c r="BJ43" i="45"/>
  <c r="BJ44" i="45"/>
  <c r="BN44" i="45"/>
  <c r="BN43" i="45"/>
  <c r="BR43" i="45"/>
  <c r="BR44" i="45"/>
  <c r="BV43" i="45"/>
  <c r="BV44" i="45"/>
  <c r="BZ44" i="45"/>
  <c r="BZ43" i="45"/>
  <c r="CD43" i="45"/>
  <c r="CD44" i="45"/>
  <c r="CH43" i="45"/>
  <c r="CH44" i="45"/>
  <c r="CL44" i="45"/>
  <c r="CL43" i="45"/>
  <c r="CP44" i="45"/>
  <c r="CP43" i="45"/>
  <c r="CX44" i="45"/>
  <c r="CX43" i="45"/>
  <c r="CT44" i="45"/>
  <c r="DB43" i="45"/>
  <c r="DB44" i="45"/>
  <c r="CT43" i="45"/>
  <c r="DJ43" i="45"/>
  <c r="DJ44" i="45"/>
  <c r="DT44" i="45"/>
  <c r="DQ44" i="45"/>
  <c r="EK44" i="45"/>
  <c r="E53" i="45"/>
  <c r="E52" i="45"/>
  <c r="DT43" i="45"/>
  <c r="C49" i="45"/>
  <c r="E49" i="45"/>
  <c r="D53" i="45"/>
  <c r="D57" i="45"/>
  <c r="EG44" i="45"/>
  <c r="D56" i="45"/>
  <c r="DX44" i="45"/>
  <c r="C59" i="45"/>
  <c r="EF44" i="45"/>
  <c r="D47" i="45"/>
  <c r="EO45" i="45"/>
  <c r="EH44" i="45" l="1"/>
  <c r="I12" i="6"/>
  <c r="C29" i="2"/>
  <c r="I45" i="45"/>
  <c r="H45" i="45"/>
  <c r="Q45" i="45"/>
  <c r="EB43" i="45"/>
  <c r="AG45" i="45"/>
  <c r="E55" i="45"/>
  <c r="BX45" i="45"/>
  <c r="CJ45" i="45"/>
  <c r="BH45" i="45"/>
  <c r="AK45" i="45"/>
  <c r="C48" i="45"/>
  <c r="CG45" i="45"/>
  <c r="E57" i="45"/>
  <c r="DU44" i="45"/>
  <c r="D58" i="45"/>
  <c r="C56" i="45"/>
  <c r="E50" i="45"/>
  <c r="Y45" i="45"/>
  <c r="E59" i="45"/>
  <c r="BY45" i="45"/>
  <c r="CF45" i="45"/>
  <c r="DQ43" i="45"/>
  <c r="DP44" i="45"/>
  <c r="EB44" i="45"/>
  <c r="AB45" i="45"/>
  <c r="C55" i="45"/>
  <c r="D51" i="45"/>
  <c r="C53" i="45"/>
  <c r="E54" i="45"/>
  <c r="CZ45" i="45"/>
  <c r="EF43" i="45"/>
  <c r="BQ45" i="45"/>
  <c r="D48" i="45"/>
  <c r="BL45" i="45"/>
  <c r="DP43" i="45"/>
  <c r="BE45" i="45"/>
  <c r="M45" i="45"/>
  <c r="BM45" i="45"/>
  <c r="EC44" i="45"/>
  <c r="AJ45" i="45"/>
  <c r="D50" i="45"/>
  <c r="AF45" i="45"/>
  <c r="DD44" i="45"/>
  <c r="EK43" i="45"/>
  <c r="T45" i="45"/>
  <c r="CV45" i="45"/>
  <c r="DL44" i="45"/>
  <c r="EC43" i="45"/>
  <c r="CW45" i="45"/>
  <c r="C50" i="45"/>
  <c r="AW45" i="45"/>
  <c r="CR45" i="45"/>
  <c r="DD43" i="45"/>
  <c r="DH45" i="45"/>
  <c r="DA45" i="45"/>
  <c r="CB45" i="45"/>
  <c r="CO45" i="45"/>
  <c r="E56" i="45"/>
  <c r="EO46" i="45"/>
  <c r="CS45" i="45"/>
  <c r="AS45" i="45"/>
  <c r="D49" i="45"/>
  <c r="DY43" i="45"/>
  <c r="DU43" i="45"/>
  <c r="CC45" i="45"/>
  <c r="BP45" i="45"/>
  <c r="D54" i="45"/>
  <c r="CK45" i="45"/>
  <c r="EG43" i="45"/>
  <c r="L45" i="45"/>
  <c r="DX43" i="45"/>
  <c r="P45" i="45"/>
  <c r="BA45" i="45"/>
  <c r="C51" i="45"/>
  <c r="E58" i="45"/>
  <c r="C52" i="45"/>
  <c r="DL43" i="45"/>
  <c r="DY44" i="45"/>
  <c r="AZ45" i="45"/>
  <c r="BD45" i="45"/>
  <c r="AO45" i="45"/>
  <c r="CN45" i="45"/>
  <c r="D52" i="45"/>
  <c r="C57" i="45"/>
  <c r="U45" i="45"/>
  <c r="X45" i="45"/>
  <c r="D59" i="45"/>
  <c r="AV45" i="45"/>
  <c r="BU45" i="45"/>
  <c r="C47" i="45"/>
  <c r="C54" i="45"/>
  <c r="DI45" i="45"/>
  <c r="AC45" i="45"/>
  <c r="BI45" i="45"/>
  <c r="BT45" i="45"/>
  <c r="AR45" i="45"/>
  <c r="DE44" i="45"/>
  <c r="E51" i="45"/>
  <c r="D55" i="45"/>
  <c r="DE43" i="45"/>
  <c r="E47" i="45"/>
  <c r="AN45" i="45"/>
  <c r="EJ43" i="45"/>
  <c r="DM43" i="45"/>
  <c r="EJ44" i="45"/>
  <c r="C58" i="45"/>
  <c r="J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L45" i="45"/>
  <c r="CP45" i="45"/>
  <c r="CX45" i="45"/>
  <c r="CT45" i="45"/>
  <c r="DB45" i="45"/>
  <c r="DN44" i="45"/>
  <c r="ED43" i="45"/>
  <c r="DR43" i="45"/>
  <c r="DV43" i="45"/>
  <c r="EH43" i="45"/>
  <c r="ED44" i="45"/>
  <c r="DV44" i="45"/>
  <c r="DZ44" i="45"/>
  <c r="EL44" i="45"/>
  <c r="DF43" i="45"/>
  <c r="DR44" i="45"/>
  <c r="DN43" i="45"/>
  <c r="EL43" i="45"/>
  <c r="DJ45" i="45"/>
  <c r="DZ43" i="45"/>
  <c r="DF44" i="45"/>
  <c r="H46" i="45"/>
  <c r="I46" i="45"/>
  <c r="CF46" i="45"/>
  <c r="AZ46" i="45"/>
  <c r="EG46" i="45"/>
  <c r="Y46" i="45"/>
  <c r="BH46" i="45"/>
  <c r="CJ46" i="45"/>
  <c r="DA46" i="45"/>
  <c r="BX46" i="45"/>
  <c r="EJ46" i="45"/>
  <c r="AJ46" i="45"/>
  <c r="CR46" i="45"/>
  <c r="AC46" i="45"/>
  <c r="EO57" i="45"/>
  <c r="CZ46" i="45"/>
  <c r="BD46" i="45"/>
  <c r="BM46" i="45"/>
  <c r="EO58" i="45"/>
  <c r="BP46" i="45"/>
  <c r="DH46" i="45"/>
  <c r="CV46" i="45"/>
  <c r="AG46" i="45"/>
  <c r="AR46" i="45"/>
  <c r="CN46" i="45"/>
  <c r="BA46" i="45"/>
  <c r="AB46" i="45"/>
  <c r="EO49" i="45"/>
  <c r="BU46" i="45"/>
  <c r="CG46" i="45"/>
  <c r="CW46" i="45"/>
  <c r="EC46" i="45"/>
  <c r="EJ45" i="45"/>
  <c r="DQ46" i="45"/>
  <c r="P46" i="45"/>
  <c r="BI46" i="45"/>
  <c r="DU46" i="45"/>
  <c r="CS46" i="45"/>
  <c r="T46" i="45"/>
  <c r="BE46" i="45"/>
  <c r="M46" i="45"/>
  <c r="AK46" i="45"/>
  <c r="BQ46" i="45"/>
  <c r="AN46" i="45"/>
  <c r="CB46" i="45"/>
  <c r="L46" i="45"/>
  <c r="AS46" i="45"/>
  <c r="DI46" i="45"/>
  <c r="AW46" i="45"/>
  <c r="EO51" i="45"/>
  <c r="X46" i="45"/>
  <c r="Q46" i="45"/>
  <c r="EB46" i="45"/>
  <c r="CK46" i="45"/>
  <c r="BT46" i="45"/>
  <c r="CO46" i="45"/>
  <c r="AO46" i="45"/>
  <c r="EK46" i="45"/>
  <c r="AF46" i="45"/>
  <c r="AV46" i="45"/>
  <c r="BL46" i="45"/>
  <c r="CC46" i="45"/>
  <c r="DP45" i="45"/>
  <c r="U46" i="45"/>
  <c r="DD46" i="45"/>
  <c r="BY46" i="45"/>
  <c r="J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L46" i="45"/>
  <c r="CP46" i="45"/>
  <c r="CX46" i="45"/>
  <c r="DB46" i="45"/>
  <c r="CT46" i="45"/>
  <c r="DJ46" i="45"/>
  <c r="M12" i="6"/>
  <c r="L12" i="6"/>
  <c r="H51" i="45"/>
  <c r="I51" i="45"/>
  <c r="H49" i="45"/>
  <c r="I57" i="45"/>
  <c r="I49" i="45"/>
  <c r="I58" i="45"/>
  <c r="H58" i="45"/>
  <c r="H57" i="45"/>
  <c r="AW57" i="45"/>
  <c r="AO58" i="45"/>
  <c r="CJ58" i="45"/>
  <c r="BQ51" i="45"/>
  <c r="P49" i="45"/>
  <c r="AR57" i="45"/>
  <c r="AS51" i="45"/>
  <c r="BP57" i="45"/>
  <c r="BM49" i="45"/>
  <c r="DA51" i="45"/>
  <c r="BT58" i="45"/>
  <c r="BP51" i="45"/>
  <c r="BH49" i="45"/>
  <c r="Y51" i="45"/>
  <c r="AC51" i="45"/>
  <c r="CZ58" i="45"/>
  <c r="P51" i="45"/>
  <c r="CV57" i="45"/>
  <c r="AN49" i="45"/>
  <c r="CK57" i="45"/>
  <c r="X49" i="45"/>
  <c r="CK51" i="45"/>
  <c r="BY49" i="45"/>
  <c r="BU58" i="45"/>
  <c r="X57" i="45"/>
  <c r="AF51" i="45"/>
  <c r="BM58" i="45"/>
  <c r="BA57" i="45"/>
  <c r="AC49" i="45"/>
  <c r="AZ51" i="45"/>
  <c r="AF49" i="45"/>
  <c r="CV58" i="45"/>
  <c r="CJ51" i="45"/>
  <c r="U58" i="45"/>
  <c r="M49" i="45"/>
  <c r="BH57" i="45"/>
  <c r="BX58" i="45"/>
  <c r="AB49" i="45"/>
  <c r="BM51" i="45"/>
  <c r="CK49" i="45"/>
  <c r="BM57" i="45"/>
  <c r="U57" i="45"/>
  <c r="CO57" i="45"/>
  <c r="Q57" i="45"/>
  <c r="DA58" i="45"/>
  <c r="CV51" i="45"/>
  <c r="AG51" i="45"/>
  <c r="BE58" i="45"/>
  <c r="CB51" i="45"/>
  <c r="BD58" i="45"/>
  <c r="CB49" i="45"/>
  <c r="CN51" i="45"/>
  <c r="DH51" i="45"/>
  <c r="BD51" i="45"/>
  <c r="AJ57" i="45"/>
  <c r="AV49" i="45"/>
  <c r="BH51" i="45"/>
  <c r="AR58" i="45"/>
  <c r="AO57" i="45"/>
  <c r="CW57" i="45"/>
  <c r="CS57" i="45"/>
  <c r="CB57" i="45"/>
  <c r="L51" i="45"/>
  <c r="M58" i="45"/>
  <c r="BU51" i="45"/>
  <c r="BP58" i="45"/>
  <c r="AV57" i="45"/>
  <c r="T51" i="45"/>
  <c r="CJ49" i="45"/>
  <c r="AZ58" i="45"/>
  <c r="AB57" i="45"/>
  <c r="AW49" i="45"/>
  <c r="CO49" i="45"/>
  <c r="AG58" i="45"/>
  <c r="BE57" i="45"/>
  <c r="BD57" i="45"/>
  <c r="CN57" i="45"/>
  <c r="BA49" i="45"/>
  <c r="Q49" i="45"/>
  <c r="AJ58" i="45"/>
  <c r="CJ57" i="45"/>
  <c r="BE51" i="45"/>
  <c r="BX49" i="45"/>
  <c r="BA58" i="45"/>
  <c r="DA49" i="45"/>
  <c r="AO49" i="45"/>
  <c r="DH57" i="45"/>
  <c r="CC51" i="45"/>
  <c r="CZ57" i="45"/>
  <c r="AJ49" i="45"/>
  <c r="CR57" i="45"/>
  <c r="BY58" i="45"/>
  <c r="BP49" i="45"/>
  <c r="CO51" i="45"/>
  <c r="BH58" i="45"/>
  <c r="AW51" i="45"/>
  <c r="BT57" i="45"/>
  <c r="Q51" i="45"/>
  <c r="AZ49" i="45"/>
  <c r="AS49" i="45"/>
  <c r="BT51" i="45"/>
  <c r="AS58" i="45"/>
  <c r="EO48" i="45"/>
  <c r="BD49" i="45"/>
  <c r="BL57" i="45"/>
  <c r="U51" i="45"/>
  <c r="Y49" i="45"/>
  <c r="CR58" i="45"/>
  <c r="Q58" i="45"/>
  <c r="CS58" i="45"/>
  <c r="DI58" i="45"/>
  <c r="X51" i="45"/>
  <c r="AV58" i="45"/>
  <c r="AO51" i="45"/>
  <c r="CC49" i="45"/>
  <c r="DA57" i="45"/>
  <c r="CF58" i="45"/>
  <c r="CZ51" i="45"/>
  <c r="AR49" i="45"/>
  <c r="BT49" i="45"/>
  <c r="BE49" i="45"/>
  <c r="CG58" i="45"/>
  <c r="AB58" i="45"/>
  <c r="BL51" i="45"/>
  <c r="BY51" i="45"/>
  <c r="P57" i="45"/>
  <c r="AC57" i="45"/>
  <c r="L58" i="45"/>
  <c r="BQ58" i="45"/>
  <c r="AG49" i="45"/>
  <c r="CB58" i="45"/>
  <c r="BU49" i="45"/>
  <c r="Y58" i="45"/>
  <c r="CK58" i="45"/>
  <c r="CG57" i="45"/>
  <c r="DH49" i="45"/>
  <c r="T57" i="45"/>
  <c r="AG57" i="45"/>
  <c r="AW58" i="45"/>
  <c r="AN51" i="45"/>
  <c r="CR49" i="45"/>
  <c r="AB51" i="45"/>
  <c r="CF49" i="45"/>
  <c r="CZ49" i="45"/>
  <c r="CW58" i="45"/>
  <c r="BQ49" i="45"/>
  <c r="P58" i="45"/>
  <c r="BI51" i="45"/>
  <c r="BU57" i="45"/>
  <c r="AS57" i="45"/>
  <c r="AK58" i="45"/>
  <c r="CS51" i="45"/>
  <c r="AK51" i="45"/>
  <c r="BQ57" i="45"/>
  <c r="CR51" i="45"/>
  <c r="AJ51" i="45"/>
  <c r="AK57" i="45"/>
  <c r="L49" i="45"/>
  <c r="AN58" i="45"/>
  <c r="AK49" i="45"/>
  <c r="DI57" i="45"/>
  <c r="L57" i="45"/>
  <c r="Y57" i="45"/>
  <c r="CC57" i="45"/>
  <c r="AN57" i="45"/>
  <c r="BA51" i="45"/>
  <c r="CG49" i="45"/>
  <c r="EF46" i="45"/>
  <c r="DI51" i="45"/>
  <c r="BI49" i="45"/>
  <c r="CO58" i="45"/>
  <c r="BI57" i="45"/>
  <c r="AV51" i="45"/>
  <c r="T49" i="45"/>
  <c r="AC58" i="45"/>
  <c r="CG51" i="45"/>
  <c r="CV49" i="45"/>
  <c r="BL58" i="45"/>
  <c r="T58" i="45"/>
  <c r="BI58" i="45"/>
  <c r="AF57" i="45"/>
  <c r="CS49" i="45"/>
  <c r="BL49" i="45"/>
  <c r="U49" i="45"/>
  <c r="CW51" i="45"/>
  <c r="CF57" i="45"/>
  <c r="DH58" i="45"/>
  <c r="AR51" i="45"/>
  <c r="CN49" i="45"/>
  <c r="CC58" i="45"/>
  <c r="CW49" i="45"/>
  <c r="BX57" i="45"/>
  <c r="BY57" i="45"/>
  <c r="DT45" i="45"/>
  <c r="BX51" i="45"/>
  <c r="AZ57" i="45"/>
  <c r="M57" i="45"/>
  <c r="M51" i="45"/>
  <c r="CN58" i="45"/>
  <c r="X58" i="45"/>
  <c r="AF58" i="45"/>
  <c r="DI49" i="45"/>
  <c r="CF51" i="45"/>
  <c r="J57" i="45" l="1"/>
  <c r="J58" i="45"/>
  <c r="J49" i="45"/>
  <c r="J51" i="45"/>
  <c r="N49" i="45"/>
  <c r="N58" i="45"/>
  <c r="N51" i="45"/>
  <c r="N57" i="45"/>
  <c r="R57" i="45"/>
  <c r="R58" i="45"/>
  <c r="R49" i="45"/>
  <c r="R51" i="45"/>
  <c r="V51" i="45"/>
  <c r="V58" i="45"/>
  <c r="V49" i="45"/>
  <c r="V57" i="45"/>
  <c r="Z58" i="45"/>
  <c r="Z57" i="45"/>
  <c r="Z49" i="45"/>
  <c r="Z51" i="45"/>
  <c r="AD57" i="45"/>
  <c r="AD58" i="45"/>
  <c r="AD49" i="45"/>
  <c r="AD51" i="45"/>
  <c r="AH49" i="45"/>
  <c r="AH51" i="45"/>
  <c r="AH58" i="45"/>
  <c r="AH57" i="45"/>
  <c r="AL57" i="45"/>
  <c r="AL51" i="45"/>
  <c r="AL49" i="45"/>
  <c r="AL58" i="45"/>
  <c r="AP57" i="45"/>
  <c r="AP58" i="45"/>
  <c r="AP49" i="45"/>
  <c r="AP51" i="45"/>
  <c r="AT57" i="45"/>
  <c r="AT51" i="45"/>
  <c r="AT58" i="45"/>
  <c r="AT49" i="45"/>
  <c r="AX58" i="45"/>
  <c r="AX51" i="45"/>
  <c r="AX57" i="45"/>
  <c r="AX49" i="45"/>
  <c r="BB51" i="45"/>
  <c r="BB57" i="45"/>
  <c r="BB58" i="45"/>
  <c r="BB49" i="45"/>
  <c r="BF49" i="45"/>
  <c r="BF58" i="45"/>
  <c r="BF51" i="45"/>
  <c r="BF57" i="45"/>
  <c r="BJ49" i="45"/>
  <c r="BJ58" i="45"/>
  <c r="BJ57" i="45"/>
  <c r="BJ51" i="45"/>
  <c r="BN49" i="45"/>
  <c r="BN51" i="45"/>
  <c r="BN57" i="45"/>
  <c r="BN58" i="45"/>
  <c r="BR51" i="45"/>
  <c r="BR49" i="45"/>
  <c r="BR58" i="45"/>
  <c r="BR57" i="45"/>
  <c r="BV58" i="45"/>
  <c r="BV49" i="45"/>
  <c r="BV57" i="45"/>
  <c r="BV51" i="45"/>
  <c r="BZ51" i="45"/>
  <c r="BZ49" i="45"/>
  <c r="BZ57" i="45"/>
  <c r="BZ58" i="45"/>
  <c r="CD49" i="45"/>
  <c r="CD58" i="45"/>
  <c r="CD57" i="45"/>
  <c r="CD51" i="45"/>
  <c r="CH58" i="45"/>
  <c r="CH49" i="45"/>
  <c r="CH51" i="45"/>
  <c r="CH57" i="45"/>
  <c r="CL58" i="45"/>
  <c r="CL51" i="45"/>
  <c r="CL49" i="45"/>
  <c r="CL57" i="45"/>
  <c r="CP58" i="45"/>
  <c r="CP49" i="45"/>
  <c r="CP51" i="45"/>
  <c r="CP57" i="45"/>
  <c r="CX57" i="45"/>
  <c r="CX51" i="45"/>
  <c r="CX49" i="45"/>
  <c r="CX58" i="45"/>
  <c r="DB58" i="45"/>
  <c r="DB51" i="45"/>
  <c r="CT57" i="45"/>
  <c r="CT49" i="45"/>
  <c r="CT58" i="45"/>
  <c r="CT51" i="45"/>
  <c r="DB57" i="45"/>
  <c r="DB49" i="45"/>
  <c r="DJ58" i="45"/>
  <c r="DJ51" i="45"/>
  <c r="DJ57" i="45"/>
  <c r="DJ49" i="45"/>
  <c r="I48" i="45"/>
  <c r="H48" i="45"/>
  <c r="BY48" i="45"/>
  <c r="T48" i="45"/>
  <c r="X48" i="45"/>
  <c r="CV48" i="45"/>
  <c r="L48" i="45"/>
  <c r="BE48" i="45"/>
  <c r="BT48" i="45"/>
  <c r="Y48" i="45"/>
  <c r="CW48" i="45"/>
  <c r="AC48" i="45"/>
  <c r="BU48" i="45"/>
  <c r="M48" i="45"/>
  <c r="BI48" i="45"/>
  <c r="U48" i="45"/>
  <c r="AN48" i="45"/>
  <c r="Q48" i="45"/>
  <c r="CC48" i="45"/>
  <c r="DA48" i="45"/>
  <c r="BD48" i="45"/>
  <c r="CO48" i="45"/>
  <c r="AB48" i="45"/>
  <c r="EC45" i="45"/>
  <c r="CJ48" i="45"/>
  <c r="AG48" i="45"/>
  <c r="AS48" i="45"/>
  <c r="CG48" i="45"/>
  <c r="CR48" i="45"/>
  <c r="BH48" i="45"/>
  <c r="CF48" i="45"/>
  <c r="BP48" i="45"/>
  <c r="BL48" i="45"/>
  <c r="CB48" i="45"/>
  <c r="P48" i="45"/>
  <c r="AF48" i="45"/>
  <c r="AJ48" i="45"/>
  <c r="AK48" i="45"/>
  <c r="DI48" i="45"/>
  <c r="AV48" i="45"/>
  <c r="CN48" i="45"/>
  <c r="AZ48" i="45"/>
  <c r="CK48" i="45"/>
  <c r="EO50" i="45"/>
  <c r="DH48" i="45"/>
  <c r="AR48" i="45"/>
  <c r="CZ48" i="45"/>
  <c r="BQ48" i="45"/>
  <c r="BM48" i="45"/>
  <c r="BX48" i="45"/>
  <c r="CS48" i="45"/>
  <c r="AO48" i="45"/>
  <c r="BA48" i="45"/>
  <c r="AW48" i="45"/>
  <c r="J48" i="45" l="1"/>
  <c r="N48" i="45"/>
  <c r="R48" i="45"/>
  <c r="V48" i="45"/>
  <c r="Z48" i="45"/>
  <c r="AD48" i="45"/>
  <c r="AH48" i="45"/>
  <c r="AL48" i="45"/>
  <c r="AP48" i="45"/>
  <c r="AT48" i="45"/>
  <c r="AX48" i="45"/>
  <c r="BB48" i="45"/>
  <c r="BF48" i="45"/>
  <c r="BJ48" i="45"/>
  <c r="BN48" i="45"/>
  <c r="BR48" i="45"/>
  <c r="BV48" i="45"/>
  <c r="BZ48" i="45"/>
  <c r="CD48" i="45"/>
  <c r="CH48" i="45"/>
  <c r="CL48" i="45"/>
  <c r="CP48" i="45"/>
  <c r="CX48" i="45"/>
  <c r="DB48" i="45"/>
  <c r="CT48" i="45"/>
  <c r="DJ48" i="45"/>
  <c r="I50" i="45"/>
  <c r="H50" i="45"/>
  <c r="AN50" i="45"/>
  <c r="BE50" i="45"/>
  <c r="BT50" i="45"/>
  <c r="CB50" i="45"/>
  <c r="CJ50" i="45"/>
  <c r="AO50" i="45"/>
  <c r="EO54" i="45"/>
  <c r="CO50" i="45"/>
  <c r="CS50" i="45"/>
  <c r="Q50" i="45"/>
  <c r="M50" i="45"/>
  <c r="EB45" i="45"/>
  <c r="L50" i="45"/>
  <c r="DA50" i="45"/>
  <c r="CR50" i="45"/>
  <c r="AS50" i="45"/>
  <c r="AB50" i="45"/>
  <c r="AR50" i="45"/>
  <c r="P50" i="45"/>
  <c r="DI50" i="45"/>
  <c r="AV50" i="45"/>
  <c r="CG50" i="45"/>
  <c r="BD50" i="45"/>
  <c r="Y50" i="45"/>
  <c r="BM50" i="45"/>
  <c r="EO47" i="45"/>
  <c r="AW50" i="45"/>
  <c r="AJ50" i="45"/>
  <c r="X50" i="45"/>
  <c r="BQ50" i="45"/>
  <c r="CN50" i="45"/>
  <c r="BH50" i="45"/>
  <c r="BA50" i="45"/>
  <c r="CF50" i="45"/>
  <c r="BP50" i="45"/>
  <c r="CZ50" i="45"/>
  <c r="AC50" i="45"/>
  <c r="CC50" i="45"/>
  <c r="DH50" i="45"/>
  <c r="BX50" i="45"/>
  <c r="AZ50" i="45"/>
  <c r="AK50" i="45"/>
  <c r="CV50" i="45"/>
  <c r="U50" i="45"/>
  <c r="CK50" i="45"/>
  <c r="BL50" i="45"/>
  <c r="BU50" i="45"/>
  <c r="DD45" i="45"/>
  <c r="AF50" i="45"/>
  <c r="T50" i="45"/>
  <c r="AG50" i="45"/>
  <c r="BI50" i="45"/>
  <c r="CW50" i="45"/>
  <c r="BY50" i="45"/>
  <c r="J50" i="45" l="1"/>
  <c r="N50" i="45"/>
  <c r="R50" i="45"/>
  <c r="V50" i="45"/>
  <c r="Z50" i="45"/>
  <c r="AD50" i="45"/>
  <c r="AH50" i="45"/>
  <c r="AL50" i="45"/>
  <c r="AP50" i="45"/>
  <c r="AT50" i="45"/>
  <c r="AX50" i="45"/>
  <c r="BB50" i="45"/>
  <c r="BF50" i="45"/>
  <c r="BJ50" i="45"/>
  <c r="BN50" i="45"/>
  <c r="BR50" i="45"/>
  <c r="BV50" i="45"/>
  <c r="BZ50" i="45"/>
  <c r="CD50" i="45"/>
  <c r="CH50" i="45"/>
  <c r="CL50" i="45"/>
  <c r="CP50" i="45"/>
  <c r="CX50" i="45"/>
  <c r="CT50" i="45"/>
  <c r="DB50" i="45"/>
  <c r="DJ50" i="45"/>
  <c r="I54" i="45"/>
  <c r="H47" i="45"/>
  <c r="I47" i="45"/>
  <c r="H54" i="45"/>
  <c r="AZ47" i="45"/>
  <c r="BT47" i="45"/>
  <c r="BY47" i="45"/>
  <c r="BQ54" i="45"/>
  <c r="CR54" i="45"/>
  <c r="CG47" i="45"/>
  <c r="CF54" i="45"/>
  <c r="U54" i="45"/>
  <c r="CN54" i="45"/>
  <c r="BP47" i="45"/>
  <c r="AO47" i="45"/>
  <c r="P47" i="45"/>
  <c r="AN47" i="45"/>
  <c r="CK54" i="45"/>
  <c r="CV47" i="45"/>
  <c r="BD47" i="45"/>
  <c r="CB54" i="45"/>
  <c r="BX47" i="45"/>
  <c r="P54" i="45"/>
  <c r="BM47" i="45"/>
  <c r="BL54" i="45"/>
  <c r="M47" i="45"/>
  <c r="CG54" i="45"/>
  <c r="CB47" i="45"/>
  <c r="BI47" i="45"/>
  <c r="BL47" i="45"/>
  <c r="AW54" i="45"/>
  <c r="CW47" i="45"/>
  <c r="AF54" i="45"/>
  <c r="DI47" i="45"/>
  <c r="BM54" i="45"/>
  <c r="EO59" i="45"/>
  <c r="CR47" i="45"/>
  <c r="AW47" i="45"/>
  <c r="DA54" i="45"/>
  <c r="CC47" i="45"/>
  <c r="AN54" i="45"/>
  <c r="DH54" i="45"/>
  <c r="AJ47" i="45"/>
  <c r="AZ54" i="45"/>
  <c r="CF47" i="45"/>
  <c r="U47" i="45"/>
  <c r="BH54" i="45"/>
  <c r="CO54" i="45"/>
  <c r="CC54" i="45"/>
  <c r="BY54" i="45"/>
  <c r="BE47" i="45"/>
  <c r="AB47" i="45"/>
  <c r="AK54" i="45"/>
  <c r="CW54" i="45"/>
  <c r="AC54" i="45"/>
  <c r="L54" i="45"/>
  <c r="AJ54" i="45"/>
  <c r="CK47" i="45"/>
  <c r="X54" i="45"/>
  <c r="AK47" i="45"/>
  <c r="DA47" i="45"/>
  <c r="AV54" i="45"/>
  <c r="CO47" i="45"/>
  <c r="BE54" i="45"/>
  <c r="AB54" i="45"/>
  <c r="BQ47" i="45"/>
  <c r="BP54" i="45"/>
  <c r="BT54" i="45"/>
  <c r="DE45" i="45"/>
  <c r="CS47" i="45"/>
  <c r="AF47" i="45"/>
  <c r="BX54" i="45"/>
  <c r="CZ54" i="45"/>
  <c r="M54" i="45"/>
  <c r="BU47" i="45"/>
  <c r="AG47" i="45"/>
  <c r="DH47" i="45"/>
  <c r="Y47" i="45"/>
  <c r="T47" i="45"/>
  <c r="BD54" i="45"/>
  <c r="AC47" i="45"/>
  <c r="DI54" i="45"/>
  <c r="AO54" i="45"/>
  <c r="Q47" i="45"/>
  <c r="Q54" i="45"/>
  <c r="CZ47" i="45"/>
  <c r="AG54" i="45"/>
  <c r="X47" i="45"/>
  <c r="T54" i="45"/>
  <c r="Y54" i="45"/>
  <c r="DM45" i="45"/>
  <c r="CV54" i="45"/>
  <c r="CS54" i="45"/>
  <c r="CJ54" i="45"/>
  <c r="AS47" i="45"/>
  <c r="AR47" i="45"/>
  <c r="AS54" i="45"/>
  <c r="BA54" i="45"/>
  <c r="CJ47" i="45"/>
  <c r="BA47" i="45"/>
  <c r="L47" i="45"/>
  <c r="AV47" i="45"/>
  <c r="BH47" i="45"/>
  <c r="BU54" i="45"/>
  <c r="AR54" i="45"/>
  <c r="BI54" i="45"/>
  <c r="CN47" i="45"/>
  <c r="EO52" i="45"/>
  <c r="J54" i="45" l="1"/>
  <c r="J47" i="45"/>
  <c r="N47" i="45"/>
  <c r="N54" i="45"/>
  <c r="R54" i="45"/>
  <c r="R47" i="45"/>
  <c r="V54" i="45"/>
  <c r="V47" i="45"/>
  <c r="Z54" i="45"/>
  <c r="Z47" i="45"/>
  <c r="AD47" i="45"/>
  <c r="AD54" i="45"/>
  <c r="AH54" i="45"/>
  <c r="AH47" i="45"/>
  <c r="AL47" i="45"/>
  <c r="AL54" i="45"/>
  <c r="AP54" i="45"/>
  <c r="AP47" i="45"/>
  <c r="AT54" i="45"/>
  <c r="AT47" i="45"/>
  <c r="AX47" i="45"/>
  <c r="AX54" i="45"/>
  <c r="BB54" i="45"/>
  <c r="BB47" i="45"/>
  <c r="BF47" i="45"/>
  <c r="BF54" i="45"/>
  <c r="BJ47" i="45"/>
  <c r="BJ54" i="45"/>
  <c r="BN47" i="45"/>
  <c r="BN54" i="45"/>
  <c r="BR47" i="45"/>
  <c r="BR54" i="45"/>
  <c r="BV54" i="45"/>
  <c r="BV47" i="45"/>
  <c r="BZ47" i="45"/>
  <c r="BZ54" i="45"/>
  <c r="CD54" i="45"/>
  <c r="CD47" i="45"/>
  <c r="CH54" i="45"/>
  <c r="CH47" i="45"/>
  <c r="CL54" i="45"/>
  <c r="CL47" i="45"/>
  <c r="CP54" i="45"/>
  <c r="CP47" i="45"/>
  <c r="CX47" i="45"/>
  <c r="CX54" i="45"/>
  <c r="CT54" i="45"/>
  <c r="CT47" i="45"/>
  <c r="DB47" i="45"/>
  <c r="DB54" i="45"/>
  <c r="DJ54" i="45"/>
  <c r="DJ47" i="45"/>
  <c r="I52" i="45"/>
  <c r="H59" i="45"/>
  <c r="I59" i="45"/>
  <c r="H52" i="45"/>
  <c r="U59" i="45"/>
  <c r="P59" i="45"/>
  <c r="BL52" i="45"/>
  <c r="Q59" i="45"/>
  <c r="BT59" i="45"/>
  <c r="BP52" i="45"/>
  <c r="AW59" i="45"/>
  <c r="AJ59" i="45"/>
  <c r="CJ59" i="45"/>
  <c r="EG45" i="45"/>
  <c r="DI52" i="45"/>
  <c r="AO59" i="45"/>
  <c r="CB52" i="45"/>
  <c r="AK59" i="45"/>
  <c r="CO52" i="45"/>
  <c r="U52" i="45"/>
  <c r="L52" i="45"/>
  <c r="T52" i="45"/>
  <c r="AB59" i="45"/>
  <c r="CC59" i="45"/>
  <c r="BD59" i="45"/>
  <c r="AN52" i="45"/>
  <c r="BH52" i="45"/>
  <c r="CR52" i="45"/>
  <c r="BE52" i="45"/>
  <c r="CK59" i="45"/>
  <c r="L59" i="45"/>
  <c r="BT52" i="45"/>
  <c r="AF59" i="45"/>
  <c r="CK52" i="45"/>
  <c r="CF52" i="45"/>
  <c r="CZ59" i="45"/>
  <c r="AW52" i="45"/>
  <c r="DY46" i="45"/>
  <c r="BY52" i="45"/>
  <c r="X52" i="45"/>
  <c r="BA52" i="45"/>
  <c r="Y52" i="45"/>
  <c r="AJ52" i="45"/>
  <c r="BH59" i="45"/>
  <c r="BU59" i="45"/>
  <c r="AN59" i="45"/>
  <c r="CW52" i="45"/>
  <c r="M52" i="45"/>
  <c r="CB59" i="45"/>
  <c r="CV59" i="45"/>
  <c r="DY45" i="45"/>
  <c r="CN59" i="45"/>
  <c r="P52" i="45"/>
  <c r="CV52" i="45"/>
  <c r="DH52" i="45"/>
  <c r="BM52" i="45"/>
  <c r="BI59" i="45"/>
  <c r="BY59" i="45"/>
  <c r="BX59" i="45"/>
  <c r="DH59" i="45"/>
  <c r="CO59" i="45"/>
  <c r="AV52" i="45"/>
  <c r="AC59" i="45"/>
  <c r="BQ59" i="45"/>
  <c r="AG52" i="45"/>
  <c r="AO52" i="45"/>
  <c r="AR59" i="45"/>
  <c r="AS59" i="45"/>
  <c r="Y59" i="45"/>
  <c r="CS59" i="45"/>
  <c r="BA59" i="45"/>
  <c r="AZ52" i="45"/>
  <c r="DA52" i="45"/>
  <c r="CJ52" i="45"/>
  <c r="AC52" i="45"/>
  <c r="BX52" i="45"/>
  <c r="BU52" i="45"/>
  <c r="BI52" i="45"/>
  <c r="BQ52" i="45"/>
  <c r="CG52" i="45"/>
  <c r="AS52" i="45"/>
  <c r="CC52" i="45"/>
  <c r="BD52" i="45"/>
  <c r="CS52" i="45"/>
  <c r="CZ52" i="45"/>
  <c r="CW59" i="45"/>
  <c r="BM59" i="45"/>
  <c r="CG59" i="45"/>
  <c r="AK52" i="45"/>
  <c r="CN52" i="45"/>
  <c r="T59" i="45"/>
  <c r="AG59" i="45"/>
  <c r="CR59" i="45"/>
  <c r="DA59" i="45"/>
  <c r="AF52" i="45"/>
  <c r="DI59" i="45"/>
  <c r="X59" i="45"/>
  <c r="AZ59" i="45"/>
  <c r="BP59" i="45"/>
  <c r="BE59" i="45"/>
  <c r="AV59" i="45"/>
  <c r="BL59" i="45"/>
  <c r="AR52" i="45"/>
  <c r="Q52" i="45"/>
  <c r="CF59" i="45"/>
  <c r="M59" i="45"/>
  <c r="AB52" i="45"/>
  <c r="J52" i="45" l="1"/>
  <c r="J59" i="45"/>
  <c r="N59" i="45"/>
  <c r="N52" i="45"/>
  <c r="R59" i="45"/>
  <c r="R52" i="45"/>
  <c r="V59" i="45"/>
  <c r="V52" i="45"/>
  <c r="Z59" i="45"/>
  <c r="Z52" i="45"/>
  <c r="AD59" i="45"/>
  <c r="AD52" i="45"/>
  <c r="AH52" i="45"/>
  <c r="AH59" i="45"/>
  <c r="AL59" i="45"/>
  <c r="AL52" i="45"/>
  <c r="AP59" i="45"/>
  <c r="AP52" i="45"/>
  <c r="AT52" i="45"/>
  <c r="AT59" i="45"/>
  <c r="AX59" i="45"/>
  <c r="AX52" i="45"/>
  <c r="BB52" i="45"/>
  <c r="BB59" i="45"/>
  <c r="BF52" i="45"/>
  <c r="BF59" i="45"/>
  <c r="BJ59" i="45"/>
  <c r="BJ52" i="45"/>
  <c r="BN52" i="45"/>
  <c r="BN59" i="45"/>
  <c r="BR59" i="45"/>
  <c r="BR52" i="45"/>
  <c r="BV59" i="45"/>
  <c r="BV52" i="45"/>
  <c r="BZ52" i="45"/>
  <c r="BZ59" i="45"/>
  <c r="CD59" i="45"/>
  <c r="CD52" i="45"/>
  <c r="CH59" i="45"/>
  <c r="CH52" i="45"/>
  <c r="CL52" i="45"/>
  <c r="CL59" i="45"/>
  <c r="CP59" i="45"/>
  <c r="CP52" i="45"/>
  <c r="CX59" i="45"/>
  <c r="CX52" i="45"/>
  <c r="CT52" i="45"/>
  <c r="DB59" i="45"/>
  <c r="DB52" i="45"/>
  <c r="CT59" i="45"/>
  <c r="DJ52" i="45"/>
  <c r="DJ59" i="45"/>
  <c r="DQ45" i="45"/>
  <c r="DE46" i="45"/>
  <c r="EO56" i="45"/>
  <c r="DU45" i="45"/>
  <c r="DP46" i="45"/>
  <c r="EK45" i="45"/>
  <c r="DT46" i="45"/>
  <c r="EO55" i="45"/>
  <c r="DF46" i="45" l="1"/>
  <c r="DF45" i="45"/>
  <c r="DR46" i="45"/>
  <c r="DR45" i="45"/>
  <c r="DV46" i="45"/>
  <c r="DV45" i="45"/>
  <c r="EL46" i="45"/>
  <c r="ED45" i="45"/>
  <c r="EH46" i="45"/>
  <c r="ED46" i="45"/>
  <c r="EL45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Z12" i="6"/>
  <c r="H55" i="45"/>
  <c r="I55" i="45"/>
  <c r="H56" i="45"/>
  <c r="I56" i="45"/>
  <c r="U55" i="45"/>
  <c r="BI56" i="45"/>
  <c r="U56" i="45"/>
  <c r="AW56" i="45"/>
  <c r="AZ56" i="45"/>
  <c r="AG55" i="45"/>
  <c r="L55" i="45"/>
  <c r="BP56" i="45"/>
  <c r="AG56" i="45"/>
  <c r="BH55" i="45"/>
  <c r="T55" i="45"/>
  <c r="BY55" i="45"/>
  <c r="Y56" i="45"/>
  <c r="X55" i="45"/>
  <c r="BU55" i="45"/>
  <c r="AR55" i="45"/>
  <c r="BA55" i="45"/>
  <c r="AC55" i="45"/>
  <c r="AB56" i="45"/>
  <c r="BE55" i="45"/>
  <c r="Q55" i="45"/>
  <c r="BX55" i="45"/>
  <c r="BT55" i="45"/>
  <c r="BY56" i="45"/>
  <c r="BQ55" i="45"/>
  <c r="BM56" i="45"/>
  <c r="L56" i="45"/>
  <c r="BI55" i="45"/>
  <c r="P56" i="45"/>
  <c r="AV55" i="45"/>
  <c r="BU56" i="45"/>
  <c r="BL55" i="45"/>
  <c r="AN55" i="45"/>
  <c r="AC56" i="45"/>
  <c r="AS56" i="45"/>
  <c r="BD56" i="45"/>
  <c r="BL56" i="45"/>
  <c r="BD55" i="45"/>
  <c r="AF56" i="45"/>
  <c r="BT56" i="45"/>
  <c r="BX56" i="45"/>
  <c r="BQ56" i="45"/>
  <c r="Q56" i="45"/>
  <c r="Y55" i="45"/>
  <c r="X56" i="45"/>
  <c r="BA56" i="45"/>
  <c r="M55" i="45"/>
  <c r="AK55" i="45"/>
  <c r="AV56" i="45"/>
  <c r="BH56" i="45"/>
  <c r="AF55" i="45"/>
  <c r="BE56" i="45"/>
  <c r="AB55" i="45"/>
  <c r="AR56" i="45"/>
  <c r="AZ55" i="45"/>
  <c r="AN56" i="45"/>
  <c r="AK56" i="45"/>
  <c r="AJ55" i="45"/>
  <c r="BP55" i="45"/>
  <c r="P55" i="45"/>
  <c r="AS55" i="45"/>
  <c r="AW55" i="45"/>
  <c r="M56" i="45"/>
  <c r="AO55" i="45"/>
  <c r="AO56" i="45"/>
  <c r="AJ56" i="45"/>
  <c r="T56" i="45"/>
  <c r="BM55" i="45"/>
  <c r="J56" i="45" l="1"/>
  <c r="J55" i="45"/>
  <c r="N55" i="45"/>
  <c r="N56" i="45"/>
  <c r="R55" i="45"/>
  <c r="R56" i="45"/>
  <c r="V56" i="45"/>
  <c r="V55" i="45"/>
  <c r="Z56" i="45"/>
  <c r="Z55" i="45"/>
  <c r="AD55" i="45"/>
  <c r="AD56" i="45"/>
  <c r="AH55" i="45"/>
  <c r="AH56" i="45"/>
  <c r="AL56" i="45"/>
  <c r="AL55" i="45"/>
  <c r="AP56" i="45"/>
  <c r="AP55" i="45"/>
  <c r="AT56" i="45"/>
  <c r="AT55" i="45"/>
  <c r="AX56" i="45"/>
  <c r="AX55" i="45"/>
  <c r="BB56" i="45"/>
  <c r="BB55" i="45"/>
  <c r="BF55" i="45"/>
  <c r="BF56" i="45"/>
  <c r="BJ56" i="45"/>
  <c r="BJ55" i="45"/>
  <c r="BN55" i="45"/>
  <c r="BN56" i="45"/>
  <c r="BR56" i="45"/>
  <c r="BR55" i="45"/>
  <c r="BV55" i="45"/>
  <c r="BV56" i="45"/>
  <c r="BZ56" i="45"/>
  <c r="BZ55" i="45"/>
  <c r="I15" i="6"/>
  <c r="F22" i="3"/>
  <c r="G22" i="3" s="1"/>
  <c r="H22" i="3" s="1"/>
  <c r="I16" i="6" l="1"/>
  <c r="I17" i="6" l="1"/>
  <c r="BO10" i="20"/>
  <c r="BO9" i="20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L16" i="6"/>
  <c r="M14" i="6"/>
  <c r="M16" i="6"/>
  <c r="M13" i="6"/>
  <c r="W12" i="6"/>
  <c r="M15" i="6"/>
  <c r="L15" i="6"/>
  <c r="V12" i="6"/>
  <c r="L14" i="6"/>
  <c r="L13" i="6"/>
  <c r="M17" i="6"/>
  <c r="L17" i="6"/>
  <c r="DD47" i="45"/>
  <c r="EG51" i="45"/>
  <c r="CC56" i="45"/>
  <c r="DM58" i="45"/>
  <c r="EK49" i="45"/>
  <c r="EF57" i="45"/>
  <c r="DE48" i="45"/>
  <c r="DD56" i="45"/>
  <c r="DM49" i="45"/>
  <c r="DI56" i="45"/>
  <c r="DX54" i="45"/>
  <c r="DQ48" i="45"/>
  <c r="DU52" i="45"/>
  <c r="EK58" i="45"/>
  <c r="CV55" i="45"/>
  <c r="CW56" i="45"/>
  <c r="DD57" i="45"/>
  <c r="EG50" i="45"/>
  <c r="EB55" i="45"/>
  <c r="EG59" i="45"/>
  <c r="EK52" i="45"/>
  <c r="DT56" i="45"/>
  <c r="EB51" i="45"/>
  <c r="DL57" i="45"/>
  <c r="DX56" i="45"/>
  <c r="DU50" i="45"/>
  <c r="EF49" i="45"/>
  <c r="DQ51" i="45"/>
  <c r="CO55" i="45"/>
  <c r="DX48" i="45"/>
  <c r="EF55" i="45"/>
  <c r="DU56" i="45"/>
  <c r="DE59" i="45"/>
  <c r="DD48" i="45"/>
  <c r="EF50" i="45"/>
  <c r="DY50" i="45"/>
  <c r="EF51" i="45"/>
  <c r="CN56" i="45"/>
  <c r="DU54" i="45"/>
  <c r="EG57" i="45"/>
  <c r="EB52" i="45"/>
  <c r="CS55" i="45"/>
  <c r="EK51" i="45"/>
  <c r="EJ55" i="45"/>
  <c r="CN55" i="45"/>
  <c r="DM50" i="45"/>
  <c r="DL50" i="45"/>
  <c r="DM51" i="45"/>
  <c r="DM57" i="45"/>
  <c r="EK48" i="45"/>
  <c r="DQ54" i="45"/>
  <c r="EO53" i="45"/>
  <c r="DE49" i="45"/>
  <c r="CJ55" i="45"/>
  <c r="DQ49" i="45"/>
  <c r="DY57" i="45"/>
  <c r="DA55" i="45"/>
  <c r="EJ51" i="45"/>
  <c r="DX52" i="45"/>
  <c r="EJ58" i="45"/>
  <c r="DL58" i="45"/>
  <c r="DY59" i="45"/>
  <c r="DL51" i="45"/>
  <c r="DL48" i="45"/>
  <c r="DE50" i="45"/>
  <c r="EC49" i="45"/>
  <c r="EC48" i="45"/>
  <c r="EC47" i="45"/>
  <c r="EJ50" i="45"/>
  <c r="DL52" i="45"/>
  <c r="DX59" i="45"/>
  <c r="EJ52" i="45"/>
  <c r="DX55" i="45"/>
  <c r="EG47" i="45"/>
  <c r="DI55" i="45"/>
  <c r="EF45" i="45"/>
  <c r="EB58" i="45"/>
  <c r="EJ49" i="45"/>
  <c r="DP58" i="45"/>
  <c r="DT57" i="45"/>
  <c r="DU57" i="45"/>
  <c r="EC55" i="45"/>
  <c r="DH56" i="45"/>
  <c r="DP47" i="45"/>
  <c r="EB49" i="45"/>
  <c r="DE55" i="45"/>
  <c r="CR55" i="45"/>
  <c r="DP50" i="45"/>
  <c r="DD59" i="45"/>
  <c r="DU47" i="45"/>
  <c r="EF59" i="45"/>
  <c r="DT49" i="45"/>
  <c r="EK54" i="45"/>
  <c r="CF56" i="45"/>
  <c r="EJ56" i="45"/>
  <c r="DQ57" i="45"/>
  <c r="DP48" i="45"/>
  <c r="DD58" i="45"/>
  <c r="DT58" i="45"/>
  <c r="DM56" i="45"/>
  <c r="EK56" i="45"/>
  <c r="EF47" i="45"/>
  <c r="DU55" i="45"/>
  <c r="DM47" i="45"/>
  <c r="EK57" i="45"/>
  <c r="DU59" i="45"/>
  <c r="DD52" i="45"/>
  <c r="EC51" i="45"/>
  <c r="CB55" i="45"/>
  <c r="DT50" i="45"/>
  <c r="DL47" i="45"/>
  <c r="EC56" i="45"/>
  <c r="EB50" i="45"/>
  <c r="EJ48" i="45"/>
  <c r="EG54" i="45"/>
  <c r="DE56" i="45"/>
  <c r="DD55" i="45"/>
  <c r="CJ56" i="45"/>
  <c r="DL49" i="45"/>
  <c r="DT54" i="45"/>
  <c r="DQ58" i="45"/>
  <c r="EC57" i="45"/>
  <c r="DL56" i="45"/>
  <c r="EJ59" i="45"/>
  <c r="EB48" i="45"/>
  <c r="DP54" i="45"/>
  <c r="DY58" i="45"/>
  <c r="DD50" i="45"/>
  <c r="DY52" i="45"/>
  <c r="DE47" i="45"/>
  <c r="DX58" i="45"/>
  <c r="DM48" i="45"/>
  <c r="EF58" i="45"/>
  <c r="DM54" i="45"/>
  <c r="DY54" i="45"/>
  <c r="CW55" i="45"/>
  <c r="EC54" i="45"/>
  <c r="DX49" i="45"/>
  <c r="DP49" i="45"/>
  <c r="EF54" i="45"/>
  <c r="EC50" i="45"/>
  <c r="DX57" i="45"/>
  <c r="DQ50" i="45"/>
  <c r="DD51" i="45"/>
  <c r="EF56" i="45"/>
  <c r="DP56" i="45"/>
  <c r="DL54" i="45"/>
  <c r="EJ54" i="45"/>
  <c r="DD49" i="45"/>
  <c r="EC59" i="45"/>
  <c r="DL55" i="45"/>
  <c r="DY47" i="45"/>
  <c r="DT48" i="45"/>
  <c r="DQ47" i="45"/>
  <c r="EG58" i="45"/>
  <c r="CG55" i="45"/>
  <c r="DQ52" i="45"/>
  <c r="CZ56" i="45"/>
  <c r="EF52" i="45"/>
  <c r="DY48" i="45"/>
  <c r="EB54" i="45"/>
  <c r="DP55" i="45"/>
  <c r="EK59" i="45"/>
  <c r="EG52" i="45"/>
  <c r="EG56" i="45"/>
  <c r="DE54" i="45"/>
  <c r="DX51" i="45"/>
  <c r="DT59" i="45"/>
  <c r="DL59" i="45"/>
  <c r="DQ56" i="45"/>
  <c r="DE52" i="45"/>
  <c r="EK47" i="45"/>
  <c r="CS56" i="45"/>
  <c r="EK50" i="45"/>
  <c r="EB57" i="45"/>
  <c r="DE51" i="45"/>
  <c r="DY55" i="45"/>
  <c r="CF55" i="45"/>
  <c r="DX50" i="45"/>
  <c r="EC58" i="45"/>
  <c r="DU58" i="45"/>
  <c r="DA56" i="45"/>
  <c r="CK56" i="45"/>
  <c r="EJ47" i="45"/>
  <c r="EJ57" i="45"/>
  <c r="DE58" i="45"/>
  <c r="DX45" i="45"/>
  <c r="DT52" i="45"/>
  <c r="EB59" i="45"/>
  <c r="DM46" i="45"/>
  <c r="EG49" i="45"/>
  <c r="EK55" i="45"/>
  <c r="EF48" i="45"/>
  <c r="DY56" i="45"/>
  <c r="CO56" i="45"/>
  <c r="DH55" i="45"/>
  <c r="DD54" i="45"/>
  <c r="DY49" i="45"/>
  <c r="DM59" i="45"/>
  <c r="DX46" i="45"/>
  <c r="DQ59" i="45"/>
  <c r="CZ55" i="45"/>
  <c r="DL45" i="45"/>
  <c r="CB56" i="45"/>
  <c r="EB47" i="45"/>
  <c r="CK55" i="45"/>
  <c r="CR56" i="45"/>
  <c r="DM52" i="45"/>
  <c r="DP57" i="45"/>
  <c r="CC55" i="45"/>
  <c r="DU51" i="45"/>
  <c r="EG55" i="45"/>
  <c r="DU49" i="45"/>
  <c r="DP51" i="45"/>
  <c r="DX47" i="45"/>
  <c r="DE57" i="45"/>
  <c r="DM55" i="45"/>
  <c r="EC52" i="45"/>
  <c r="EG48" i="45"/>
  <c r="DT47" i="45"/>
  <c r="DU48" i="45"/>
  <c r="DT55" i="45"/>
  <c r="DL46" i="45"/>
  <c r="CV56" i="45"/>
  <c r="DQ55" i="45"/>
  <c r="DT51" i="45"/>
  <c r="EB56" i="45"/>
  <c r="DP59" i="45"/>
  <c r="DY51" i="45"/>
  <c r="DP52" i="45"/>
  <c r="CG56" i="45"/>
  <c r="BL10" i="20" l="1"/>
  <c r="CT56" i="45"/>
  <c r="DN48" i="45"/>
  <c r="DN56" i="45"/>
  <c r="DF58" i="45"/>
  <c r="DR58" i="45"/>
  <c r="EH55" i="45"/>
  <c r="EH56" i="45"/>
  <c r="DZ51" i="45"/>
  <c r="DJ56" i="45"/>
  <c r="EH49" i="45"/>
  <c r="CL56" i="45"/>
  <c r="DZ48" i="45"/>
  <c r="EL49" i="45"/>
  <c r="DZ59" i="45"/>
  <c r="DN55" i="45"/>
  <c r="DN58" i="45"/>
  <c r="DZ54" i="45"/>
  <c r="EL51" i="45"/>
  <c r="ED50" i="45"/>
  <c r="DZ47" i="45"/>
  <c r="EH58" i="45"/>
  <c r="DV54" i="45"/>
  <c r="DZ46" i="45"/>
  <c r="DZ56" i="45"/>
  <c r="EH47" i="45"/>
  <c r="EH51" i="45"/>
  <c r="DB55" i="45"/>
  <c r="DZ58" i="45"/>
  <c r="CH55" i="45"/>
  <c r="DR57" i="45"/>
  <c r="DN57" i="45"/>
  <c r="DN49" i="45"/>
  <c r="DZ52" i="45"/>
  <c r="DV48" i="45"/>
  <c r="CT55" i="45"/>
  <c r="ED51" i="45"/>
  <c r="DF54" i="45"/>
  <c r="EL58" i="45"/>
  <c r="EL59" i="45"/>
  <c r="DN46" i="45"/>
  <c r="ED54" i="45"/>
  <c r="CL55" i="45"/>
  <c r="CD55" i="45"/>
  <c r="ED47" i="45"/>
  <c r="DZ55" i="45"/>
  <c r="DZ57" i="45"/>
  <c r="DF59" i="45"/>
  <c r="EL48" i="45"/>
  <c r="DF48" i="45"/>
  <c r="EH50" i="45"/>
  <c r="DF50" i="45"/>
  <c r="EL54" i="45"/>
  <c r="DR48" i="45"/>
  <c r="X12" i="6"/>
  <c r="N12" i="6" s="1"/>
  <c r="DR47" i="45"/>
  <c r="CX55" i="45"/>
  <c r="CX56" i="45"/>
  <c r="DV58" i="45"/>
  <c r="DV51" i="45"/>
  <c r="ED59" i="45"/>
  <c r="DN59" i="45"/>
  <c r="ED49" i="45"/>
  <c r="DV59" i="45"/>
  <c r="CH56" i="45"/>
  <c r="ED55" i="45"/>
  <c r="EL56" i="45"/>
  <c r="DZ45" i="45"/>
  <c r="EH45" i="45"/>
  <c r="EH48" i="45"/>
  <c r="DV56" i="45"/>
  <c r="ED57" i="45"/>
  <c r="EL50" i="45"/>
  <c r="DV57" i="45"/>
  <c r="DZ49" i="45"/>
  <c r="DF55" i="45"/>
  <c r="DR55" i="45"/>
  <c r="DV55" i="45"/>
  <c r="EL52" i="45"/>
  <c r="DR52" i="45"/>
  <c r="DR59" i="45"/>
  <c r="DZ50" i="45"/>
  <c r="EH59" i="45"/>
  <c r="EL47" i="45"/>
  <c r="DF51" i="45"/>
  <c r="DN47" i="45"/>
  <c r="DV47" i="45"/>
  <c r="EL57" i="45"/>
  <c r="CP55" i="45"/>
  <c r="ED52" i="45"/>
  <c r="DN50" i="45"/>
  <c r="DR54" i="45"/>
  <c r="ED58" i="45"/>
  <c r="DF52" i="45"/>
  <c r="DF57" i="45"/>
  <c r="DF47" i="45"/>
  <c r="DV49" i="45"/>
  <c r="EH54" i="45"/>
  <c r="DJ55" i="45"/>
  <c r="DB56" i="45"/>
  <c r="CP56" i="45"/>
  <c r="DN45" i="45"/>
  <c r="CD56" i="45"/>
  <c r="DR56" i="45"/>
  <c r="DN54" i="45"/>
  <c r="DF49" i="45"/>
  <c r="DV52" i="45"/>
  <c r="ED48" i="45"/>
  <c r="DR50" i="45"/>
  <c r="ED56" i="45"/>
  <c r="EH57" i="45"/>
  <c r="DV50" i="45"/>
  <c r="EL55" i="45"/>
  <c r="DN51" i="45"/>
  <c r="EH52" i="45"/>
  <c r="DF56" i="45"/>
  <c r="DR51" i="45"/>
  <c r="DR49" i="45"/>
  <c r="DN52" i="45"/>
  <c r="BL8" i="20"/>
  <c r="BL9" i="20"/>
  <c r="B745" i="12"/>
  <c r="I18" i="6"/>
  <c r="Z17" i="6"/>
  <c r="Z13" i="6"/>
  <c r="Z15" i="6"/>
  <c r="L18" i="6"/>
  <c r="Z14" i="6"/>
  <c r="Z16" i="6"/>
  <c r="I53" i="45"/>
  <c r="H53" i="45"/>
  <c r="AB53" i="45"/>
  <c r="DD53" i="45"/>
  <c r="Q53" i="45"/>
  <c r="CO53" i="45"/>
  <c r="AN53" i="45"/>
  <c r="U53" i="45"/>
  <c r="AR53" i="45"/>
  <c r="BH53" i="45"/>
  <c r="CS53" i="45"/>
  <c r="DQ53" i="45"/>
  <c r="L53" i="45"/>
  <c r="DM53" i="45"/>
  <c r="CR53" i="45"/>
  <c r="CG53" i="45"/>
  <c r="AF53" i="45"/>
  <c r="BI53" i="45"/>
  <c r="EG53" i="45"/>
  <c r="BU53" i="45"/>
  <c r="BX53" i="45"/>
  <c r="AJ53" i="45"/>
  <c r="CB53" i="45"/>
  <c r="T53" i="45"/>
  <c r="DT53" i="45"/>
  <c r="AV53" i="45"/>
  <c r="BA53" i="45"/>
  <c r="CC53" i="45"/>
  <c r="M53" i="45"/>
  <c r="AZ53" i="45"/>
  <c r="BE53" i="45"/>
  <c r="BM53" i="45"/>
  <c r="CZ53" i="45"/>
  <c r="AC53" i="45"/>
  <c r="CV53" i="45"/>
  <c r="DL53" i="45"/>
  <c r="EJ53" i="45"/>
  <c r="DI53" i="45"/>
  <c r="EK53" i="45"/>
  <c r="AG53" i="45"/>
  <c r="CK53" i="45"/>
  <c r="CF53" i="45"/>
  <c r="BD53" i="45"/>
  <c r="EB53" i="45"/>
  <c r="AO53" i="45"/>
  <c r="AK53" i="45"/>
  <c r="EC53" i="45"/>
  <c r="CJ53" i="45"/>
  <c r="CN53" i="45"/>
  <c r="BY53" i="45"/>
  <c r="CW53" i="45"/>
  <c r="DA53" i="45"/>
  <c r="BT53" i="45"/>
  <c r="BQ53" i="45"/>
  <c r="AW53" i="45"/>
  <c r="DP53" i="45"/>
  <c r="DH53" i="45"/>
  <c r="AS53" i="45"/>
  <c r="Y53" i="45"/>
  <c r="DX53" i="45"/>
  <c r="DE53" i="45"/>
  <c r="X53" i="45"/>
  <c r="DY53" i="45"/>
  <c r="BL53" i="45"/>
  <c r="BP53" i="45"/>
  <c r="P53" i="45"/>
  <c r="DU53" i="45"/>
  <c r="EF53" i="45"/>
  <c r="J53" i="45" l="1"/>
  <c r="J61" i="45" s="1" a="1"/>
  <c r="J61" i="45" s="1"/>
  <c r="N53" i="45"/>
  <c r="N61" i="45" s="1" a="1"/>
  <c r="N61" i="45" s="1"/>
  <c r="R53" i="45"/>
  <c r="R61" i="45" s="1" a="1"/>
  <c r="R61" i="45" s="1"/>
  <c r="V53" i="45"/>
  <c r="V61" i="45" s="1" a="1"/>
  <c r="V61" i="45" s="1"/>
  <c r="Z53" i="45"/>
  <c r="Z61" i="45" s="1" a="1"/>
  <c r="Z61" i="45" s="1"/>
  <c r="AD53" i="45"/>
  <c r="AD61" i="45" s="1" a="1"/>
  <c r="AD61" i="45" s="1"/>
  <c r="AH53" i="45"/>
  <c r="AH61" i="45" s="1" a="1"/>
  <c r="AH61" i="45" s="1"/>
  <c r="BV53" i="45"/>
  <c r="BV61" i="45" s="1" a="1"/>
  <c r="BV61" i="45" s="1"/>
  <c r="DZ53" i="45"/>
  <c r="DZ61" i="45" s="1" a="1"/>
  <c r="DZ61" i="45" s="1"/>
  <c r="AX53" i="45"/>
  <c r="AX61" i="45" s="1" a="1"/>
  <c r="AX61" i="45" s="1"/>
  <c r="DF53" i="45"/>
  <c r="DF61" i="45" s="1" a="1"/>
  <c r="DF61" i="45" s="1"/>
  <c r="BN53" i="45"/>
  <c r="BN61" i="45" s="1" a="1"/>
  <c r="BN61" i="45" s="1"/>
  <c r="DB53" i="45"/>
  <c r="DB61" i="45" s="1" a="1"/>
  <c r="DB61" i="45" s="1"/>
  <c r="AP53" i="45"/>
  <c r="AP61" i="45" s="1" a="1"/>
  <c r="AP61" i="45" s="1"/>
  <c r="CL53" i="45"/>
  <c r="CL61" i="45" s="1" a="1"/>
  <c r="CL61" i="45" s="1"/>
  <c r="ED53" i="45"/>
  <c r="ED61" i="45" s="1" a="1"/>
  <c r="ED61" i="45" s="1"/>
  <c r="CX53" i="45"/>
  <c r="CX61" i="45" s="1" a="1"/>
  <c r="CX61" i="45" s="1"/>
  <c r="BZ53" i="45"/>
  <c r="BZ61" i="45" s="1" a="1"/>
  <c r="BZ61" i="45" s="1"/>
  <c r="AL53" i="45"/>
  <c r="AL61" i="45" s="1" a="1"/>
  <c r="AL61" i="45" s="1"/>
  <c r="DJ53" i="45"/>
  <c r="DJ61" i="45" s="1" a="1"/>
  <c r="DJ61" i="45" s="1"/>
  <c r="DR53" i="45"/>
  <c r="DR61" i="45" s="1" a="1"/>
  <c r="DR61" i="45" s="1"/>
  <c r="CD53" i="45"/>
  <c r="CD61" i="45" s="1" a="1"/>
  <c r="CD61" i="45" s="1"/>
  <c r="CT53" i="45"/>
  <c r="CT61" i="45" s="1" a="1"/>
  <c r="CT61" i="45" s="1"/>
  <c r="DV53" i="45"/>
  <c r="DV61" i="45" s="1" a="1"/>
  <c r="DV61" i="45" s="1"/>
  <c r="DN53" i="45"/>
  <c r="DN61" i="45" s="1" a="1"/>
  <c r="DN61" i="45" s="1"/>
  <c r="CP53" i="45"/>
  <c r="CP61" i="45" s="1" a="1"/>
  <c r="CP61" i="45" s="1"/>
  <c r="EH53" i="45"/>
  <c r="EH61" i="45" s="1" a="1"/>
  <c r="EH61" i="45" s="1"/>
  <c r="CH53" i="45"/>
  <c r="CH61" i="45" s="1" a="1"/>
  <c r="CH61" i="45" s="1"/>
  <c r="BJ53" i="45"/>
  <c r="BJ61" i="45" s="1" a="1"/>
  <c r="BJ61" i="45" s="1"/>
  <c r="AT53" i="45"/>
  <c r="AT61" i="45" s="1" a="1"/>
  <c r="AT61" i="45" s="1"/>
  <c r="EL53" i="45"/>
  <c r="EL61" i="45" s="1" a="1"/>
  <c r="EL61" i="45" s="1"/>
  <c r="BR53" i="45"/>
  <c r="BR61" i="45" s="1" a="1"/>
  <c r="BR61" i="45" s="1"/>
  <c r="BF53" i="45"/>
  <c r="BF61" i="45" s="1" a="1"/>
  <c r="BF61" i="45" s="1"/>
  <c r="BB53" i="45"/>
  <c r="BB61" i="45" s="1" a="1"/>
  <c r="BB61" i="45" s="1"/>
  <c r="B746" i="12"/>
  <c r="I19" i="6"/>
  <c r="W15" i="6"/>
  <c r="M18" i="6"/>
  <c r="W17" i="6"/>
  <c r="V17" i="6"/>
  <c r="V15" i="6"/>
  <c r="W16" i="6"/>
  <c r="V16" i="6"/>
  <c r="L19" i="6"/>
  <c r="M19" i="6"/>
  <c r="V14" i="6"/>
  <c r="W13" i="6"/>
  <c r="W14" i="6"/>
  <c r="X15" i="6" l="1"/>
  <c r="N15" i="6" s="1"/>
  <c r="X14" i="6"/>
  <c r="N14" i="6" s="1"/>
  <c r="B747" i="12"/>
  <c r="X16" i="6"/>
  <c r="N16" i="6" s="1"/>
  <c r="X17" i="6"/>
  <c r="N17" i="6" s="1"/>
  <c r="I20" i="6"/>
  <c r="Z18" i="6"/>
  <c r="Z19" i="6"/>
  <c r="L20" i="6"/>
  <c r="M20" i="6"/>
  <c r="B748" i="12" l="1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W19" i="6"/>
  <c r="Z20" i="6"/>
  <c r="V18" i="6"/>
  <c r="W18" i="6"/>
  <c r="M21" i="6"/>
  <c r="V19" i="6"/>
  <c r="X18" i="6" l="1"/>
  <c r="N18" i="6" s="1"/>
  <c r="B749" i="12"/>
  <c r="B750" i="12" s="1"/>
  <c r="X19" i="6"/>
  <c r="N19" i="6" s="1"/>
  <c r="I22" i="6"/>
  <c r="AA19" i="35"/>
  <c r="L21" i="6"/>
  <c r="W20" i="6"/>
  <c r="Z21" i="6"/>
  <c r="M22" i="6"/>
  <c r="V20" i="6"/>
  <c r="L22" i="6"/>
  <c r="B751" i="12" l="1"/>
  <c r="X20" i="6"/>
  <c r="N20" i="6" s="1"/>
  <c r="I23" i="6"/>
  <c r="AI14" i="20"/>
  <c r="AI13" i="20"/>
  <c r="I25" i="3"/>
  <c r="I26" i="3" s="1"/>
  <c r="I23" i="3"/>
  <c r="I24" i="3" s="1"/>
  <c r="I21" i="3"/>
  <c r="I22" i="3" s="1"/>
  <c r="M23" i="6"/>
  <c r="Z22" i="6"/>
  <c r="W21" i="6"/>
  <c r="L23" i="6"/>
  <c r="V21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F38" i="11"/>
  <c r="G38" i="11" s="1"/>
  <c r="H38" i="11" s="1"/>
  <c r="I38" i="11" s="1"/>
  <c r="F36" i="11"/>
  <c r="G36" i="11" s="1"/>
  <c r="H36" i="11" s="1"/>
  <c r="I36" i="11" s="1"/>
  <c r="F34" i="11"/>
  <c r="G34" i="11" s="1"/>
  <c r="H34" i="11" s="1"/>
  <c r="I34" i="11" s="1"/>
  <c r="Y14" i="20"/>
  <c r="Y13" i="20"/>
  <c r="AB19" i="35"/>
  <c r="B147" i="4"/>
  <c r="Z14" i="20"/>
  <c r="Z13" i="20"/>
  <c r="B146" i="4"/>
  <c r="W14" i="20"/>
  <c r="W13" i="20"/>
  <c r="B145" i="4"/>
  <c r="V14" i="20"/>
  <c r="V13" i="20"/>
  <c r="B144" i="4"/>
  <c r="X14" i="20"/>
  <c r="X13" i="20"/>
  <c r="B143" i="4"/>
  <c r="U14" i="20"/>
  <c r="U13" i="20"/>
  <c r="B142" i="4"/>
  <c r="B141" i="4"/>
  <c r="B140" i="4"/>
  <c r="Q14" i="20"/>
  <c r="Q13" i="20"/>
  <c r="B139" i="4"/>
  <c r="P14" i="20"/>
  <c r="P13" i="20"/>
  <c r="B138" i="4"/>
  <c r="B137" i="4"/>
  <c r="Z23" i="6"/>
  <c r="W22" i="6"/>
  <c r="V22" i="6"/>
  <c r="M24" i="6"/>
  <c r="L14" i="38"/>
  <c r="L18" i="39"/>
  <c r="I6" i="39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L24" i="6"/>
  <c r="W23" i="6"/>
  <c r="V23" i="6"/>
  <c r="M25" i="6"/>
  <c r="Z24" i="6"/>
  <c r="L40" i="38"/>
  <c r="L36" i="38"/>
  <c r="L46" i="38"/>
  <c r="L30" i="38"/>
  <c r="L39" i="38"/>
  <c r="H14" i="38"/>
  <c r="L22" i="38"/>
  <c r="L37" i="38"/>
  <c r="L47" i="38"/>
  <c r="L33" i="38"/>
  <c r="L49" i="38"/>
  <c r="L17" i="38"/>
  <c r="L35" i="38"/>
  <c r="G14" i="38"/>
  <c r="H6" i="38"/>
  <c r="L26" i="38"/>
  <c r="L31" i="38"/>
  <c r="E6" i="38"/>
  <c r="L38" i="38"/>
  <c r="E14" i="38"/>
  <c r="I14" i="38"/>
  <c r="L13" i="38"/>
  <c r="L42" i="38"/>
  <c r="F14" i="38"/>
  <c r="L23" i="38"/>
  <c r="G6" i="38"/>
  <c r="I6" i="38"/>
  <c r="L15" i="38"/>
  <c r="L44" i="38"/>
  <c r="L45" i="38"/>
  <c r="F6" i="38"/>
  <c r="L10" i="38"/>
  <c r="L48" i="38"/>
  <c r="L16" i="38"/>
  <c r="L43" i="38"/>
  <c r="L41" i="38"/>
  <c r="L25" i="38"/>
  <c r="L28" i="38"/>
  <c r="L21" i="38"/>
  <c r="L34" i="38"/>
  <c r="L20" i="38"/>
  <c r="L19" i="38"/>
  <c r="L24" i="38"/>
  <c r="L12" i="38"/>
  <c r="L18" i="38"/>
  <c r="L11" i="38"/>
  <c r="L27" i="38"/>
  <c r="L32" i="38"/>
  <c r="L29" i="38"/>
  <c r="L39" i="39"/>
  <c r="L33" i="39"/>
  <c r="L35" i="39"/>
  <c r="L21" i="39"/>
  <c r="L17" i="39"/>
  <c r="L13" i="39"/>
  <c r="E6" i="39"/>
  <c r="L23" i="39"/>
  <c r="L15" i="39"/>
  <c r="L49" i="39"/>
  <c r="L27" i="39"/>
  <c r="L30" i="39"/>
  <c r="L12" i="39"/>
  <c r="L47" i="39"/>
  <c r="L45" i="39"/>
  <c r="L22" i="39"/>
  <c r="L16" i="39"/>
  <c r="L34" i="39"/>
  <c r="F6" i="39"/>
  <c r="L25" i="39"/>
  <c r="L43" i="39"/>
  <c r="H6" i="39"/>
  <c r="L41" i="39"/>
  <c r="L28" i="39"/>
  <c r="L32" i="39"/>
  <c r="L20" i="39"/>
  <c r="L29" i="39"/>
  <c r="L31" i="39"/>
  <c r="L44" i="39"/>
  <c r="L40" i="39"/>
  <c r="L19" i="39"/>
  <c r="L10" i="39"/>
  <c r="L38" i="39"/>
  <c r="L42" i="39"/>
  <c r="L37" i="39"/>
  <c r="L46" i="39"/>
  <c r="L11" i="39"/>
  <c r="L24" i="39"/>
  <c r="G6" i="39"/>
  <c r="L26" i="39"/>
  <c r="L14" i="39"/>
  <c r="L36" i="39"/>
  <c r="L48" i="39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M9" i="14"/>
  <c r="L25" i="6"/>
  <c r="G9" i="48"/>
  <c r="F9" i="48"/>
  <c r="G45" i="39"/>
  <c r="H27" i="39"/>
  <c r="E45" i="39"/>
  <c r="F27" i="39"/>
  <c r="E26" i="39"/>
  <c r="E37" i="39"/>
  <c r="F14" i="39"/>
  <c r="F37" i="39"/>
  <c r="I27" i="39"/>
  <c r="H10" i="39"/>
  <c r="E27" i="39"/>
  <c r="F26" i="39"/>
  <c r="I26" i="39"/>
  <c r="I45" i="39"/>
  <c r="I37" i="39"/>
  <c r="G26" i="39"/>
  <c r="H14" i="39"/>
  <c r="G27" i="39"/>
  <c r="G37" i="39"/>
  <c r="G14" i="39"/>
  <c r="H26" i="39"/>
  <c r="E14" i="39"/>
  <c r="F45" i="39"/>
  <c r="I14" i="39"/>
  <c r="H45" i="39"/>
  <c r="H37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D36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AI36" i="48" s="1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45" i="48"/>
  <c r="AJ45" i="48" s="1"/>
  <c r="AE17" i="48"/>
  <c r="AJ17" i="48" s="1"/>
  <c r="AC62" i="48"/>
  <c r="AH62" i="48" s="1"/>
  <c r="AE53" i="48"/>
  <c r="AJ53" i="48" s="1"/>
  <c r="U62" i="14"/>
  <c r="AF36" i="48"/>
  <c r="AK36" i="48" s="1"/>
  <c r="I41" i="6"/>
  <c r="AE33" i="48" l="1"/>
  <c r="AJ33" i="48" s="1"/>
  <c r="I42" i="6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AD46" i="48"/>
  <c r="AI46" i="48" s="1"/>
  <c r="I66" i="6"/>
  <c r="AC55" i="48" l="1"/>
  <c r="AH55" i="48" s="1"/>
  <c r="U55" i="14"/>
  <c r="AE37" i="48"/>
  <c r="AJ37" i="48" s="1"/>
  <c r="AD34" i="48"/>
  <c r="AI34" i="48" s="1"/>
  <c r="AD23" i="48"/>
  <c r="AI23" i="48" s="1"/>
  <c r="AE49" i="48"/>
  <c r="AJ49" i="48" s="1"/>
  <c r="AF33" i="48"/>
  <c r="I67" i="6"/>
  <c r="AE31" i="48" l="1"/>
  <c r="AD32" i="48"/>
  <c r="AI32" i="48" s="1"/>
  <c r="AF30" i="48"/>
  <c r="AK30" i="48" s="1"/>
  <c r="AK33" i="48"/>
  <c r="I68" i="6"/>
  <c r="AF70" i="48" l="1"/>
  <c r="AK70" i="48"/>
  <c r="AJ31" i="48"/>
  <c r="I69" i="6"/>
  <c r="M51" i="6"/>
  <c r="M50" i="6"/>
  <c r="L32" i="6"/>
  <c r="M52" i="6"/>
  <c r="L45" i="6"/>
  <c r="M58" i="6"/>
  <c r="M60" i="6"/>
  <c r="M68" i="6"/>
  <c r="L49" i="6"/>
  <c r="M33" i="6"/>
  <c r="L41" i="6"/>
  <c r="M28" i="6"/>
  <c r="M26" i="6"/>
  <c r="L66" i="6"/>
  <c r="L29" i="6"/>
  <c r="M57" i="6"/>
  <c r="M62" i="6"/>
  <c r="L64" i="6"/>
  <c r="M56" i="6"/>
  <c r="M30" i="6"/>
  <c r="W24" i="6"/>
  <c r="M41" i="6"/>
  <c r="M35" i="6"/>
  <c r="L50" i="6"/>
  <c r="M45" i="6"/>
  <c r="V13" i="6"/>
  <c r="M32" i="6"/>
  <c r="L44" i="6"/>
  <c r="M31" i="6"/>
  <c r="L48" i="6"/>
  <c r="M64" i="6"/>
  <c r="L55" i="6"/>
  <c r="L67" i="6"/>
  <c r="M36" i="6"/>
  <c r="L60" i="6"/>
  <c r="L57" i="6"/>
  <c r="L34" i="6"/>
  <c r="M44" i="6"/>
  <c r="L42" i="6"/>
  <c r="M16" i="14"/>
  <c r="M61" i="6"/>
  <c r="M43" i="6"/>
  <c r="L46" i="6"/>
  <c r="M59" i="6"/>
  <c r="M48" i="6"/>
  <c r="L40" i="6"/>
  <c r="L39" i="6"/>
  <c r="M63" i="6"/>
  <c r="M46" i="6"/>
  <c r="L59" i="6"/>
  <c r="L38" i="6"/>
  <c r="M29" i="6"/>
  <c r="M65" i="6"/>
  <c r="M28" i="14"/>
  <c r="M47" i="6"/>
  <c r="L36" i="6"/>
  <c r="L31" i="6"/>
  <c r="M39" i="14"/>
  <c r="L33" i="6"/>
  <c r="L37" i="6"/>
  <c r="M49" i="6"/>
  <c r="L62" i="6"/>
  <c r="M53" i="6"/>
  <c r="L27" i="6"/>
  <c r="L51" i="6"/>
  <c r="M69" i="6"/>
  <c r="M38" i="6"/>
  <c r="M37" i="6"/>
  <c r="M42" i="6"/>
  <c r="M27" i="6"/>
  <c r="Z25" i="6"/>
  <c r="L43" i="6"/>
  <c r="L35" i="6"/>
  <c r="L65" i="6"/>
  <c r="L26" i="6"/>
  <c r="L52" i="6"/>
  <c r="M34" i="6"/>
  <c r="M66" i="6"/>
  <c r="M67" i="6"/>
  <c r="L28" i="6"/>
  <c r="L30" i="6"/>
  <c r="L53" i="6"/>
  <c r="V24" i="6"/>
  <c r="L63" i="6"/>
  <c r="M39" i="6"/>
  <c r="L61" i="6"/>
  <c r="L68" i="6"/>
  <c r="M54" i="6"/>
  <c r="M40" i="6"/>
  <c r="M55" i="6"/>
  <c r="L54" i="6"/>
  <c r="L47" i="6"/>
  <c r="L56" i="6"/>
  <c r="L58" i="6"/>
  <c r="F39" i="48"/>
  <c r="F16" i="48"/>
  <c r="G16" i="48"/>
  <c r="G39" i="48"/>
  <c r="F40" i="38"/>
  <c r="G27" i="38"/>
  <c r="G39" i="38"/>
  <c r="I27" i="38"/>
  <c r="E34" i="38"/>
  <c r="I30" i="38"/>
  <c r="E21" i="38"/>
  <c r="I20" i="38"/>
  <c r="G44" i="38"/>
  <c r="H46" i="38"/>
  <c r="E39" i="38"/>
  <c r="G30" i="38"/>
  <c r="F29" i="38"/>
  <c r="E18" i="38"/>
  <c r="E46" i="38"/>
  <c r="E38" i="38"/>
  <c r="I34" i="38"/>
  <c r="I21" i="38"/>
  <c r="F35" i="38"/>
  <c r="H13" i="38"/>
  <c r="I25" i="38"/>
  <c r="I33" i="38"/>
  <c r="G16" i="38"/>
  <c r="F13" i="38"/>
  <c r="G46" i="38"/>
  <c r="H41" i="38"/>
  <c r="E26" i="38"/>
  <c r="G43" i="38"/>
  <c r="I18" i="38"/>
  <c r="I15" i="38"/>
  <c r="G31" i="38"/>
  <c r="H44" i="38"/>
  <c r="I46" i="38"/>
  <c r="H15" i="38"/>
  <c r="E42" i="38"/>
  <c r="I45" i="38"/>
  <c r="I29" i="38"/>
  <c r="H23" i="38"/>
  <c r="F41" i="38"/>
  <c r="F25" i="38"/>
  <c r="H49" i="38"/>
  <c r="E17" i="38"/>
  <c r="I42" i="38"/>
  <c r="H19" i="38"/>
  <c r="G36" i="38"/>
  <c r="H24" i="38"/>
  <c r="F44" i="38"/>
  <c r="F34" i="38"/>
  <c r="F49" i="38"/>
  <c r="H16" i="38"/>
  <c r="G11" i="38"/>
  <c r="I49" i="38"/>
  <c r="E43" i="38"/>
  <c r="E11" i="38"/>
  <c r="G17" i="38"/>
  <c r="I16" i="38"/>
  <c r="I26" i="38"/>
  <c r="G42" i="38"/>
  <c r="G22" i="38"/>
  <c r="I13" i="38"/>
  <c r="F15" i="38"/>
  <c r="H29" i="38"/>
  <c r="F10" i="38"/>
  <c r="F47" i="38"/>
  <c r="G40" i="38"/>
  <c r="F27" i="38"/>
  <c r="F17" i="38"/>
  <c r="G29" i="38"/>
  <c r="H40" i="38"/>
  <c r="H35" i="38"/>
  <c r="G28" i="38"/>
  <c r="F45" i="38"/>
  <c r="G23" i="38"/>
  <c r="H43" i="38"/>
  <c r="H30" i="38"/>
  <c r="E44" i="38"/>
  <c r="F43" i="38"/>
  <c r="H18" i="38"/>
  <c r="G15" i="38"/>
  <c r="G35" i="38"/>
  <c r="G49" i="38"/>
  <c r="I37" i="38"/>
  <c r="E19" i="38"/>
  <c r="H37" i="38"/>
  <c r="G10" i="38"/>
  <c r="H20" i="38"/>
  <c r="F30" i="38"/>
  <c r="F32" i="38"/>
  <c r="H21" i="38"/>
  <c r="F39" i="38"/>
  <c r="E28" i="38"/>
  <c r="E16" i="38"/>
  <c r="E20" i="38"/>
  <c r="H36" i="38"/>
  <c r="F28" i="38"/>
  <c r="I43" i="38"/>
  <c r="H11" i="38"/>
  <c r="F26" i="38"/>
  <c r="H26" i="38"/>
  <c r="F19" i="38"/>
  <c r="H12" i="38"/>
  <c r="G19" i="38"/>
  <c r="F37" i="38"/>
  <c r="E48" i="38"/>
  <c r="E45" i="38"/>
  <c r="H42" i="38"/>
  <c r="E24" i="38"/>
  <c r="I39" i="38"/>
  <c r="G20" i="38"/>
  <c r="G32" i="38"/>
  <c r="H27" i="38"/>
  <c r="E30" i="38"/>
  <c r="F18" i="38"/>
  <c r="H28" i="38"/>
  <c r="I38" i="38"/>
  <c r="E12" i="38"/>
  <c r="G26" i="38"/>
  <c r="H34" i="38"/>
  <c r="I31" i="38"/>
  <c r="F46" i="38"/>
  <c r="I44" i="38"/>
  <c r="F42" i="38"/>
  <c r="E41" i="38"/>
  <c r="E36" i="38"/>
  <c r="H39" i="38"/>
  <c r="I19" i="38"/>
  <c r="F24" i="38"/>
  <c r="G24" i="38"/>
  <c r="E37" i="38"/>
  <c r="E15" i="38"/>
  <c r="H31" i="38"/>
  <c r="I36" i="38"/>
  <c r="H25" i="38"/>
  <c r="E47" i="38"/>
  <c r="I17" i="38"/>
  <c r="I35" i="38"/>
  <c r="F20" i="38"/>
  <c r="F48" i="38"/>
  <c r="G13" i="38"/>
  <c r="G25" i="38"/>
  <c r="F31" i="38"/>
  <c r="I40" i="38"/>
  <c r="E10" i="38"/>
  <c r="H47" i="38"/>
  <c r="F23" i="38"/>
  <c r="H10" i="38"/>
  <c r="F12" i="38"/>
  <c r="I11" i="38"/>
  <c r="E31" i="38"/>
  <c r="G48" i="38"/>
  <c r="E23" i="38"/>
  <c r="I22" i="38"/>
  <c r="H17" i="38"/>
  <c r="I23" i="38"/>
  <c r="I12" i="38"/>
  <c r="H48" i="38"/>
  <c r="H22" i="38"/>
  <c r="F21" i="38"/>
  <c r="I47" i="38"/>
  <c r="G47" i="38"/>
  <c r="I32" i="38"/>
  <c r="H32" i="38"/>
  <c r="F38" i="38"/>
  <c r="I10" i="38"/>
  <c r="E40" i="38"/>
  <c r="E25" i="38"/>
  <c r="G33" i="38"/>
  <c r="G12" i="38"/>
  <c r="G37" i="38"/>
  <c r="E35" i="38"/>
  <c r="I41" i="38"/>
  <c r="E33" i="38"/>
  <c r="G21" i="38"/>
  <c r="G45" i="38"/>
  <c r="G18" i="38"/>
  <c r="E32" i="38"/>
  <c r="I48" i="38"/>
  <c r="I28" i="38"/>
  <c r="H45" i="38"/>
  <c r="F22" i="38"/>
  <c r="F33" i="38"/>
  <c r="G38" i="38"/>
  <c r="F11" i="38"/>
  <c r="G41" i="38"/>
  <c r="F36" i="38"/>
  <c r="G34" i="38"/>
  <c r="H33" i="38"/>
  <c r="E27" i="38"/>
  <c r="E13" i="38"/>
  <c r="H38" i="38"/>
  <c r="E29" i="38"/>
  <c r="F16" i="38"/>
  <c r="I24" i="38"/>
  <c r="E22" i="38"/>
  <c r="E49" i="38"/>
  <c r="H33" i="39"/>
  <c r="F18" i="39"/>
  <c r="E36" i="39"/>
  <c r="F33" i="39"/>
  <c r="H18" i="39"/>
  <c r="H32" i="39"/>
  <c r="G33" i="39"/>
  <c r="G16" i="39"/>
  <c r="H24" i="39"/>
  <c r="E29" i="39"/>
  <c r="G23" i="39"/>
  <c r="G42" i="39"/>
  <c r="E10" i="39"/>
  <c r="E16" i="39"/>
  <c r="H20" i="39"/>
  <c r="G49" i="39"/>
  <c r="E17" i="39"/>
  <c r="F38" i="39"/>
  <c r="H12" i="39"/>
  <c r="H25" i="39"/>
  <c r="F35" i="39"/>
  <c r="H47" i="39"/>
  <c r="G25" i="39"/>
  <c r="G34" i="39"/>
  <c r="H44" i="39"/>
  <c r="H31" i="39"/>
  <c r="I28" i="39"/>
  <c r="I48" i="39"/>
  <c r="H29" i="39"/>
  <c r="F23" i="39"/>
  <c r="G40" i="39"/>
  <c r="H17" i="39"/>
  <c r="F10" i="39"/>
  <c r="F28" i="39"/>
  <c r="F29" i="39"/>
  <c r="E28" i="39"/>
  <c r="E30" i="39"/>
  <c r="I30" i="39"/>
  <c r="E34" i="39"/>
  <c r="G48" i="39"/>
  <c r="I49" i="39"/>
  <c r="H42" i="39"/>
  <c r="H49" i="39"/>
  <c r="I25" i="39"/>
  <c r="H35" i="39"/>
  <c r="F21" i="39"/>
  <c r="I33" i="39"/>
  <c r="G44" i="39"/>
  <c r="I10" i="39"/>
  <c r="I17" i="39"/>
  <c r="I24" i="39"/>
  <c r="E15" i="39"/>
  <c r="E41" i="39"/>
  <c r="G43" i="39"/>
  <c r="H41" i="39"/>
  <c r="I32" i="39"/>
  <c r="F25" i="39"/>
  <c r="G46" i="39"/>
  <c r="I29" i="39"/>
  <c r="F48" i="39"/>
  <c r="G29" i="39"/>
  <c r="G32" i="39"/>
  <c r="I31" i="39"/>
  <c r="E22" i="39"/>
  <c r="E20" i="39"/>
  <c r="F30" i="39"/>
  <c r="E31" i="39"/>
  <c r="H23" i="39"/>
  <c r="H39" i="39"/>
  <c r="G28" i="39"/>
  <c r="F17" i="39"/>
  <c r="F41" i="39"/>
  <c r="H34" i="39"/>
  <c r="I16" i="39"/>
  <c r="H28" i="39"/>
  <c r="G38" i="39"/>
  <c r="H36" i="39"/>
  <c r="G30" i="39"/>
  <c r="I41" i="39"/>
  <c r="E38" i="39"/>
  <c r="E18" i="39"/>
  <c r="F12" i="39"/>
  <c r="F43" i="39"/>
  <c r="G17" i="39"/>
  <c r="I11" i="39"/>
  <c r="I23" i="39"/>
  <c r="E24" i="39"/>
  <c r="F31" i="39"/>
  <c r="E25" i="39"/>
  <c r="F11" i="39"/>
  <c r="G35" i="39"/>
  <c r="E40" i="39"/>
  <c r="H13" i="39"/>
  <c r="H19" i="39"/>
  <c r="F34" i="39"/>
  <c r="I34" i="39"/>
  <c r="H43" i="39"/>
  <c r="E13" i="39"/>
  <c r="F16" i="39"/>
  <c r="F13" i="39"/>
  <c r="F19" i="39"/>
  <c r="E49" i="39"/>
  <c r="E48" i="39"/>
  <c r="I44" i="39"/>
  <c r="H11" i="39"/>
  <c r="E46" i="39"/>
  <c r="I12" i="39"/>
  <c r="I15" i="39"/>
  <c r="H46" i="39"/>
  <c r="I19" i="39"/>
  <c r="E19" i="39"/>
  <c r="F20" i="39"/>
  <c r="E21" i="39"/>
  <c r="E11" i="39"/>
  <c r="H21" i="39"/>
  <c r="F36" i="39"/>
  <c r="F49" i="39"/>
  <c r="H22" i="39"/>
  <c r="E43" i="39"/>
  <c r="F15" i="39"/>
  <c r="I18" i="39"/>
  <c r="F24" i="39"/>
  <c r="I42" i="39"/>
  <c r="F46" i="39"/>
  <c r="H30" i="39"/>
  <c r="F44" i="39"/>
  <c r="G39" i="39"/>
  <c r="I13" i="39"/>
  <c r="I43" i="39"/>
  <c r="I39" i="39"/>
  <c r="G47" i="39"/>
  <c r="G18" i="39"/>
  <c r="F32" i="39"/>
  <c r="E44" i="39"/>
  <c r="I21" i="39"/>
  <c r="F39" i="39"/>
  <c r="F22" i="39"/>
  <c r="F47" i="39"/>
  <c r="G22" i="39"/>
  <c r="G31" i="39"/>
  <c r="H15" i="39"/>
  <c r="I38" i="39"/>
  <c r="G36" i="39"/>
  <c r="E32" i="39"/>
  <c r="G13" i="39"/>
  <c r="G15" i="39"/>
  <c r="G24" i="39"/>
  <c r="H48" i="39"/>
  <c r="E33" i="39"/>
  <c r="H16" i="39"/>
  <c r="E12" i="39"/>
  <c r="I46" i="39"/>
  <c r="I40" i="39"/>
  <c r="G12" i="39"/>
  <c r="I22" i="39"/>
  <c r="F42" i="39"/>
  <c r="G21" i="39"/>
  <c r="E39" i="39"/>
  <c r="G20" i="39"/>
  <c r="E47" i="39"/>
  <c r="H40" i="39"/>
  <c r="G19" i="39"/>
  <c r="I20" i="39"/>
  <c r="I36" i="39"/>
  <c r="F40" i="39"/>
  <c r="E42" i="39"/>
  <c r="G41" i="39"/>
  <c r="G11" i="39"/>
  <c r="I47" i="39"/>
  <c r="H38" i="39"/>
  <c r="E35" i="39"/>
  <c r="E23" i="39"/>
  <c r="G10" i="39"/>
  <c r="I35" i="39"/>
  <c r="F12" i="48"/>
  <c r="M12" i="14"/>
  <c r="U16" i="48" l="1"/>
  <c r="AE16" i="48" s="1"/>
  <c r="AJ16" i="48" s="1"/>
  <c r="X13" i="6"/>
  <c r="N13" i="6" s="1"/>
  <c r="U39" i="48"/>
  <c r="AC39" i="48" s="1"/>
  <c r="AH39" i="48" s="1"/>
  <c r="E54" i="39"/>
  <c r="X24" i="6"/>
  <c r="N24" i="6" s="1"/>
  <c r="I70" i="6"/>
  <c r="F54" i="48"/>
  <c r="G54" i="48"/>
  <c r="M54" i="14"/>
  <c r="M52" i="14"/>
  <c r="M53" i="14"/>
  <c r="F53" i="48"/>
  <c r="G52" i="48"/>
  <c r="G53" i="48"/>
  <c r="F52" i="48"/>
  <c r="Z48" i="6"/>
  <c r="W25" i="6"/>
  <c r="Z32" i="6"/>
  <c r="M43" i="14"/>
  <c r="M15" i="14"/>
  <c r="Z27" i="6"/>
  <c r="Z53" i="6"/>
  <c r="Z51" i="6"/>
  <c r="M25" i="14"/>
  <c r="M34" i="14"/>
  <c r="Z45" i="6"/>
  <c r="Z41" i="6"/>
  <c r="M23" i="14"/>
  <c r="M38" i="14"/>
  <c r="Z36" i="6"/>
  <c r="Z58" i="6"/>
  <c r="M14" i="14"/>
  <c r="Z39" i="6"/>
  <c r="Z38" i="6"/>
  <c r="Z52" i="6"/>
  <c r="M50" i="14"/>
  <c r="M24" i="14"/>
  <c r="M41" i="14"/>
  <c r="Z42" i="6"/>
  <c r="Z50" i="6"/>
  <c r="M19" i="14"/>
  <c r="Z54" i="6"/>
  <c r="Z64" i="6"/>
  <c r="M40" i="14"/>
  <c r="Z49" i="6"/>
  <c r="Z57" i="6"/>
  <c r="M26" i="14"/>
  <c r="M18" i="14"/>
  <c r="Z29" i="6"/>
  <c r="Z68" i="6"/>
  <c r="Z30" i="6"/>
  <c r="M27" i="14"/>
  <c r="M37" i="14"/>
  <c r="Z69" i="6"/>
  <c r="Z34" i="6"/>
  <c r="Z26" i="6"/>
  <c r="Z40" i="6"/>
  <c r="M21" i="14"/>
  <c r="M51" i="14"/>
  <c r="Z61" i="6"/>
  <c r="V25" i="6"/>
  <c r="Z31" i="6"/>
  <c r="M32" i="14"/>
  <c r="M20" i="14"/>
  <c r="Z62" i="6"/>
  <c r="M31" i="14"/>
  <c r="Z28" i="6"/>
  <c r="Z55" i="6"/>
  <c r="Z47" i="6"/>
  <c r="Z59" i="6"/>
  <c r="M36" i="14"/>
  <c r="Z44" i="6"/>
  <c r="Z33" i="6"/>
  <c r="M35" i="14"/>
  <c r="M33" i="14"/>
  <c r="L70" i="6"/>
  <c r="Z63" i="6"/>
  <c r="Z67" i="6"/>
  <c r="M17" i="14"/>
  <c r="M44" i="14"/>
  <c r="Z56" i="6"/>
  <c r="Z37" i="6"/>
  <c r="Z35" i="6"/>
  <c r="M42" i="14"/>
  <c r="M22" i="14"/>
  <c r="Z43" i="6"/>
  <c r="L69" i="6"/>
  <c r="M29" i="14"/>
  <c r="M49" i="14"/>
  <c r="Z46" i="6"/>
  <c r="Z66" i="6"/>
  <c r="Z60" i="6"/>
  <c r="M13" i="14"/>
  <c r="M30" i="14"/>
  <c r="M45" i="14"/>
  <c r="M48" i="14"/>
  <c r="M46" i="14"/>
  <c r="M47" i="14"/>
  <c r="G28" i="48"/>
  <c r="F38" i="48"/>
  <c r="F22" i="48"/>
  <c r="F50" i="48"/>
  <c r="F27" i="48"/>
  <c r="F30" i="48"/>
  <c r="F21" i="48"/>
  <c r="G31" i="48"/>
  <c r="G38" i="48"/>
  <c r="F45" i="48"/>
  <c r="G13" i="48"/>
  <c r="G40" i="48"/>
  <c r="G14" i="48"/>
  <c r="F37" i="48"/>
  <c r="F28" i="48"/>
  <c r="G24" i="48"/>
  <c r="F26" i="48"/>
  <c r="F41" i="48"/>
  <c r="F13" i="48"/>
  <c r="F25" i="48"/>
  <c r="F36" i="48"/>
  <c r="F47" i="48"/>
  <c r="G27" i="48"/>
  <c r="F29" i="48"/>
  <c r="G17" i="48"/>
  <c r="G50" i="48"/>
  <c r="F49" i="48"/>
  <c r="F14" i="48"/>
  <c r="F18" i="48"/>
  <c r="F43" i="48"/>
  <c r="G15" i="48"/>
  <c r="G34" i="48"/>
  <c r="F35" i="48"/>
  <c r="G22" i="48"/>
  <c r="F48" i="48"/>
  <c r="G36" i="48"/>
  <c r="G18" i="48"/>
  <c r="G26" i="48"/>
  <c r="G30" i="48"/>
  <c r="G48" i="48"/>
  <c r="F17" i="48"/>
  <c r="F32" i="48"/>
  <c r="G43" i="48"/>
  <c r="G29" i="48"/>
  <c r="F33" i="48"/>
  <c r="G33" i="48"/>
  <c r="G23" i="48"/>
  <c r="G37" i="48"/>
  <c r="F23" i="48"/>
  <c r="F34" i="48"/>
  <c r="G46" i="48"/>
  <c r="G20" i="48"/>
  <c r="G19" i="48"/>
  <c r="G25" i="48"/>
  <c r="F51" i="48"/>
  <c r="G42" i="48"/>
  <c r="F46" i="48"/>
  <c r="F42" i="48"/>
  <c r="G51" i="48"/>
  <c r="G49" i="48"/>
  <c r="F24" i="48"/>
  <c r="F40" i="48"/>
  <c r="G45" i="48"/>
  <c r="F44" i="48"/>
  <c r="F15" i="48"/>
  <c r="G41" i="48"/>
  <c r="G21" i="48"/>
  <c r="F19" i="48"/>
  <c r="G47" i="48"/>
  <c r="G44" i="48"/>
  <c r="G12" i="48"/>
  <c r="F31" i="48"/>
  <c r="F20" i="48"/>
  <c r="G35" i="48"/>
  <c r="G32" i="48"/>
  <c r="U41" i="48" l="1"/>
  <c r="AD41" i="48" s="1"/>
  <c r="AI41" i="48" s="1"/>
  <c r="U48" i="48"/>
  <c r="AD48" i="48" s="1"/>
  <c r="AI48" i="48" s="1"/>
  <c r="AE48" i="48"/>
  <c r="AJ48" i="48" s="1"/>
  <c r="U35" i="48"/>
  <c r="U52" i="48"/>
  <c r="AD52" i="48" s="1"/>
  <c r="AI52" i="48" s="1"/>
  <c r="U22" i="48"/>
  <c r="U28" i="48"/>
  <c r="AC28" i="48" s="1"/>
  <c r="AH28" i="48" s="1"/>
  <c r="U32" i="48"/>
  <c r="AC32" i="48" s="1"/>
  <c r="AH32" i="48" s="1"/>
  <c r="U46" i="48"/>
  <c r="AC46" i="48" s="1"/>
  <c r="AH46" i="48" s="1"/>
  <c r="U23" i="48"/>
  <c r="AC23" i="48" s="1"/>
  <c r="AH23" i="48" s="1"/>
  <c r="U14" i="48"/>
  <c r="AD14" i="48" s="1"/>
  <c r="AI14" i="48" s="1"/>
  <c r="U47" i="48"/>
  <c r="AC47" i="48" s="1"/>
  <c r="AH47" i="48" s="1"/>
  <c r="U12" i="48"/>
  <c r="AC12" i="48" s="1"/>
  <c r="AH12" i="48" s="1"/>
  <c r="U26" i="48"/>
  <c r="AD26" i="48" s="1"/>
  <c r="AI26" i="48" s="1"/>
  <c r="AE47" i="48"/>
  <c r="AJ47" i="48" s="1"/>
  <c r="AD47" i="48"/>
  <c r="AI47" i="48" s="1"/>
  <c r="U24" i="48"/>
  <c r="AD24" i="48" s="1"/>
  <c r="AI24" i="48" s="1"/>
  <c r="U19" i="48"/>
  <c r="U42" i="48"/>
  <c r="AC42" i="48" s="1"/>
  <c r="AH42" i="48" s="1"/>
  <c r="U31" i="48"/>
  <c r="AD31" i="48" s="1"/>
  <c r="AI31" i="48" s="1"/>
  <c r="U18" i="48"/>
  <c r="AD18" i="48" s="1"/>
  <c r="AI18" i="48" s="1"/>
  <c r="U17" i="48"/>
  <c r="AC17" i="48" s="1"/>
  <c r="AH17" i="48" s="1"/>
  <c r="U33" i="48"/>
  <c r="AD33" i="48" s="1"/>
  <c r="AI33" i="48" s="1"/>
  <c r="U43" i="48"/>
  <c r="AD43" i="48" s="1"/>
  <c r="AI43" i="48" s="1"/>
  <c r="U34" i="48"/>
  <c r="AE34" i="48" s="1"/>
  <c r="U53" i="48"/>
  <c r="AD53" i="48" s="1"/>
  <c r="AI53" i="48" s="1"/>
  <c r="U44" i="48"/>
  <c r="AD44" i="48" s="1"/>
  <c r="AI44" i="48" s="1"/>
  <c r="U15" i="48"/>
  <c r="AD15" i="48" s="1"/>
  <c r="AI15" i="48" s="1"/>
  <c r="U51" i="48"/>
  <c r="AC51" i="48" s="1"/>
  <c r="AH51" i="48" s="1"/>
  <c r="U13" i="48"/>
  <c r="AD13" i="48" s="1"/>
  <c r="AI13" i="48" s="1"/>
  <c r="U49" i="48"/>
  <c r="AC49" i="48" s="1"/>
  <c r="AH49" i="48" s="1"/>
  <c r="U54" i="48"/>
  <c r="AC54" i="48" s="1"/>
  <c r="AH54" i="48" s="1"/>
  <c r="AC48" i="48"/>
  <c r="AH48" i="48" s="1"/>
  <c r="AD39" i="48"/>
  <c r="AI39" i="48" s="1"/>
  <c r="U25" i="48"/>
  <c r="AD25" i="48" s="1"/>
  <c r="AI25" i="48" s="1"/>
  <c r="U37" i="48"/>
  <c r="AD37" i="48" s="1"/>
  <c r="AI37" i="48" s="1"/>
  <c r="U21" i="48"/>
  <c r="U36" i="48"/>
  <c r="U42" i="14"/>
  <c r="U50" i="48"/>
  <c r="X25" i="6"/>
  <c r="N25" i="6" s="1"/>
  <c r="U19" i="14"/>
  <c r="U54" i="14"/>
  <c r="G69" i="48"/>
  <c r="U51" i="14"/>
  <c r="U18" i="14"/>
  <c r="U24" i="14"/>
  <c r="U53" i="14"/>
  <c r="U27" i="48"/>
  <c r="U17" i="14"/>
  <c r="U44" i="14"/>
  <c r="U43" i="14"/>
  <c r="U34" i="14"/>
  <c r="U20" i="48"/>
  <c r="U33" i="14"/>
  <c r="U29" i="48"/>
  <c r="AD29" i="48" s="1"/>
  <c r="AI29" i="48" s="1"/>
  <c r="U15" i="14"/>
  <c r="U45" i="48"/>
  <c r="U38" i="48"/>
  <c r="U30" i="14"/>
  <c r="U28" i="14"/>
  <c r="U35" i="14"/>
  <c r="U14" i="14"/>
  <c r="U52" i="14"/>
  <c r="U32" i="14"/>
  <c r="U26" i="14"/>
  <c r="U47" i="14"/>
  <c r="U36" i="14"/>
  <c r="U23" i="14"/>
  <c r="U25" i="14"/>
  <c r="U48" i="14"/>
  <c r="U40" i="14"/>
  <c r="U27" i="14"/>
  <c r="U22" i="14"/>
  <c r="U12" i="14"/>
  <c r="V12" i="14" s="1"/>
  <c r="W12" i="14" s="1"/>
  <c r="U37" i="14"/>
  <c r="U41" i="14"/>
  <c r="U16" i="14"/>
  <c r="U46" i="14"/>
  <c r="U38" i="14"/>
  <c r="U29" i="14"/>
  <c r="U50" i="14"/>
  <c r="U21" i="14"/>
  <c r="U20" i="14"/>
  <c r="U39" i="14"/>
  <c r="U13" i="14"/>
  <c r="U45" i="14"/>
  <c r="U31" i="14"/>
  <c r="U40" i="48"/>
  <c r="U30" i="48"/>
  <c r="AE30" i="48" s="1"/>
  <c r="AJ30" i="48" s="1"/>
  <c r="U49" i="14"/>
  <c r="AC16" i="48"/>
  <c r="AH16" i="48" s="1"/>
  <c r="V55" i="6"/>
  <c r="V66" i="6"/>
  <c r="W68" i="6"/>
  <c r="W43" i="6"/>
  <c r="V53" i="6"/>
  <c r="V40" i="6"/>
  <c r="V37" i="6"/>
  <c r="V46" i="6"/>
  <c r="V56" i="6"/>
  <c r="V61" i="6"/>
  <c r="W45" i="6"/>
  <c r="V38" i="6"/>
  <c r="W47" i="6"/>
  <c r="V39" i="6"/>
  <c r="W60" i="6"/>
  <c r="W38" i="6"/>
  <c r="W54" i="6"/>
  <c r="W40" i="6"/>
  <c r="W62" i="6"/>
  <c r="W35" i="6"/>
  <c r="W26" i="6"/>
  <c r="W61" i="6"/>
  <c r="W48" i="6"/>
  <c r="W63" i="6"/>
  <c r="V59" i="6"/>
  <c r="W42" i="6"/>
  <c r="V43" i="6"/>
  <c r="W31" i="6"/>
  <c r="W69" i="6"/>
  <c r="V49" i="6"/>
  <c r="V41" i="6"/>
  <c r="W46" i="6"/>
  <c r="W59" i="6"/>
  <c r="W34" i="6"/>
  <c r="W52" i="6"/>
  <c r="W29" i="6"/>
  <c r="V48" i="6"/>
  <c r="V31" i="6"/>
  <c r="V64" i="6"/>
  <c r="M70" i="6"/>
  <c r="W37" i="6"/>
  <c r="V62" i="6"/>
  <c r="V36" i="6"/>
  <c r="V32" i="6"/>
  <c r="W64" i="6"/>
  <c r="V50" i="6"/>
  <c r="W51" i="6"/>
  <c r="W33" i="6"/>
  <c r="W36" i="6"/>
  <c r="V28" i="6"/>
  <c r="W49" i="6"/>
  <c r="W57" i="6"/>
  <c r="W44" i="6"/>
  <c r="V69" i="6"/>
  <c r="W66" i="6"/>
  <c r="W58" i="6"/>
  <c r="Z65" i="6"/>
  <c r="W32" i="6"/>
  <c r="V45" i="6"/>
  <c r="V68" i="6"/>
  <c r="V33" i="6"/>
  <c r="V52" i="6"/>
  <c r="W39" i="6"/>
  <c r="V34" i="6"/>
  <c r="V67" i="6"/>
  <c r="V57" i="6"/>
  <c r="V30" i="6"/>
  <c r="V44" i="6"/>
  <c r="V42" i="6"/>
  <c r="W55" i="6"/>
  <c r="V63" i="6"/>
  <c r="W56" i="6"/>
  <c r="W67" i="6"/>
  <c r="V58" i="6"/>
  <c r="W28" i="6"/>
  <c r="V26" i="6"/>
  <c r="V54" i="6"/>
  <c r="W30" i="6"/>
  <c r="W27" i="6"/>
  <c r="V47" i="6"/>
  <c r="W41" i="6"/>
  <c r="V29" i="6"/>
  <c r="V27" i="6"/>
  <c r="V60" i="6"/>
  <c r="V35" i="6"/>
  <c r="V51" i="6"/>
  <c r="W53" i="6"/>
  <c r="W50" i="6"/>
  <c r="AE19" i="48" l="1"/>
  <c r="AJ19" i="48" s="1"/>
  <c r="AD19" i="48"/>
  <c r="AI19" i="48" s="1"/>
  <c r="AC41" i="48"/>
  <c r="AH41" i="48" s="1"/>
  <c r="AC35" i="48"/>
  <c r="AH35" i="48" s="1"/>
  <c r="AD35" i="48"/>
  <c r="AI35" i="48" s="1"/>
  <c r="AE22" i="48"/>
  <c r="AJ22" i="48" s="1"/>
  <c r="AD22" i="48"/>
  <c r="AI22" i="48" s="1"/>
  <c r="AC52" i="48"/>
  <c r="AH52" i="48" s="1"/>
  <c r="AC22" i="48"/>
  <c r="AH22" i="48" s="1"/>
  <c r="AE35" i="48"/>
  <c r="AJ35" i="48" s="1"/>
  <c r="AE12" i="48"/>
  <c r="AJ12" i="48" s="1"/>
  <c r="AE46" i="48"/>
  <c r="AJ46" i="48" s="1"/>
  <c r="AD28" i="48"/>
  <c r="AI28" i="48" s="1"/>
  <c r="AC14" i="48"/>
  <c r="AH14" i="48" s="1"/>
  <c r="AE32" i="48"/>
  <c r="AJ32" i="48" s="1"/>
  <c r="AC26" i="48"/>
  <c r="AH26" i="48" s="1"/>
  <c r="AE23" i="48"/>
  <c r="AJ23" i="48" s="1"/>
  <c r="AC31" i="48"/>
  <c r="AH31" i="48" s="1"/>
  <c r="AC15" i="48"/>
  <c r="AH15" i="48" s="1"/>
  <c r="AC44" i="48"/>
  <c r="AH44" i="48" s="1"/>
  <c r="AD49" i="48"/>
  <c r="AI49" i="48" s="1"/>
  <c r="V69" i="14"/>
  <c r="W69" i="14" s="1"/>
  <c r="AC34" i="48"/>
  <c r="AH34" i="48" s="1"/>
  <c r="AD51" i="48"/>
  <c r="AI51" i="48" s="1"/>
  <c r="AC53" i="48"/>
  <c r="AH53" i="48" s="1"/>
  <c r="AC18" i="48"/>
  <c r="AH18" i="48" s="1"/>
  <c r="AC13" i="48"/>
  <c r="AH13" i="48" s="1"/>
  <c r="AC24" i="48"/>
  <c r="AH24" i="48" s="1"/>
  <c r="AC43" i="48"/>
  <c r="AH43" i="48" s="1"/>
  <c r="AD54" i="48"/>
  <c r="AI54" i="48" s="1"/>
  <c r="AD42" i="48"/>
  <c r="AI42" i="48" s="1"/>
  <c r="AC33" i="48"/>
  <c r="AH33" i="48" s="1"/>
  <c r="AC19" i="48"/>
  <c r="AH19" i="48" s="1"/>
  <c r="AD17" i="48"/>
  <c r="AI17" i="48" s="1"/>
  <c r="V44" i="14"/>
  <c r="W44" i="14" s="1"/>
  <c r="V18" i="14"/>
  <c r="W18" i="14" s="1"/>
  <c r="V42" i="14"/>
  <c r="W42" i="14" s="1"/>
  <c r="V19" i="14"/>
  <c r="W19" i="14" s="1"/>
  <c r="V34" i="14"/>
  <c r="W34" i="14" s="1"/>
  <c r="V38" i="14"/>
  <c r="W38" i="14" s="1"/>
  <c r="V37" i="14"/>
  <c r="W37" i="14" s="1"/>
  <c r="V30" i="14"/>
  <c r="W30" i="14" s="1"/>
  <c r="V14" i="14"/>
  <c r="W14" i="14" s="1"/>
  <c r="V61" i="14"/>
  <c r="W61" i="14" s="1"/>
  <c r="V39" i="14"/>
  <c r="W39" i="14" s="1"/>
  <c r="V32" i="14"/>
  <c r="W32" i="14" s="1"/>
  <c r="V68" i="14"/>
  <c r="W68" i="14" s="1"/>
  <c r="V20" i="14"/>
  <c r="W20" i="14" s="1"/>
  <c r="V25" i="14"/>
  <c r="W25" i="14" s="1"/>
  <c r="V46" i="14"/>
  <c r="W46" i="14" s="1"/>
  <c r="V36" i="14"/>
  <c r="W36" i="14" s="1"/>
  <c r="V15" i="14"/>
  <c r="W15" i="14" s="1"/>
  <c r="V62" i="14"/>
  <c r="W62" i="14" s="1"/>
  <c r="V26" i="14"/>
  <c r="W26" i="14" s="1"/>
  <c r="AC25" i="48"/>
  <c r="AH25" i="48" s="1"/>
  <c r="V58" i="14"/>
  <c r="W58" i="14" s="1"/>
  <c r="V60" i="14"/>
  <c r="W60" i="14" s="1"/>
  <c r="V55" i="14"/>
  <c r="W55" i="14" s="1"/>
  <c r="V31" i="14"/>
  <c r="W31" i="14" s="1"/>
  <c r="V50" i="14"/>
  <c r="W50" i="14" s="1"/>
  <c r="V40" i="14"/>
  <c r="W40" i="14" s="1"/>
  <c r="V52" i="14"/>
  <c r="W52" i="14" s="1"/>
  <c r="V43" i="14"/>
  <c r="W43" i="14" s="1"/>
  <c r="V53" i="14"/>
  <c r="W53" i="14" s="1"/>
  <c r="V45" i="14"/>
  <c r="W45" i="14" s="1"/>
  <c r="V47" i="14"/>
  <c r="W47" i="14" s="1"/>
  <c r="V64" i="14"/>
  <c r="W64" i="14" s="1"/>
  <c r="V65" i="14"/>
  <c r="W65" i="14" s="1"/>
  <c r="V35" i="14"/>
  <c r="W35" i="14" s="1"/>
  <c r="V17" i="14"/>
  <c r="W17" i="14" s="1"/>
  <c r="AE36" i="48"/>
  <c r="AJ36" i="48" s="1"/>
  <c r="AC36" i="48"/>
  <c r="AH36" i="48" s="1"/>
  <c r="AC21" i="48"/>
  <c r="AH21" i="48" s="1"/>
  <c r="AD21" i="48"/>
  <c r="AI21" i="48" s="1"/>
  <c r="AC37" i="48"/>
  <c r="AH37" i="48" s="1"/>
  <c r="X48" i="6"/>
  <c r="N48" i="6" s="1"/>
  <c r="X39" i="6"/>
  <c r="N39" i="6" s="1"/>
  <c r="X49" i="6"/>
  <c r="N49" i="6" s="1"/>
  <c r="X34" i="6"/>
  <c r="N34" i="6" s="1"/>
  <c r="X54" i="6"/>
  <c r="N54" i="6" s="1"/>
  <c r="X42" i="6"/>
  <c r="N42" i="6" s="1"/>
  <c r="X55" i="6"/>
  <c r="N55" i="6" s="1"/>
  <c r="X60" i="6"/>
  <c r="N60" i="6" s="1"/>
  <c r="X29" i="6"/>
  <c r="N29" i="6" s="1"/>
  <c r="X36" i="6"/>
  <c r="N36" i="6" s="1"/>
  <c r="X47" i="6"/>
  <c r="N47" i="6" s="1"/>
  <c r="X53" i="6"/>
  <c r="N53" i="6" s="1"/>
  <c r="X51" i="6"/>
  <c r="N51" i="6" s="1"/>
  <c r="X27" i="6"/>
  <c r="N27" i="6" s="1"/>
  <c r="X66" i="6"/>
  <c r="N66" i="6" s="1"/>
  <c r="X30" i="6"/>
  <c r="N30" i="6" s="1"/>
  <c r="X46" i="6"/>
  <c r="N46" i="6" s="1"/>
  <c r="X37" i="6"/>
  <c r="N37" i="6" s="1"/>
  <c r="X62" i="6"/>
  <c r="N62" i="6" s="1"/>
  <c r="X45" i="6"/>
  <c r="N45" i="6" s="1"/>
  <c r="X43" i="6"/>
  <c r="N43" i="6" s="1"/>
  <c r="X68" i="6"/>
  <c r="N68" i="6" s="1"/>
  <c r="X63" i="6"/>
  <c r="N63" i="6" s="1"/>
  <c r="X40" i="6"/>
  <c r="N40" i="6" s="1"/>
  <c r="X44" i="6"/>
  <c r="N44" i="6" s="1"/>
  <c r="X33" i="6"/>
  <c r="N33" i="6" s="1"/>
  <c r="X58" i="6"/>
  <c r="N58" i="6" s="1"/>
  <c r="X67" i="6"/>
  <c r="N67" i="6" s="1"/>
  <c r="X61" i="6"/>
  <c r="N61" i="6" s="1"/>
  <c r="X35" i="6"/>
  <c r="N35" i="6" s="1"/>
  <c r="X38" i="6"/>
  <c r="N38" i="6" s="1"/>
  <c r="X52" i="6"/>
  <c r="N52" i="6" s="1"/>
  <c r="X64" i="6"/>
  <c r="N64" i="6" s="1"/>
  <c r="X26" i="6"/>
  <c r="N26" i="6" s="1"/>
  <c r="X31" i="6"/>
  <c r="N31" i="6" s="1"/>
  <c r="X41" i="6"/>
  <c r="N41" i="6" s="1"/>
  <c r="X57" i="6"/>
  <c r="N57" i="6" s="1"/>
  <c r="X28" i="6"/>
  <c r="N28" i="6" s="1"/>
  <c r="X56" i="6"/>
  <c r="N56" i="6" s="1"/>
  <c r="X50" i="6"/>
  <c r="N50" i="6" s="1"/>
  <c r="X59" i="6"/>
  <c r="N59" i="6" s="1"/>
  <c r="X32" i="6"/>
  <c r="N32" i="6" s="1"/>
  <c r="V22" i="14"/>
  <c r="W22" i="14" s="1"/>
  <c r="AD30" i="48"/>
  <c r="AI30" i="48" s="1"/>
  <c r="AC30" i="48"/>
  <c r="AH30" i="48" s="1"/>
  <c r="V16" i="14"/>
  <c r="W16" i="14" s="1"/>
  <c r="AC20" i="48"/>
  <c r="AH20" i="48" s="1"/>
  <c r="AD20" i="48"/>
  <c r="AI20" i="48" s="1"/>
  <c r="V27" i="14"/>
  <c r="W27" i="14" s="1"/>
  <c r="V67" i="14"/>
  <c r="W67" i="14" s="1"/>
  <c r="V56" i="14"/>
  <c r="W56" i="14" s="1"/>
  <c r="V59" i="14"/>
  <c r="W59" i="14" s="1"/>
  <c r="V33" i="14"/>
  <c r="W33" i="14" s="1"/>
  <c r="V66" i="14"/>
  <c r="W66" i="14" s="1"/>
  <c r="V23" i="14"/>
  <c r="W23" i="14" s="1"/>
  <c r="V54" i="14"/>
  <c r="W54" i="14" s="1"/>
  <c r="V71" i="14"/>
  <c r="W71" i="14" s="1"/>
  <c r="AC40" i="48"/>
  <c r="AH40" i="48" s="1"/>
  <c r="AD40" i="48"/>
  <c r="AI40" i="48" s="1"/>
  <c r="AC38" i="48"/>
  <c r="AH38" i="48" s="1"/>
  <c r="AD38" i="48"/>
  <c r="AI38" i="48" s="1"/>
  <c r="AC27" i="48"/>
  <c r="AH27" i="48" s="1"/>
  <c r="AD27" i="48"/>
  <c r="AI27" i="48" s="1"/>
  <c r="AC45" i="48"/>
  <c r="AH45" i="48" s="1"/>
  <c r="AD45" i="48"/>
  <c r="AI45" i="48" s="1"/>
  <c r="AC29" i="48"/>
  <c r="AH29" i="48" s="1"/>
  <c r="AE29" i="48"/>
  <c r="AJ29" i="48" s="1"/>
  <c r="AD50" i="48"/>
  <c r="AI50" i="48" s="1"/>
  <c r="AC50" i="48"/>
  <c r="AH50" i="48" s="1"/>
  <c r="V63" i="14"/>
  <c r="W63" i="14" s="1"/>
  <c r="V57" i="14"/>
  <c r="W57" i="14" s="1"/>
  <c r="V28" i="14"/>
  <c r="W28" i="14" s="1"/>
  <c r="V41" i="14"/>
  <c r="W41" i="14" s="1"/>
  <c r="V29" i="14"/>
  <c r="W29" i="14" s="1"/>
  <c r="V49" i="14"/>
  <c r="W49" i="14" s="1"/>
  <c r="V21" i="14"/>
  <c r="W21" i="14" s="1"/>
  <c r="V51" i="14"/>
  <c r="W51" i="14" s="1"/>
  <c r="V24" i="14"/>
  <c r="W24" i="14" s="1"/>
  <c r="V48" i="14"/>
  <c r="W48" i="14" s="1"/>
  <c r="V13" i="14"/>
  <c r="W13" i="14" s="1"/>
  <c r="V70" i="14"/>
  <c r="W70" i="14" s="1"/>
  <c r="AJ34" i="48"/>
  <c r="X69" i="6"/>
  <c r="N69" i="6" s="1"/>
  <c r="V65" i="6"/>
  <c r="W65" i="6"/>
  <c r="Z70" i="6"/>
  <c r="X41" i="14" l="1"/>
  <c r="X43" i="14"/>
  <c r="X29" i="14"/>
  <c r="X34" i="14"/>
  <c r="X58" i="14"/>
  <c r="X51" i="14"/>
  <c r="X71" i="14"/>
  <c r="X33" i="14"/>
  <c r="X53" i="14"/>
  <c r="X44" i="14"/>
  <c r="X20" i="14"/>
  <c r="X39" i="14"/>
  <c r="X21" i="14"/>
  <c r="X54" i="14"/>
  <c r="X47" i="14"/>
  <c r="X26" i="14"/>
  <c r="X15" i="14"/>
  <c r="X42" i="14"/>
  <c r="X66" i="14"/>
  <c r="X48" i="14"/>
  <c r="X13" i="14"/>
  <c r="X52" i="14"/>
  <c r="X69" i="14"/>
  <c r="X36" i="14"/>
  <c r="X28" i="14"/>
  <c r="X59" i="14"/>
  <c r="X32" i="14"/>
  <c r="X18" i="14"/>
  <c r="X63" i="14"/>
  <c r="X38" i="14"/>
  <c r="X12" i="14"/>
  <c r="X60" i="14"/>
  <c r="X68" i="14"/>
  <c r="X24" i="14"/>
  <c r="X67" i="14"/>
  <c r="X16" i="14"/>
  <c r="AH70" i="48"/>
  <c r="E31" i="2" s="1"/>
  <c r="AI70" i="48"/>
  <c r="E32" i="2" s="1"/>
  <c r="AE70" i="48"/>
  <c r="D33" i="2" s="1"/>
  <c r="D9" i="2" s="1"/>
  <c r="BO17" i="20" s="1"/>
  <c r="AJ70" i="48"/>
  <c r="E33" i="2" s="1"/>
  <c r="AC70" i="48"/>
  <c r="D31" i="2" s="1"/>
  <c r="D7" i="2" s="1"/>
  <c r="BO15" i="20" s="1"/>
  <c r="X31" i="14"/>
  <c r="X40" i="14"/>
  <c r="X17" i="14"/>
  <c r="X30" i="14"/>
  <c r="AD70" i="48"/>
  <c r="D32" i="2" s="1"/>
  <c r="D8" i="2" s="1"/>
  <c r="J35" i="11" s="1"/>
  <c r="J36" i="11" s="1"/>
  <c r="X14" i="14"/>
  <c r="X35" i="14"/>
  <c r="X57" i="14"/>
  <c r="X55" i="14"/>
  <c r="X37" i="14"/>
  <c r="X46" i="14"/>
  <c r="X62" i="14"/>
  <c r="X61" i="14"/>
  <c r="X19" i="14"/>
  <c r="X64" i="14"/>
  <c r="X23" i="14"/>
  <c r="X56" i="14"/>
  <c r="X70" i="14"/>
  <c r="X22" i="14"/>
  <c r="X27" i="14"/>
  <c r="X49" i="14"/>
  <c r="X25" i="14"/>
  <c r="X45" i="14"/>
  <c r="X50" i="14"/>
  <c r="X65" i="14"/>
  <c r="X65" i="6"/>
  <c r="N65" i="6" s="1"/>
  <c r="W70" i="6"/>
  <c r="V70" i="6"/>
  <c r="BL17" i="20" l="1"/>
  <c r="BL15" i="20"/>
  <c r="BO16" i="20"/>
  <c r="J37" i="11"/>
  <c r="J38" i="11" s="1"/>
  <c r="G14" i="14"/>
  <c r="D14" i="14" s="1"/>
  <c r="G9" i="14"/>
  <c r="C9" i="14" s="1"/>
  <c r="J33" i="11"/>
  <c r="J34" i="11" s="1"/>
  <c r="G16" i="14"/>
  <c r="C16" i="14" s="1"/>
  <c r="G17" i="14"/>
  <c r="D17" i="14" s="1"/>
  <c r="G10" i="14"/>
  <c r="D10" i="14" s="1"/>
  <c r="G11" i="14"/>
  <c r="B11" i="14" s="1"/>
  <c r="G15" i="14"/>
  <c r="G13" i="14"/>
  <c r="C13" i="14" s="1"/>
  <c r="G12" i="14"/>
  <c r="D12" i="14" s="1"/>
  <c r="G8" i="14"/>
  <c r="C8" i="14" s="1"/>
  <c r="X70" i="6"/>
  <c r="N70" i="6" s="1"/>
  <c r="Q46" i="6" s="1"/>
  <c r="BL16" i="20" l="1"/>
  <c r="Q66" i="6"/>
  <c r="C11" i="14"/>
  <c r="D11" i="14"/>
  <c r="D13" i="14"/>
  <c r="B10" i="14"/>
  <c r="D9" i="14"/>
  <c r="B9" i="14"/>
  <c r="B14" i="14"/>
  <c r="B17" i="14"/>
  <c r="C14" i="14"/>
  <c r="C17" i="14"/>
  <c r="C12" i="14"/>
  <c r="C15" i="14"/>
  <c r="D15" i="14"/>
  <c r="B15" i="14"/>
  <c r="D16" i="14"/>
  <c r="B16" i="14"/>
  <c r="C10" i="14"/>
  <c r="B12" i="14"/>
  <c r="B8" i="14"/>
  <c r="D8" i="14"/>
  <c r="B13" i="14"/>
  <c r="Q41" i="6"/>
  <c r="Q52" i="6"/>
  <c r="Q38" i="6"/>
  <c r="Q40" i="6"/>
  <c r="Q21" i="6"/>
  <c r="Q23" i="6"/>
  <c r="Q62" i="6"/>
  <c r="Q44" i="6"/>
  <c r="Q48" i="6"/>
  <c r="Q34" i="6"/>
  <c r="X74" i="6"/>
  <c r="Q49" i="6"/>
  <c r="Q56" i="6"/>
  <c r="Q42" i="6"/>
  <c r="Q39" i="6"/>
  <c r="Q54" i="6"/>
  <c r="Q65" i="6"/>
  <c r="Q37" i="6"/>
  <c r="Q50" i="6"/>
  <c r="N72" i="6"/>
  <c r="O68" i="6" s="1"/>
  <c r="Q24" i="6"/>
  <c r="Q25" i="6"/>
  <c r="Q57" i="6"/>
  <c r="Q14" i="6"/>
  <c r="Q70" i="6"/>
  <c r="Q47" i="6"/>
  <c r="Q12" i="6"/>
  <c r="Q67" i="6"/>
  <c r="Q45" i="6"/>
  <c r="Q64" i="6"/>
  <c r="Q59" i="6"/>
  <c r="Q43" i="6"/>
  <c r="Q33" i="6"/>
  <c r="Q30" i="6"/>
  <c r="Q32" i="6"/>
  <c r="Q15" i="6"/>
  <c r="Q55" i="6"/>
  <c r="Q28" i="6"/>
  <c r="Q13" i="6"/>
  <c r="Q53" i="6"/>
  <c r="Q26" i="6"/>
  <c r="Q16" i="6"/>
  <c r="Q60" i="6"/>
  <c r="Q11" i="6"/>
  <c r="R11" i="6" s="1"/>
  <c r="S11" i="6" s="1"/>
  <c r="Q22" i="6"/>
  <c r="Q69" i="6"/>
  <c r="Q31" i="6"/>
  <c r="Q63" i="6"/>
  <c r="Q20" i="6"/>
  <c r="Q68" i="6"/>
  <c r="Q29" i="6"/>
  <c r="Q61" i="6"/>
  <c r="Q18" i="6"/>
  <c r="Q35" i="6"/>
  <c r="Q51" i="6"/>
  <c r="Q19" i="6"/>
  <c r="Q27" i="6"/>
  <c r="Q36" i="6"/>
  <c r="Q58" i="6"/>
  <c r="Q17" i="6"/>
  <c r="O61" i="6" l="1"/>
  <c r="O64" i="6"/>
  <c r="O22" i="6"/>
  <c r="O37" i="6"/>
  <c r="O28" i="6"/>
  <c r="O56" i="6"/>
  <c r="O20" i="6"/>
  <c r="O42" i="6"/>
  <c r="O51" i="6"/>
  <c r="O33" i="6"/>
  <c r="O16" i="6"/>
  <c r="O30" i="6"/>
  <c r="O31" i="6"/>
  <c r="O59" i="6"/>
  <c r="O29" i="6"/>
  <c r="O25" i="6"/>
  <c r="O58" i="6"/>
  <c r="O50" i="6"/>
  <c r="O48" i="6"/>
  <c r="O47" i="6"/>
  <c r="O44" i="6"/>
  <c r="O43" i="6"/>
  <c r="O49" i="6"/>
  <c r="R13" i="6"/>
  <c r="S13" i="6" s="1"/>
  <c r="O26" i="6"/>
  <c r="O38" i="6"/>
  <c r="O21" i="6"/>
  <c r="O57" i="6"/>
  <c r="O53" i="6"/>
  <c r="O23" i="6"/>
  <c r="O65" i="6"/>
  <c r="O52" i="6"/>
  <c r="O70" i="6"/>
  <c r="O63" i="6"/>
  <c r="O69" i="6"/>
  <c r="O32" i="6"/>
  <c r="O18" i="6"/>
  <c r="O12" i="6"/>
  <c r="O67" i="6"/>
  <c r="O34" i="6"/>
  <c r="O41" i="6"/>
  <c r="O14" i="6"/>
  <c r="O55" i="6"/>
  <c r="O45" i="6"/>
  <c r="O40" i="6"/>
  <c r="O24" i="6"/>
  <c r="O36" i="6"/>
  <c r="O62" i="6"/>
  <c r="O39" i="6"/>
  <c r="O27" i="6"/>
  <c r="O46" i="6"/>
  <c r="O17" i="6"/>
  <c r="O35" i="6"/>
  <c r="O54" i="6"/>
  <c r="O11" i="6"/>
  <c r="O13" i="6"/>
  <c r="O15" i="6"/>
  <c r="R12" i="6"/>
  <c r="S12" i="6" s="1"/>
  <c r="O60" i="6"/>
  <c r="O19" i="6"/>
  <c r="O66" i="6"/>
  <c r="R61" i="6"/>
  <c r="S61" i="6" s="1"/>
  <c r="R14" i="6"/>
  <c r="S14" i="6" s="1"/>
  <c r="R27" i="6"/>
  <c r="S27" i="6" s="1"/>
  <c r="R31" i="6"/>
  <c r="S31" i="6" s="1"/>
  <c r="R16" i="6"/>
  <c r="S16" i="6" s="1"/>
  <c r="R54" i="6"/>
  <c r="S54" i="6" s="1"/>
  <c r="R57" i="6"/>
  <c r="S57" i="6" s="1"/>
  <c r="R15" i="6"/>
  <c r="S15" i="6" s="1"/>
  <c r="R30" i="6"/>
  <c r="S30" i="6" s="1"/>
  <c r="R60" i="6"/>
  <c r="S60" i="6" s="1"/>
  <c r="R38" i="6"/>
  <c r="S38" i="6" s="1"/>
  <c r="R37" i="6"/>
  <c r="S37" i="6" s="1"/>
  <c r="R70" i="6"/>
  <c r="S70" i="6" s="1"/>
  <c r="R43" i="6"/>
  <c r="S43" i="6" s="1"/>
  <c r="R44" i="6"/>
  <c r="S44" i="6" s="1"/>
  <c r="R36" i="6"/>
  <c r="S36" i="6" s="1"/>
  <c r="R62" i="6"/>
  <c r="S62" i="6" s="1"/>
  <c r="R35" i="6"/>
  <c r="S35" i="6" s="1"/>
  <c r="R19" i="6"/>
  <c r="S19" i="6" s="1"/>
  <c r="R53" i="6"/>
  <c r="S53" i="6" s="1"/>
  <c r="R39" i="6"/>
  <c r="S39" i="6" s="1"/>
  <c r="R67" i="6"/>
  <c r="S67" i="6" s="1"/>
  <c r="R41" i="6"/>
  <c r="S41" i="6" s="1"/>
  <c r="R50" i="6"/>
  <c r="S50" i="6" s="1"/>
  <c r="R48" i="6"/>
  <c r="S48" i="6" s="1"/>
  <c r="R66" i="6"/>
  <c r="S66" i="6" s="1"/>
  <c r="R63" i="6"/>
  <c r="S63" i="6" s="1"/>
  <c r="R55" i="6"/>
  <c r="S55" i="6" s="1"/>
  <c r="R69" i="6"/>
  <c r="S69" i="6" s="1"/>
  <c r="R17" i="6"/>
  <c r="S17" i="6" s="1"/>
  <c r="R21" i="6"/>
  <c r="S21" i="6" s="1"/>
  <c r="R20" i="6"/>
  <c r="S20" i="6" s="1"/>
  <c r="R51" i="6"/>
  <c r="S51" i="6" s="1"/>
  <c r="R28" i="6"/>
  <c r="S28" i="6" s="1"/>
  <c r="R59" i="6"/>
  <c r="S59" i="6" s="1"/>
  <c r="R45" i="6"/>
  <c r="S45" i="6" s="1"/>
  <c r="R52" i="6"/>
  <c r="S52" i="6" s="1"/>
  <c r="R18" i="6"/>
  <c r="S18" i="6" s="1"/>
  <c r="R32" i="6"/>
  <c r="S32" i="6" s="1"/>
  <c r="R47" i="6"/>
  <c r="S47" i="6" s="1"/>
  <c r="R24" i="6"/>
  <c r="S24" i="6" s="1"/>
  <c r="R46" i="6"/>
  <c r="S46" i="6" s="1"/>
  <c r="R33" i="6"/>
  <c r="S33" i="6" s="1"/>
  <c r="R68" i="6"/>
  <c r="S68" i="6" s="1"/>
  <c r="R65" i="6"/>
  <c r="S65" i="6" s="1"/>
  <c r="R25" i="6"/>
  <c r="S25" i="6" s="1"/>
  <c r="R64" i="6"/>
  <c r="S64" i="6" s="1"/>
  <c r="R29" i="6"/>
  <c r="S29" i="6" s="1"/>
  <c r="R58" i="6"/>
  <c r="S58" i="6" s="1"/>
  <c r="R23" i="6"/>
  <c r="S23" i="6" s="1"/>
  <c r="R26" i="6"/>
  <c r="S26" i="6" s="1"/>
  <c r="R40" i="6"/>
  <c r="S40" i="6" s="1"/>
  <c r="R34" i="6"/>
  <c r="S34" i="6" s="1"/>
  <c r="R42" i="6"/>
  <c r="S42" i="6" s="1"/>
  <c r="R56" i="6"/>
  <c r="S56" i="6" s="1"/>
  <c r="R49" i="6"/>
  <c r="S49" i="6" s="1"/>
  <c r="R22" i="6"/>
  <c r="S22" i="6" s="1"/>
  <c r="O72" i="6" l="1"/>
  <c r="T26" i="6"/>
  <c r="T38" i="6"/>
  <c r="T35" i="6"/>
  <c r="T42" i="6"/>
  <c r="T25" i="6"/>
  <c r="T21" i="6"/>
  <c r="T52" i="6"/>
  <c r="T50" i="6"/>
  <c r="T37" i="6"/>
  <c r="T12" i="6"/>
  <c r="T41" i="6"/>
  <c r="T17" i="6"/>
  <c r="T49" i="6"/>
  <c r="T40" i="6"/>
  <c r="T29" i="6"/>
  <c r="T68" i="6"/>
  <c r="T47" i="6"/>
  <c r="T45" i="6"/>
  <c r="T13" i="6"/>
  <c r="T55" i="6"/>
  <c r="T44" i="6"/>
  <c r="T34" i="6"/>
  <c r="T15" i="6"/>
  <c r="T22" i="6"/>
  <c r="T58" i="6"/>
  <c r="T65" i="6"/>
  <c r="T24" i="6"/>
  <c r="T51" i="6"/>
  <c r="T69" i="6"/>
  <c r="T48" i="6"/>
  <c r="T39" i="6"/>
  <c r="T14" i="6"/>
  <c r="T53" i="6"/>
  <c r="T70" i="6"/>
  <c r="T66" i="6"/>
  <c r="T59" i="6"/>
  <c r="T11" i="6"/>
  <c r="T56" i="6"/>
  <c r="T33" i="6"/>
  <c r="T61" i="6"/>
  <c r="T54" i="6"/>
  <c r="T46" i="6"/>
  <c r="T60" i="6"/>
  <c r="T67" i="6"/>
  <c r="T18" i="6"/>
  <c r="T31" i="6"/>
  <c r="T63" i="6"/>
  <c r="T36" i="6"/>
  <c r="T62" i="6"/>
  <c r="T28" i="6"/>
  <c r="T64" i="6"/>
  <c r="T57" i="6"/>
  <c r="T43" i="6"/>
  <c r="T30" i="6"/>
  <c r="T27" i="6"/>
  <c r="T32" i="6"/>
  <c r="T20" i="6"/>
  <c r="T19" i="6"/>
  <c r="T23" i="6"/>
  <c r="T16" i="6"/>
  <c r="J49" i="6" l="1"/>
  <c r="D49" i="6" s="1"/>
  <c r="J24" i="6"/>
  <c r="E24" i="6" s="1"/>
  <c r="J54" i="6"/>
  <c r="D54" i="6" s="1"/>
  <c r="J35" i="6"/>
  <c r="D35" i="6" s="1"/>
  <c r="J59" i="6"/>
  <c r="F59" i="6" s="1"/>
  <c r="J44" i="6"/>
  <c r="F44" i="6" s="1"/>
  <c r="J45" i="6"/>
  <c r="F45" i="6" s="1"/>
  <c r="J51" i="6"/>
  <c r="C51" i="6" s="1"/>
  <c r="J30" i="6"/>
  <c r="E30" i="6" s="1"/>
  <c r="J65" i="6"/>
  <c r="F65" i="6" s="1"/>
  <c r="J28" i="6"/>
  <c r="D28" i="6" s="1"/>
  <c r="J56" i="6"/>
  <c r="D56" i="6" s="1"/>
  <c r="J50" i="6"/>
  <c r="D50" i="6" s="1"/>
  <c r="J15" i="6"/>
  <c r="C15" i="6" s="1"/>
  <c r="J57" i="6"/>
  <c r="F57" i="6" s="1"/>
  <c r="J20" i="6"/>
  <c r="D20" i="6" s="1"/>
  <c r="J34" i="6"/>
  <c r="E34" i="6" s="1"/>
  <c r="J27" i="6"/>
  <c r="D27" i="6" s="1"/>
  <c r="J19" i="6"/>
  <c r="E19" i="6" s="1"/>
  <c r="J68" i="6"/>
  <c r="F68" i="6" s="1"/>
  <c r="J62" i="6"/>
  <c r="C62" i="6" s="1"/>
  <c r="J66" i="6"/>
  <c r="D66" i="6" s="1"/>
  <c r="J40" i="6"/>
  <c r="D40" i="6" s="1"/>
  <c r="J37" i="6"/>
  <c r="F37" i="6" s="1"/>
  <c r="J25" i="6"/>
  <c r="F25" i="6" s="1"/>
  <c r="J22" i="6"/>
  <c r="E22" i="6" s="1"/>
  <c r="J63" i="6"/>
  <c r="E63" i="6" s="1"/>
  <c r="J29" i="6"/>
  <c r="C29" i="6" s="1"/>
  <c r="J13" i="6"/>
  <c r="F13" i="6" s="1"/>
  <c r="J61" i="6"/>
  <c r="F61" i="6" s="1"/>
  <c r="J18" i="6"/>
  <c r="D18" i="6" s="1"/>
  <c r="J42" i="6"/>
  <c r="D42" i="6" s="1"/>
  <c r="J43" i="6"/>
  <c r="F43" i="6" s="1"/>
  <c r="J31" i="6"/>
  <c r="C31" i="6" s="1"/>
  <c r="J14" i="6"/>
  <c r="D14" i="6" s="1"/>
  <c r="J53" i="6"/>
  <c r="F53" i="6" s="1"/>
  <c r="J16" i="6"/>
  <c r="D16" i="6" s="1"/>
  <c r="J48" i="6"/>
  <c r="D48" i="6" s="1"/>
  <c r="J55" i="6"/>
  <c r="F55" i="6" s="1"/>
  <c r="J41" i="6"/>
  <c r="F41" i="6" s="1"/>
  <c r="J38" i="6"/>
  <c r="F38" i="6" s="1"/>
  <c r="J23" i="6"/>
  <c r="C23" i="6" s="1"/>
  <c r="J21" i="6"/>
  <c r="C21" i="6" s="1"/>
  <c r="J69" i="6"/>
  <c r="F69" i="6" s="1"/>
  <c r="J47" i="6"/>
  <c r="F47" i="6" s="1"/>
  <c r="J12" i="6"/>
  <c r="F12" i="6" s="1"/>
  <c r="J26" i="6"/>
  <c r="D26" i="6" s="1"/>
  <c r="J58" i="6"/>
  <c r="E58" i="6" s="1"/>
  <c r="J11" i="6"/>
  <c r="E11" i="6" s="1"/>
  <c r="J67" i="6"/>
  <c r="E67" i="6" s="1"/>
  <c r="J46" i="6"/>
  <c r="C46" i="6" s="1"/>
  <c r="J39" i="6"/>
  <c r="F39" i="6" s="1"/>
  <c r="J32" i="6"/>
  <c r="C32" i="6" s="1"/>
  <c r="J64" i="6"/>
  <c r="C64" i="6" s="1"/>
  <c r="J17" i="6"/>
  <c r="F17" i="6" s="1"/>
  <c r="J70" i="6"/>
  <c r="F70" i="6" s="1"/>
  <c r="J33" i="6"/>
  <c r="F33" i="6" s="1"/>
  <c r="J36" i="6"/>
  <c r="F36" i="6" s="1"/>
  <c r="J60" i="6"/>
  <c r="D60" i="6" s="1"/>
  <c r="J52" i="6"/>
  <c r="D52" i="6" s="1"/>
  <c r="E59" i="6"/>
  <c r="F50" i="6" l="1"/>
  <c r="D62" i="6"/>
  <c r="C49" i="6"/>
  <c r="E43" i="6"/>
  <c r="C13" i="6"/>
  <c r="C30" i="6"/>
  <c r="D47" i="6"/>
  <c r="C38" i="6"/>
  <c r="E49" i="6"/>
  <c r="F34" i="6"/>
  <c r="C50" i="6"/>
  <c r="F49" i="6"/>
  <c r="D15" i="6"/>
  <c r="C16" i="6"/>
  <c r="C19" i="6"/>
  <c r="D31" i="6"/>
  <c r="E13" i="6"/>
  <c r="D33" i="6"/>
  <c r="D65" i="6"/>
  <c r="E54" i="6"/>
  <c r="D58" i="6"/>
  <c r="F52" i="6"/>
  <c r="E42" i="6"/>
  <c r="C52" i="6"/>
  <c r="F54" i="6"/>
  <c r="E37" i="6"/>
  <c r="F56" i="6"/>
  <c r="C65" i="6"/>
  <c r="E53" i="6"/>
  <c r="C54" i="6"/>
  <c r="C35" i="6"/>
  <c r="D53" i="6"/>
  <c r="E56" i="6"/>
  <c r="E41" i="6"/>
  <c r="D70" i="6"/>
  <c r="D41" i="6"/>
  <c r="E39" i="6"/>
  <c r="D29" i="6"/>
  <c r="F29" i="6"/>
  <c r="D37" i="6"/>
  <c r="E35" i="6"/>
  <c r="C17" i="6"/>
  <c r="D51" i="6"/>
  <c r="C68" i="6"/>
  <c r="C39" i="6"/>
  <c r="F35" i="6"/>
  <c r="C37" i="6"/>
  <c r="C20" i="6"/>
  <c r="C53" i="6"/>
  <c r="C56" i="6"/>
  <c r="F15" i="6"/>
  <c r="D44" i="6"/>
  <c r="E44" i="6"/>
  <c r="D30" i="6"/>
  <c r="C59" i="6"/>
  <c r="F30" i="6"/>
  <c r="D38" i="6"/>
  <c r="D59" i="6"/>
  <c r="D24" i="6"/>
  <c r="E31" i="6"/>
  <c r="C48" i="6"/>
  <c r="F22" i="6"/>
  <c r="F27" i="6"/>
  <c r="C43" i="6"/>
  <c r="C11" i="6"/>
  <c r="C24" i="6"/>
  <c r="F24" i="6"/>
  <c r="C41" i="6"/>
  <c r="D43" i="6"/>
  <c r="E50" i="6"/>
  <c r="C47" i="6"/>
  <c r="E69" i="6"/>
  <c r="F62" i="6"/>
  <c r="E25" i="6"/>
  <c r="F66" i="6"/>
  <c r="D13" i="6"/>
  <c r="D25" i="6"/>
  <c r="E62" i="6"/>
  <c r="E29" i="6"/>
  <c r="E12" i="6"/>
  <c r="E65" i="6"/>
  <c r="E20" i="6"/>
  <c r="F20" i="6"/>
  <c r="C58" i="6"/>
  <c r="C70" i="6"/>
  <c r="C26" i="6"/>
  <c r="C22" i="6"/>
  <c r="F26" i="6"/>
  <c r="E15" i="6"/>
  <c r="E45" i="6"/>
  <c r="F19" i="6"/>
  <c r="C44" i="6"/>
  <c r="C57" i="6"/>
  <c r="C45" i="6"/>
  <c r="E18" i="6"/>
  <c r="C14" i="6"/>
  <c r="C36" i="6"/>
  <c r="D21" i="6"/>
  <c r="F21" i="6"/>
  <c r="E17" i="6"/>
  <c r="F60" i="6"/>
  <c r="F40" i="6"/>
  <c r="D55" i="6"/>
  <c r="F18" i="6"/>
  <c r="E57" i="6"/>
  <c r="C28" i="6"/>
  <c r="E28" i="6"/>
  <c r="C60" i="6"/>
  <c r="E60" i="6"/>
  <c r="E14" i="6"/>
  <c r="E16" i="6"/>
  <c r="F16" i="6"/>
  <c r="C25" i="6"/>
  <c r="D46" i="6"/>
  <c r="E32" i="6"/>
  <c r="C40" i="6"/>
  <c r="C34" i="6"/>
  <c r="D19" i="6"/>
  <c r="E61" i="6"/>
  <c r="D34" i="6"/>
  <c r="C12" i="6"/>
  <c r="F46" i="6"/>
  <c r="D32" i="6"/>
  <c r="E38" i="6"/>
  <c r="E46" i="6"/>
  <c r="F32" i="6"/>
  <c r="F51" i="6"/>
  <c r="E51" i="6"/>
  <c r="D57" i="6"/>
  <c r="D45" i="6"/>
  <c r="C55" i="6"/>
  <c r="E55" i="6"/>
  <c r="F14" i="6"/>
  <c r="D63" i="6"/>
  <c r="F63" i="6"/>
  <c r="F11" i="6"/>
  <c r="C18" i="6"/>
  <c r="E40" i="6"/>
  <c r="C63" i="6"/>
  <c r="E21" i="6"/>
  <c r="E33" i="6"/>
  <c r="E26" i="6"/>
  <c r="D11" i="6"/>
  <c r="F28" i="6"/>
  <c r="D17" i="6"/>
  <c r="E36" i="6"/>
  <c r="E48" i="6"/>
  <c r="D23" i="6"/>
  <c r="F42" i="6"/>
  <c r="D69" i="6"/>
  <c r="C42" i="6"/>
  <c r="F23" i="6"/>
  <c r="F67" i="6"/>
  <c r="C33" i="6"/>
  <c r="E68" i="6"/>
  <c r="F58" i="6"/>
  <c r="D22" i="6"/>
  <c r="C66" i="6"/>
  <c r="C69" i="6"/>
  <c r="D68" i="6"/>
  <c r="C27" i="6"/>
  <c r="D39" i="6"/>
  <c r="E52" i="6"/>
  <c r="C67" i="6"/>
  <c r="E47" i="6"/>
  <c r="F31" i="6"/>
  <c r="F48" i="6"/>
  <c r="E27" i="6"/>
  <c r="D64" i="6"/>
  <c r="C61" i="6"/>
  <c r="D36" i="6"/>
  <c r="D61" i="6"/>
  <c r="E23" i="6"/>
  <c r="E66" i="6"/>
  <c r="D12" i="6"/>
  <c r="E64" i="6"/>
  <c r="E70" i="6"/>
  <c r="F64" i="6"/>
  <c r="D67" i="6"/>
  <c r="E72" i="6" l="1"/>
  <c r="C100" i="4" s="1"/>
  <c r="B48" i="46"/>
  <c r="B49" i="46" s="1"/>
</calcChain>
</file>

<file path=xl/sharedStrings.xml><?xml version="1.0" encoding="utf-8"?>
<sst xmlns="http://schemas.openxmlformats.org/spreadsheetml/2006/main" count="3118" uniqueCount="717">
  <si>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</si>
  <si>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</si>
  <si>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</si>
  <si>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</si>
  <si>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</si>
  <si>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</si>
  <si>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</si>
  <si>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</si>
  <si>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</si>
  <si>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</si>
  <si>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</si>
  <si>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</si>
  <si>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</si>
  <si>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</si>
  <si>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</si>
  <si>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</si>
  <si>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</si>
  <si>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</si>
  <si>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</si>
  <si>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</si>
  <si>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</si>
  <si>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</si>
  <si>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</si>
  <si>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</si>
  <si>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</si>
  <si>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</si>
  <si>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</si>
  <si>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</si>
  <si>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</si>
  <si>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</si>
  <si>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</si>
  <si>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</si>
  <si>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</si>
  <si>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</si>
  <si>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</si>
  <si>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</si>
  <si>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</si>
  <si>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</si>
  <si>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</si>
  <si>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</si>
  <si>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</si>
  <si>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</si>
  <si>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</si>
  <si>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</si>
  <si>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</si>
  <si>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</si>
  <si>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</si>
  <si>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</si>
  <si>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</si>
  <si>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</si>
  <si>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</si>
  <si>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</si>
  <si>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</si>
  <si>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</si>
  <si>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</si>
  <si>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</si>
  <si>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</si>
  <si>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</si>
  <si>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</si>
  <si>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</si>
  <si>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</si>
  <si>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</si>
  <si>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</si>
  <si>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</si>
  <si>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</si>
  <si>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</si>
  <si>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</si>
  <si>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</si>
  <si>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</si>
  <si>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</si>
  <si>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</si>
  <si>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</si>
  <si>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</si>
  <si>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</si>
  <si>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</si>
  <si>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</si>
  <si>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</si>
  <si>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</si>
  <si>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</si>
  <si>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</si>
  <si>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</si>
  <si>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</si>
  <si>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</si>
  <si>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</si>
  <si>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</si>
  <si>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</si>
  <si>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</si>
  <si>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</si>
  <si>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</si>
  <si>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</si>
  <si>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</si>
  <si>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</si>
  <si>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</si>
  <si>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</si>
  <si>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</si>
  <si>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</si>
  <si>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</si>
  <si>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</si>
  <si>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</si>
  <si>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</si>
  <si>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</si>
  <si>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</si>
  <si>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</si>
  <si>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</si>
  <si>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</si>
  <si>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</si>
  <si>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</si>
  <si>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</si>
  <si>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</si>
  <si>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</si>
  <si>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</si>
  <si>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</si>
  <si>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</si>
  <si>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</si>
  <si>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</si>
  <si>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</si>
  <si>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</si>
  <si>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</si>
  <si>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</si>
  <si>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</si>
  <si>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</si>
  <si>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</si>
  <si>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</si>
  <si>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</si>
  <si>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</si>
  <si>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</si>
  <si>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</si>
  <si>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</si>
  <si>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</si>
  <si>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</si>
  <si>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</si>
  <si>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</si>
  <si>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</si>
  <si>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</si>
  <si>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</si>
  <si>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</si>
  <si>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</si>
  <si>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</si>
  <si>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</si>
  <si>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</si>
  <si>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</si>
  <si>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</si>
  <si>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</si>
  <si>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</si>
  <si>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</si>
  <si>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</si>
  <si>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</si>
  <si>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</si>
  <si>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</si>
  <si>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</si>
  <si>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</si>
  <si>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</si>
  <si>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</si>
  <si>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</si>
  <si>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</si>
  <si>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</si>
  <si>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</si>
  <si>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</si>
  <si>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</si>
  <si>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</si>
  <si>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</si>
  <si>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</si>
  <si>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</si>
  <si>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</si>
  <si>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</si>
  <si>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</si>
  <si>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</si>
  <si>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</si>
  <si>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</si>
  <si>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</si>
  <si>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</si>
  <si>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</si>
  <si>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</si>
  <si>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</si>
  <si>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</si>
  <si>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</si>
  <si>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</si>
  <si>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</si>
  <si>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</si>
  <si>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</si>
  <si>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</si>
  <si>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</si>
  <si>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</si>
  <si>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</si>
  <si>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</si>
  <si>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</si>
  <si>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</si>
  <si>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El Paso Electric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</si>
  <si>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</si>
  <si>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</si>
  <si>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</si>
  <si>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</si>
  <si>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</si>
  <si>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</si>
  <si>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</si>
  <si>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</si>
  <si>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</si>
  <si>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</si>
  <si>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</si>
  <si>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</si>
  <si>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</si>
  <si>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</si>
  <si>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</si>
  <si>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</si>
  <si>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</si>
  <si>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</si>
  <si>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</si>
  <si>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</si>
  <si>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</si>
  <si>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</si>
  <si>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</si>
  <si>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</si>
  <si>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</si>
  <si>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</si>
  <si>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</si>
  <si>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</si>
  <si>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</si>
  <si>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</si>
  <si>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</si>
  <si>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</si>
  <si>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</si>
  <si>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</si>
  <si>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</si>
  <si>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</si>
  <si>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</si>
  <si>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</si>
  <si>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</si>
  <si>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</si>
  <si>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</si>
  <si>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</si>
  <si>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</si>
  <si>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</si>
  <si>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</si>
  <si>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</si>
  <si>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</si>
  <si>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</si>
  <si>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</si>
  <si>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</si>
  <si>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</si>
  <si>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</si>
  <si>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</si>
  <si>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</si>
  <si>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</si>
  <si>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</si>
  <si>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</si>
  <si>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</si>
  <si>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</si>
  <si>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</si>
  <si>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</si>
  <si>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</si>
  <si>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</si>
  <si>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</si>
  <si>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</si>
  <si>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</si>
  <si>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</si>
  <si>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</si>
  <si>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</si>
  <si>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</si>
  <si>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</si>
  <si>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</si>
  <si>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</si>
  <si>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</si>
  <si>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</si>
  <si>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</si>
  <si>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</si>
  <si>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</si>
  <si>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</si>
  <si>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</si>
  <si>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</si>
  <si>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</si>
  <si>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</si>
  <si>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</si>
  <si>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</si>
  <si>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</si>
  <si>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</si>
  <si>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</si>
  <si>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</si>
  <si>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</si>
  <si>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</si>
  <si>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</si>
  <si>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</si>
  <si>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</si>
  <si>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</si>
  <si>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</si>
  <si>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</si>
  <si>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</si>
  <si>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</si>
  <si>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</si>
  <si>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</si>
  <si>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</si>
  <si>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</si>
  <si>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</si>
  <si>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</si>
  <si>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</si>
  <si>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</si>
  <si>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</si>
  <si>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</si>
  <si>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</si>
  <si>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</si>
  <si>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</si>
  <si>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</si>
  <si>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</si>
  <si>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</si>
  <si>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</si>
  <si>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</si>
  <si>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</si>
  <si>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</si>
  <si>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</si>
  <si>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</si>
  <si>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</si>
  <si>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</si>
  <si>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</si>
  <si>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</si>
  <si>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</si>
  <si>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</si>
  <si>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</si>
  <si>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</si>
  <si>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</si>
  <si>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</si>
  <si>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</si>
  <si>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</si>
  <si>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</si>
  <si>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</si>
  <si>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</si>
  <si>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</si>
  <si>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</si>
  <si>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</si>
  <si>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</si>
  <si>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</si>
  <si>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</si>
  <si>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</si>
  <si>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</si>
  <si>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</si>
  <si>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</si>
  <si>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</si>
  <si>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</si>
  <si>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</si>
  <si>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</si>
  <si>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</si>
  <si>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</si>
  <si>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</si>
  <si>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</si>
  <si>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</si>
  <si>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</si>
  <si>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</si>
  <si>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</si>
  <si>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</si>
  <si>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</si>
  <si>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</si>
  <si>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</si>
  <si>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</si>
  <si>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</si>
  <si>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</si>
  <si>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</si>
  <si>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</si>
  <si>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</si>
  <si>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</si>
  <si>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</si>
  <si>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</si>
  <si>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</si>
  <si>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</si>
  <si>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</si>
  <si>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</si>
  <si>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</si>
  <si>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</si>
  <si>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</si>
  <si>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</si>
  <si>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</si>
  <si>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</si>
  <si>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</si>
  <si>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</si>
  <si>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</si>
  <si>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</si>
  <si>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</si>
  <si>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</si>
  <si>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</si>
  <si>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</si>
  <si>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</si>
  <si>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</si>
  <si>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</si>
  <si>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</si>
  <si>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</si>
  <si>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</si>
  <si>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</si>
  <si>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</si>
  <si>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</si>
  <si>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</si>
  <si>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</si>
  <si>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</si>
  <si>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</si>
  <si>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</si>
  <si>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</si>
  <si>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</si>
  <si>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</si>
  <si>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</si>
  <si>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</si>
  <si>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</si>
  <si>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</si>
  <si>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</si>
  <si>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</si>
  <si>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</si>
  <si>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</si>
  <si>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</si>
  <si>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</si>
  <si>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</si>
  <si>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</si>
  <si>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</si>
  <si>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</si>
  <si>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</si>
  <si>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</si>
  <si>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</si>
  <si>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</si>
  <si>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</si>
  <si>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</si>
  <si>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</si>
  <si>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</si>
  <si>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</si>
  <si>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</si>
  <si>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</si>
  <si>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</si>
  <si>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</si>
  <si>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</si>
  <si>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</si>
  <si>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</si>
  <si>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</si>
  <si>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</si>
  <si>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</si>
  <si>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</si>
  <si>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</si>
  <si>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</si>
  <si>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</si>
  <si>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</si>
  <si>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</si>
  <si>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</si>
  <si>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</si>
  <si>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</si>
  <si>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</si>
  <si>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</si>
  <si>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</si>
  <si>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</si>
  <si>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</si>
  <si>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</si>
  <si>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</si>
  <si>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</si>
  <si>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</si>
  <si>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</si>
  <si>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</si>
  <si>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</si>
  <si>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</si>
  <si>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</si>
  <si>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</si>
  <si>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</si>
  <si>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</si>
  <si>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</si>
  <si>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</si>
  <si>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</si>
  <si>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</si>
  <si>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</si>
  <si>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</si>
  <si>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</si>
  <si>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</si>
  <si>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</si>
  <si>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</si>
  <si>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</si>
  <si>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</si>
  <si>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</si>
  <si>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</si>
  <si>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</si>
  <si>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</si>
  <si>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</si>
  <si>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</si>
  <si>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</si>
  <si>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</si>
  <si>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</si>
  <si>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</si>
  <si>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</si>
  <si>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</si>
  <si>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</si>
  <si>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</si>
  <si>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</si>
  <si>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</si>
  <si>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</si>
  <si>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</si>
  <si>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</si>
  <si>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</si>
  <si>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</si>
  <si>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</si>
  <si>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</si>
  <si>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</si>
  <si>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</si>
  <si>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</si>
  <si>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</si>
  <si>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</si>
  <si>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</si>
  <si>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</si>
  <si>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</si>
  <si>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</si>
  <si>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</si>
  <si>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</si>
  <si>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</si>
  <si>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</si>
  <si>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</si>
  <si>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</si>
  <si>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</si>
  <si>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</si>
  <si>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</si>
  <si>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</si>
  <si>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</si>
  <si>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</si>
  <si>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</si>
  <si>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</si>
  <si>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</si>
  <si>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</si>
  <si>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</si>
  <si>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</si>
  <si>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</si>
  <si>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</si>
  <si>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</si>
  <si>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</si>
  <si>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</si>
  <si>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</si>
  <si>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</si>
  <si>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</si>
  <si>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</si>
  <si>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</si>
  <si>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</si>
  <si>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</si>
  <si>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</si>
  <si>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</si>
  <si>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</si>
  <si>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</si>
  <si>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</si>
  <si>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</si>
  <si>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</si>
  <si>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</si>
  <si>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</si>
  <si>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</si>
  <si>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</si>
  <si>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</si>
  <si>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</si>
  <si>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</si>
  <si>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</si>
  <si>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</si>
  <si>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</si>
  <si>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</si>
  <si>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</si>
  <si>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</si>
  <si>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</si>
  <si>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</si>
  <si>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</si>
  <si>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</si>
  <si>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</si>
  <si>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</si>
  <si>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</si>
  <si>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</si>
  <si>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</si>
  <si>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</si>
  <si>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</si>
  <si>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</si>
  <si>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</si>
  <si>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</si>
  <si>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</si>
  <si>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</si>
  <si>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</si>
  <si>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</si>
  <si>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</si>
  <si>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</si>
  <si>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</si>
  <si>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</si>
  <si>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</si>
  <si>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</si>
  <si>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</si>
  <si>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</si>
  <si>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</si>
  <si>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</si>
  <si>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</si>
  <si>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</si>
  <si>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</si>
  <si>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</si>
  <si>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</si>
  <si>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</si>
  <si>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</si>
  <si>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</si>
  <si>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</si>
  <si>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</si>
  <si>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</si>
  <si>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</si>
  <si>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</si>
  <si>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</si>
  <si>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</si>
  <si>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</si>
  <si>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</si>
  <si>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</si>
  <si>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</si>
  <si>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</si>
  <si>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</si>
  <si>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</si>
  <si>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</si>
  <si>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</si>
  <si>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</si>
  <si>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</si>
  <si>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</si>
  <si>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</si>
  <si>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</si>
  <si>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</si>
  <si>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</si>
  <si>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</si>
  <si>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</si>
  <si>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</si>
  <si>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</si>
  <si>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</si>
  <si>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</si>
  <si>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</si>
  <si>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</si>
  <si>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</si>
  <si>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</si>
  <si>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</si>
  <si>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</si>
  <si>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</si>
  <si>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</si>
  <si>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</si>
  <si>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</si>
  <si>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</si>
  <si>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</si>
  <si>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</si>
  <si>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</si>
  <si>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</si>
  <si>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Amt. 15.2</t>
  </si>
  <si>
    <t>2015-Q2</t>
  </si>
  <si>
    <t>Amt. 15.3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</si>
  <si>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</si>
  <si>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</si>
  <si>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</si>
  <si>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</si>
  <si>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</si>
  <si>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</si>
  <si>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</si>
  <si>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</si>
  <si>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</si>
  <si>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Amt. 15.4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</si>
  <si>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</si>
  <si>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</si>
  <si>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</si>
  <si>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</si>
  <si>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</si>
  <si>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</si>
  <si>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Amt. 16.1</t>
  </si>
  <si>
    <t>2016-Q1</t>
  </si>
  <si>
    <t>Cleco Corporation *</t>
  </si>
  <si>
    <t>Amt. 16.2</t>
  </si>
  <si>
    <t>2016-Q2</t>
  </si>
  <si>
    <t>Quarterly: Manual entry from Agnew email</t>
  </si>
  <si>
    <t>WEC ENERGY GROUP INC</t>
  </si>
  <si>
    <t>Amt. 16.3</t>
  </si>
  <si>
    <t>2016-Q3</t>
  </si>
  <si>
    <t>Amt. 16.4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</si>
  <si>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</si>
  <si>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</si>
  <si>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</si>
  <si>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</si>
  <si>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</si>
  <si>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</si>
  <si>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</si>
  <si>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</si>
  <si>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</si>
  <si>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</si>
  <si>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</si>
  <si>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</si>
  <si>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</si>
  <si>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</si>
  <si>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</si>
  <si>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</si>
  <si>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</si>
  <si>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</si>
  <si>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</si>
  <si>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</si>
  <si>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</si>
  <si>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</si>
  <si>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</si>
  <si>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</si>
  <si>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</si>
  <si>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</si>
  <si>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</si>
  <si>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</si>
  <si>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</si>
  <si>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</si>
  <si>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Amt. 18.4</t>
  </si>
  <si>
    <t>2018-Q4</t>
  </si>
  <si>
    <t>Sr. Manager, Financial Analysis</t>
  </si>
  <si>
    <t/>
  </si>
  <si>
    <t>10 of 45</t>
  </si>
  <si>
    <t>35 of 45</t>
  </si>
  <si>
    <t>Amt. 19.1</t>
  </si>
  <si>
    <t>2014.4mc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</si>
  <si>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</si>
  <si>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</si>
  <si>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</si>
  <si>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</si>
  <si>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</si>
  <si>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</si>
  <si>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</si>
  <si>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</si>
  <si>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</si>
  <si>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</si>
  <si>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</si>
  <si>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As of 3/31/2020</t>
  </si>
  <si>
    <t>Periods ending 3/31/2020</t>
  </si>
  <si>
    <t>Period ending 3/31/2020</t>
  </si>
  <si>
    <t>Amt. 20.1</t>
  </si>
  <si>
    <t>mk cap wgt</t>
  </si>
  <si>
    <t>2020 Q1</t>
  </si>
  <si>
    <t>Based on assets as of 12/31/2019</t>
  </si>
  <si>
    <r>
      <t xml:space="preserve">Segment data based on assets at </t>
    </r>
    <r>
      <rPr>
        <b/>
        <sz val="10"/>
        <color indexed="17"/>
        <rFont val="Calibri"/>
        <family val="2"/>
      </rPr>
      <t>12/31/2019</t>
    </r>
  </si>
  <si>
    <t>2016 Q1 - Present</t>
  </si>
  <si>
    <t>2020YTD</t>
  </si>
  <si>
    <t>2020-Q1</t>
  </si>
  <si>
    <t>-Cumulative Return assumes $100 invested at closing prices on December 31, 2015.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</si>
</sst>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8" formatCode="0.0"/>
    <numFmt numFmtId="169" formatCode="[$-409]mmm\-yy;@"/>
    <numFmt numFmtId="170" formatCode="_(* #,##0.000_);_(* \(#,##0.000\);_(* &quot;-&quot;???_);_(@_)"/>
    <numFmt numFmtId="171" formatCode="_(* #,##0.00_);_(* \(#,##0.00\);_(* &quot;-&quot;???_);_(@_)"/>
    <numFmt numFmtId="172" formatCode="_(* #,##0.0_);_(* \(#,##0.0\);_(* &quot;-&quot;?_);_(@_)"/>
    <numFmt numFmtId="173" formatCode="0.0000_);[Red]\(0.0000\)"/>
    <numFmt numFmtId="174" formatCode="0.000000"/>
    <numFmt numFmtId="175" formatCode="0.0000"/>
    <numFmt numFmtId="176" formatCode="_(* #,##0.00000_);_(* \(#,##0.00000\);_(* &quot;-&quot;??_);_(@_)"/>
    <numFmt numFmtId="177" formatCode="0.000"/>
    <numFmt numFmtId="178" formatCode="_(* #,##0.0000_);_(* \(#,##0.0000\);_(* &quot;-&quot;??_);_(@_)"/>
    <numFmt numFmtId="180" formatCode="0.00000"/>
    <numFmt numFmtId="181" formatCode="0.0000000"/>
    <numFmt numFmtId="182" formatCode="0.00_);[Red]\(0.00\)"/>
    <numFmt numFmtId="183" formatCode="_(* #,##0_);_(* \(#,##0\);_(* &quot;-&quot;?_);_(@_)"/>
    <numFmt numFmtId="184" formatCode="m/d/yy;@"/>
    <numFmt numFmtId="185" formatCode="_(* #,##0.0_);_(* \(#,##0.0\);_(* &quot;-&quot;_);_(@_)"/>
    <numFmt numFmtId="186" formatCode="yyyy\-mmm"/>
    <numFmt numFmtId="187" formatCode="_(* #,##0.000_);_(* \(#,##0.000\);_(* &quot;-&quot;??_);_(@_)"/>
    <numFmt numFmtId="188" formatCode="#,##0.0_);\(#,##0.0\)"/>
    <numFmt numFmtId="189" formatCode="0.00000_);[Red]\(0.00000\)"/>
    <numFmt numFmtId="190" formatCode="_(* #,##0.0000000_);_(* \(#,##0.0000000\);_(* &quot;-&quot;??_);_(@_)"/>
    <numFmt numFmtId="191" formatCode="_(* #,##0.00000000_);_(* \(#,##0.00000000\);_(* &quot;-&quot;??_);_(@_)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</font>
    <font>
      <b/>
      <sz val="11"/>
      <color rgb="FF000000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0">
    <xf numFmtId="169" fontId="0" fillId="0" borderId="0"/>
    <xf numFmtId="43" fontId="2" fillId="0" borderId="0" applyFont="0" applyFill="0" applyBorder="0" applyAlignment="0" applyProtection="0"/>
    <xf numFmtId="169" fontId="16" fillId="0" borderId="0" applyNumberFormat="0" applyFill="0" applyBorder="0" applyAlignment="0" applyProtection="0">
      <alignment vertical="top"/>
      <protection locked="0"/>
    </xf>
    <xf numFmtId="169" fontId="5" fillId="0" borderId="0"/>
    <xf numFmtId="169" fontId="2" fillId="0" borderId="0"/>
    <xf numFmtId="169" fontId="15" fillId="0" borderId="0"/>
    <xf numFmtId="169" fontId="2" fillId="0" borderId="0"/>
    <xf numFmtId="9" fontId="2" fillId="0" borderId="0" applyFont="0" applyFill="0" applyBorder="0" applyAlignment="0" applyProtection="0"/>
    <xf numFmtId="0" fontId="2" fillId="0" borderId="0"/>
    <xf numFmtId="0" fontId="51" fillId="0" borderId="0"/>
    <xf numFmtId="0" fontId="61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9" fontId="2" fillId="0" borderId="0"/>
    <xf numFmtId="0" fontId="2" fillId="0" borderId="0"/>
    <xf numFmtId="43" fontId="1" fillId="0" borderId="0" applyFont="0" applyFill="0" applyBorder="0" applyAlignment="0" applyProtection="0"/>
    <xf numFmtId="16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</cellStyleXfs>
  <cellXfs count="897">
    <xf numFmtId="169" fontId="0" fillId="0" borderId="0" xfId="0"/>
    <xf numFmtId="169" fontId="0" fillId="0" borderId="0" xfId="0" applyBorder="1"/>
    <xf numFmtId="169" fontId="4" fillId="0" borderId="0" xfId="0" applyFont="1" applyBorder="1" applyAlignment="1">
      <alignment horizontal="center"/>
    </xf>
    <xf numFmtId="169" fontId="6" fillId="0" borderId="0" xfId="0" applyFont="1" applyFill="1" applyBorder="1"/>
    <xf numFmtId="169" fontId="8" fillId="0" borderId="0" xfId="0" applyFont="1" applyBorder="1"/>
    <xf numFmtId="169" fontId="10" fillId="0" borderId="0" xfId="0" applyFont="1" applyBorder="1"/>
    <xf numFmtId="169" fontId="11" fillId="0" borderId="0" xfId="0" applyFont="1" applyBorder="1"/>
    <xf numFmtId="169" fontId="7" fillId="0" borderId="0" xfId="0" applyFont="1"/>
    <xf numFmtId="2" fontId="7" fillId="0" borderId="0" xfId="0" applyNumberFormat="1" applyFont="1" applyBorder="1" applyAlignment="1">
      <alignment horizontal="right"/>
    </xf>
    <xf numFmtId="169" fontId="7" fillId="0" borderId="0" xfId="0" applyFont="1" applyBorder="1" applyAlignment="1">
      <alignment horizontal="left"/>
    </xf>
    <xf numFmtId="169" fontId="3" fillId="0" borderId="0" xfId="0" applyFont="1" applyBorder="1" applyAlignment="1">
      <alignment horizontal="center"/>
    </xf>
    <xf numFmtId="169" fontId="18" fillId="0" borderId="0" xfId="0" applyFont="1" applyBorder="1"/>
    <xf numFmtId="169" fontId="20" fillId="0" borderId="0" xfId="0" applyFont="1" applyBorder="1" applyAlignment="1">
      <alignment horizontal="center"/>
    </xf>
    <xf numFmtId="169" fontId="21" fillId="0" borderId="0" xfId="0" applyFont="1" applyBorder="1" applyAlignment="1">
      <alignment horizontal="left"/>
    </xf>
    <xf numFmtId="169" fontId="18" fillId="0" borderId="0" xfId="0" applyFont="1" applyBorder="1" applyAlignment="1">
      <alignment horizontal="left"/>
    </xf>
    <xf numFmtId="169" fontId="22" fillId="0" borderId="0" xfId="0" applyFont="1" applyFill="1" applyBorder="1" applyAlignment="1">
      <alignment horizontal="left"/>
    </xf>
    <xf numFmtId="169" fontId="18" fillId="0" borderId="0" xfId="0" applyFont="1" applyFill="1" applyBorder="1"/>
    <xf numFmtId="169" fontId="18" fillId="0" borderId="0" xfId="0" applyFont="1" applyFill="1"/>
    <xf numFmtId="169" fontId="18" fillId="0" borderId="0" xfId="0" applyFont="1"/>
    <xf numFmtId="2" fontId="18" fillId="0" borderId="0" xfId="0" applyNumberFormat="1" applyFont="1" applyBorder="1"/>
    <xf numFmtId="43" fontId="18" fillId="0" borderId="0" xfId="0" applyNumberFormat="1" applyFont="1" applyFill="1" applyBorder="1" applyAlignment="1">
      <alignment horizontal="center"/>
    </xf>
    <xf numFmtId="169" fontId="18" fillId="0" borderId="0" xfId="0" applyFont="1" applyBorder="1" applyAlignment="1">
      <alignment horizontal="center"/>
    </xf>
    <xf numFmtId="169" fontId="22" fillId="0" borderId="0" xfId="0" applyFont="1" applyBorder="1"/>
    <xf numFmtId="169" fontId="0" fillId="0" borderId="2" xfId="0" applyBorder="1"/>
    <xf numFmtId="43" fontId="18" fillId="0" borderId="0" xfId="0" applyNumberFormat="1" applyFont="1" applyBorder="1"/>
    <xf numFmtId="43" fontId="18" fillId="0" borderId="0" xfId="0" applyNumberFormat="1" applyFont="1" applyFill="1" applyBorder="1"/>
    <xf numFmtId="169" fontId="22" fillId="0" borderId="0" xfId="0" applyFont="1" applyFill="1" applyBorder="1"/>
    <xf numFmtId="169" fontId="22" fillId="0" borderId="0" xfId="0" applyFont="1" applyBorder="1" applyAlignment="1">
      <alignment horizontal="right"/>
    </xf>
    <xf numFmtId="169" fontId="22" fillId="0" borderId="0" xfId="0" applyFont="1" applyAlignment="1">
      <alignment horizontal="right"/>
    </xf>
    <xf numFmtId="169" fontId="22" fillId="0" borderId="0" xfId="0" applyFont="1"/>
    <xf numFmtId="169" fontId="22" fillId="0" borderId="0" xfId="0" applyFont="1" applyAlignment="1">
      <alignment horizontal="left"/>
    </xf>
    <xf numFmtId="169" fontId="25" fillId="0" borderId="0" xfId="0" applyFont="1"/>
    <xf numFmtId="165" fontId="18" fillId="0" borderId="0" xfId="7" applyNumberFormat="1" applyFont="1" applyFill="1" applyBorder="1"/>
    <xf numFmtId="169" fontId="29" fillId="0" borderId="0" xfId="0" applyFont="1" applyFill="1" applyBorder="1"/>
    <xf numFmtId="41" fontId="18" fillId="0" borderId="0" xfId="0" applyNumberFormat="1" applyFont="1" applyFill="1" applyBorder="1"/>
    <xf numFmtId="166" fontId="18" fillId="0" borderId="0" xfId="0" applyNumberFormat="1" applyFont="1" applyFill="1" applyBorder="1"/>
    <xf numFmtId="9" fontId="18" fillId="0" borderId="0" xfId="7" applyFont="1" applyFill="1" applyBorder="1"/>
    <xf numFmtId="164" fontId="18" fillId="0" borderId="0" xfId="0" applyNumberFormat="1" applyFont="1" applyFill="1" applyBorder="1"/>
    <xf numFmtId="169" fontId="30" fillId="0" borderId="0" xfId="0" applyFont="1" applyBorder="1"/>
    <xf numFmtId="14" fontId="21" fillId="0" borderId="0" xfId="0" applyNumberFormat="1" applyFont="1" applyBorder="1"/>
    <xf numFmtId="14" fontId="21" fillId="0" borderId="0" xfId="0" applyNumberFormat="1" applyFont="1" applyFill="1" applyBorder="1"/>
    <xf numFmtId="170" fontId="18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/>
    <xf numFmtId="169" fontId="18" fillId="0" borderId="0" xfId="0" applyFont="1" applyBorder="1" applyAlignment="1">
      <alignment horizontal="center"/>
    </xf>
    <xf numFmtId="169" fontId="23" fillId="0" borderId="2" xfId="0" applyFont="1" applyBorder="1"/>
    <xf numFmtId="169" fontId="9" fillId="0" borderId="2" xfId="0" applyFont="1" applyBorder="1"/>
    <xf numFmtId="169" fontId="31" fillId="0" borderId="0" xfId="2" applyFont="1" applyAlignment="1" applyProtection="1"/>
    <xf numFmtId="169" fontId="17" fillId="0" borderId="0" xfId="0" applyFont="1"/>
    <xf numFmtId="169" fontId="30" fillId="0" borderId="0" xfId="0" applyFont="1"/>
    <xf numFmtId="169" fontId="13" fillId="0" borderId="0" xfId="0" applyFont="1"/>
    <xf numFmtId="169" fontId="18" fillId="0" borderId="0" xfId="0" applyFont="1" applyBorder="1" applyAlignment="1">
      <alignment horizontal="centerContinuous"/>
    </xf>
    <xf numFmtId="169" fontId="20" fillId="0" borderId="0" xfId="0" applyFont="1" applyBorder="1"/>
    <xf numFmtId="169" fontId="18" fillId="0" borderId="0" xfId="0" applyFont="1" applyBorder="1" applyAlignment="1">
      <alignment horizontal="center"/>
    </xf>
    <xf numFmtId="169" fontId="8" fillId="0" borderId="0" xfId="0" applyFont="1" applyFill="1" applyBorder="1"/>
    <xf numFmtId="169" fontId="13" fillId="0" borderId="0" xfId="0" applyFont="1" applyFill="1"/>
    <xf numFmtId="169" fontId="18" fillId="0" borderId="0" xfId="6" applyFont="1"/>
    <xf numFmtId="169" fontId="32" fillId="0" borderId="0" xfId="6" applyFont="1"/>
    <xf numFmtId="43" fontId="22" fillId="0" borderId="0" xfId="0" applyNumberFormat="1" applyFont="1"/>
    <xf numFmtId="169" fontId="13" fillId="0" borderId="0" xfId="0" applyFont="1" applyBorder="1"/>
    <xf numFmtId="0" fontId="18" fillId="0" borderId="0" xfId="0" applyNumberFormat="1" applyFont="1" applyBorder="1"/>
    <xf numFmtId="169" fontId="34" fillId="0" borderId="0" xfId="0" applyFont="1" applyBorder="1"/>
    <xf numFmtId="169" fontId="24" fillId="0" borderId="0" xfId="0" applyFont="1" applyBorder="1" applyAlignment="1">
      <alignment horizontal="center"/>
    </xf>
    <xf numFmtId="0" fontId="17" fillId="0" borderId="0" xfId="0" applyNumberFormat="1" applyFont="1" applyFill="1" applyBorder="1" applyAlignment="1">
      <alignment horizontal="left"/>
    </xf>
    <xf numFmtId="0" fontId="21" fillId="0" borderId="0" xfId="0" applyNumberFormat="1" applyFont="1" applyBorder="1" applyAlignment="1">
      <alignment horizontal="center" wrapText="1"/>
    </xf>
    <xf numFmtId="169" fontId="21" fillId="0" borderId="0" xfId="0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169" fontId="24" fillId="0" borderId="0" xfId="0" applyFont="1" applyBorder="1" applyAlignment="1">
      <alignment horizontal="center" wrapText="1"/>
    </xf>
    <xf numFmtId="169" fontId="24" fillId="0" borderId="0" xfId="0" applyFont="1" applyBorder="1"/>
    <xf numFmtId="169" fontId="18" fillId="0" borderId="0" xfId="0" applyFont="1" applyBorder="1" applyAlignment="1"/>
    <xf numFmtId="169" fontId="20" fillId="0" borderId="0" xfId="0" applyFont="1" applyBorder="1" applyAlignment="1">
      <alignment horizontal="center" wrapText="1"/>
    </xf>
    <xf numFmtId="169" fontId="18" fillId="0" borderId="0" xfId="0" applyFont="1" applyAlignment="1">
      <alignment horizontal="left"/>
    </xf>
    <xf numFmtId="165" fontId="21" fillId="0" borderId="0" xfId="0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/>
    </xf>
    <xf numFmtId="165" fontId="21" fillId="0" borderId="0" xfId="7" applyNumberFormat="1" applyFont="1" applyFill="1" applyBorder="1"/>
    <xf numFmtId="10" fontId="18" fillId="0" borderId="0" xfId="0" applyNumberFormat="1" applyFont="1" applyBorder="1"/>
    <xf numFmtId="169" fontId="35" fillId="0" borderId="0" xfId="2" applyFont="1" applyBorder="1" applyAlignment="1" applyProtection="1"/>
    <xf numFmtId="0" fontId="18" fillId="0" borderId="0" xfId="0" applyNumberFormat="1" applyFont="1" applyFill="1" applyBorder="1" applyAlignment="1">
      <alignment horizontal="center"/>
    </xf>
    <xf numFmtId="169" fontId="3" fillId="0" borderId="0" xfId="0" applyFont="1" applyBorder="1" applyAlignment="1">
      <alignment horizontal="center"/>
    </xf>
    <xf numFmtId="169" fontId="0" fillId="0" borderId="0" xfId="0" applyBorder="1" applyAlignment="1">
      <alignment horizontal="right"/>
    </xf>
    <xf numFmtId="0" fontId="2" fillId="0" borderId="0" xfId="8"/>
    <xf numFmtId="0" fontId="2" fillId="0" borderId="0" xfId="8" applyFont="1" applyFill="1"/>
    <xf numFmtId="0" fontId="14" fillId="0" borderId="0" xfId="8" applyFont="1" applyFill="1" applyBorder="1"/>
    <xf numFmtId="0" fontId="14" fillId="0" borderId="0" xfId="8" applyFont="1"/>
    <xf numFmtId="0" fontId="14" fillId="0" borderId="0" xfId="8" applyFont="1" applyBorder="1"/>
    <xf numFmtId="0" fontId="14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3" fontId="0" fillId="0" borderId="0" xfId="0" applyNumberFormat="1" applyAlignment="1">
      <alignment horizontal="right"/>
    </xf>
    <xf numFmtId="0" fontId="2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1" fillId="0" borderId="0" xfId="8" applyFont="1"/>
    <xf numFmtId="0" fontId="41" fillId="0" borderId="0" xfId="8" quotePrefix="1" applyFont="1"/>
    <xf numFmtId="0" fontId="41" fillId="0" borderId="0" xfId="8" applyFont="1" applyFill="1"/>
    <xf numFmtId="169" fontId="21" fillId="0" borderId="0" xfId="0" applyFont="1" applyFill="1" applyBorder="1" applyAlignment="1">
      <alignment horizontal="right"/>
    </xf>
    <xf numFmtId="0" fontId="44" fillId="0" borderId="0" xfId="8" applyFont="1" applyFill="1"/>
    <xf numFmtId="10" fontId="2" fillId="0" borderId="0" xfId="8" applyNumberFormat="1"/>
    <xf numFmtId="169" fontId="45" fillId="0" borderId="0" xfId="2" applyFont="1" applyAlignment="1" applyProtection="1"/>
    <xf numFmtId="169" fontId="46" fillId="0" borderId="0" xfId="0" applyFont="1"/>
    <xf numFmtId="169" fontId="18" fillId="7" borderId="1" xfId="0" applyFont="1" applyFill="1" applyBorder="1" applyAlignment="1">
      <alignment horizontal="centerContinuous"/>
    </xf>
    <xf numFmtId="169" fontId="18" fillId="0" borderId="6" xfId="0" applyFont="1" applyBorder="1" applyAlignment="1">
      <alignment horizontal="left" indent="1"/>
    </xf>
    <xf numFmtId="169" fontId="18" fillId="0" borderId="6" xfId="0" applyFont="1" applyBorder="1"/>
    <xf numFmtId="169" fontId="18" fillId="0" borderId="4" xfId="0" applyFont="1" applyBorder="1"/>
    <xf numFmtId="10" fontId="18" fillId="0" borderId="9" xfId="7" applyNumberFormat="1" applyFont="1" applyBorder="1" applyAlignment="1">
      <alignment horizontal="right" vertical="top" indent="1"/>
    </xf>
    <xf numFmtId="10" fontId="18" fillId="0" borderId="8" xfId="7" applyNumberFormat="1" applyFont="1" applyBorder="1" applyAlignment="1">
      <alignment horizontal="right" vertical="top" indent="1"/>
    </xf>
    <xf numFmtId="169" fontId="18" fillId="0" borderId="8" xfId="0" applyFont="1" applyBorder="1" applyAlignment="1">
      <alignment horizontal="left" indent="1"/>
    </xf>
    <xf numFmtId="169" fontId="18" fillId="0" borderId="10" xfId="0" applyFont="1" applyBorder="1" applyAlignment="1">
      <alignment horizontal="left" indent="1"/>
    </xf>
    <xf numFmtId="169" fontId="18" fillId="0" borderId="11" xfId="0" applyFont="1" applyBorder="1" applyAlignment="1">
      <alignment horizontal="left" indent="1"/>
    </xf>
    <xf numFmtId="169" fontId="18" fillId="0" borderId="0" xfId="0" applyFont="1" applyBorder="1" applyAlignment="1">
      <alignment vertical="center"/>
    </xf>
    <xf numFmtId="169" fontId="17" fillId="0" borderId="0" xfId="0" applyFont="1" applyBorder="1" applyAlignment="1">
      <alignment vertical="center"/>
    </xf>
    <xf numFmtId="169" fontId="18" fillId="0" borderId="0" xfId="0" applyFont="1" applyFill="1" applyBorder="1" applyAlignment="1">
      <alignment vertical="center"/>
    </xf>
    <xf numFmtId="169" fontId="21" fillId="0" borderId="4" xfId="0" applyFont="1" applyFill="1" applyBorder="1" applyAlignment="1">
      <alignment horizontal="center" vertical="center" wrapText="1"/>
    </xf>
    <xf numFmtId="169" fontId="21" fillId="0" borderId="4" xfId="0" applyFont="1" applyFill="1" applyBorder="1" applyAlignment="1">
      <alignment horizontal="center" vertical="center"/>
    </xf>
    <xf numFmtId="165" fontId="18" fillId="0" borderId="0" xfId="0" applyNumberFormat="1" applyFont="1" applyBorder="1" applyAlignment="1">
      <alignment vertical="center"/>
    </xf>
    <xf numFmtId="169" fontId="21" fillId="0" borderId="0" xfId="0" applyFont="1" applyFill="1" applyBorder="1" applyAlignment="1">
      <alignment horizontal="center" vertical="center"/>
    </xf>
    <xf numFmtId="169" fontId="18" fillId="0" borderId="0" xfId="0" applyFont="1" applyBorder="1" applyAlignment="1">
      <alignment horizontal="center" vertical="center"/>
    </xf>
    <xf numFmtId="169" fontId="18" fillId="0" borderId="0" xfId="0" applyFont="1" applyFill="1" applyBorder="1" applyAlignment="1">
      <alignment horizontal="center" vertical="center"/>
    </xf>
    <xf numFmtId="169" fontId="18" fillId="0" borderId="10" xfId="0" applyFont="1" applyFill="1" applyBorder="1" applyAlignment="1">
      <alignment horizontal="center" vertical="center"/>
    </xf>
    <xf numFmtId="10" fontId="18" fillId="0" borderId="10" xfId="0" applyNumberFormat="1" applyFont="1" applyFill="1" applyBorder="1" applyAlignment="1">
      <alignment horizontal="right" vertical="center" indent="2"/>
    </xf>
    <xf numFmtId="169" fontId="18" fillId="0" borderId="8" xfId="0" applyFont="1" applyFill="1" applyBorder="1" applyAlignment="1">
      <alignment horizontal="center" vertical="center"/>
    </xf>
    <xf numFmtId="10" fontId="18" fillId="0" borderId="8" xfId="0" applyNumberFormat="1" applyFont="1" applyFill="1" applyBorder="1" applyAlignment="1">
      <alignment horizontal="right" vertical="center" indent="2"/>
    </xf>
    <xf numFmtId="169" fontId="18" fillId="0" borderId="11" xfId="0" applyFont="1" applyFill="1" applyBorder="1" applyAlignment="1">
      <alignment horizontal="center" vertical="center"/>
    </xf>
    <xf numFmtId="10" fontId="18" fillId="0" borderId="11" xfId="0" applyNumberFormat="1" applyFont="1" applyFill="1" applyBorder="1" applyAlignment="1">
      <alignment horizontal="right" vertical="center" indent="2"/>
    </xf>
    <xf numFmtId="169" fontId="18" fillId="0" borderId="10" xfId="0" applyFont="1" applyFill="1" applyBorder="1" applyAlignment="1">
      <alignment horizontal="left" vertical="center" indent="1"/>
    </xf>
    <xf numFmtId="169" fontId="18" fillId="0" borderId="8" xfId="0" applyFont="1" applyFill="1" applyBorder="1" applyAlignment="1">
      <alignment horizontal="left" vertical="center" indent="1"/>
    </xf>
    <xf numFmtId="169" fontId="18" fillId="0" borderId="11" xfId="0" applyFont="1" applyFill="1" applyBorder="1" applyAlignment="1">
      <alignment horizontal="left" vertical="center" indent="1"/>
    </xf>
    <xf numFmtId="169" fontId="21" fillId="0" borderId="4" xfId="0" applyFont="1" applyFill="1" applyBorder="1" applyAlignment="1">
      <alignment horizontal="left" vertical="center" indent="2"/>
    </xf>
    <xf numFmtId="41" fontId="18" fillId="0" borderId="10" xfId="0" applyNumberFormat="1" applyFont="1" applyFill="1" applyBorder="1" applyAlignment="1">
      <alignment horizontal="center"/>
    </xf>
    <xf numFmtId="169" fontId="18" fillId="0" borderId="10" xfId="0" applyFont="1" applyFill="1" applyBorder="1" applyAlignment="1">
      <alignment horizontal="right"/>
    </xf>
    <xf numFmtId="41" fontId="18" fillId="0" borderId="8" xfId="0" applyNumberFormat="1" applyFont="1" applyFill="1" applyBorder="1" applyAlignment="1">
      <alignment horizontal="center"/>
    </xf>
    <xf numFmtId="41" fontId="18" fillId="0" borderId="8" xfId="0" applyNumberFormat="1" applyFont="1" applyFill="1" applyBorder="1" applyAlignment="1">
      <alignment horizontal="center" wrapText="1"/>
    </xf>
    <xf numFmtId="41" fontId="18" fillId="0" borderId="11" xfId="0" applyNumberFormat="1" applyFont="1" applyFill="1" applyBorder="1" applyAlignment="1">
      <alignment horizontal="center"/>
    </xf>
    <xf numFmtId="185" fontId="18" fillId="0" borderId="10" xfId="1" applyNumberFormat="1" applyFont="1" applyFill="1" applyBorder="1"/>
    <xf numFmtId="185" fontId="18" fillId="0" borderId="8" xfId="1" applyNumberFormat="1" applyFont="1" applyFill="1" applyBorder="1"/>
    <xf numFmtId="14" fontId="21" fillId="0" borderId="4" xfId="0" applyNumberFormat="1" applyFont="1" applyFill="1" applyBorder="1"/>
    <xf numFmtId="169" fontId="18" fillId="0" borderId="10" xfId="0" applyFont="1" applyBorder="1"/>
    <xf numFmtId="169" fontId="18" fillId="0" borderId="8" xfId="0" applyFont="1" applyBorder="1"/>
    <xf numFmtId="169" fontId="18" fillId="0" borderId="11" xfId="0" applyFont="1" applyBorder="1"/>
    <xf numFmtId="43" fontId="49" fillId="0" borderId="10" xfId="0" applyNumberFormat="1" applyFont="1" applyFill="1" applyBorder="1"/>
    <xf numFmtId="43" fontId="18" fillId="0" borderId="10" xfId="0" applyNumberFormat="1" applyFont="1" applyFill="1" applyBorder="1"/>
    <xf numFmtId="0" fontId="52" fillId="9" borderId="0" xfId="9" applyFont="1" applyFill="1" applyBorder="1" applyAlignment="1" applyProtection="1">
      <alignment vertical="center"/>
    </xf>
    <xf numFmtId="0" fontId="54" fillId="9" borderId="0" xfId="9" applyFont="1" applyFill="1" applyBorder="1" applyAlignment="1" applyProtection="1">
      <alignment vertical="center"/>
    </xf>
    <xf numFmtId="0" fontId="57" fillId="9" borderId="12" xfId="9" applyFont="1" applyFill="1" applyBorder="1" applyAlignment="1" applyProtection="1">
      <alignment horizontal="left" vertical="center"/>
    </xf>
    <xf numFmtId="0" fontId="52" fillId="9" borderId="12" xfId="9" applyFont="1" applyFill="1" applyBorder="1" applyAlignment="1" applyProtection="1">
      <alignment vertical="center"/>
    </xf>
    <xf numFmtId="0" fontId="22" fillId="7" borderId="0" xfId="9" applyFont="1" applyFill="1" applyAlignment="1" applyProtection="1">
      <alignment vertical="center"/>
    </xf>
    <xf numFmtId="0" fontId="58" fillId="9" borderId="13" xfId="9" applyFont="1" applyFill="1" applyBorder="1" applyAlignment="1" applyProtection="1">
      <alignment vertical="center"/>
    </xf>
    <xf numFmtId="0" fontId="47" fillId="9" borderId="13" xfId="9" applyFont="1" applyFill="1" applyBorder="1" applyAlignment="1" applyProtection="1">
      <alignment vertical="center"/>
    </xf>
    <xf numFmtId="0" fontId="59" fillId="9" borderId="13" xfId="9" applyFont="1" applyFill="1" applyBorder="1" applyAlignment="1" applyProtection="1">
      <alignment horizontal="right" vertical="center"/>
    </xf>
    <xf numFmtId="0" fontId="52" fillId="7" borderId="0" xfId="9" applyFont="1" applyFill="1" applyAlignment="1" applyProtection="1">
      <alignment vertical="center"/>
    </xf>
    <xf numFmtId="0" fontId="60" fillId="7" borderId="0" xfId="9" applyFont="1" applyFill="1" applyAlignment="1" applyProtection="1">
      <alignment vertical="center"/>
    </xf>
    <xf numFmtId="0" fontId="62" fillId="7" borderId="0" xfId="10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30" fillId="7" borderId="0" xfId="9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18" fillId="7" borderId="0" xfId="9" applyFont="1" applyFill="1" applyAlignment="1" applyProtection="1">
      <alignment vertical="center"/>
    </xf>
    <xf numFmtId="0" fontId="65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9" fontId="69" fillId="0" borderId="0" xfId="0" applyNumberFormat="1" applyFont="1" applyBorder="1" applyAlignment="1">
      <alignment vertical="center"/>
    </xf>
    <xf numFmtId="169" fontId="48" fillId="0" borderId="0" xfId="0" applyFont="1" applyBorder="1"/>
    <xf numFmtId="169" fontId="69" fillId="0" borderId="0" xfId="0" applyFont="1" applyBorder="1"/>
    <xf numFmtId="169" fontId="69" fillId="0" borderId="0" xfId="0" applyFont="1" applyBorder="1" applyAlignment="1">
      <alignment vertical="center"/>
    </xf>
    <xf numFmtId="169" fontId="21" fillId="7" borderId="5" xfId="0" applyFont="1" applyFill="1" applyBorder="1"/>
    <xf numFmtId="43" fontId="43" fillId="0" borderId="10" xfId="0" applyNumberFormat="1" applyFont="1" applyFill="1" applyBorder="1"/>
    <xf numFmtId="43" fontId="43" fillId="0" borderId="8" xfId="0" applyNumberFormat="1" applyFont="1" applyFill="1" applyBorder="1"/>
    <xf numFmtId="43" fontId="43" fillId="0" borderId="11" xfId="0" applyNumberFormat="1" applyFont="1" applyFill="1" applyBorder="1"/>
    <xf numFmtId="169" fontId="48" fillId="0" borderId="0" xfId="0" applyNumberFormat="1" applyFont="1" applyBorder="1" applyAlignment="1">
      <alignment vertical="center"/>
    </xf>
    <xf numFmtId="169" fontId="71" fillId="0" borderId="4" xfId="0" applyFont="1" applyBorder="1" applyAlignment="1">
      <alignment horizontal="left" wrapText="1" indent="2"/>
    </xf>
    <xf numFmtId="169" fontId="18" fillId="7" borderId="5" xfId="0" applyFont="1" applyFill="1" applyBorder="1"/>
    <xf numFmtId="0" fontId="21" fillId="7" borderId="5" xfId="0" applyNumberFormat="1" applyFont="1" applyFill="1" applyBorder="1" applyAlignment="1">
      <alignment horizontal="right"/>
    </xf>
    <xf numFmtId="0" fontId="26" fillId="7" borderId="5" xfId="0" applyNumberFormat="1" applyFont="1" applyFill="1" applyBorder="1" applyAlignment="1">
      <alignment horizontal="right"/>
    </xf>
    <xf numFmtId="43" fontId="72" fillId="7" borderId="5" xfId="0" applyNumberFormat="1" applyFont="1" applyFill="1" applyBorder="1" applyAlignment="1">
      <alignment horizontal="right"/>
    </xf>
    <xf numFmtId="169" fontId="18" fillId="7" borderId="1" xfId="0" applyFont="1" applyFill="1" applyBorder="1"/>
    <xf numFmtId="169" fontId="21" fillId="7" borderId="1" xfId="0" applyFont="1" applyFill="1" applyBorder="1" applyAlignment="1">
      <alignment horizontal="left"/>
    </xf>
    <xf numFmtId="169" fontId="21" fillId="7" borderId="1" xfId="0" applyFont="1" applyFill="1" applyBorder="1" applyAlignment="1">
      <alignment horizontal="right"/>
    </xf>
    <xf numFmtId="169" fontId="26" fillId="7" borderId="1" xfId="0" applyFont="1" applyFill="1" applyBorder="1" applyAlignment="1">
      <alignment horizontal="right"/>
    </xf>
    <xf numFmtId="169" fontId="72" fillId="7" borderId="1" xfId="0" applyFont="1" applyFill="1" applyBorder="1"/>
    <xf numFmtId="169" fontId="18" fillId="0" borderId="8" xfId="0" applyFont="1" applyBorder="1" applyAlignment="1">
      <alignment horizontal="left"/>
    </xf>
    <xf numFmtId="43" fontId="72" fillId="0" borderId="8" xfId="0" applyNumberFormat="1" applyFont="1" applyFill="1" applyBorder="1"/>
    <xf numFmtId="169" fontId="18" fillId="0" borderId="0" xfId="0" applyFont="1" applyAlignment="1">
      <alignment horizontal="right"/>
    </xf>
    <xf numFmtId="169" fontId="18" fillId="0" borderId="0" xfId="0" applyFont="1" applyFill="1" applyAlignment="1">
      <alignment horizontal="right"/>
    </xf>
    <xf numFmtId="0" fontId="18" fillId="0" borderId="0" xfId="0" applyNumberFormat="1" applyFont="1" applyFill="1"/>
    <xf numFmtId="169" fontId="72" fillId="0" borderId="0" xfId="0" applyFont="1" applyFill="1"/>
    <xf numFmtId="169" fontId="18" fillId="7" borderId="5" xfId="0" applyFont="1" applyFill="1" applyBorder="1" applyAlignment="1">
      <alignment horizontal="left"/>
    </xf>
    <xf numFmtId="169" fontId="72" fillId="7" borderId="5" xfId="0" applyFont="1" applyFill="1" applyBorder="1"/>
    <xf numFmtId="0" fontId="21" fillId="7" borderId="1" xfId="0" applyNumberFormat="1" applyFont="1" applyFill="1" applyBorder="1" applyAlignment="1">
      <alignment horizontal="right"/>
    </xf>
    <xf numFmtId="14" fontId="43" fillId="0" borderId="9" xfId="0" applyNumberFormat="1" applyFont="1" applyBorder="1" applyAlignment="1">
      <alignment vertical="top"/>
    </xf>
    <xf numFmtId="2" fontId="43" fillId="0" borderId="9" xfId="0" applyNumberFormat="1" applyFont="1" applyBorder="1" applyAlignment="1">
      <alignment vertical="top"/>
    </xf>
    <xf numFmtId="2" fontId="43" fillId="0" borderId="8" xfId="0" applyNumberFormat="1" applyFont="1" applyBorder="1" applyAlignment="1">
      <alignment vertical="top"/>
    </xf>
    <xf numFmtId="2" fontId="43" fillId="0" borderId="8" xfId="0" applyNumberFormat="1" applyFont="1" applyBorder="1"/>
    <xf numFmtId="2" fontId="43" fillId="0" borderId="8" xfId="0" applyNumberFormat="1" applyFont="1" applyFill="1" applyBorder="1"/>
    <xf numFmtId="2" fontId="43" fillId="0" borderId="8" xfId="0" applyNumberFormat="1" applyFont="1" applyBorder="1" applyAlignment="1">
      <alignment horizontal="right" vertical="center"/>
    </xf>
    <xf numFmtId="169" fontId="18" fillId="11" borderId="4" xfId="0" applyFont="1" applyFill="1" applyBorder="1"/>
    <xf numFmtId="0" fontId="21" fillId="11" borderId="4" xfId="0" applyNumberFormat="1" applyFont="1" applyFill="1" applyBorder="1" applyAlignment="1">
      <alignment horizontal="right"/>
    </xf>
    <xf numFmtId="169" fontId="50" fillId="11" borderId="4" xfId="0" applyFont="1" applyFill="1" applyBorder="1" applyAlignment="1">
      <alignment horizontal="center"/>
    </xf>
    <xf numFmtId="169" fontId="50" fillId="11" borderId="4" xfId="0" applyFont="1" applyFill="1" applyBorder="1" applyAlignment="1">
      <alignment horizontal="right"/>
    </xf>
    <xf numFmtId="169" fontId="71" fillId="0" borderId="0" xfId="0" applyFont="1" applyBorder="1"/>
    <xf numFmtId="169" fontId="71" fillId="0" borderId="0" xfId="0" applyFont="1"/>
    <xf numFmtId="0" fontId="62" fillId="7" borderId="0" xfId="10" applyFont="1" applyFill="1" applyAlignment="1" applyProtection="1">
      <alignment vertical="center"/>
    </xf>
    <xf numFmtId="186" fontId="43" fillId="0" borderId="9" xfId="0" applyNumberFormat="1" applyFont="1" applyBorder="1" applyAlignment="1">
      <alignment horizontal="left" vertical="top"/>
    </xf>
    <xf numFmtId="186" fontId="43" fillId="0" borderId="8" xfId="0" applyNumberFormat="1" applyFont="1" applyBorder="1" applyAlignment="1">
      <alignment horizontal="left" vertical="top"/>
    </xf>
    <xf numFmtId="186" fontId="43" fillId="0" borderId="8" xfId="0" applyNumberFormat="1" applyFont="1" applyBorder="1" applyAlignment="1">
      <alignment horizontal="left"/>
    </xf>
    <xf numFmtId="186" fontId="43" fillId="0" borderId="8" xfId="0" applyNumberFormat="1" applyFont="1" applyFill="1" applyBorder="1" applyAlignment="1">
      <alignment horizontal="left" vertical="top"/>
    </xf>
    <xf numFmtId="186" fontId="43" fillId="0" borderId="8" xfId="0" applyNumberFormat="1" applyFont="1" applyBorder="1" applyAlignment="1">
      <alignment horizontal="left" vertical="center"/>
    </xf>
    <xf numFmtId="0" fontId="43" fillId="0" borderId="0" xfId="0" applyNumberFormat="1" applyFont="1" applyBorder="1" applyAlignment="1">
      <alignment horizontal="center" vertical="center"/>
    </xf>
    <xf numFmtId="0" fontId="73" fillId="7" borderId="0" xfId="9" applyFont="1" applyFill="1" applyAlignment="1" applyProtection="1">
      <alignment vertical="center"/>
    </xf>
    <xf numFmtId="0" fontId="74" fillId="7" borderId="0" xfId="10" applyFont="1" applyFill="1" applyAlignment="1" applyProtection="1">
      <alignment vertical="center"/>
    </xf>
    <xf numFmtId="169" fontId="75" fillId="0" borderId="0" xfId="0" applyFont="1" applyBorder="1"/>
    <xf numFmtId="169" fontId="22" fillId="0" borderId="0" xfId="0" quotePrefix="1" applyFont="1" applyBorder="1"/>
    <xf numFmtId="169" fontId="76" fillId="0" borderId="0" xfId="0" applyFont="1" applyBorder="1"/>
    <xf numFmtId="169" fontId="18" fillId="0" borderId="0" xfId="0" applyFont="1" applyBorder="1" applyAlignment="1">
      <alignment horizontal="right"/>
    </xf>
    <xf numFmtId="43" fontId="18" fillId="0" borderId="0" xfId="0" applyNumberFormat="1" applyFont="1"/>
    <xf numFmtId="0" fontId="77" fillId="0" borderId="0" xfId="0" applyNumberFormat="1" applyFont="1" applyBorder="1" applyAlignment="1">
      <alignment horizontal="right"/>
    </xf>
    <xf numFmtId="0" fontId="22" fillId="0" borderId="0" xfId="0" applyNumberFormat="1" applyFont="1"/>
    <xf numFmtId="169" fontId="19" fillId="0" borderId="0" xfId="0" applyFont="1"/>
    <xf numFmtId="169" fontId="19" fillId="0" borderId="0" xfId="0" applyFont="1" applyBorder="1"/>
    <xf numFmtId="43" fontId="19" fillId="0" borderId="0" xfId="0" applyNumberFormat="1" applyFont="1" applyFill="1" applyBorder="1"/>
    <xf numFmtId="0" fontId="18" fillId="0" borderId="0" xfId="19" applyFont="1" applyAlignment="1">
      <alignment vertical="center"/>
    </xf>
    <xf numFmtId="0" fontId="17" fillId="0" borderId="0" xfId="19" applyFont="1" applyBorder="1" applyAlignment="1">
      <alignment vertical="center"/>
    </xf>
    <xf numFmtId="0" fontId="18" fillId="0" borderId="0" xfId="19" applyFont="1" applyAlignment="1">
      <alignment horizontal="center" vertical="center"/>
    </xf>
    <xf numFmtId="0" fontId="17" fillId="0" borderId="0" xfId="19" applyFont="1" applyBorder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8" fillId="0" borderId="0" xfId="19" applyFont="1" applyBorder="1" applyAlignment="1">
      <alignment vertical="center"/>
    </xf>
    <xf numFmtId="0" fontId="18" fillId="12" borderId="5" xfId="19" applyFont="1" applyFill="1" applyBorder="1" applyAlignment="1">
      <alignment vertical="center"/>
    </xf>
    <xf numFmtId="0" fontId="21" fillId="12" borderId="5" xfId="19" applyFont="1" applyFill="1" applyBorder="1" applyAlignment="1">
      <alignment vertical="center"/>
    </xf>
    <xf numFmtId="0" fontId="21" fillId="12" borderId="5" xfId="19" applyFont="1" applyFill="1" applyBorder="1" applyAlignment="1">
      <alignment horizontal="center" vertical="center"/>
    </xf>
    <xf numFmtId="0" fontId="21" fillId="12" borderId="14" xfId="19" applyFont="1" applyFill="1" applyBorder="1" applyAlignment="1">
      <alignment horizontal="center" vertical="center" wrapText="1"/>
    </xf>
    <xf numFmtId="0" fontId="21" fillId="12" borderId="15" xfId="19" applyFont="1" applyFill="1" applyBorder="1" applyAlignment="1">
      <alignment horizontal="center" vertical="center" wrapText="1"/>
    </xf>
    <xf numFmtId="0" fontId="18" fillId="0" borderId="0" xfId="19" applyFont="1" applyFill="1" applyBorder="1" applyAlignment="1">
      <alignment vertical="center"/>
    </xf>
    <xf numFmtId="0" fontId="18" fillId="0" borderId="0" xfId="19" applyFont="1" applyFill="1" applyBorder="1" applyAlignment="1">
      <alignment horizontal="center" vertical="center"/>
    </xf>
    <xf numFmtId="4" fontId="18" fillId="0" borderId="16" xfId="19" applyNumberFormat="1" applyFont="1" applyBorder="1" applyAlignment="1">
      <alignment horizontal="center" vertical="center"/>
    </xf>
    <xf numFmtId="0" fontId="18" fillId="0" borderId="8" xfId="19" applyFont="1" applyBorder="1" applyAlignment="1">
      <alignment vertical="center"/>
    </xf>
    <xf numFmtId="0" fontId="18" fillId="0" borderId="8" xfId="19" applyFont="1" applyBorder="1" applyAlignment="1">
      <alignment horizontal="center" vertical="center"/>
    </xf>
    <xf numFmtId="0" fontId="18" fillId="0" borderId="8" xfId="19" applyFont="1" applyFill="1" applyBorder="1" applyAlignment="1">
      <alignment vertical="center"/>
    </xf>
    <xf numFmtId="4" fontId="18" fillId="0" borderId="17" xfId="19" applyNumberFormat="1" applyFont="1" applyBorder="1" applyAlignment="1">
      <alignment horizontal="center" vertical="center"/>
    </xf>
    <xf numFmtId="0" fontId="18" fillId="0" borderId="8" xfId="19" applyFont="1" applyFill="1" applyBorder="1" applyAlignment="1">
      <alignment horizontal="center" vertical="center"/>
    </xf>
    <xf numFmtId="0" fontId="43" fillId="0" borderId="8" xfId="19" applyFont="1" applyFill="1" applyBorder="1" applyAlignment="1">
      <alignment horizontal="center" vertical="center"/>
    </xf>
    <xf numFmtId="43" fontId="4" fillId="0" borderId="0" xfId="1" applyFont="1" applyFill="1"/>
    <xf numFmtId="0" fontId="21" fillId="0" borderId="0" xfId="19" applyFont="1" applyFill="1" applyAlignment="1">
      <alignment horizontal="center" vertical="center"/>
    </xf>
    <xf numFmtId="0" fontId="21" fillId="0" borderId="0" xfId="19" applyFont="1" applyFill="1" applyBorder="1" applyAlignment="1">
      <alignment vertical="center"/>
    </xf>
    <xf numFmtId="0" fontId="21" fillId="0" borderId="0" xfId="19" applyFont="1" applyFill="1" applyBorder="1" applyAlignment="1">
      <alignment horizontal="center" vertical="center"/>
    </xf>
    <xf numFmtId="0" fontId="21" fillId="0" borderId="0" xfId="19" applyFont="1" applyFill="1" applyBorder="1" applyAlignment="1">
      <alignment horizontal="center" vertical="center" wrapText="1"/>
    </xf>
    <xf numFmtId="0" fontId="21" fillId="0" borderId="0" xfId="19" applyFont="1" applyFill="1" applyAlignment="1">
      <alignment vertical="center"/>
    </xf>
    <xf numFmtId="0" fontId="21" fillId="0" borderId="18" xfId="19" applyFont="1" applyFill="1" applyBorder="1" applyAlignment="1">
      <alignment horizontal="right" vertical="center"/>
    </xf>
    <xf numFmtId="0" fontId="18" fillId="0" borderId="0" xfId="19" applyFont="1" applyFill="1" applyAlignment="1">
      <alignment horizontal="center" vertical="center"/>
    </xf>
    <xf numFmtId="0" fontId="18" fillId="0" borderId="0" xfId="19" applyFont="1" applyFill="1" applyAlignment="1">
      <alignment vertical="center"/>
    </xf>
    <xf numFmtId="0" fontId="18" fillId="0" borderId="0" xfId="19" applyFont="1" applyFill="1" applyBorder="1" applyAlignment="1">
      <alignment horizontal="right" vertical="center" indent="1"/>
    </xf>
    <xf numFmtId="0" fontId="18" fillId="0" borderId="18" xfId="19" applyFont="1" applyFill="1" applyBorder="1" applyAlignment="1">
      <alignment vertical="center"/>
    </xf>
    <xf numFmtId="0" fontId="18" fillId="0" borderId="8" xfId="19" applyFont="1" applyFill="1" applyBorder="1" applyAlignment="1">
      <alignment horizontal="left" vertical="center"/>
    </xf>
    <xf numFmtId="1" fontId="18" fillId="0" borderId="8" xfId="19" applyNumberFormat="1" applyFont="1" applyFill="1" applyBorder="1" applyAlignment="1">
      <alignment horizontal="right" vertical="center"/>
    </xf>
    <xf numFmtId="175" fontId="18" fillId="0" borderId="8" xfId="19" applyNumberFormat="1" applyFont="1" applyFill="1" applyBorder="1" applyAlignment="1">
      <alignment vertical="center"/>
    </xf>
    <xf numFmtId="0" fontId="19" fillId="0" borderId="19" xfId="19" applyFont="1" applyFill="1" applyBorder="1" applyAlignment="1">
      <alignment vertical="center"/>
    </xf>
    <xf numFmtId="0" fontId="18" fillId="0" borderId="0" xfId="19" applyFont="1" applyFill="1" applyBorder="1" applyAlignment="1">
      <alignment horizontal="left" vertical="center"/>
    </xf>
    <xf numFmtId="1" fontId="18" fillId="0" borderId="0" xfId="19" applyNumberFormat="1" applyFont="1" applyFill="1" applyBorder="1" applyAlignment="1">
      <alignment horizontal="right" vertical="center"/>
    </xf>
    <xf numFmtId="1" fontId="18" fillId="0" borderId="0" xfId="19" applyNumberFormat="1" applyFont="1" applyFill="1" applyBorder="1" applyAlignment="1">
      <alignment horizontal="left" vertical="center"/>
    </xf>
    <xf numFmtId="0" fontId="19" fillId="0" borderId="0" xfId="19" applyFont="1" applyFill="1" applyAlignment="1">
      <alignment horizontal="right" vertical="center"/>
    </xf>
    <xf numFmtId="0" fontId="21" fillId="0" borderId="0" xfId="19" applyFont="1" applyFill="1" applyAlignment="1">
      <alignment horizontal="right" vertical="center"/>
    </xf>
    <xf numFmtId="0" fontId="79" fillId="0" borderId="8" xfId="19" applyFont="1" applyFill="1" applyBorder="1" applyAlignment="1">
      <alignment horizontal="center" vertical="center"/>
    </xf>
    <xf numFmtId="0" fontId="43" fillId="0" borderId="8" xfId="19" applyFont="1" applyFill="1" applyBorder="1" applyAlignment="1">
      <alignment horizontal="left" vertical="center"/>
    </xf>
    <xf numFmtId="1" fontId="43" fillId="0" borderId="8" xfId="19" applyNumberFormat="1" applyFont="1" applyFill="1" applyBorder="1" applyAlignment="1">
      <alignment horizontal="right" vertical="center"/>
    </xf>
    <xf numFmtId="0" fontId="21" fillId="0" borderId="0" xfId="19" applyFont="1" applyFill="1" applyBorder="1" applyAlignment="1">
      <alignment horizontal="right" vertical="center" wrapText="1"/>
    </xf>
    <xf numFmtId="0" fontId="21" fillId="0" borderId="0" xfId="19" applyFont="1" applyFill="1" applyBorder="1" applyAlignment="1">
      <alignment horizontal="right" vertical="center"/>
    </xf>
    <xf numFmtId="0" fontId="18" fillId="0" borderId="0" xfId="19" applyFont="1" applyFill="1" applyBorder="1" applyAlignment="1">
      <alignment horizontal="right" vertical="center"/>
    </xf>
    <xf numFmtId="0" fontId="43" fillId="0" borderId="0" xfId="19" quotePrefix="1" applyFont="1" applyFill="1" applyBorder="1" applyAlignment="1">
      <alignment vertical="center"/>
    </xf>
    <xf numFmtId="0" fontId="43" fillId="0" borderId="0" xfId="19" applyFont="1" applyFill="1" applyBorder="1" applyAlignment="1">
      <alignment vertical="center"/>
    </xf>
    <xf numFmtId="0" fontId="80" fillId="0" borderId="0" xfId="19" applyFont="1" applyFill="1" applyBorder="1" applyAlignment="1">
      <alignment horizontal="center" vertical="center"/>
    </xf>
    <xf numFmtId="0" fontId="80" fillId="0" borderId="0" xfId="19" applyFont="1" applyFill="1" applyBorder="1" applyAlignment="1">
      <alignment vertical="center"/>
    </xf>
    <xf numFmtId="0" fontId="43" fillId="0" borderId="0" xfId="19" quotePrefix="1" applyFont="1" applyFill="1" applyAlignment="1">
      <alignment horizontal="right" vertical="center"/>
    </xf>
    <xf numFmtId="0" fontId="43" fillId="0" borderId="18" xfId="19" quotePrefix="1" applyFont="1" applyFill="1" applyBorder="1" applyAlignment="1">
      <alignment horizontal="right" vertical="center"/>
    </xf>
    <xf numFmtId="0" fontId="79" fillId="0" borderId="18" xfId="19" applyFont="1" applyFill="1" applyBorder="1" applyAlignment="1">
      <alignment vertical="center"/>
    </xf>
    <xf numFmtId="0" fontId="18" fillId="0" borderId="0" xfId="19" applyFont="1" applyFill="1" applyAlignment="1">
      <alignment horizontal="right" vertical="center"/>
    </xf>
    <xf numFmtId="0" fontId="43" fillId="0" borderId="0" xfId="19" applyFont="1" applyFill="1" applyBorder="1" applyAlignment="1">
      <alignment horizontal="right" vertical="center"/>
    </xf>
    <xf numFmtId="0" fontId="18" fillId="0" borderId="8" xfId="19" applyFont="1" applyFill="1" applyBorder="1" applyAlignment="1">
      <alignment horizontal="right" vertical="center"/>
    </xf>
    <xf numFmtId="3" fontId="18" fillId="0" borderId="8" xfId="19" applyNumberFormat="1" applyFont="1" applyFill="1" applyBorder="1" applyAlignment="1">
      <alignment vertical="center"/>
    </xf>
    <xf numFmtId="0" fontId="21" fillId="12" borderId="0" xfId="19" applyFont="1" applyFill="1" applyBorder="1" applyAlignment="1">
      <alignment vertical="center"/>
    </xf>
    <xf numFmtId="0" fontId="21" fillId="12" borderId="0" xfId="19" applyFont="1" applyFill="1" applyBorder="1" applyAlignment="1">
      <alignment horizontal="center" vertical="center"/>
    </xf>
    <xf numFmtId="0" fontId="21" fillId="12" borderId="18" xfId="19" applyFont="1" applyFill="1" applyBorder="1" applyAlignment="1">
      <alignment vertical="center"/>
    </xf>
    <xf numFmtId="0" fontId="18" fillId="12" borderId="18" xfId="19" applyFont="1" applyFill="1" applyBorder="1" applyAlignment="1">
      <alignment vertical="center"/>
    </xf>
    <xf numFmtId="0" fontId="21" fillId="12" borderId="5" xfId="19" applyFont="1" applyFill="1" applyBorder="1" applyAlignment="1">
      <alignment horizontal="center" vertical="center" wrapText="1"/>
    </xf>
    <xf numFmtId="0" fontId="21" fillId="12" borderId="5" xfId="19" applyFont="1" applyFill="1" applyBorder="1" applyAlignment="1">
      <alignment horizontal="right" vertical="center"/>
    </xf>
    <xf numFmtId="0" fontId="21" fillId="12" borderId="20" xfId="19" applyFont="1" applyFill="1" applyBorder="1" applyAlignment="1">
      <alignment horizontal="right" vertical="center"/>
    </xf>
    <xf numFmtId="0" fontId="21" fillId="12" borderId="0" xfId="19" applyFont="1" applyFill="1" applyBorder="1" applyAlignment="1">
      <alignment horizontal="right" vertical="center"/>
    </xf>
    <xf numFmtId="0" fontId="70" fillId="12" borderId="0" xfId="19" quotePrefix="1" applyFont="1" applyFill="1" applyBorder="1" applyAlignment="1">
      <alignment horizontal="right" vertical="center"/>
    </xf>
    <xf numFmtId="0" fontId="43" fillId="12" borderId="0" xfId="19" applyFont="1" applyFill="1" applyBorder="1" applyAlignment="1">
      <alignment horizontal="right" vertical="center"/>
    </xf>
    <xf numFmtId="0" fontId="21" fillId="12" borderId="4" xfId="19" applyFont="1" applyFill="1" applyBorder="1" applyAlignment="1">
      <alignment vertical="center"/>
    </xf>
    <xf numFmtId="0" fontId="21" fillId="12" borderId="4" xfId="19" applyFont="1" applyFill="1" applyBorder="1" applyAlignment="1">
      <alignment horizontal="center" vertical="center"/>
    </xf>
    <xf numFmtId="0" fontId="21" fillId="12" borderId="4" xfId="19" applyFont="1" applyFill="1" applyBorder="1" applyAlignment="1">
      <alignment horizontal="right" vertical="center" wrapText="1"/>
    </xf>
    <xf numFmtId="0" fontId="48" fillId="11" borderId="4" xfId="0" applyNumberFormat="1" applyFont="1" applyFill="1" applyBorder="1" applyAlignment="1">
      <alignment horizontal="center"/>
    </xf>
    <xf numFmtId="43" fontId="80" fillId="0" borderId="7" xfId="0" applyNumberFormat="1" applyFont="1" applyFill="1" applyBorder="1"/>
    <xf numFmtId="43" fontId="80" fillId="0" borderId="6" xfId="0" applyNumberFormat="1" applyFont="1" applyFill="1" applyBorder="1"/>
    <xf numFmtId="169" fontId="24" fillId="0" borderId="0" xfId="0" applyFont="1" applyBorder="1" applyAlignment="1">
      <alignment horizontal="center"/>
    </xf>
    <xf numFmtId="0" fontId="41" fillId="0" borderId="0" xfId="0" applyNumberFormat="1" applyFont="1" applyAlignment="1">
      <alignment horizontal="right"/>
    </xf>
    <xf numFmtId="173" fontId="41" fillId="0" borderId="0" xfId="0" applyNumberFormat="1" applyFont="1" applyAlignment="1">
      <alignment horizontal="right"/>
    </xf>
    <xf numFmtId="169" fontId="21" fillId="0" borderId="0" xfId="0" applyFont="1" applyFill="1" applyBorder="1"/>
    <xf numFmtId="169" fontId="18" fillId="0" borderId="0" xfId="0" applyFont="1" applyBorder="1" applyAlignment="1">
      <alignment horizontal="center"/>
    </xf>
    <xf numFmtId="169" fontId="21" fillId="0" borderId="6" xfId="0" applyFont="1" applyBorder="1" applyAlignment="1">
      <alignment horizontal="center"/>
    </xf>
    <xf numFmtId="169" fontId="21" fillId="0" borderId="6" xfId="0" applyFont="1" applyBorder="1" applyAlignment="1">
      <alignment horizontal="right"/>
    </xf>
    <xf numFmtId="169" fontId="21" fillId="0" borderId="6" xfId="0" applyFont="1" applyFill="1" applyBorder="1" applyAlignment="1">
      <alignment horizontal="right"/>
    </xf>
    <xf numFmtId="169" fontId="18" fillId="0" borderId="6" xfId="0" applyFont="1" applyFill="1" applyBorder="1"/>
    <xf numFmtId="0" fontId="18" fillId="0" borderId="6" xfId="0" applyNumberFormat="1" applyFont="1" applyBorder="1" applyAlignment="1">
      <alignment horizontal="center"/>
    </xf>
    <xf numFmtId="169" fontId="18" fillId="0" borderId="6" xfId="0" applyFont="1" applyBorder="1" applyAlignment="1">
      <alignment horizontal="center"/>
    </xf>
    <xf numFmtId="169" fontId="18" fillId="0" borderId="6" xfId="0" applyFont="1" applyBorder="1" applyAlignment="1">
      <alignment horizontal="right"/>
    </xf>
    <xf numFmtId="0" fontId="43" fillId="0" borderId="6" xfId="19" quotePrefix="1" applyFont="1" applyFill="1" applyBorder="1" applyAlignment="1">
      <alignment horizontal="right" vertical="center"/>
    </xf>
    <xf numFmtId="0" fontId="80" fillId="0" borderId="6" xfId="19" quotePrefix="1" applyFont="1" applyFill="1" applyBorder="1" applyAlignment="1">
      <alignment horizontal="right" vertical="center"/>
    </xf>
    <xf numFmtId="0" fontId="43" fillId="0" borderId="6" xfId="19" quotePrefix="1" applyFont="1" applyFill="1" applyBorder="1" applyAlignment="1">
      <alignment vertical="center"/>
    </xf>
    <xf numFmtId="0" fontId="80" fillId="0" borderId="6" xfId="19" applyFont="1" applyFill="1" applyBorder="1" applyAlignment="1">
      <alignment horizontal="center" vertical="center"/>
    </xf>
    <xf numFmtId="0" fontId="43" fillId="0" borderId="6" xfId="19" applyFont="1" applyFill="1" applyBorder="1" applyAlignment="1">
      <alignment vertical="center"/>
    </xf>
    <xf numFmtId="0" fontId="43" fillId="0" borderId="6" xfId="19" applyFont="1" applyFill="1" applyBorder="1" applyAlignment="1">
      <alignment horizontal="right" vertical="center"/>
    </xf>
    <xf numFmtId="0" fontId="18" fillId="0" borderId="6" xfId="0" applyNumberFormat="1" applyFont="1" applyFill="1" applyBorder="1" applyAlignment="1">
      <alignment horizontal="center"/>
    </xf>
    <xf numFmtId="10" fontId="18" fillId="0" borderId="6" xfId="7" applyNumberFormat="1" applyFont="1" applyFill="1" applyBorder="1" applyAlignment="1">
      <alignment horizontal="right"/>
    </xf>
    <xf numFmtId="0" fontId="18" fillId="0" borderId="6" xfId="0" applyNumberFormat="1" applyFont="1" applyBorder="1"/>
    <xf numFmtId="0" fontId="18" fillId="0" borderId="0" xfId="0" applyNumberFormat="1" applyFont="1" applyBorder="1" applyAlignment="1">
      <alignment horizontal="center" vertical="center"/>
    </xf>
    <xf numFmtId="169" fontId="18" fillId="0" borderId="0" xfId="0" applyFont="1" applyFill="1" applyBorder="1" applyAlignment="1">
      <alignment horizontal="right" vertical="center"/>
    </xf>
    <xf numFmtId="169" fontId="18" fillId="0" borderId="0" xfId="0" applyFont="1" applyBorder="1" applyAlignment="1">
      <alignment horizontal="right" vertical="center"/>
    </xf>
    <xf numFmtId="169" fontId="37" fillId="0" borderId="6" xfId="0" applyFont="1" applyBorder="1" applyAlignment="1">
      <alignment horizontal="center" vertical="center"/>
    </xf>
    <xf numFmtId="0" fontId="21" fillId="0" borderId="6" xfId="0" applyNumberFormat="1" applyFont="1" applyBorder="1" applyAlignment="1">
      <alignment horizontal="center" vertical="center"/>
    </xf>
    <xf numFmtId="0" fontId="70" fillId="0" borderId="6" xfId="0" applyNumberFormat="1" applyFont="1" applyFill="1" applyBorder="1" applyAlignment="1">
      <alignment horizontal="center" vertical="center"/>
    </xf>
    <xf numFmtId="0" fontId="70" fillId="0" borderId="6" xfId="0" applyNumberFormat="1" applyFont="1" applyFill="1" applyBorder="1" applyAlignment="1">
      <alignment horizontal="right" vertical="center"/>
    </xf>
    <xf numFmtId="169" fontId="21" fillId="0" borderId="6" xfId="0" applyFont="1" applyBorder="1" applyAlignment="1">
      <alignment vertical="center"/>
    </xf>
    <xf numFmtId="169" fontId="21" fillId="0" borderId="6" xfId="0" applyFont="1" applyBorder="1" applyAlignment="1">
      <alignment horizontal="center" vertical="center"/>
    </xf>
    <xf numFmtId="169" fontId="18" fillId="2" borderId="6" xfId="0" applyFont="1" applyFill="1" applyBorder="1" applyAlignment="1">
      <alignment horizontal="right" vertical="center"/>
    </xf>
    <xf numFmtId="169" fontId="18" fillId="0" borderId="6" xfId="0" applyFont="1" applyBorder="1" applyAlignment="1">
      <alignment horizontal="right" vertical="center"/>
    </xf>
    <xf numFmtId="173" fontId="21" fillId="0" borderId="6" xfId="0" applyNumberFormat="1" applyFont="1" applyBorder="1" applyAlignment="1">
      <alignment vertical="center"/>
    </xf>
    <xf numFmtId="169" fontId="21" fillId="0" borderId="6" xfId="0" applyFont="1" applyFill="1" applyBorder="1" applyAlignment="1">
      <alignment vertical="center"/>
    </xf>
    <xf numFmtId="169" fontId="21" fillId="0" borderId="6" xfId="0" applyFont="1" applyFill="1" applyBorder="1" applyAlignment="1">
      <alignment horizontal="right" vertical="center"/>
    </xf>
    <xf numFmtId="169" fontId="21" fillId="0" borderId="6" xfId="0" applyFont="1" applyBorder="1" applyAlignment="1">
      <alignment horizontal="right" vertical="center"/>
    </xf>
    <xf numFmtId="169" fontId="18" fillId="0" borderId="6" xfId="0" applyFont="1" applyFill="1" applyBorder="1" applyAlignment="1">
      <alignment vertical="center" wrapText="1"/>
    </xf>
    <xf numFmtId="0" fontId="18" fillId="0" borderId="6" xfId="0" applyNumberFormat="1" applyFont="1" applyBorder="1" applyAlignment="1">
      <alignment horizontal="center" vertical="center" wrapText="1"/>
    </xf>
    <xf numFmtId="169" fontId="18" fillId="0" borderId="6" xfId="0" applyFont="1" applyFill="1" applyBorder="1" applyAlignment="1">
      <alignment horizontal="right" vertical="center" wrapText="1"/>
    </xf>
    <xf numFmtId="169" fontId="18" fillId="0" borderId="6" xfId="0" applyFont="1" applyBorder="1" applyAlignment="1">
      <alignment vertical="center" wrapText="1"/>
    </xf>
    <xf numFmtId="169" fontId="18" fillId="0" borderId="6" xfId="0" applyFont="1" applyBorder="1" applyAlignment="1">
      <alignment vertical="center"/>
    </xf>
    <xf numFmtId="0" fontId="18" fillId="0" borderId="6" xfId="0" applyNumberFormat="1" applyFont="1" applyBorder="1" applyAlignment="1">
      <alignment horizontal="center" vertical="center"/>
    </xf>
    <xf numFmtId="169" fontId="18" fillId="0" borderId="6" xfId="0" applyFont="1" applyFill="1" applyBorder="1" applyAlignment="1">
      <alignment vertical="center"/>
    </xf>
    <xf numFmtId="169" fontId="18" fillId="0" borderId="6" xfId="0" applyFont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/>
    </xf>
    <xf numFmtId="0" fontId="80" fillId="0" borderId="6" xfId="0" applyNumberFormat="1" applyFont="1" applyFill="1" applyBorder="1" applyAlignment="1">
      <alignment horizontal="right" vertical="center"/>
    </xf>
    <xf numFmtId="0" fontId="21" fillId="0" borderId="6" xfId="0" applyNumberFormat="1" applyFont="1" applyFill="1" applyBorder="1" applyAlignment="1">
      <alignment horizontal="right" vertical="center"/>
    </xf>
    <xf numFmtId="169" fontId="20" fillId="0" borderId="6" xfId="0" applyFont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right" vertical="center"/>
    </xf>
    <xf numFmtId="171" fontId="18" fillId="0" borderId="6" xfId="1" applyNumberFormat="1" applyFont="1" applyBorder="1" applyAlignment="1">
      <alignment horizontal="center" vertical="center"/>
    </xf>
    <xf numFmtId="0" fontId="43" fillId="0" borderId="6" xfId="0" applyNumberFormat="1" applyFont="1" applyFill="1" applyBorder="1" applyAlignment="1">
      <alignment horizontal="center" vertical="center"/>
    </xf>
    <xf numFmtId="10" fontId="18" fillId="0" borderId="6" xfId="7" applyNumberFormat="1" applyFont="1" applyFill="1" applyBorder="1" applyAlignment="1">
      <alignment horizontal="right" vertical="center"/>
    </xf>
    <xf numFmtId="43" fontId="18" fillId="0" borderId="6" xfId="0" applyNumberFormat="1" applyFont="1" applyFill="1" applyBorder="1" applyAlignment="1">
      <alignment horizontal="right" vertical="center"/>
    </xf>
    <xf numFmtId="166" fontId="18" fillId="0" borderId="6" xfId="0" applyNumberFormat="1" applyFont="1" applyFill="1" applyBorder="1" applyAlignment="1">
      <alignment horizontal="right" vertical="center"/>
    </xf>
    <xf numFmtId="0" fontId="18" fillId="0" borderId="6" xfId="0" applyNumberFormat="1" applyFont="1" applyBorder="1" applyAlignment="1">
      <alignment vertical="center"/>
    </xf>
    <xf numFmtId="10" fontId="18" fillId="0" borderId="6" xfId="7" applyNumberFormat="1" applyFont="1" applyBorder="1" applyAlignment="1">
      <alignment horizontal="right" vertical="center"/>
    </xf>
    <xf numFmtId="4" fontId="18" fillId="0" borderId="6" xfId="1" applyNumberFormat="1" applyFont="1" applyFill="1" applyBorder="1" applyAlignment="1">
      <alignment horizontal="right" vertical="center"/>
    </xf>
    <xf numFmtId="4" fontId="18" fillId="0" borderId="6" xfId="0" applyNumberFormat="1" applyFont="1" applyBorder="1" applyAlignment="1">
      <alignment horizontal="right" vertical="center"/>
    </xf>
    <xf numFmtId="165" fontId="18" fillId="0" borderId="6" xfId="7" applyNumberFormat="1" applyFont="1" applyFill="1" applyBorder="1" applyAlignment="1">
      <alignment horizontal="right" vertical="center"/>
    </xf>
    <xf numFmtId="43" fontId="18" fillId="0" borderId="6" xfId="1" applyFont="1" applyBorder="1" applyAlignment="1">
      <alignment horizontal="center" vertical="center"/>
    </xf>
    <xf numFmtId="165" fontId="21" fillId="0" borderId="6" xfId="0" applyNumberFormat="1" applyFont="1" applyFill="1" applyBorder="1" applyAlignment="1">
      <alignment vertical="center"/>
    </xf>
    <xf numFmtId="9" fontId="21" fillId="0" borderId="6" xfId="0" applyNumberFormat="1" applyFont="1" applyFill="1" applyBorder="1" applyAlignment="1">
      <alignment vertical="center"/>
    </xf>
    <xf numFmtId="10" fontId="21" fillId="0" borderId="6" xfId="0" applyNumberFormat="1" applyFont="1" applyFill="1" applyBorder="1" applyAlignment="1">
      <alignment vertical="center"/>
    </xf>
    <xf numFmtId="173" fontId="18" fillId="0" borderId="6" xfId="0" applyNumberFormat="1" applyFont="1" applyFill="1" applyBorder="1" applyAlignment="1">
      <alignment horizontal="right" vertical="center"/>
    </xf>
    <xf numFmtId="169" fontId="33" fillId="0" borderId="6" xfId="0" applyFont="1" applyFill="1" applyBorder="1" applyAlignment="1">
      <alignment vertical="center"/>
    </xf>
    <xf numFmtId="173" fontId="18" fillId="0" borderId="6" xfId="0" applyNumberFormat="1" applyFont="1" applyBorder="1" applyAlignment="1">
      <alignment vertical="center"/>
    </xf>
    <xf numFmtId="169" fontId="18" fillId="0" borderId="6" xfId="0" applyFont="1" applyFill="1" applyBorder="1" applyAlignment="1">
      <alignment horizontal="right" vertical="center"/>
    </xf>
    <xf numFmtId="43" fontId="18" fillId="0" borderId="6" xfId="0" applyNumberFormat="1" applyFont="1" applyBorder="1" applyAlignment="1">
      <alignment horizontal="right" vertical="center"/>
    </xf>
    <xf numFmtId="4" fontId="21" fillId="0" borderId="6" xfId="1" applyNumberFormat="1" applyFont="1" applyFill="1" applyBorder="1" applyAlignment="1">
      <alignment horizontal="right" vertical="center"/>
    </xf>
    <xf numFmtId="169" fontId="80" fillId="0" borderId="6" xfId="0" applyFont="1" applyBorder="1" applyAlignment="1">
      <alignment vertical="center"/>
    </xf>
    <xf numFmtId="0" fontId="43" fillId="0" borderId="6" xfId="0" applyNumberFormat="1" applyFont="1" applyFill="1" applyBorder="1" applyAlignment="1">
      <alignment horizontal="right" vertical="center"/>
    </xf>
    <xf numFmtId="0" fontId="21" fillId="0" borderId="6" xfId="0" applyNumberFormat="1" applyFont="1" applyFill="1" applyBorder="1" applyAlignment="1">
      <alignment horizontal="center" vertical="center"/>
    </xf>
    <xf numFmtId="169" fontId="18" fillId="0" borderId="23" xfId="0" applyFont="1" applyBorder="1" applyAlignment="1">
      <alignment horizontal="right" vertical="center"/>
    </xf>
    <xf numFmtId="169" fontId="21" fillId="2" borderId="24" xfId="0" applyFont="1" applyFill="1" applyBorder="1" applyAlignment="1">
      <alignment horizontal="left" vertical="center"/>
    </xf>
    <xf numFmtId="169" fontId="21" fillId="0" borderId="24" xfId="0" applyFont="1" applyBorder="1" applyAlignment="1">
      <alignment horizontal="right" vertical="center"/>
    </xf>
    <xf numFmtId="169" fontId="18" fillId="0" borderId="24" xfId="0" applyFont="1" applyBorder="1" applyAlignment="1">
      <alignment vertical="center" wrapText="1"/>
    </xf>
    <xf numFmtId="169" fontId="18" fillId="0" borderId="24" xfId="0" applyFont="1" applyBorder="1" applyAlignment="1">
      <alignment vertical="center"/>
    </xf>
    <xf numFmtId="169" fontId="18" fillId="0" borderId="24" xfId="0" applyFont="1" applyBorder="1" applyAlignment="1">
      <alignment horizontal="right" vertical="center"/>
    </xf>
    <xf numFmtId="10" fontId="18" fillId="0" borderId="24" xfId="7" applyNumberFormat="1" applyFont="1" applyBorder="1" applyAlignment="1">
      <alignment horizontal="right" vertical="center"/>
    </xf>
    <xf numFmtId="43" fontId="18" fillId="0" borderId="24" xfId="0" applyNumberFormat="1" applyFont="1" applyBorder="1" applyAlignment="1">
      <alignment horizontal="right" vertical="center"/>
    </xf>
    <xf numFmtId="169" fontId="18" fillId="0" borderId="22" xfId="0" applyFont="1" applyBorder="1" applyAlignment="1">
      <alignment horizontal="right" vertical="center"/>
    </xf>
    <xf numFmtId="169" fontId="18" fillId="2" borderId="26" xfId="0" applyFont="1" applyFill="1" applyBorder="1" applyAlignment="1">
      <alignment horizontal="right" vertical="center"/>
    </xf>
    <xf numFmtId="169" fontId="21" fillId="0" borderId="26" xfId="0" applyFont="1" applyBorder="1" applyAlignment="1">
      <alignment horizontal="right" vertical="center"/>
    </xf>
    <xf numFmtId="169" fontId="18" fillId="0" borderId="26" xfId="0" applyFont="1" applyBorder="1" applyAlignment="1">
      <alignment vertical="center" wrapText="1"/>
    </xf>
    <xf numFmtId="169" fontId="18" fillId="0" borderId="26" xfId="0" applyFont="1" applyBorder="1" applyAlignment="1">
      <alignment vertical="center"/>
    </xf>
    <xf numFmtId="169" fontId="18" fillId="0" borderId="26" xfId="0" applyFont="1" applyBorder="1" applyAlignment="1">
      <alignment horizontal="right" vertical="center"/>
    </xf>
    <xf numFmtId="10" fontId="18" fillId="0" borderId="26" xfId="7" applyNumberFormat="1" applyFont="1" applyBorder="1" applyAlignment="1">
      <alignment horizontal="right" vertical="center"/>
    </xf>
    <xf numFmtId="43" fontId="18" fillId="0" borderId="26" xfId="0" applyNumberFormat="1" applyFont="1" applyBorder="1" applyAlignment="1">
      <alignment horizontal="right" vertical="center"/>
    </xf>
    <xf numFmtId="4" fontId="18" fillId="0" borderId="26" xfId="1" applyNumberFormat="1" applyFont="1" applyFill="1" applyBorder="1" applyAlignment="1">
      <alignment horizontal="right" vertical="center"/>
    </xf>
    <xf numFmtId="4" fontId="18" fillId="0" borderId="26" xfId="0" applyNumberFormat="1" applyFont="1" applyBorder="1" applyAlignment="1">
      <alignment horizontal="right" vertical="center"/>
    </xf>
    <xf numFmtId="165" fontId="18" fillId="0" borderId="26" xfId="7" applyNumberFormat="1" applyFont="1" applyFill="1" applyBorder="1" applyAlignment="1">
      <alignment horizontal="right" vertical="center"/>
    </xf>
    <xf numFmtId="4" fontId="21" fillId="0" borderId="26" xfId="1" applyNumberFormat="1" applyFont="1" applyFill="1" applyBorder="1" applyAlignment="1">
      <alignment horizontal="right" vertical="center"/>
    </xf>
    <xf numFmtId="165" fontId="18" fillId="0" borderId="24" xfId="7" applyNumberFormat="1" applyFont="1" applyFill="1" applyBorder="1" applyAlignment="1">
      <alignment horizontal="right" vertical="center"/>
    </xf>
    <xf numFmtId="4" fontId="18" fillId="0" borderId="24" xfId="0" applyNumberFormat="1" applyFont="1" applyBorder="1" applyAlignment="1">
      <alignment horizontal="right" vertical="center"/>
    </xf>
    <xf numFmtId="4" fontId="21" fillId="0" borderId="24" xfId="1" applyNumberFormat="1" applyFont="1" applyFill="1" applyBorder="1" applyAlignment="1">
      <alignment horizontal="right" vertical="center"/>
    </xf>
    <xf numFmtId="4" fontId="18" fillId="0" borderId="24" xfId="1" applyNumberFormat="1" applyFont="1" applyFill="1" applyBorder="1" applyAlignment="1">
      <alignment horizontal="right" vertical="center"/>
    </xf>
    <xf numFmtId="169" fontId="18" fillId="0" borderId="23" xfId="0" applyFont="1" applyBorder="1" applyAlignment="1">
      <alignment vertical="center"/>
    </xf>
    <xf numFmtId="169" fontId="18" fillId="0" borderId="22" xfId="0" applyFont="1" applyFill="1" applyBorder="1" applyAlignment="1">
      <alignment vertical="center"/>
    </xf>
    <xf numFmtId="169" fontId="21" fillId="0" borderId="24" xfId="0" applyFont="1" applyFill="1" applyBorder="1" applyAlignment="1">
      <alignment vertical="center"/>
    </xf>
    <xf numFmtId="169" fontId="21" fillId="0" borderId="26" xfId="0" applyFont="1" applyFill="1" applyBorder="1" applyAlignment="1">
      <alignment horizontal="right" vertical="center"/>
    </xf>
    <xf numFmtId="0" fontId="43" fillId="0" borderId="24" xfId="19" applyFont="1" applyFill="1" applyBorder="1" applyAlignment="1">
      <alignment vertical="center"/>
    </xf>
    <xf numFmtId="169" fontId="18" fillId="0" borderId="26" xfId="0" applyFont="1" applyFill="1" applyBorder="1" applyAlignment="1">
      <alignment vertical="center"/>
    </xf>
    <xf numFmtId="169" fontId="80" fillId="0" borderId="24" xfId="0" applyFont="1" applyBorder="1" applyAlignment="1">
      <alignment vertical="center"/>
    </xf>
    <xf numFmtId="0" fontId="80" fillId="0" borderId="24" xfId="0" applyNumberFormat="1" applyFont="1" applyFill="1" applyBorder="1" applyAlignment="1">
      <alignment vertical="center"/>
    </xf>
    <xf numFmtId="183" fontId="18" fillId="0" borderId="26" xfId="0" applyNumberFormat="1" applyFont="1" applyFill="1" applyBorder="1" applyAlignment="1">
      <alignment vertical="center"/>
    </xf>
    <xf numFmtId="169" fontId="18" fillId="0" borderId="23" xfId="0" applyFont="1" applyFill="1" applyBorder="1" applyAlignment="1">
      <alignment horizontal="right" vertical="center"/>
    </xf>
    <xf numFmtId="169" fontId="18" fillId="0" borderId="24" xfId="0" applyFont="1" applyFill="1" applyBorder="1" applyAlignment="1">
      <alignment horizontal="right" vertical="center" wrapText="1"/>
    </xf>
    <xf numFmtId="0" fontId="43" fillId="0" borderId="24" xfId="19" quotePrefix="1" applyFont="1" applyFill="1" applyBorder="1" applyAlignment="1">
      <alignment horizontal="right" vertical="center"/>
    </xf>
    <xf numFmtId="0" fontId="43" fillId="0" borderId="24" xfId="19" applyFont="1" applyFill="1" applyBorder="1" applyAlignment="1">
      <alignment horizontal="right" vertical="center"/>
    </xf>
    <xf numFmtId="0" fontId="80" fillId="0" borderId="24" xfId="0" applyNumberFormat="1" applyFont="1" applyFill="1" applyBorder="1" applyAlignment="1">
      <alignment horizontal="right" vertical="center"/>
    </xf>
    <xf numFmtId="0" fontId="18" fillId="0" borderId="24" xfId="0" applyNumberFormat="1" applyFont="1" applyFill="1" applyBorder="1" applyAlignment="1">
      <alignment horizontal="right" vertical="center"/>
    </xf>
    <xf numFmtId="169" fontId="18" fillId="0" borderId="24" xfId="0" applyFont="1" applyFill="1" applyBorder="1" applyAlignment="1">
      <alignment horizontal="right" vertical="center"/>
    </xf>
    <xf numFmtId="10" fontId="18" fillId="0" borderId="24" xfId="7" applyNumberFormat="1" applyFont="1" applyFill="1" applyBorder="1" applyAlignment="1">
      <alignment horizontal="right" vertical="center"/>
    </xf>
    <xf numFmtId="169" fontId="18" fillId="0" borderId="26" xfId="0" applyFont="1" applyBorder="1" applyAlignment="1">
      <alignment horizontal="right" vertical="center" wrapText="1"/>
    </xf>
    <xf numFmtId="0" fontId="80" fillId="0" borderId="26" xfId="19" quotePrefix="1" applyFont="1" applyFill="1" applyBorder="1" applyAlignment="1">
      <alignment horizontal="right" vertical="center"/>
    </xf>
    <xf numFmtId="0" fontId="43" fillId="0" borderId="26" xfId="19" applyFont="1" applyFill="1" applyBorder="1" applyAlignment="1">
      <alignment horizontal="right" vertical="center"/>
    </xf>
    <xf numFmtId="0" fontId="80" fillId="0" borderId="26" xfId="0" applyNumberFormat="1" applyFont="1" applyBorder="1" applyAlignment="1">
      <alignment horizontal="right" vertical="center"/>
    </xf>
    <xf numFmtId="174" fontId="18" fillId="0" borderId="26" xfId="0" applyNumberFormat="1" applyFont="1" applyBorder="1" applyAlignment="1">
      <alignment horizontal="right" vertical="center"/>
    </xf>
    <xf numFmtId="10" fontId="21" fillId="0" borderId="24" xfId="7" applyNumberFormat="1" applyFont="1" applyFill="1" applyBorder="1" applyAlignment="1">
      <alignment horizontal="right" vertical="center"/>
    </xf>
    <xf numFmtId="166" fontId="21" fillId="0" borderId="6" xfId="0" applyNumberFormat="1" applyFont="1" applyFill="1" applyBorder="1" applyAlignment="1">
      <alignment horizontal="right" vertical="center"/>
    </xf>
    <xf numFmtId="9" fontId="21" fillId="0" borderId="26" xfId="7" applyFont="1" applyBorder="1" applyAlignment="1">
      <alignment horizontal="right" vertical="center"/>
    </xf>
    <xf numFmtId="169" fontId="21" fillId="0" borderId="24" xfId="0" applyFont="1" applyBorder="1" applyAlignment="1">
      <alignment vertical="center"/>
    </xf>
    <xf numFmtId="183" fontId="21" fillId="0" borderId="26" xfId="0" applyNumberFormat="1" applyFont="1" applyFill="1" applyBorder="1" applyAlignment="1">
      <alignment vertical="center"/>
    </xf>
    <xf numFmtId="3" fontId="21" fillId="0" borderId="24" xfId="1" applyNumberFormat="1" applyFont="1" applyFill="1" applyBorder="1" applyAlignment="1">
      <alignment horizontal="right" vertical="center"/>
    </xf>
    <xf numFmtId="3" fontId="21" fillId="0" borderId="6" xfId="1" applyNumberFormat="1" applyFont="1" applyFill="1" applyBorder="1" applyAlignment="1">
      <alignment horizontal="right" vertical="center"/>
    </xf>
    <xf numFmtId="3" fontId="21" fillId="0" borderId="26" xfId="1" applyNumberFormat="1" applyFont="1" applyFill="1" applyBorder="1" applyAlignment="1">
      <alignment horizontal="right" vertical="center"/>
    </xf>
    <xf numFmtId="4" fontId="21" fillId="0" borderId="6" xfId="0" applyNumberFormat="1" applyFont="1" applyBorder="1" applyAlignment="1">
      <alignment horizontal="right" vertical="center"/>
    </xf>
    <xf numFmtId="169" fontId="21" fillId="0" borderId="24" xfId="0" applyFont="1" applyFill="1" applyBorder="1" applyAlignment="1">
      <alignment horizontal="right" vertical="center"/>
    </xf>
    <xf numFmtId="169" fontId="21" fillId="0" borderId="26" xfId="0" applyFont="1" applyFill="1" applyBorder="1" applyAlignment="1">
      <alignment vertical="center"/>
    </xf>
    <xf numFmtId="10" fontId="21" fillId="0" borderId="6" xfId="7" applyNumberFormat="1" applyFont="1" applyBorder="1" applyAlignment="1">
      <alignment horizontal="right" vertical="center"/>
    </xf>
    <xf numFmtId="10" fontId="21" fillId="0" borderId="26" xfId="7" applyNumberFormat="1" applyFont="1" applyBorder="1" applyAlignment="1">
      <alignment horizontal="right" vertical="center"/>
    </xf>
    <xf numFmtId="4" fontId="43" fillId="0" borderId="17" xfId="19" applyNumberFormat="1" applyFont="1" applyBorder="1" applyAlignment="1">
      <alignment horizontal="center" vertical="center"/>
    </xf>
    <xf numFmtId="0" fontId="43" fillId="0" borderId="8" xfId="19" applyFont="1" applyFill="1" applyBorder="1" applyAlignment="1">
      <alignment vertical="center"/>
    </xf>
    <xf numFmtId="0" fontId="43" fillId="0" borderId="8" xfId="19" applyFont="1" applyBorder="1" applyAlignment="1">
      <alignment horizontal="center" vertical="center"/>
    </xf>
    <xf numFmtId="0" fontId="21" fillId="0" borderId="25" xfId="19" applyFont="1" applyFill="1" applyBorder="1" applyAlignment="1">
      <alignment horizontal="center" vertical="center"/>
    </xf>
    <xf numFmtId="0" fontId="21" fillId="0" borderId="27" xfId="0" applyNumberFormat="1" applyFont="1" applyFill="1" applyBorder="1" applyAlignment="1">
      <alignment horizontal="center" vertical="center"/>
    </xf>
    <xf numFmtId="0" fontId="70" fillId="0" borderId="27" xfId="0" applyNumberFormat="1" applyFont="1" applyFill="1" applyBorder="1" applyAlignment="1">
      <alignment horizontal="center" vertical="center"/>
    </xf>
    <xf numFmtId="169" fontId="18" fillId="0" borderId="27" xfId="0" applyFont="1" applyFill="1" applyBorder="1" applyAlignment="1">
      <alignment vertical="center" wrapText="1"/>
    </xf>
    <xf numFmtId="169" fontId="18" fillId="0" borderId="27" xfId="0" applyFont="1" applyFill="1" applyBorder="1" applyAlignment="1">
      <alignment vertical="center"/>
    </xf>
    <xf numFmtId="0" fontId="80" fillId="0" borderId="27" xfId="19" applyFont="1" applyFill="1" applyBorder="1" applyAlignment="1">
      <alignment horizontal="center" vertical="center"/>
    </xf>
    <xf numFmtId="0" fontId="43" fillId="0" borderId="27" xfId="19" applyFont="1" applyFill="1" applyBorder="1" applyAlignment="1">
      <alignment vertical="center"/>
    </xf>
    <xf numFmtId="0" fontId="18" fillId="0" borderId="27" xfId="0" applyNumberFormat="1" applyFont="1" applyFill="1" applyBorder="1" applyAlignment="1">
      <alignment horizontal="center" vertical="center"/>
    </xf>
    <xf numFmtId="169" fontId="21" fillId="0" borderId="27" xfId="0" applyFont="1" applyFill="1" applyBorder="1" applyAlignment="1">
      <alignment vertical="center"/>
    </xf>
    <xf numFmtId="169" fontId="18" fillId="0" borderId="25" xfId="0" applyFont="1" applyFill="1" applyBorder="1" applyAlignment="1">
      <alignment vertical="center"/>
    </xf>
    <xf numFmtId="0" fontId="18" fillId="12" borderId="1" xfId="19" applyFont="1" applyFill="1" applyBorder="1" applyAlignment="1">
      <alignment horizontal="center" vertical="center" wrapText="1"/>
    </xf>
    <xf numFmtId="0" fontId="18" fillId="12" borderId="1" xfId="19" applyFont="1" applyFill="1" applyBorder="1" applyAlignment="1">
      <alignment vertical="center" wrapText="1"/>
    </xf>
    <xf numFmtId="0" fontId="18" fillId="12" borderId="1" xfId="19" applyFont="1" applyFill="1" applyBorder="1" applyAlignment="1">
      <alignment horizontal="right" vertical="center" wrapText="1"/>
    </xf>
    <xf numFmtId="0" fontId="21" fillId="12" borderId="1" xfId="19" applyFont="1" applyFill="1" applyBorder="1" applyAlignment="1">
      <alignment horizontal="right" vertical="center" wrapText="1"/>
    </xf>
    <xf numFmtId="0" fontId="18" fillId="12" borderId="21" xfId="19" applyFont="1" applyFill="1" applyBorder="1" applyAlignment="1">
      <alignment vertical="center" wrapText="1"/>
    </xf>
    <xf numFmtId="177" fontId="18" fillId="0" borderId="8" xfId="19" applyNumberFormat="1" applyFont="1" applyFill="1" applyBorder="1" applyAlignment="1">
      <alignment vertical="center"/>
    </xf>
    <xf numFmtId="2" fontId="18" fillId="0" borderId="6" xfId="7" applyNumberFormat="1" applyFont="1" applyFill="1" applyBorder="1" applyAlignment="1">
      <alignment horizontal="right" vertical="center"/>
    </xf>
    <xf numFmtId="165" fontId="18" fillId="0" borderId="6" xfId="7" applyNumberFormat="1" applyFont="1" applyFill="1" applyBorder="1" applyAlignment="1">
      <alignment horizontal="center" vertical="center"/>
    </xf>
    <xf numFmtId="0" fontId="18" fillId="0" borderId="17" xfId="19" applyNumberFormat="1" applyFont="1" applyBorder="1" applyAlignment="1">
      <alignment horizontal="center" vertical="center"/>
    </xf>
    <xf numFmtId="0" fontId="18" fillId="0" borderId="28" xfId="19" applyFont="1" applyBorder="1" applyAlignment="1">
      <alignment vertical="center"/>
    </xf>
    <xf numFmtId="0" fontId="18" fillId="0" borderId="28" xfId="19" applyFont="1" applyBorder="1" applyAlignment="1">
      <alignment horizontal="center" vertical="center"/>
    </xf>
    <xf numFmtId="0" fontId="18" fillId="0" borderId="28" xfId="19" applyFont="1" applyFill="1" applyBorder="1" applyAlignment="1">
      <alignment vertical="center"/>
    </xf>
    <xf numFmtId="0" fontId="18" fillId="0" borderId="28" xfId="19" applyFont="1" applyFill="1" applyBorder="1" applyAlignment="1">
      <alignment horizontal="center" vertical="center"/>
    </xf>
    <xf numFmtId="0" fontId="18" fillId="0" borderId="29" xfId="19" applyNumberFormat="1" applyFont="1" applyBorder="1" applyAlignment="1">
      <alignment horizontal="center" vertical="center"/>
    </xf>
    <xf numFmtId="0" fontId="18" fillId="0" borderId="9" xfId="19" applyFont="1" applyBorder="1" applyAlignment="1">
      <alignment vertical="center"/>
    </xf>
    <xf numFmtId="0" fontId="43" fillId="0" borderId="9" xfId="19" applyFont="1" applyBorder="1" applyAlignment="1">
      <alignment horizontal="center" vertical="center"/>
    </xf>
    <xf numFmtId="0" fontId="43" fillId="0" borderId="9" xfId="19" applyFont="1" applyFill="1" applyBorder="1" applyAlignment="1">
      <alignment vertical="center"/>
    </xf>
    <xf numFmtId="0" fontId="43" fillId="0" borderId="9" xfId="19" applyFont="1" applyFill="1" applyBorder="1" applyAlignment="1">
      <alignment horizontal="center" vertical="center"/>
    </xf>
    <xf numFmtId="4" fontId="43" fillId="0" borderId="30" xfId="19" applyNumberFormat="1" applyFont="1" applyBorder="1" applyAlignment="1">
      <alignment horizontal="center" vertical="center"/>
    </xf>
    <xf numFmtId="0" fontId="21" fillId="0" borderId="4" xfId="19" applyFont="1" applyBorder="1" applyAlignment="1">
      <alignment vertical="center"/>
    </xf>
    <xf numFmtId="0" fontId="21" fillId="0" borderId="4" xfId="19" applyFont="1" applyBorder="1" applyAlignment="1">
      <alignment horizontal="center" vertical="center"/>
    </xf>
    <xf numFmtId="0" fontId="21" fillId="0" borderId="4" xfId="19" applyFont="1" applyFill="1" applyBorder="1" applyAlignment="1">
      <alignment vertical="center"/>
    </xf>
    <xf numFmtId="0" fontId="21" fillId="0" borderId="4" xfId="19" applyFont="1" applyFill="1" applyBorder="1" applyAlignment="1">
      <alignment horizontal="center" vertical="center"/>
    </xf>
    <xf numFmtId="0" fontId="21" fillId="0" borderId="31" xfId="19" applyNumberFormat="1" applyFont="1" applyBorder="1" applyAlignment="1">
      <alignment horizontal="center" vertical="center"/>
    </xf>
    <xf numFmtId="0" fontId="18" fillId="0" borderId="10" xfId="19" applyFont="1" applyBorder="1" applyAlignment="1">
      <alignment vertical="center"/>
    </xf>
    <xf numFmtId="0" fontId="18" fillId="0" borderId="10" xfId="19" applyFont="1" applyBorder="1" applyAlignment="1">
      <alignment horizontal="center" vertical="center"/>
    </xf>
    <xf numFmtId="0" fontId="21" fillId="0" borderId="10" xfId="19" applyFont="1" applyFill="1" applyBorder="1" applyAlignment="1">
      <alignment vertical="center"/>
    </xf>
    <xf numFmtId="0" fontId="18" fillId="0" borderId="10" xfId="19" applyFont="1" applyFill="1" applyBorder="1" applyAlignment="1">
      <alignment horizontal="center" vertical="center"/>
    </xf>
    <xf numFmtId="0" fontId="18" fillId="0" borderId="32" xfId="19" applyNumberFormat="1" applyFont="1" applyBorder="1" applyAlignment="1">
      <alignment horizontal="center" vertical="center"/>
    </xf>
    <xf numFmtId="169" fontId="41" fillId="0" borderId="0" xfId="0" applyFont="1"/>
    <xf numFmtId="169" fontId="0" fillId="0" borderId="34" xfId="0" applyBorder="1"/>
    <xf numFmtId="169" fontId="0" fillId="0" borderId="25" xfId="0" applyBorder="1"/>
    <xf numFmtId="169" fontId="0" fillId="0" borderId="35" xfId="0" applyBorder="1"/>
    <xf numFmtId="169" fontId="21" fillId="0" borderId="0" xfId="0" applyFont="1" applyBorder="1" applyAlignment="1">
      <alignment horizontal="center" vertical="center"/>
    </xf>
    <xf numFmtId="169" fontId="21" fillId="0" borderId="6" xfId="0" applyFont="1" applyFill="1" applyBorder="1" applyAlignment="1">
      <alignment horizontal="center" vertical="center"/>
    </xf>
    <xf numFmtId="169" fontId="21" fillId="0" borderId="6" xfId="0" applyFont="1" applyFill="1" applyBorder="1" applyAlignment="1">
      <alignment horizontal="center" vertical="center" wrapText="1"/>
    </xf>
    <xf numFmtId="172" fontId="18" fillId="0" borderId="6" xfId="0" applyNumberFormat="1" applyFont="1" applyBorder="1" applyAlignment="1">
      <alignment vertical="center"/>
    </xf>
    <xf numFmtId="10" fontId="18" fillId="0" borderId="6" xfId="0" applyNumberFormat="1" applyFont="1" applyBorder="1" applyAlignment="1">
      <alignment vertical="center"/>
    </xf>
    <xf numFmtId="10" fontId="21" fillId="0" borderId="6" xfId="7" applyNumberFormat="1" applyFont="1" applyBorder="1" applyAlignment="1">
      <alignment vertical="center"/>
    </xf>
    <xf numFmtId="172" fontId="21" fillId="0" borderId="6" xfId="0" applyNumberFormat="1" applyFont="1" applyBorder="1" applyAlignment="1">
      <alignment vertical="center"/>
    </xf>
    <xf numFmtId="169" fontId="21" fillId="0" borderId="0" xfId="0" applyFont="1" applyFill="1" applyBorder="1" applyAlignment="1">
      <alignment horizontal="right" vertical="center"/>
    </xf>
    <xf numFmtId="169" fontId="18" fillId="0" borderId="8" xfId="0" applyFont="1" applyBorder="1" applyAlignment="1">
      <alignment horizontal="right"/>
    </xf>
    <xf numFmtId="169" fontId="0" fillId="0" borderId="33" xfId="0" applyBorder="1"/>
    <xf numFmtId="169" fontId="0" fillId="0" borderId="23" xfId="0" applyBorder="1"/>
    <xf numFmtId="169" fontId="21" fillId="0" borderId="24" xfId="0" applyFont="1" applyFill="1" applyBorder="1" applyAlignment="1">
      <alignment horizontal="center" vertical="center"/>
    </xf>
    <xf numFmtId="0" fontId="18" fillId="0" borderId="24" xfId="0" applyNumberFormat="1" applyFont="1" applyBorder="1" applyAlignment="1">
      <alignment horizontal="center" vertical="center"/>
    </xf>
    <xf numFmtId="0" fontId="43" fillId="0" borderId="24" xfId="0" applyNumberFormat="1" applyFont="1" applyBorder="1" applyAlignment="1">
      <alignment horizontal="center" vertical="center"/>
    </xf>
    <xf numFmtId="10" fontId="18" fillId="0" borderId="24" xfId="0" applyNumberFormat="1" applyFont="1" applyBorder="1" applyAlignment="1">
      <alignment vertical="center"/>
    </xf>
    <xf numFmtId="10" fontId="21" fillId="0" borderId="24" xfId="7" applyNumberFormat="1" applyFont="1" applyBorder="1" applyAlignment="1">
      <alignment vertical="center"/>
    </xf>
    <xf numFmtId="169" fontId="0" fillId="0" borderId="22" xfId="0" applyBorder="1"/>
    <xf numFmtId="173" fontId="18" fillId="0" borderId="24" xfId="0" applyNumberFormat="1" applyFont="1" applyFill="1" applyBorder="1" applyAlignment="1">
      <alignment horizontal="right" vertical="center"/>
    </xf>
    <xf numFmtId="169" fontId="18" fillId="0" borderId="22" xfId="0" applyFont="1" applyBorder="1" applyAlignment="1">
      <alignment vertical="center"/>
    </xf>
    <xf numFmtId="0" fontId="43" fillId="0" borderId="26" xfId="19" applyFont="1" applyFill="1" applyBorder="1" applyAlignment="1">
      <alignment vertical="center"/>
    </xf>
    <xf numFmtId="0" fontId="18" fillId="0" borderId="26" xfId="0" applyNumberFormat="1" applyFont="1" applyBorder="1" applyAlignment="1">
      <alignment vertical="center"/>
    </xf>
    <xf numFmtId="169" fontId="21" fillId="0" borderId="26" xfId="0" applyFont="1" applyBorder="1" applyAlignment="1">
      <alignment vertical="center"/>
    </xf>
    <xf numFmtId="0" fontId="18" fillId="0" borderId="24" xfId="0" applyNumberFormat="1" applyFont="1" applyBorder="1" applyAlignment="1">
      <alignment vertical="center"/>
    </xf>
    <xf numFmtId="0" fontId="18" fillId="0" borderId="24" xfId="0" applyNumberFormat="1" applyFont="1" applyFill="1" applyBorder="1" applyAlignment="1">
      <alignment horizontal="center" vertical="center"/>
    </xf>
    <xf numFmtId="0" fontId="80" fillId="0" borderId="26" xfId="0" applyNumberFormat="1" applyFont="1" applyFill="1" applyBorder="1" applyAlignment="1">
      <alignment vertical="center"/>
    </xf>
    <xf numFmtId="169" fontId="18" fillId="0" borderId="23" xfId="0" applyFont="1" applyBorder="1" applyAlignment="1">
      <alignment horizontal="center" vertical="center"/>
    </xf>
    <xf numFmtId="169" fontId="18" fillId="0" borderId="24" xfId="0" applyFont="1" applyBorder="1" applyAlignment="1">
      <alignment horizontal="center" vertical="center" wrapText="1"/>
    </xf>
    <xf numFmtId="169" fontId="18" fillId="0" borderId="24" xfId="0" applyFont="1" applyBorder="1" applyAlignment="1">
      <alignment horizontal="center" vertical="center"/>
    </xf>
    <xf numFmtId="0" fontId="43" fillId="0" borderId="24" xfId="19" applyFont="1" applyFill="1" applyBorder="1" applyAlignment="1">
      <alignment horizontal="center" vertical="center"/>
    </xf>
    <xf numFmtId="169" fontId="21" fillId="0" borderId="24" xfId="0" applyFont="1" applyBorder="1" applyAlignment="1">
      <alignment horizontal="center" vertical="center"/>
    </xf>
    <xf numFmtId="169" fontId="80" fillId="0" borderId="24" xfId="0" applyFont="1" applyBorder="1" applyAlignment="1">
      <alignment horizontal="left" vertical="center"/>
    </xf>
    <xf numFmtId="169" fontId="80" fillId="0" borderId="26" xfId="0" applyFont="1" applyBorder="1" applyAlignment="1">
      <alignment horizontal="right" vertical="center"/>
    </xf>
    <xf numFmtId="169" fontId="82" fillId="0" borderId="0" xfId="0" applyFont="1"/>
    <xf numFmtId="169" fontId="18" fillId="0" borderId="36" xfId="0" applyFont="1" applyBorder="1"/>
    <xf numFmtId="43" fontId="43" fillId="0" borderId="36" xfId="0" applyNumberFormat="1" applyFont="1" applyFill="1" applyBorder="1"/>
    <xf numFmtId="43" fontId="18" fillId="0" borderId="36" xfId="0" applyNumberFormat="1" applyFont="1" applyFill="1" applyBorder="1"/>
    <xf numFmtId="169" fontId="18" fillId="0" borderId="37" xfId="0" applyFont="1" applyBorder="1"/>
    <xf numFmtId="43" fontId="49" fillId="0" borderId="37" xfId="0" applyNumberFormat="1" applyFont="1" applyFill="1" applyBorder="1"/>
    <xf numFmtId="43" fontId="43" fillId="0" borderId="37" xfId="0" applyNumberFormat="1" applyFont="1" applyFill="1" applyBorder="1"/>
    <xf numFmtId="43" fontId="18" fillId="0" borderId="37" xfId="0" applyNumberFormat="1" applyFont="1" applyFill="1" applyBorder="1"/>
    <xf numFmtId="43" fontId="43" fillId="0" borderId="8" xfId="0" applyNumberFormat="1" applyFont="1" applyBorder="1" applyAlignment="1">
      <alignment horizontal="right"/>
    </xf>
    <xf numFmtId="43" fontId="43" fillId="0" borderId="8" xfId="0" applyNumberFormat="1" applyFont="1" applyFill="1" applyBorder="1" applyAlignment="1">
      <alignment horizontal="right"/>
    </xf>
    <xf numFmtId="169" fontId="18" fillId="0" borderId="38" xfId="0" applyFont="1" applyBorder="1"/>
    <xf numFmtId="43" fontId="18" fillId="0" borderId="38" xfId="0" applyNumberFormat="1" applyFont="1" applyFill="1" applyBorder="1"/>
    <xf numFmtId="169" fontId="18" fillId="0" borderId="39" xfId="0" applyFont="1" applyBorder="1"/>
    <xf numFmtId="43" fontId="49" fillId="0" borderId="39" xfId="0" applyNumberFormat="1" applyFont="1" applyFill="1" applyBorder="1"/>
    <xf numFmtId="43" fontId="18" fillId="0" borderId="39" xfId="0" applyNumberFormat="1" applyFont="1" applyFill="1" applyBorder="1"/>
    <xf numFmtId="169" fontId="18" fillId="0" borderId="40" xfId="0" applyFont="1" applyBorder="1"/>
    <xf numFmtId="43" fontId="49" fillId="0" borderId="40" xfId="0" applyNumberFormat="1" applyFont="1" applyFill="1" applyBorder="1"/>
    <xf numFmtId="43" fontId="18" fillId="0" borderId="40" xfId="0" applyNumberFormat="1" applyFont="1" applyFill="1" applyBorder="1"/>
    <xf numFmtId="169" fontId="18" fillId="0" borderId="41" xfId="0" applyFont="1" applyBorder="1"/>
    <xf numFmtId="43" fontId="18" fillId="0" borderId="41" xfId="0" applyNumberFormat="1" applyFont="1" applyFill="1" applyBorder="1"/>
    <xf numFmtId="169" fontId="18" fillId="0" borderId="41" xfId="0" applyFont="1" applyBorder="1" applyAlignment="1">
      <alignment horizontal="left" indent="1"/>
    </xf>
    <xf numFmtId="9" fontId="18" fillId="0" borderId="8" xfId="7" applyFont="1" applyBorder="1" applyAlignment="1">
      <alignment horizontal="right"/>
    </xf>
    <xf numFmtId="169" fontId="18" fillId="0" borderId="11" xfId="0" applyFont="1" applyBorder="1" applyAlignment="1">
      <alignment horizontal="right"/>
    </xf>
    <xf numFmtId="2" fontId="18" fillId="0" borderId="8" xfId="1" applyNumberFormat="1" applyFont="1" applyFill="1" applyBorder="1" applyAlignment="1">
      <alignment horizontal="right" indent="2"/>
    </xf>
    <xf numFmtId="2" fontId="18" fillId="0" borderId="8" xfId="1" applyNumberFormat="1" applyFont="1" applyFill="1" applyBorder="1" applyAlignment="1">
      <alignment horizontal="right" indent="3"/>
    </xf>
    <xf numFmtId="169" fontId="18" fillId="0" borderId="10" xfId="0" applyFont="1" applyBorder="1" applyAlignment="1">
      <alignment horizontal="left"/>
    </xf>
    <xf numFmtId="2" fontId="18" fillId="0" borderId="11" xfId="1" applyNumberFormat="1" applyFont="1" applyFill="1" applyBorder="1" applyAlignment="1">
      <alignment horizontal="right" indent="2"/>
    </xf>
    <xf numFmtId="9" fontId="18" fillId="0" borderId="11" xfId="7" applyFont="1" applyBorder="1" applyAlignment="1">
      <alignment horizontal="right"/>
    </xf>
    <xf numFmtId="43" fontId="43" fillId="0" borderId="10" xfId="0" applyNumberFormat="1" applyFont="1" applyBorder="1" applyAlignment="1">
      <alignment horizontal="right"/>
    </xf>
    <xf numFmtId="43" fontId="43" fillId="0" borderId="10" xfId="0" applyNumberFormat="1" applyFont="1" applyFill="1" applyBorder="1" applyAlignment="1">
      <alignment horizontal="right"/>
    </xf>
    <xf numFmtId="43" fontId="72" fillId="0" borderId="10" xfId="0" applyNumberFormat="1" applyFont="1" applyFill="1" applyBorder="1"/>
    <xf numFmtId="169" fontId="18" fillId="0" borderId="11" xfId="0" applyFont="1" applyBorder="1" applyAlignment="1">
      <alignment horizontal="left"/>
    </xf>
    <xf numFmtId="43" fontId="43" fillId="0" borderId="11" xfId="0" applyNumberFormat="1" applyFont="1" applyBorder="1" applyAlignment="1">
      <alignment horizontal="right"/>
    </xf>
    <xf numFmtId="43" fontId="43" fillId="0" borderId="11" xfId="0" applyNumberFormat="1" applyFont="1" applyFill="1" applyBorder="1" applyAlignment="1">
      <alignment horizontal="right"/>
    </xf>
    <xf numFmtId="43" fontId="72" fillId="0" borderId="11" xfId="0" applyNumberFormat="1" applyFont="1" applyFill="1" applyBorder="1"/>
    <xf numFmtId="169" fontId="24" fillId="0" borderId="6" xfId="0" applyFont="1" applyBorder="1"/>
    <xf numFmtId="169" fontId="16" fillId="0" borderId="6" xfId="2" applyBorder="1" applyAlignment="1" applyProtection="1"/>
    <xf numFmtId="169" fontId="23" fillId="0" borderId="6" xfId="0" applyFont="1" applyBorder="1"/>
    <xf numFmtId="169" fontId="21" fillId="0" borderId="6" xfId="4" applyFont="1" applyBorder="1" applyAlignment="1">
      <alignment horizontal="center" wrapText="1"/>
    </xf>
    <xf numFmtId="169" fontId="21" fillId="0" borderId="6" xfId="0" applyFont="1" applyBorder="1" applyAlignment="1">
      <alignment wrapText="1"/>
    </xf>
    <xf numFmtId="169" fontId="27" fillId="0" borderId="6" xfId="0" applyFont="1" applyBorder="1" applyAlignment="1">
      <alignment horizontal="right"/>
    </xf>
    <xf numFmtId="169" fontId="21" fillId="0" borderId="6" xfId="0" applyFont="1" applyFill="1" applyBorder="1" applyAlignment="1">
      <alignment horizontal="right" wrapText="1"/>
    </xf>
    <xf numFmtId="169" fontId="36" fillId="0" borderId="6" xfId="0" applyFont="1" applyFill="1" applyBorder="1" applyAlignment="1">
      <alignment horizontal="right" wrapText="1"/>
    </xf>
    <xf numFmtId="10" fontId="18" fillId="0" borderId="6" xfId="0" applyNumberFormat="1" applyFont="1" applyFill="1" applyBorder="1"/>
    <xf numFmtId="0" fontId="43" fillId="0" borderId="6" xfId="0" applyNumberFormat="1" applyFont="1" applyBorder="1"/>
    <xf numFmtId="169" fontId="18" fillId="0" borderId="6" xfId="0" applyFont="1" applyBorder="1" applyAlignment="1">
      <alignment horizontal="left"/>
    </xf>
    <xf numFmtId="10" fontId="18" fillId="0" borderId="6" xfId="4" applyNumberFormat="1" applyFont="1" applyBorder="1" applyAlignment="1">
      <alignment horizontal="right"/>
    </xf>
    <xf numFmtId="10" fontId="36" fillId="0" borderId="6" xfId="7" applyNumberFormat="1" applyFont="1" applyFill="1" applyBorder="1" applyAlignment="1">
      <alignment horizontal="right"/>
    </xf>
    <xf numFmtId="10" fontId="36" fillId="0" borderId="6" xfId="0" applyNumberFormat="1" applyFont="1" applyFill="1" applyBorder="1" applyAlignment="1">
      <alignment horizontal="right"/>
    </xf>
    <xf numFmtId="4" fontId="18" fillId="0" borderId="6" xfId="0" applyNumberFormat="1" applyFont="1" applyFill="1" applyBorder="1" applyAlignment="1">
      <alignment horizontal="right"/>
    </xf>
    <xf numFmtId="10" fontId="18" fillId="0" borderId="6" xfId="0" applyNumberFormat="1" applyFont="1" applyFill="1" applyBorder="1" applyAlignment="1">
      <alignment horizontal="right"/>
    </xf>
    <xf numFmtId="10" fontId="18" fillId="0" borderId="6" xfId="0" applyNumberFormat="1" applyFont="1" applyBorder="1" applyAlignment="1">
      <alignment horizontal="right"/>
    </xf>
    <xf numFmtId="10" fontId="18" fillId="0" borderId="6" xfId="0" applyNumberFormat="1" applyFont="1" applyFill="1" applyBorder="1" applyAlignment="1">
      <alignment horizontal="center"/>
    </xf>
    <xf numFmtId="10" fontId="18" fillId="0" borderId="6" xfId="0" applyNumberFormat="1" applyFont="1" applyBorder="1" applyAlignment="1">
      <alignment horizontal="center"/>
    </xf>
    <xf numFmtId="169" fontId="21" fillId="0" borderId="6" xfId="0" applyFont="1" applyBorder="1" applyAlignment="1"/>
    <xf numFmtId="169" fontId="71" fillId="0" borderId="4" xfId="0" applyFont="1" applyBorder="1" applyAlignment="1">
      <alignment horizontal="right" wrapText="1" indent="1"/>
    </xf>
    <xf numFmtId="169" fontId="21" fillId="7" borderId="1" xfId="0" applyFont="1" applyFill="1" applyBorder="1" applyAlignment="1">
      <alignment horizontal="centerContinuous"/>
    </xf>
    <xf numFmtId="0" fontId="43" fillId="0" borderId="6" xfId="0" applyNumberFormat="1" applyFont="1" applyBorder="1" applyAlignment="1">
      <alignment horizontal="center"/>
    </xf>
    <xf numFmtId="169" fontId="21" fillId="0" borderId="6" xfId="0" applyFont="1" applyFill="1" applyBorder="1" applyAlignment="1">
      <alignment horizontal="center"/>
    </xf>
    <xf numFmtId="10" fontId="18" fillId="0" borderId="42" xfId="0" applyNumberFormat="1" applyFont="1" applyFill="1" applyBorder="1" applyAlignment="1">
      <alignment horizontal="right"/>
    </xf>
    <xf numFmtId="0" fontId="18" fillId="0" borderId="7" xfId="0" applyNumberFormat="1" applyFont="1" applyFill="1" applyBorder="1" applyAlignment="1">
      <alignment horizontal="center"/>
    </xf>
    <xf numFmtId="169" fontId="43" fillId="0" borderId="6" xfId="0" applyFont="1" applyBorder="1" applyAlignment="1">
      <alignment horizontal="left"/>
    </xf>
    <xf numFmtId="169" fontId="43" fillId="0" borderId="6" xfId="0" applyFont="1" applyBorder="1" applyAlignment="1">
      <alignment horizontal="right"/>
    </xf>
    <xf numFmtId="2" fontId="43" fillId="0" borderId="6" xfId="0" applyNumberFormat="1" applyFont="1" applyFill="1" applyBorder="1" applyAlignment="1">
      <alignment horizontal="right"/>
    </xf>
    <xf numFmtId="169" fontId="83" fillId="0" borderId="6" xfId="0" applyFont="1" applyFill="1" applyBorder="1" applyAlignment="1">
      <alignment horizontal="left"/>
    </xf>
    <xf numFmtId="169" fontId="43" fillId="0" borderId="6" xfId="0" applyFont="1" applyFill="1" applyBorder="1" applyAlignment="1">
      <alignment horizontal="right"/>
    </xf>
    <xf numFmtId="169" fontId="43" fillId="0" borderId="6" xfId="0" applyNumberFormat="1" applyFont="1" applyFill="1" applyBorder="1" applyAlignment="1">
      <alignment horizontal="right"/>
    </xf>
    <xf numFmtId="169" fontId="18" fillId="0" borderId="0" xfId="0" quotePrefix="1" applyFont="1" applyFill="1" applyBorder="1" applyAlignment="1">
      <alignment horizontal="left" indent="1"/>
    </xf>
    <xf numFmtId="169" fontId="18" fillId="0" borderId="0" xfId="0" applyFont="1" applyFill="1" applyBorder="1" applyAlignment="1">
      <alignment horizontal="left" indent="1"/>
    </xf>
    <xf numFmtId="169" fontId="22" fillId="0" borderId="0" xfId="0" quotePrefix="1" applyFont="1" applyAlignment="1">
      <alignment horizontal="left"/>
    </xf>
    <xf numFmtId="169" fontId="17" fillId="0" borderId="0" xfId="0" applyFont="1" applyBorder="1" applyAlignment="1">
      <alignment horizontal="left" vertical="center"/>
    </xf>
    <xf numFmtId="165" fontId="18" fillId="0" borderId="10" xfId="0" applyNumberFormat="1" applyFont="1" applyBorder="1" applyAlignment="1">
      <alignment horizontal="center" vertical="center"/>
    </xf>
    <xf numFmtId="165" fontId="18" fillId="0" borderId="8" xfId="0" applyNumberFormat="1" applyFont="1" applyBorder="1" applyAlignment="1">
      <alignment horizontal="center" vertical="center"/>
    </xf>
    <xf numFmtId="165" fontId="18" fillId="0" borderId="11" xfId="0" applyNumberFormat="1" applyFont="1" applyBorder="1" applyAlignment="1">
      <alignment horizontal="center" vertical="center"/>
    </xf>
    <xf numFmtId="168" fontId="18" fillId="0" borderId="10" xfId="0" applyNumberFormat="1" applyFont="1" applyBorder="1" applyAlignment="1">
      <alignment horizontal="right" vertical="center" indent="2"/>
    </xf>
    <xf numFmtId="168" fontId="18" fillId="0" borderId="8" xfId="0" applyNumberFormat="1" applyFont="1" applyBorder="1" applyAlignment="1">
      <alignment horizontal="right" vertical="center" indent="2"/>
    </xf>
    <xf numFmtId="168" fontId="18" fillId="0" borderId="11" xfId="0" applyNumberFormat="1" applyFont="1" applyBorder="1" applyAlignment="1">
      <alignment horizontal="right" vertical="center" indent="2"/>
    </xf>
    <xf numFmtId="169" fontId="18" fillId="0" borderId="10" xfId="0" applyFont="1" applyBorder="1" applyAlignment="1">
      <alignment horizontal="left" vertical="center" indent="1"/>
    </xf>
    <xf numFmtId="169" fontId="18" fillId="0" borderId="8" xfId="0" applyFont="1" applyBorder="1" applyAlignment="1">
      <alignment horizontal="left" vertical="center" indent="1"/>
    </xf>
    <xf numFmtId="169" fontId="18" fillId="0" borderId="11" xfId="0" applyFont="1" applyBorder="1" applyAlignment="1">
      <alignment horizontal="left" vertical="center" indent="1"/>
    </xf>
    <xf numFmtId="169" fontId="71" fillId="0" borderId="4" xfId="0" applyFont="1" applyBorder="1" applyAlignment="1">
      <alignment horizontal="center" wrapText="1"/>
    </xf>
    <xf numFmtId="0" fontId="21" fillId="7" borderId="0" xfId="9" applyFont="1" applyFill="1" applyAlignment="1" applyProtection="1">
      <alignment vertical="center"/>
    </xf>
    <xf numFmtId="0" fontId="84" fillId="7" borderId="0" xfId="10" applyFont="1" applyFill="1" applyAlignment="1" applyProtection="1">
      <alignment vertical="center"/>
    </xf>
    <xf numFmtId="0" fontId="35" fillId="7" borderId="0" xfId="10" applyFont="1" applyFill="1" applyAlignment="1" applyProtection="1">
      <alignment vertical="center"/>
    </xf>
    <xf numFmtId="0" fontId="85" fillId="7" borderId="0" xfId="9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65" fillId="7" borderId="0" xfId="9" applyFont="1" applyFill="1" applyBorder="1" applyAlignment="1" applyProtection="1">
      <alignment vertical="center"/>
    </xf>
    <xf numFmtId="0" fontId="87" fillId="7" borderId="0" xfId="9" applyFont="1" applyFill="1" applyBorder="1" applyAlignment="1" applyProtection="1">
      <alignment vertical="center"/>
    </xf>
    <xf numFmtId="41" fontId="18" fillId="0" borderId="28" xfId="0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0" fontId="81" fillId="9" borderId="12" xfId="9" applyFont="1" applyFill="1" applyBorder="1" applyAlignment="1" applyProtection="1">
      <alignment vertical="center"/>
    </xf>
    <xf numFmtId="0" fontId="58" fillId="9" borderId="0" xfId="9" applyFont="1" applyFill="1" applyBorder="1" applyAlignment="1" applyProtection="1">
      <alignment vertical="center"/>
    </xf>
    <xf numFmtId="0" fontId="34" fillId="9" borderId="0" xfId="9" quotePrefix="1" applyFont="1" applyFill="1" applyBorder="1" applyAlignment="1" applyProtection="1">
      <alignment vertical="center"/>
    </xf>
    <xf numFmtId="0" fontId="34" fillId="9" borderId="0" xfId="9" applyFont="1" applyFill="1" applyBorder="1" applyAlignment="1" applyProtection="1">
      <alignment vertical="center"/>
    </xf>
    <xf numFmtId="10" fontId="18" fillId="0" borderId="6" xfId="0" applyNumberFormat="1" applyFont="1" applyBorder="1" applyAlignment="1">
      <alignment horizontal="right" vertical="center"/>
    </xf>
    <xf numFmtId="0" fontId="21" fillId="0" borderId="6" xfId="0" applyNumberFormat="1" applyFont="1" applyBorder="1" applyAlignment="1">
      <alignment horizontal="right" vertical="center"/>
    </xf>
    <xf numFmtId="169" fontId="18" fillId="0" borderId="6" xfId="0" applyFont="1" applyFill="1" applyBorder="1" applyAlignment="1">
      <alignment horizontal="center" vertical="center"/>
    </xf>
    <xf numFmtId="169" fontId="18" fillId="0" borderId="5" xfId="0" applyFont="1" applyFill="1" applyBorder="1" applyAlignment="1">
      <alignment vertical="center"/>
    </xf>
    <xf numFmtId="169" fontId="18" fillId="0" borderId="5" xfId="0" applyFont="1" applyFill="1" applyBorder="1" applyAlignment="1">
      <alignment horizontal="center" vertical="center"/>
    </xf>
    <xf numFmtId="10" fontId="18" fillId="0" borderId="5" xfId="0" applyNumberFormat="1" applyFont="1" applyFill="1" applyBorder="1" applyAlignment="1">
      <alignment vertical="center"/>
    </xf>
    <xf numFmtId="10" fontId="21" fillId="0" borderId="0" xfId="7" applyNumberFormat="1" applyFont="1" applyFill="1" applyBorder="1" applyAlignment="1">
      <alignment horizontal="right" vertical="center" indent="2"/>
    </xf>
    <xf numFmtId="0" fontId="80" fillId="0" borderId="6" xfId="19" applyFont="1" applyFill="1" applyBorder="1" applyAlignment="1">
      <alignment horizontal="left" vertical="center"/>
    </xf>
    <xf numFmtId="169" fontId="18" fillId="0" borderId="5" xfId="0" applyFont="1" applyFill="1" applyBorder="1"/>
    <xf numFmtId="169" fontId="21" fillId="7" borderId="1" xfId="0" applyFont="1" applyFill="1" applyBorder="1" applyAlignment="1">
      <alignment horizontal="right" indent="1"/>
    </xf>
    <xf numFmtId="169" fontId="18" fillId="0" borderId="10" xfId="0" applyFont="1" applyFill="1" applyBorder="1" applyAlignment="1">
      <alignment horizontal="right" indent="1"/>
    </xf>
    <xf numFmtId="165" fontId="18" fillId="0" borderId="8" xfId="7" applyNumberFormat="1" applyFont="1" applyFill="1" applyBorder="1" applyAlignment="1">
      <alignment horizontal="right" indent="1"/>
    </xf>
    <xf numFmtId="165" fontId="18" fillId="0" borderId="11" xfId="7" applyNumberFormat="1" applyFont="1" applyFill="1" applyBorder="1" applyAlignment="1">
      <alignment horizontal="right" indent="1"/>
    </xf>
    <xf numFmtId="0" fontId="43" fillId="0" borderId="24" xfId="0" applyNumberFormat="1" applyFont="1" applyFill="1" applyBorder="1" applyAlignment="1">
      <alignment horizontal="right" vertical="center"/>
    </xf>
    <xf numFmtId="0" fontId="70" fillId="12" borderId="5" xfId="19" applyFont="1" applyFill="1" applyBorder="1" applyAlignment="1">
      <alignment horizontal="right" vertical="center"/>
    </xf>
    <xf numFmtId="169" fontId="2" fillId="0" borderId="33" xfId="0" applyFont="1" applyBorder="1"/>
    <xf numFmtId="37" fontId="18" fillId="0" borderId="10" xfId="0" applyNumberFormat="1" applyFont="1" applyFill="1" applyBorder="1" applyAlignment="1">
      <alignment horizontal="right" vertical="center" indent="2"/>
    </xf>
    <xf numFmtId="37" fontId="18" fillId="0" borderId="8" xfId="0" applyNumberFormat="1" applyFont="1" applyFill="1" applyBorder="1" applyAlignment="1">
      <alignment horizontal="right" vertical="center" indent="2"/>
    </xf>
    <xf numFmtId="37" fontId="18" fillId="0" borderId="11" xfId="0" applyNumberFormat="1" applyFont="1" applyFill="1" applyBorder="1" applyAlignment="1">
      <alignment horizontal="right" vertical="center" indent="2"/>
    </xf>
    <xf numFmtId="172" fontId="18" fillId="0" borderId="5" xfId="0" applyNumberFormat="1" applyFont="1" applyFill="1" applyBorder="1" applyAlignment="1">
      <alignment horizontal="right" vertical="center" indent="1"/>
    </xf>
    <xf numFmtId="37" fontId="21" fillId="0" borderId="0" xfId="0" applyNumberFormat="1" applyFont="1" applyFill="1" applyBorder="1" applyAlignment="1">
      <alignment horizontal="right" vertical="center" indent="2"/>
    </xf>
    <xf numFmtId="169" fontId="22" fillId="0" borderId="0" xfId="0" applyFont="1" applyBorder="1" applyAlignment="1">
      <alignment horizontal="centerContinuous"/>
    </xf>
    <xf numFmtId="14" fontId="2" fillId="0" borderId="33" xfId="0" applyNumberFormat="1" applyFont="1" applyBorder="1"/>
    <xf numFmtId="14" fontId="89" fillId="0" borderId="4" xfId="0" applyNumberFormat="1" applyFont="1" applyFill="1" applyBorder="1"/>
    <xf numFmtId="0" fontId="89" fillId="11" borderId="4" xfId="0" applyNumberFormat="1" applyFont="1" applyFill="1" applyBorder="1" applyAlignment="1">
      <alignment horizontal="right"/>
    </xf>
    <xf numFmtId="184" fontId="43" fillId="0" borderId="6" xfId="0" applyNumberFormat="1" applyFont="1" applyFill="1" applyBorder="1" applyAlignment="1">
      <alignment horizontal="right"/>
    </xf>
    <xf numFmtId="10" fontId="18" fillId="0" borderId="0" xfId="0" applyNumberFormat="1" applyFont="1" applyBorder="1" applyAlignment="1">
      <alignment horizontal="right"/>
    </xf>
    <xf numFmtId="10" fontId="18" fillId="0" borderId="22" xfId="0" applyNumberFormat="1" applyFont="1" applyFill="1" applyBorder="1" applyAlignment="1">
      <alignment horizontal="right" vertical="center"/>
    </xf>
    <xf numFmtId="0" fontId="43" fillId="0" borderId="33" xfId="0" applyNumberFormat="1" applyFont="1" applyBorder="1" applyAlignment="1">
      <alignment horizontal="right" vertical="center"/>
    </xf>
    <xf numFmtId="169" fontId="71" fillId="7" borderId="4" xfId="0" applyFont="1" applyFill="1" applyBorder="1" applyAlignment="1">
      <alignment horizontal="left" indent="2"/>
    </xf>
    <xf numFmtId="169" fontId="71" fillId="7" borderId="4" xfId="0" applyFont="1" applyFill="1" applyBorder="1" applyAlignment="1">
      <alignment horizontal="center"/>
    </xf>
    <xf numFmtId="169" fontId="21" fillId="11" borderId="40" xfId="0" applyFont="1" applyFill="1" applyBorder="1" applyAlignment="1">
      <alignment horizontal="left" indent="1"/>
    </xf>
    <xf numFmtId="187" fontId="2" fillId="0" borderId="0" xfId="1" applyNumberFormat="1" applyFont="1" applyFill="1" applyBorder="1"/>
    <xf numFmtId="166" fontId="2" fillId="0" borderId="0" xfId="1" applyNumberFormat="1" applyFont="1" applyFill="1" applyBorder="1"/>
    <xf numFmtId="178" fontId="4" fillId="0" borderId="0" xfId="1" applyNumberFormat="1" applyFont="1" applyFill="1"/>
    <xf numFmtId="176" fontId="4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2" fillId="0" borderId="0" xfId="19" applyAlignment="1">
      <alignment horizontal="center" vertical="center"/>
    </xf>
    <xf numFmtId="0" fontId="2" fillId="0" borderId="0" xfId="19" applyAlignment="1">
      <alignment vertical="center"/>
    </xf>
    <xf numFmtId="14" fontId="43" fillId="0" borderId="9" xfId="0" applyNumberFormat="1" applyFont="1" applyBorder="1" applyAlignment="1">
      <alignment horizontal="right" vertical="top"/>
    </xf>
    <xf numFmtId="2" fontId="43" fillId="0" borderId="8" xfId="0" applyNumberFormat="1" applyFont="1" applyBorder="1" applyAlignment="1">
      <alignment horizontal="right" vertical="top"/>
    </xf>
    <xf numFmtId="3" fontId="18" fillId="0" borderId="0" xfId="19" applyNumberFormat="1" applyFont="1" applyFill="1" applyAlignment="1">
      <alignment vertical="center"/>
    </xf>
    <xf numFmtId="43" fontId="43" fillId="0" borderId="40" xfId="0" applyNumberFormat="1" applyFont="1" applyFill="1" applyBorder="1"/>
    <xf numFmtId="43" fontId="43" fillId="0" borderId="38" xfId="0" applyNumberFormat="1" applyFont="1" applyFill="1" applyBorder="1"/>
    <xf numFmtId="43" fontId="43" fillId="0" borderId="41" xfId="0" applyNumberFormat="1" applyFont="1" applyFill="1" applyBorder="1"/>
    <xf numFmtId="43" fontId="43" fillId="0" borderId="39" xfId="0" applyNumberFormat="1" applyFont="1" applyFill="1" applyBorder="1"/>
    <xf numFmtId="0" fontId="84" fillId="7" borderId="0" xfId="10" applyFont="1" applyFill="1" applyAlignment="1" applyProtection="1">
      <alignment vertical="center"/>
    </xf>
    <xf numFmtId="169" fontId="18" fillId="7" borderId="5" xfId="0" applyFont="1" applyFill="1" applyBorder="1" applyAlignment="1">
      <alignment horizontal="right"/>
    </xf>
    <xf numFmtId="169" fontId="72" fillId="7" borderId="1" xfId="0" applyFont="1" applyFill="1" applyBorder="1" applyAlignment="1">
      <alignment horizontal="right"/>
    </xf>
    <xf numFmtId="169" fontId="18" fillId="7" borderId="1" xfId="0" applyFont="1" applyFill="1" applyBorder="1" applyAlignment="1">
      <alignment horizontal="right"/>
    </xf>
    <xf numFmtId="43" fontId="72" fillId="0" borderId="10" xfId="0" applyNumberFormat="1" applyFont="1" applyFill="1" applyBorder="1" applyAlignment="1">
      <alignment horizontal="right"/>
    </xf>
    <xf numFmtId="169" fontId="18" fillId="0" borderId="10" xfId="0" applyFont="1" applyBorder="1" applyAlignment="1">
      <alignment horizontal="right"/>
    </xf>
    <xf numFmtId="43" fontId="19" fillId="0" borderId="10" xfId="0" applyNumberFormat="1" applyFont="1" applyBorder="1" applyAlignment="1">
      <alignment horizontal="right"/>
    </xf>
    <xf numFmtId="43" fontId="72" fillId="0" borderId="8" xfId="0" applyNumberFormat="1" applyFont="1" applyFill="1" applyBorder="1" applyAlignment="1">
      <alignment horizontal="right"/>
    </xf>
    <xf numFmtId="43" fontId="19" fillId="0" borderId="8" xfId="0" applyNumberFormat="1" applyFont="1" applyBorder="1" applyAlignment="1">
      <alignment horizontal="right"/>
    </xf>
    <xf numFmtId="43" fontId="72" fillId="0" borderId="11" xfId="0" applyNumberFormat="1" applyFont="1" applyFill="1" applyBorder="1" applyAlignment="1">
      <alignment horizontal="right"/>
    </xf>
    <xf numFmtId="43" fontId="19" fillId="0" borderId="11" xfId="0" applyNumberFormat="1" applyFont="1" applyBorder="1" applyAlignment="1">
      <alignment horizontal="right"/>
    </xf>
    <xf numFmtId="169" fontId="72" fillId="0" borderId="0" xfId="0" applyFont="1" applyFill="1" applyAlignment="1">
      <alignment horizontal="right"/>
    </xf>
    <xf numFmtId="169" fontId="72" fillId="7" borderId="5" xfId="0" applyFont="1" applyFill="1" applyBorder="1" applyAlignment="1">
      <alignment horizontal="right"/>
    </xf>
    <xf numFmtId="43" fontId="91" fillId="7" borderId="5" xfId="0" applyNumberFormat="1" applyFont="1" applyFill="1" applyBorder="1" applyAlignment="1">
      <alignment horizontal="right"/>
    </xf>
    <xf numFmtId="169" fontId="21" fillId="7" borderId="5" xfId="0" applyFont="1" applyFill="1" applyBorder="1" applyAlignment="1">
      <alignment horizontal="right"/>
    </xf>
    <xf numFmtId="169" fontId="91" fillId="7" borderId="1" xfId="0" applyFont="1" applyFill="1" applyBorder="1" applyAlignment="1">
      <alignment horizontal="right"/>
    </xf>
    <xf numFmtId="0" fontId="92" fillId="0" borderId="0" xfId="19" applyFont="1" applyFill="1" applyBorder="1" applyAlignment="1">
      <alignment horizontal="center" vertical="center"/>
    </xf>
    <xf numFmtId="0" fontId="33" fillId="0" borderId="0" xfId="19" applyFont="1" applyFill="1" applyBorder="1" applyAlignment="1">
      <alignment horizontal="center" vertical="center"/>
    </xf>
    <xf numFmtId="0" fontId="33" fillId="0" borderId="0" xfId="19" applyFont="1" applyFill="1" applyAlignment="1">
      <alignment horizontal="center" vertical="center"/>
    </xf>
    <xf numFmtId="0" fontId="92" fillId="0" borderId="0" xfId="19" applyFont="1" applyFill="1" applyAlignment="1">
      <alignment horizontal="center" vertical="center"/>
    </xf>
    <xf numFmtId="10" fontId="18" fillId="13" borderId="9" xfId="7" applyNumberFormat="1" applyFont="1" applyFill="1" applyBorder="1" applyAlignment="1">
      <alignment horizontal="right" vertical="top" indent="1"/>
    </xf>
    <xf numFmtId="169" fontId="69" fillId="0" borderId="0" xfId="0" applyFont="1" applyFill="1" applyBorder="1" applyAlignment="1">
      <alignment vertical="center"/>
    </xf>
    <xf numFmtId="169" fontId="28" fillId="0" borderId="0" xfId="0" applyFont="1" applyFill="1" applyBorder="1" applyAlignment="1">
      <alignment horizontal="center" vertical="center"/>
    </xf>
    <xf numFmtId="169" fontId="28" fillId="0" borderId="0" xfId="0" applyFont="1" applyFill="1" applyBorder="1" applyAlignment="1">
      <alignment vertical="center"/>
    </xf>
    <xf numFmtId="169" fontId="76" fillId="0" borderId="0" xfId="0" applyFont="1" applyBorder="1" applyAlignment="1">
      <alignment vertical="center"/>
    </xf>
    <xf numFmtId="169" fontId="58" fillId="9" borderId="10" xfId="0" applyFont="1" applyFill="1" applyBorder="1" applyAlignment="1">
      <alignment horizontal="center"/>
    </xf>
    <xf numFmtId="169" fontId="71" fillId="7" borderId="8" xfId="0" applyFont="1" applyFill="1" applyBorder="1" applyAlignment="1">
      <alignment horizontal="centerContinuous"/>
    </xf>
    <xf numFmtId="169" fontId="71" fillId="7" borderId="8" xfId="0" applyFont="1" applyFill="1" applyBorder="1" applyAlignment="1">
      <alignment horizontal="center"/>
    </xf>
    <xf numFmtId="169" fontId="71" fillId="7" borderId="8" xfId="0" applyFont="1" applyFill="1" applyBorder="1" applyAlignment="1">
      <alignment horizontal="right"/>
    </xf>
    <xf numFmtId="169" fontId="71" fillId="7" borderId="11" xfId="0" applyFont="1" applyFill="1" applyBorder="1" applyAlignment="1">
      <alignment horizontal="center"/>
    </xf>
    <xf numFmtId="169" fontId="71" fillId="7" borderId="11" xfId="0" applyFont="1" applyFill="1" applyBorder="1" applyAlignment="1">
      <alignment horizontal="right"/>
    </xf>
    <xf numFmtId="169" fontId="21" fillId="11" borderId="10" xfId="0" applyFont="1" applyFill="1" applyBorder="1" applyAlignment="1">
      <alignment horizontal="left" indent="1"/>
    </xf>
    <xf numFmtId="2" fontId="21" fillId="11" borderId="10" xfId="1" applyNumberFormat="1" applyFont="1" applyFill="1" applyBorder="1" applyAlignment="1">
      <alignment horizontal="right" indent="3"/>
    </xf>
    <xf numFmtId="2" fontId="21" fillId="11" borderId="10" xfId="1" applyNumberFormat="1" applyFont="1" applyFill="1" applyBorder="1" applyAlignment="1">
      <alignment horizontal="right" indent="2"/>
    </xf>
    <xf numFmtId="9" fontId="21" fillId="11" borderId="10" xfId="7" applyFont="1" applyFill="1" applyBorder="1" applyAlignment="1">
      <alignment horizontal="right"/>
    </xf>
    <xf numFmtId="164" fontId="43" fillId="0" borderId="10" xfId="0" applyNumberFormat="1" applyFont="1" applyFill="1" applyBorder="1"/>
    <xf numFmtId="164" fontId="18" fillId="0" borderId="10" xfId="0" applyNumberFormat="1" applyFont="1" applyFill="1" applyBorder="1"/>
    <xf numFmtId="164" fontId="43" fillId="0" borderId="8" xfId="0" applyNumberFormat="1" applyFont="1" applyFill="1" applyBorder="1"/>
    <xf numFmtId="164" fontId="43" fillId="0" borderId="11" xfId="0" applyNumberFormat="1" applyFont="1" applyFill="1" applyBorder="1"/>
    <xf numFmtId="188" fontId="70" fillId="11" borderId="40" xfId="1" applyNumberFormat="1" applyFont="1" applyFill="1" applyBorder="1" applyAlignment="1">
      <alignment horizontal="right" indent="2"/>
    </xf>
    <xf numFmtId="188" fontId="43" fillId="0" borderId="6" xfId="1" applyNumberFormat="1" applyFont="1" applyFill="1" applyBorder="1" applyAlignment="1">
      <alignment horizontal="right" indent="2"/>
    </xf>
    <xf numFmtId="188" fontId="43" fillId="0" borderId="41" xfId="1" applyNumberFormat="1" applyFont="1" applyFill="1" applyBorder="1" applyAlignment="1">
      <alignment horizontal="right" indent="2"/>
    </xf>
    <xf numFmtId="165" fontId="18" fillId="0" borderId="10" xfId="4" applyNumberFormat="1" applyFont="1" applyBorder="1" applyAlignment="1">
      <alignment horizontal="right" indent="1"/>
    </xf>
    <xf numFmtId="165" fontId="18" fillId="0" borderId="8" xfId="4" applyNumberFormat="1" applyFont="1" applyBorder="1" applyAlignment="1">
      <alignment horizontal="right" indent="1"/>
    </xf>
    <xf numFmtId="165" fontId="18" fillId="0" borderId="11" xfId="4" applyNumberFormat="1" applyFont="1" applyBorder="1" applyAlignment="1">
      <alignment horizontal="right" indent="1"/>
    </xf>
    <xf numFmtId="0" fontId="41" fillId="0" borderId="33" xfId="0" applyNumberFormat="1" applyFont="1" applyBorder="1"/>
    <xf numFmtId="0" fontId="21" fillId="0" borderId="33" xfId="0" applyNumberFormat="1" applyFont="1" applyFill="1" applyBorder="1" applyAlignment="1">
      <alignment horizontal="center" vertical="center"/>
    </xf>
    <xf numFmtId="3" fontId="43" fillId="0" borderId="10" xfId="1" applyNumberFormat="1" applyFont="1" applyFill="1" applyBorder="1"/>
    <xf numFmtId="3" fontId="43" fillId="0" borderId="8" xfId="1" applyNumberFormat="1" applyFont="1" applyFill="1" applyBorder="1"/>
    <xf numFmtId="3" fontId="43" fillId="0" borderId="8" xfId="0" applyNumberFormat="1" applyFont="1" applyFill="1" applyBorder="1"/>
    <xf numFmtId="3" fontId="43" fillId="0" borderId="28" xfId="0" applyNumberFormat="1" applyFont="1" applyFill="1" applyBorder="1"/>
    <xf numFmtId="3" fontId="43" fillId="0" borderId="11" xfId="0" applyNumberFormat="1" applyFont="1" applyFill="1" applyBorder="1"/>
    <xf numFmtId="0" fontId="18" fillId="0" borderId="8" xfId="20" applyFont="1" applyBorder="1" applyAlignment="1">
      <alignment horizontal="center" vertical="center"/>
    </xf>
    <xf numFmtId="0" fontId="18" fillId="0" borderId="8" xfId="20" applyFont="1" applyFill="1" applyBorder="1" applyAlignment="1">
      <alignment vertical="center"/>
    </xf>
    <xf numFmtId="0" fontId="93" fillId="0" borderId="8" xfId="20" applyFont="1" applyFill="1" applyBorder="1" applyAlignment="1">
      <alignment horizontal="center" vertical="center"/>
    </xf>
    <xf numFmtId="14" fontId="18" fillId="0" borderId="0" xfId="19" applyNumberFormat="1" applyFont="1" applyBorder="1" applyAlignment="1">
      <alignment vertical="center"/>
    </xf>
    <xf numFmtId="14" fontId="78" fillId="0" borderId="0" xfId="19" applyNumberFormat="1" applyFont="1" applyBorder="1" applyAlignment="1">
      <alignment horizontal="center" vertical="center"/>
    </xf>
    <xf numFmtId="169" fontId="18" fillId="0" borderId="0" xfId="0" applyFont="1" applyBorder="1" applyAlignment="1">
      <alignment horizontal="center"/>
    </xf>
    <xf numFmtId="0" fontId="2" fillId="0" borderId="0" xfId="21" applyNumberFormat="1" applyAlignment="1">
      <alignment horizontal="right" vertical="center"/>
    </xf>
    <xf numFmtId="0" fontId="18" fillId="0" borderId="0" xfId="22" applyFont="1" applyAlignment="1">
      <alignment vertical="center"/>
    </xf>
    <xf numFmtId="169" fontId="18" fillId="0" borderId="0" xfId="21" applyFont="1" applyBorder="1" applyAlignment="1">
      <alignment vertical="center"/>
    </xf>
    <xf numFmtId="169" fontId="69" fillId="0" borderId="0" xfId="21" applyNumberFormat="1" applyFont="1" applyBorder="1" applyAlignment="1">
      <alignment vertical="center"/>
    </xf>
    <xf numFmtId="169" fontId="18" fillId="0" borderId="0" xfId="21" applyFont="1" applyBorder="1" applyAlignment="1">
      <alignment horizontal="right" vertical="center"/>
    </xf>
    <xf numFmtId="169" fontId="48" fillId="0" borderId="0" xfId="21" applyFont="1" applyBorder="1" applyAlignment="1">
      <alignment vertical="center"/>
    </xf>
    <xf numFmtId="169" fontId="71" fillId="0" borderId="0" xfId="21" applyFont="1" applyBorder="1" applyAlignment="1">
      <alignment vertical="center"/>
    </xf>
    <xf numFmtId="169" fontId="71" fillId="0" borderId="0" xfId="21" applyFont="1" applyBorder="1" applyAlignment="1">
      <alignment horizontal="right" vertical="center"/>
    </xf>
    <xf numFmtId="0" fontId="58" fillId="10" borderId="5" xfId="22" applyFont="1" applyFill="1" applyBorder="1" applyAlignment="1">
      <alignment horizontal="left" vertical="center" indent="2"/>
    </xf>
    <xf numFmtId="0" fontId="94" fillId="10" borderId="5" xfId="22" applyFont="1" applyFill="1" applyBorder="1" applyAlignment="1">
      <alignment horizontal="center" vertical="center"/>
    </xf>
    <xf numFmtId="0" fontId="18" fillId="0" borderId="0" xfId="22" applyFont="1" applyBorder="1" applyAlignment="1">
      <alignment vertical="center"/>
    </xf>
    <xf numFmtId="0" fontId="18" fillId="0" borderId="0" xfId="22" applyFont="1" applyBorder="1" applyAlignment="1">
      <alignment horizontal="left" vertical="center" indent="3"/>
    </xf>
    <xf numFmtId="0" fontId="18" fillId="0" borderId="0" xfId="22" applyFont="1" applyBorder="1" applyAlignment="1">
      <alignment horizontal="right" vertical="center"/>
    </xf>
    <xf numFmtId="165" fontId="18" fillId="0" borderId="0" xfId="22" applyNumberFormat="1" applyFont="1" applyBorder="1" applyAlignment="1">
      <alignment vertical="center"/>
    </xf>
    <xf numFmtId="0" fontId="18" fillId="0" borderId="0" xfId="22" applyFont="1" applyAlignment="1">
      <alignment horizontal="right" vertical="center"/>
    </xf>
    <xf numFmtId="0" fontId="48" fillId="0" borderId="0" xfId="22" applyFont="1" applyAlignment="1">
      <alignment vertical="center"/>
    </xf>
    <xf numFmtId="0" fontId="80" fillId="0" borderId="0" xfId="22" applyFont="1" applyAlignment="1">
      <alignment horizontal="left" vertical="center" indent="2"/>
    </xf>
    <xf numFmtId="0" fontId="22" fillId="0" borderId="0" xfId="22" applyFont="1"/>
    <xf numFmtId="169" fontId="18" fillId="0" borderId="0" xfId="0" applyFont="1" applyBorder="1" applyAlignment="1">
      <alignment horizontal="center"/>
    </xf>
    <xf numFmtId="0" fontId="52" fillId="14" borderId="0" xfId="9" applyFont="1" applyFill="1" applyBorder="1" applyAlignment="1" applyProtection="1">
      <alignment vertical="center"/>
    </xf>
    <xf numFmtId="0" fontId="95" fillId="0" borderId="0" xfId="29"/>
    <xf numFmtId="0" fontId="95" fillId="0" borderId="0" xfId="29" applyFill="1"/>
    <xf numFmtId="0" fontId="2" fillId="0" borderId="0" xfId="29" applyFont="1" applyFill="1"/>
    <xf numFmtId="0" fontId="2" fillId="0" borderId="0" xfId="29" applyFont="1"/>
    <xf numFmtId="177" fontId="95" fillId="0" borderId="0" xfId="29" applyNumberFormat="1"/>
    <xf numFmtId="2" fontId="2" fillId="0" borderId="0" xfId="29" applyNumberFormat="1" applyFont="1"/>
    <xf numFmtId="0" fontId="14" fillId="0" borderId="0" xfId="29" applyFont="1" applyFill="1" applyBorder="1"/>
    <xf numFmtId="0" fontId="2" fillId="0" borderId="0" xfId="29" applyFont="1" applyFill="1" applyBorder="1"/>
    <xf numFmtId="0" fontId="14" fillId="0" borderId="0" xfId="29" applyFont="1"/>
    <xf numFmtId="0" fontId="2" fillId="0" borderId="0" xfId="29" applyFont="1" applyBorder="1"/>
    <xf numFmtId="0" fontId="2" fillId="2" borderId="0" xfId="29" applyFont="1" applyFill="1" applyBorder="1"/>
    <xf numFmtId="0" fontId="14" fillId="0" borderId="0" xfId="29" applyFont="1" applyBorder="1"/>
    <xf numFmtId="0" fontId="14" fillId="0" borderId="0" xfId="29" applyFont="1" applyFill="1"/>
    <xf numFmtId="2" fontId="2" fillId="0" borderId="0" xfId="29" applyNumberFormat="1" applyFont="1" applyFill="1"/>
    <xf numFmtId="177" fontId="95" fillId="0" borderId="0" xfId="29" applyNumberFormat="1" applyFill="1"/>
    <xf numFmtId="0" fontId="4" fillId="0" borderId="0" xfId="29" applyFont="1" applyFill="1"/>
    <xf numFmtId="190" fontId="14" fillId="3" borderId="3" xfId="1" applyNumberFormat="1" applyFont="1" applyFill="1" applyBorder="1"/>
    <xf numFmtId="0" fontId="95" fillId="0" borderId="0" xfId="29" applyFill="1" applyBorder="1"/>
    <xf numFmtId="0" fontId="90" fillId="0" borderId="0" xfId="29" applyFont="1" applyFill="1" applyBorder="1"/>
    <xf numFmtId="0" fontId="90" fillId="0" borderId="0" xfId="29" applyFont="1" applyFill="1"/>
    <xf numFmtId="0" fontId="4" fillId="0" borderId="0" xfId="29" applyFont="1"/>
    <xf numFmtId="43" fontId="2" fillId="0" borderId="0" xfId="1" applyFont="1"/>
    <xf numFmtId="43" fontId="2" fillId="0" borderId="0" xfId="1" applyFont="1" applyFill="1"/>
    <xf numFmtId="187" fontId="2" fillId="0" borderId="0" xfId="1" applyNumberFormat="1" applyFont="1" applyFill="1"/>
    <xf numFmtId="1" fontId="2" fillId="0" borderId="0" xfId="29" applyNumberFormat="1" applyFont="1"/>
    <xf numFmtId="177" fontId="2" fillId="0" borderId="0" xfId="29" applyNumberFormat="1" applyFont="1"/>
    <xf numFmtId="0" fontId="2" fillId="15" borderId="0" xfId="29" applyFont="1" applyFill="1" applyBorder="1"/>
    <xf numFmtId="0" fontId="2" fillId="16" borderId="0" xfId="29" applyFont="1" applyFill="1" applyBorder="1"/>
    <xf numFmtId="2" fontId="2" fillId="0" borderId="0" xfId="29" applyNumberFormat="1" applyFont="1" applyFill="1" applyBorder="1"/>
    <xf numFmtId="0" fontId="2" fillId="17" borderId="0" xfId="29" applyFont="1" applyFill="1" applyBorder="1"/>
    <xf numFmtId="1" fontId="2" fillId="0" borderId="0" xfId="29" applyNumberFormat="1" applyFont="1" applyFill="1" applyBorder="1"/>
    <xf numFmtId="177" fontId="2" fillId="0" borderId="0" xfId="29" applyNumberFormat="1" applyFont="1" applyFill="1" applyBorder="1"/>
    <xf numFmtId="0" fontId="4" fillId="0" borderId="0" xfId="29" applyFont="1" applyFill="1" applyBorder="1"/>
    <xf numFmtId="0" fontId="2" fillId="16" borderId="0" xfId="29" applyFont="1" applyFill="1"/>
    <xf numFmtId="0" fontId="14" fillId="15" borderId="0" xfId="29" applyFont="1" applyFill="1"/>
    <xf numFmtId="2" fontId="2" fillId="0" borderId="0" xfId="29" applyNumberFormat="1" applyFont="1" applyBorder="1"/>
    <xf numFmtId="0" fontId="2" fillId="18" borderId="0" xfId="29" applyFont="1" applyFill="1"/>
    <xf numFmtId="0" fontId="2" fillId="15" borderId="0" xfId="29" applyFont="1" applyFill="1"/>
    <xf numFmtId="0" fontId="2" fillId="0" borderId="3" xfId="29" applyFont="1" applyFill="1" applyBorder="1"/>
    <xf numFmtId="0" fontId="14" fillId="16" borderId="0" xfId="29" applyFont="1" applyFill="1"/>
    <xf numFmtId="0" fontId="2" fillId="2" borderId="0" xfId="29" applyFont="1" applyFill="1"/>
    <xf numFmtId="0" fontId="14" fillId="15" borderId="0" xfId="29" applyFont="1" applyFill="1" applyBorder="1"/>
    <xf numFmtId="176" fontId="2" fillId="0" borderId="0" xfId="1" applyNumberFormat="1" applyFont="1"/>
    <xf numFmtId="0" fontId="14" fillId="18" borderId="0" xfId="29" applyFont="1" applyFill="1" applyBorder="1"/>
    <xf numFmtId="175" fontId="2" fillId="0" borderId="0" xfId="29" applyNumberFormat="1" applyFont="1" applyFill="1" applyBorder="1"/>
    <xf numFmtId="0" fontId="2" fillId="19" borderId="0" xfId="29" applyFont="1" applyFill="1" applyBorder="1"/>
    <xf numFmtId="43" fontId="2" fillId="19" borderId="0" xfId="1" applyFont="1" applyFill="1"/>
    <xf numFmtId="0" fontId="2" fillId="14" borderId="0" xfId="29" applyFont="1" applyFill="1" applyBorder="1"/>
    <xf numFmtId="0" fontId="14" fillId="2" borderId="0" xfId="29" applyFont="1" applyFill="1" applyBorder="1"/>
    <xf numFmtId="0" fontId="2" fillId="20" borderId="0" xfId="29" applyFont="1" applyFill="1" applyBorder="1"/>
    <xf numFmtId="0" fontId="2" fillId="21" borderId="0" xfId="29" applyFont="1" applyFill="1" applyBorder="1"/>
    <xf numFmtId="0" fontId="2" fillId="18" borderId="0" xfId="29" applyFont="1" applyFill="1" applyBorder="1"/>
    <xf numFmtId="0" fontId="2" fillId="22" borderId="0" xfId="29" applyFont="1" applyFill="1" applyBorder="1"/>
    <xf numFmtId="0" fontId="2" fillId="13" borderId="0" xfId="29" applyFont="1" applyFill="1" applyBorder="1"/>
    <xf numFmtId="2" fontId="2" fillId="2" borderId="0" xfId="29" applyNumberFormat="1" applyFont="1" applyFill="1"/>
    <xf numFmtId="43" fontId="2" fillId="2" borderId="0" xfId="1" applyFont="1" applyFill="1"/>
    <xf numFmtId="187" fontId="2" fillId="2" borderId="0" xfId="1" applyNumberFormat="1" applyFont="1" applyFill="1" applyBorder="1"/>
    <xf numFmtId="0" fontId="2" fillId="21" borderId="0" xfId="29" applyFont="1" applyFill="1"/>
    <xf numFmtId="0" fontId="2" fillId="17" borderId="0" xfId="29" applyFont="1" applyFill="1"/>
    <xf numFmtId="1" fontId="2" fillId="0" borderId="0" xfId="29" applyNumberFormat="1" applyFont="1" applyFill="1"/>
    <xf numFmtId="177" fontId="2" fillId="0" borderId="0" xfId="29" applyNumberFormat="1" applyFont="1" applyFill="1"/>
    <xf numFmtId="177" fontId="14" fillId="0" borderId="0" xfId="29" applyNumberFormat="1" applyFont="1" applyFill="1"/>
    <xf numFmtId="0" fontId="40" fillId="0" borderId="0" xfId="29" applyFont="1" applyFill="1"/>
    <xf numFmtId="177" fontId="4" fillId="0" borderId="0" xfId="29" applyNumberFormat="1" applyFont="1" applyFill="1"/>
    <xf numFmtId="175" fontId="4" fillId="0" borderId="0" xfId="29" applyNumberFormat="1" applyFont="1" applyFill="1"/>
    <xf numFmtId="2" fontId="14" fillId="0" borderId="0" xfId="29" applyNumberFormat="1" applyFont="1" applyFill="1"/>
    <xf numFmtId="10" fontId="95" fillId="0" borderId="0" xfId="29" applyNumberFormat="1" applyFill="1"/>
    <xf numFmtId="10" fontId="95" fillId="0" borderId="0" xfId="29" applyNumberFormat="1"/>
    <xf numFmtId="0" fontId="2" fillId="0" borderId="0" xfId="0" applyNumberFormat="1" applyFont="1" applyFill="1" applyBorder="1"/>
    <xf numFmtId="0" fontId="2" fillId="25" borderId="0" xfId="0" applyNumberFormat="1" applyFont="1" applyFill="1" applyBorder="1"/>
    <xf numFmtId="169" fontId="18" fillId="0" borderId="0" xfId="0" applyFont="1" applyBorder="1" applyAlignment="1">
      <alignment horizontal="center"/>
    </xf>
    <xf numFmtId="43" fontId="72" fillId="0" borderId="11" xfId="0" quotePrefix="1" applyNumberFormat="1" applyFont="1" applyFill="1" applyBorder="1" applyAlignment="1">
      <alignment horizontal="right"/>
    </xf>
    <xf numFmtId="164" fontId="43" fillId="0" borderId="11" xfId="0" applyNumberFormat="1" applyFont="1" applyFill="1" applyBorder="1" applyAlignment="1">
      <alignment horizontal="right"/>
    </xf>
    <xf numFmtId="2" fontId="18" fillId="0" borderId="11" xfId="1" applyNumberFormat="1" applyFont="1" applyFill="1" applyBorder="1" applyAlignment="1">
      <alignment horizontal="right" indent="3"/>
    </xf>
    <xf numFmtId="43" fontId="19" fillId="0" borderId="11" xfId="0" quotePrefix="1" applyNumberFormat="1" applyFont="1" applyBorder="1" applyAlignment="1">
      <alignment horizontal="right"/>
    </xf>
    <xf numFmtId="0" fontId="2" fillId="23" borderId="0" xfId="0" applyNumberFormat="1" applyFont="1" applyFill="1" applyBorder="1"/>
    <xf numFmtId="0" fontId="2" fillId="24" borderId="0" xfId="0" applyNumberFormat="1" applyFont="1" applyFill="1" applyBorder="1"/>
    <xf numFmtId="0" fontId="90" fillId="0" borderId="0" xfId="0" applyNumberFormat="1" applyFont="1" applyFill="1" applyBorder="1"/>
    <xf numFmtId="0" fontId="4" fillId="0" borderId="0" xfId="0" applyNumberFormat="1" applyFont="1" applyFill="1" applyBorder="1"/>
    <xf numFmtId="43" fontId="4" fillId="0" borderId="0" xfId="1" applyFont="1" applyFill="1" applyBorder="1"/>
    <xf numFmtId="43" fontId="4" fillId="0" borderId="0" xfId="0" applyNumberFormat="1" applyFont="1" applyFill="1" applyBorder="1"/>
    <xf numFmtId="0" fontId="2" fillId="26" borderId="0" xfId="0" applyNumberFormat="1" applyFont="1" applyFill="1" applyBorder="1"/>
    <xf numFmtId="0" fontId="2" fillId="0" borderId="0" xfId="29" applyFont="1" applyAlignment="1">
      <alignment horizontal="center"/>
    </xf>
    <xf numFmtId="0" fontId="95" fillId="0" borderId="0" xfId="29" applyAlignment="1">
      <alignment horizontal="left"/>
    </xf>
    <xf numFmtId="0" fontId="95" fillId="0" borderId="0" xfId="29" applyAlignment="1">
      <alignment horizontal="center"/>
    </xf>
    <xf numFmtId="173" fontId="95" fillId="0" borderId="0" xfId="29" applyNumberFormat="1"/>
    <xf numFmtId="0" fontId="14" fillId="0" borderId="0" xfId="29" applyFont="1" applyAlignment="1">
      <alignment horizontal="center"/>
    </xf>
    <xf numFmtId="174" fontId="95" fillId="0" borderId="0" xfId="29" applyNumberFormat="1"/>
    <xf numFmtId="43" fontId="95" fillId="0" borderId="0" xfId="29" applyNumberFormat="1"/>
    <xf numFmtId="176" fontId="95" fillId="0" borderId="0" xfId="29" applyNumberFormat="1"/>
    <xf numFmtId="178" fontId="95" fillId="0" borderId="0" xfId="29" applyNumberFormat="1"/>
    <xf numFmtId="180" fontId="95" fillId="0" borderId="0" xfId="29" applyNumberFormat="1"/>
    <xf numFmtId="175" fontId="95" fillId="0" borderId="0" xfId="29" applyNumberFormat="1"/>
    <xf numFmtId="2" fontId="95" fillId="0" borderId="0" xfId="29" applyNumberFormat="1"/>
    <xf numFmtId="181" fontId="95" fillId="0" borderId="0" xfId="29" applyNumberFormat="1"/>
    <xf numFmtId="189" fontId="95" fillId="2" borderId="0" xfId="29" applyNumberFormat="1" applyFill="1"/>
    <xf numFmtId="0" fontId="40" fillId="0" borderId="0" xfId="29" applyFont="1"/>
    <xf numFmtId="2" fontId="95" fillId="4" borderId="0" xfId="29" applyNumberFormat="1" applyFill="1"/>
    <xf numFmtId="168" fontId="95" fillId="5" borderId="0" xfId="29" applyNumberFormat="1" applyFill="1"/>
    <xf numFmtId="2" fontId="95" fillId="5" borderId="0" xfId="29" applyNumberFormat="1" applyFill="1"/>
    <xf numFmtId="2" fontId="95" fillId="6" borderId="0" xfId="29" applyNumberFormat="1" applyFill="1"/>
    <xf numFmtId="14" fontId="95" fillId="0" borderId="0" xfId="29" applyNumberFormat="1"/>
    <xf numFmtId="0" fontId="95" fillId="3" borderId="0" xfId="29" applyFill="1"/>
    <xf numFmtId="0" fontId="95" fillId="4" borderId="0" xfId="29" applyFill="1"/>
    <xf numFmtId="0" fontId="95" fillId="5" borderId="0" xfId="29" applyFill="1"/>
    <xf numFmtId="182" fontId="95" fillId="0" borderId="0" xfId="29" applyNumberFormat="1"/>
    <xf numFmtId="0" fontId="0" fillId="0" borderId="0" xfId="0" applyNumberFormat="1" applyFont="1" applyFill="1" applyBorder="1"/>
    <xf numFmtId="2" fontId="2" fillId="0" borderId="0" xfId="0" applyNumberFormat="1" applyFont="1" applyFill="1" applyBorder="1"/>
    <xf numFmtId="0" fontId="14" fillId="0" borderId="0" xfId="0" applyNumberFormat="1" applyFont="1" applyFill="1" applyBorder="1"/>
    <xf numFmtId="2" fontId="14" fillId="0" borderId="0" xfId="0" applyNumberFormat="1" applyFont="1" applyFill="1" applyBorder="1"/>
    <xf numFmtId="0" fontId="14" fillId="23" borderId="0" xfId="0" applyNumberFormat="1" applyFont="1" applyFill="1" applyBorder="1"/>
    <xf numFmtId="173" fontId="95" fillId="2" borderId="0" xfId="29" applyNumberFormat="1" applyFill="1"/>
    <xf numFmtId="175" fontId="2" fillId="0" borderId="0" xfId="0" applyNumberFormat="1" applyFont="1" applyFill="1" applyBorder="1"/>
    <xf numFmtId="175" fontId="14" fillId="25" borderId="0" xfId="0" applyNumberFormat="1" applyFont="1" applyFill="1" applyBorder="1"/>
    <xf numFmtId="0" fontId="96" fillId="25" borderId="0" xfId="3" applyNumberFormat="1" applyFont="1" applyFill="1" applyBorder="1"/>
    <xf numFmtId="0" fontId="14" fillId="25" borderId="0" xfId="0" applyNumberFormat="1" applyFont="1" applyFill="1" applyBorder="1"/>
    <xf numFmtId="188" fontId="21" fillId="11" borderId="40" xfId="1" applyNumberFormat="1" applyFont="1" applyFill="1" applyBorder="1" applyAlignment="1">
      <alignment horizontal="right" indent="2"/>
    </xf>
    <xf numFmtId="188" fontId="18" fillId="0" borderId="6" xfId="1" applyNumberFormat="1" applyFont="1" applyFill="1" applyBorder="1" applyAlignment="1">
      <alignment horizontal="right" indent="2"/>
    </xf>
    <xf numFmtId="188" fontId="18" fillId="0" borderId="41" xfId="1" applyNumberFormat="1" applyFont="1" applyFill="1" applyBorder="1" applyAlignment="1">
      <alignment horizontal="right" indent="2"/>
    </xf>
    <xf numFmtId="0" fontId="14" fillId="26" borderId="0" xfId="0" applyNumberFormat="1" applyFont="1" applyFill="1" applyBorder="1"/>
    <xf numFmtId="175" fontId="14" fillId="0" borderId="0" xfId="0" applyNumberFormat="1" applyFont="1" applyFill="1" applyBorder="1"/>
    <xf numFmtId="0" fontId="40" fillId="0" borderId="0" xfId="0" applyNumberFormat="1" applyFont="1" applyFill="1" applyBorder="1"/>
    <xf numFmtId="2" fontId="18" fillId="0" borderId="6" xfId="7" applyNumberFormat="1" applyFont="1" applyFill="1" applyBorder="1" applyAlignment="1">
      <alignment vertical="center"/>
    </xf>
    <xf numFmtId="164" fontId="18" fillId="0" borderId="8" xfId="0" applyNumberFormat="1" applyFont="1" applyFill="1" applyBorder="1"/>
    <xf numFmtId="164" fontId="18" fillId="0" borderId="11" xfId="0" applyNumberFormat="1" applyFont="1" applyFill="1" applyBorder="1"/>
    <xf numFmtId="164" fontId="18" fillId="0" borderId="11" xfId="0" applyNumberFormat="1" applyFont="1" applyFill="1" applyBorder="1" applyAlignment="1">
      <alignment horizontal="right"/>
    </xf>
    <xf numFmtId="169" fontId="18" fillId="0" borderId="0" xfId="0" applyFont="1" applyBorder="1" applyAlignment="1">
      <alignment horizontal="center"/>
    </xf>
    <xf numFmtId="0" fontId="84" fillId="7" borderId="0" xfId="10" applyFont="1" applyFill="1" applyAlignment="1" applyProtection="1">
      <alignment vertical="center"/>
    </xf>
    <xf numFmtId="0" fontId="53" fillId="9" borderId="0" xfId="9" applyFont="1" applyFill="1" applyBorder="1" applyAlignment="1" applyProtection="1">
      <alignment horizontal="center" vertical="center" wrapText="1"/>
    </xf>
    <xf numFmtId="0" fontId="55" fillId="9" borderId="0" xfId="9" applyFont="1" applyFill="1" applyBorder="1" applyAlignment="1" applyProtection="1">
      <alignment horizontal="center"/>
    </xf>
    <xf numFmtId="0" fontId="56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8" fillId="0" borderId="0" xfId="10" applyFont="1" applyBorder="1" applyAlignment="1" applyProtection="1">
      <alignment vertical="center"/>
    </xf>
    <xf numFmtId="0" fontId="2" fillId="0" borderId="0" xfId="21" applyNumberFormat="1" applyAlignment="1">
      <alignment vertical="center"/>
    </xf>
    <xf numFmtId="169" fontId="58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9" fontId="0" fillId="0" borderId="0" xfId="0" applyAlignment="1"/>
    <xf numFmtId="169" fontId="58" fillId="9" borderId="10" xfId="0" applyFont="1" applyFill="1" applyBorder="1" applyAlignment="1">
      <alignment horizontal="center"/>
    </xf>
    <xf numFmtId="169" fontId="3" fillId="0" borderId="0" xfId="0" applyFont="1" applyBorder="1" applyAlignment="1">
      <alignment horizontal="center"/>
    </xf>
    <xf numFmtId="169" fontId="58" fillId="10" borderId="5" xfId="0" applyFont="1" applyFill="1" applyBorder="1" applyAlignment="1">
      <alignment horizontal="center"/>
    </xf>
    <xf numFmtId="169" fontId="21" fillId="13" borderId="6" xfId="0" applyFont="1" applyFill="1" applyBorder="1" applyAlignment="1">
      <alignment horizontal="center"/>
    </xf>
    <xf numFmtId="169" fontId="0" fillId="0" borderId="6" xfId="0" applyBorder="1" applyAlignment="1"/>
    <xf numFmtId="169" fontId="47" fillId="10" borderId="5" xfId="0" applyFont="1" applyFill="1" applyBorder="1" applyAlignment="1">
      <alignment horizontal="center"/>
    </xf>
    <xf numFmtId="169" fontId="21" fillId="7" borderId="1" xfId="0" applyFont="1" applyFill="1" applyBorder="1" applyAlignment="1">
      <alignment horizontal="center"/>
    </xf>
    <xf numFmtId="0" fontId="21" fillId="13" borderId="23" xfId="0" applyNumberFormat="1" applyFont="1" applyFill="1" applyBorder="1" applyAlignment="1">
      <alignment horizontal="left" vertical="center"/>
    </xf>
    <xf numFmtId="169" fontId="2" fillId="0" borderId="0" xfId="0" applyFont="1" applyBorder="1" applyAlignment="1">
      <alignment vertical="center"/>
    </xf>
    <xf numFmtId="169" fontId="0" fillId="0" borderId="0" xfId="0" applyBorder="1" applyAlignment="1">
      <alignment vertical="center"/>
    </xf>
    <xf numFmtId="169" fontId="0" fillId="0" borderId="22" xfId="0" applyBorder="1" applyAlignment="1">
      <alignment vertical="center"/>
    </xf>
    <xf numFmtId="169" fontId="21" fillId="7" borderId="6" xfId="0" applyFont="1" applyFill="1" applyBorder="1" applyAlignment="1">
      <alignment horizontal="center" vertical="center"/>
    </xf>
    <xf numFmtId="169" fontId="47" fillId="8" borderId="5" xfId="0" applyFont="1" applyFill="1" applyBorder="1" applyAlignment="1">
      <alignment horizontal="center"/>
    </xf>
    <xf numFmtId="169" fontId="88" fillId="0" borderId="0" xfId="0" applyFont="1" applyBorder="1" applyAlignment="1">
      <alignment horizontal="center"/>
    </xf>
    <xf numFmtId="169" fontId="22" fillId="0" borderId="0" xfId="0" applyFont="1" applyBorder="1" applyAlignment="1">
      <alignment horizontal="center"/>
    </xf>
    <xf numFmtId="169" fontId="18" fillId="0" borderId="0" xfId="0" applyFont="1" applyBorder="1" applyAlignment="1">
      <alignment horizontal="center"/>
    </xf>
    <xf numFmtId="0" fontId="21" fillId="13" borderId="24" xfId="0" applyNumberFormat="1" applyFont="1" applyFill="1" applyBorder="1" applyAlignment="1">
      <alignment horizontal="left" vertical="center"/>
    </xf>
    <xf numFmtId="0" fontId="21" fillId="13" borderId="6" xfId="0" applyNumberFormat="1" applyFont="1" applyFill="1" applyBorder="1" applyAlignment="1">
      <alignment horizontal="left" vertical="center"/>
    </xf>
    <xf numFmtId="169" fontId="0" fillId="0" borderId="6" xfId="0" applyBorder="1" applyAlignment="1">
      <alignment vertical="center"/>
    </xf>
    <xf numFmtId="169" fontId="0" fillId="0" borderId="26" xfId="0" applyBorder="1" applyAlignment="1">
      <alignment vertical="center"/>
    </xf>
    <xf numFmtId="169" fontId="0" fillId="0" borderId="5" xfId="0" applyBorder="1" applyAlignment="1"/>
    <xf numFmtId="169" fontId="21" fillId="7" borderId="0" xfId="0" applyFont="1" applyFill="1" applyBorder="1" applyAlignment="1">
      <alignment horizontal="center"/>
    </xf>
    <xf numFmtId="169" fontId="18" fillId="0" borderId="6" xfId="0" applyFont="1" applyFill="1" applyBorder="1" applyAlignment="1">
      <alignment horizontal="center" vertical="center" wrapText="1"/>
    </xf>
    <xf numFmtId="169" fontId="18" fillId="0" borderId="26" xfId="0" applyFont="1" applyFill="1" applyBorder="1" applyAlignment="1">
      <alignment horizontal="center" vertical="center" wrapText="1"/>
    </xf>
    <xf numFmtId="0" fontId="66" fillId="9" borderId="0" xfId="10" applyFont="1" applyFill="1" applyBorder="1" applyAlignment="1" applyProtection="1">
      <alignment vertical="center"/>
    </xf>
    <xf numFmtId="0" fontId="67" fillId="9" borderId="0" xfId="9" applyFont="1" applyFill="1" applyAlignment="1">
      <alignment vertical="center"/>
    </xf>
    <xf numFmtId="169" fontId="90" fillId="0" borderId="0" xfId="0" applyFont="1"/>
    <xf numFmtId="169" fontId="14" fillId="0" borderId="0" xfId="0" applyFont="1"/>
    <xf numFmtId="2" fontId="14" fillId="0" borderId="0" xfId="0" applyNumberFormat="1" applyFont="1"/>
    <xf numFmtId="2" fontId="2" fillId="0" borderId="0" xfId="0" applyNumberFormat="1" applyFont="1"/>
    <xf numFmtId="2" fontId="14" fillId="16" borderId="0" xfId="0" applyNumberFormat="1" applyFont="1" applyFill="1"/>
    <xf numFmtId="43" fontId="14" fillId="0" borderId="0" xfId="1" applyFont="1"/>
    <xf numFmtId="169" fontId="4" fillId="0" borderId="0" xfId="0" applyFont="1"/>
    <xf numFmtId="2" fontId="14" fillId="0" borderId="0" xfId="1" applyNumberFormat="1" applyFont="1"/>
    <xf numFmtId="2" fontId="0" fillId="0" borderId="0" xfId="0" applyNumberFormat="1"/>
    <xf numFmtId="0" fontId="38" fillId="0" borderId="0" xfId="29" applyFont="1"/>
    <xf numFmtId="0" fontId="39" fillId="0" borderId="0" xfId="29" applyFont="1"/>
    <xf numFmtId="191" fontId="14" fillId="3" borderId="3" xfId="1" applyNumberFormat="1" applyFont="1" applyFill="1" applyBorder="1"/>
    <xf numFmtId="43" fontId="2" fillId="0" borderId="0" xfId="1"/>
    <xf numFmtId="43" fontId="4" fillId="0" borderId="0" xfId="1" applyFont="1"/>
  </cellXfs>
  <cellStyles count="30">
    <cellStyle name="Comma" xfId="1" builtinId="3"/>
    <cellStyle name="Comma 2" xfId="11" xr:uid="{00000000-0005-0000-0000-000001000000}"/>
    <cellStyle name="Comma 2 2" xfId="12" xr:uid="{00000000-0005-0000-0000-000002000000}"/>
    <cellStyle name="Comma 5" xfId="23" xr:uid="{00000000-0005-0000-0000-000003000000}"/>
    <cellStyle name="Currency 2" xfId="13" xr:uid="{00000000-0005-0000-0000-000005000000}"/>
    <cellStyle name="Currency 2 2" xfId="14" xr:uid="{00000000-0005-0000-0000-000006000000}"/>
    <cellStyle name="Currency 3" xfId="15" xr:uid="{00000000-0005-0000-0000-000007000000}"/>
    <cellStyle name="Hyperlink" xfId="2" builtinId="8"/>
    <cellStyle name="Hyperlink 2" xfId="10" xr:uid="{00000000-0005-0000-0000-000009000000}"/>
    <cellStyle name="Normal" xfId="0" builtinId="0"/>
    <cellStyle name="Normal 10" xfId="22" xr:uid="{00000000-0005-0000-0000-00000B000000}"/>
    <cellStyle name="Normal 11" xfId="29" xr:uid="{00000000-0005-0000-0000-00000C000000}"/>
    <cellStyle name="Normal 2" xfId="3" xr:uid="{00000000-0005-0000-0000-00000D000000}"/>
    <cellStyle name="Normal 2 2" xfId="4" xr:uid="{00000000-0005-0000-0000-00000E000000}"/>
    <cellStyle name="Normal 2 2 2" xfId="20" xr:uid="{00000000-0005-0000-0000-00000F000000}"/>
    <cellStyle name="Normal 2 2 2 2" xfId="21" xr:uid="{00000000-0005-0000-0000-000010000000}"/>
    <cellStyle name="Normal 2 3" xfId="19" xr:uid="{00000000-0005-0000-0000-000011000000}"/>
    <cellStyle name="Normal 3" xfId="5" xr:uid="{00000000-0005-0000-0000-000012000000}"/>
    <cellStyle name="Normal 3 2" xfId="24" xr:uid="{00000000-0005-0000-0000-000013000000}"/>
    <cellStyle name="Normal 4" xfId="6" xr:uid="{00000000-0005-0000-0000-000014000000}"/>
    <cellStyle name="Normal 5" xfId="8" xr:uid="{00000000-0005-0000-0000-000015000000}"/>
    <cellStyle name="Normal 6" xfId="9" xr:uid="{00000000-0005-0000-0000-000016000000}"/>
    <cellStyle name="Normal 6 2" xfId="25" xr:uid="{00000000-0005-0000-0000-000017000000}"/>
    <cellStyle name="Normal 7" xfId="26" xr:uid="{00000000-0005-0000-0000-000018000000}"/>
    <cellStyle name="Normal 8" xfId="27" xr:uid="{00000000-0005-0000-0000-000019000000}"/>
    <cellStyle name="Normal 9" xfId="28" xr:uid="{00000000-0005-0000-0000-00001A000000}"/>
    <cellStyle name="Percent" xfId="7" builtinId="5"/>
    <cellStyle name="Percent 2" xfId="16" xr:uid="{00000000-0005-0000-0000-00001C000000}"/>
    <cellStyle name="Percent 2 2" xfId="17" xr:uid="{00000000-0005-0000-0000-00001D000000}"/>
    <cellStyle name="Percent 3" xfId="18" xr:uid="{00000000-0005-0000-0000-00001E000000}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264D74"/>
      <color rgb="FF000099"/>
      <color rgb="FF2552FF"/>
      <color rgb="FF104985"/>
      <color rgb="FF003399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 EEI Index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117.43999999999998</c:v>
                </c:pt>
                <c:pt idx="1">
                  <c:v>131.20396799999997</c:v>
                </c:pt>
                <c:pt idx="2">
                  <c:v>136.01915362559996</c:v>
                </c:pt>
                <c:pt idx="3">
                  <c:v>171.0984933456422</c:v>
                </c:pt>
                <c:pt idx="4">
                  <c:v>147.84620809996943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 S&amp;P 500 Index 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111.96</c:v>
                </c:pt>
                <c:pt idx="1">
                  <c:v>136.40086799999997</c:v>
                </c:pt>
                <c:pt idx="2">
                  <c:v>130.42650998159999</c:v>
                </c:pt>
                <c:pt idx="3">
                  <c:v>171.49781797480583</c:v>
                </c:pt>
                <c:pt idx="4">
                  <c:v>137.8842456517439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 DJI 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116.5</c:v>
                </c:pt>
                <c:pt idx="1">
                  <c:v>149.24814999999998</c:v>
                </c:pt>
                <c:pt idx="2">
                  <c:v>144.05431437999999</c:v>
                </c:pt>
                <c:pt idx="3">
                  <c:v>180.55767764389199</c:v>
                </c:pt>
                <c:pt idx="4">
                  <c:v>139.51691751543532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Treasury-Monthly'!$B$29:$B$832</c:f>
              <c:numCache>
                <c:formatCode>yyyy\-mmm</c:formatCode>
                <c:ptCount val="483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</c:numCache>
            </c:numRef>
          </c:cat>
          <c:val>
            <c:numRef>
              <c:f>'IV. 10Y Treasury-Monthly'!$D$29:$D$832</c:f>
              <c:numCache>
                <c:formatCode>0.00%</c:formatCode>
                <c:ptCount val="483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Treasury-Daily'!$B$30:$B$15188</c:f>
              <c:numCache>
                <c:formatCode>m/d/yyyy</c:formatCode>
                <c:ptCount val="2653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</c:numCache>
            </c:numRef>
          </c:cat>
          <c:val>
            <c:numRef>
              <c:f>'V. 10Y Treasury-Daily'!$D$30:$D$15188</c:f>
              <c:numCache>
                <c:formatCode>0.00%</c:formatCode>
                <c:ptCount val="2653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Quarter'!$D$7:$BJ$7</c:f>
              <c:numCache>
                <c:formatCode>_(* #,##0.0_);_(* \(#,##0.0\);_(* "-"??_);_(@_)</c:formatCode>
                <c:ptCount val="20"/>
                <c:pt idx="0">
                  <c:v>15.560000000000002</c:v>
                </c:pt>
                <c:pt idx="1">
                  <c:v>6.8622360678435541</c:v>
                </c:pt>
                <c:pt idx="2">
                  <c:v>-5.3931492428536956</c:v>
                </c:pt>
                <c:pt idx="3">
                  <c:v>0.52212616622445296</c:v>
                </c:pt>
                <c:pt idx="4">
                  <c:v>6.1299999999999955</c:v>
                </c:pt>
                <c:pt idx="5">
                  <c:v>2.3744464336191555</c:v>
                </c:pt>
                <c:pt idx="6">
                  <c:v>2.696732627703625</c:v>
                </c:pt>
                <c:pt idx="7">
                  <c:v>0.12547051442912505</c:v>
                </c:pt>
                <c:pt idx="8">
                  <c:v>-3.32</c:v>
                </c:pt>
                <c:pt idx="9">
                  <c:v>3.7649979313198259</c:v>
                </c:pt>
                <c:pt idx="10">
                  <c:v>2.0135566188197629</c:v>
                </c:pt>
                <c:pt idx="11">
                  <c:v>1.2995896032831666</c:v>
                </c:pt>
                <c:pt idx="12">
                  <c:v>11.13</c:v>
                </c:pt>
                <c:pt idx="13">
                  <c:v>4.1482947898857203</c:v>
                </c:pt>
                <c:pt idx="14">
                  <c:v>8.2253326421289046</c:v>
                </c:pt>
                <c:pt idx="15">
                  <c:v>0.42311991058599574</c:v>
                </c:pt>
                <c:pt idx="16">
                  <c:v>-13.59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Quarter'!$D$8:$BJ$8</c:f>
              <c:numCache>
                <c:formatCode>_(* #,##0.0_);_(* \(#,##0.0\);_(* "-"??_);_(@_)</c:formatCode>
                <c:ptCount val="20"/>
                <c:pt idx="0">
                  <c:v>2.2000000000000028</c:v>
                </c:pt>
                <c:pt idx="1">
                  <c:v>2.0645792563600622</c:v>
                </c:pt>
                <c:pt idx="2">
                  <c:v>2.780174479915658</c:v>
                </c:pt>
                <c:pt idx="3">
                  <c:v>8.6652364518235316</c:v>
                </c:pt>
                <c:pt idx="4">
                  <c:v>5.1900000000000119</c:v>
                </c:pt>
                <c:pt idx="5">
                  <c:v>3.9547485502424138</c:v>
                </c:pt>
                <c:pt idx="6">
                  <c:v>5.2766346593507194</c:v>
                </c:pt>
                <c:pt idx="7">
                  <c:v>11.283877692842253</c:v>
                </c:pt>
                <c:pt idx="8">
                  <c:v>-1.96</c:v>
                </c:pt>
                <c:pt idx="9">
                  <c:v>1.2545899632802815</c:v>
                </c:pt>
                <c:pt idx="10">
                  <c:v>9.6303011987508995</c:v>
                </c:pt>
                <c:pt idx="11">
                  <c:v>-11.311219332904528</c:v>
                </c:pt>
                <c:pt idx="12">
                  <c:v>11.81</c:v>
                </c:pt>
                <c:pt idx="13">
                  <c:v>3.2108040425722102</c:v>
                </c:pt>
                <c:pt idx="14">
                  <c:v>1.8284228769497446</c:v>
                </c:pt>
                <c:pt idx="15">
                  <c:v>6.6632627010467047</c:v>
                </c:pt>
                <c:pt idx="16">
                  <c:v>-22.73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Quarter'!$D$9:$BJ$9</c:f>
              <c:numCache>
                <c:formatCode>_(* #,##0.0_);_(* \(#,##0.0\);_(* "-"??_);_(@_)</c:formatCode>
                <c:ptCount val="20"/>
                <c:pt idx="0">
                  <c:v>1.3500000000000085</c:v>
                </c:pt>
                <c:pt idx="1">
                  <c:v>2.4568327577701012</c:v>
                </c:pt>
                <c:pt idx="2">
                  <c:v>3.8520801232665605</c:v>
                </c:pt>
                <c:pt idx="3">
                  <c:v>3.820474777448041</c:v>
                </c:pt>
                <c:pt idx="4">
                  <c:v>6.0699999999999932</c:v>
                </c:pt>
                <c:pt idx="5">
                  <c:v>3.0828698029603032</c:v>
                </c:pt>
                <c:pt idx="6">
                  <c:v>4.4814340588988557</c:v>
                </c:pt>
                <c:pt idx="7">
                  <c:v>6.6439075630252233</c:v>
                </c:pt>
                <c:pt idx="8">
                  <c:v>-0.76</c:v>
                </c:pt>
                <c:pt idx="9">
                  <c:v>3.436114469971784</c:v>
                </c:pt>
                <c:pt idx="10">
                  <c:v>7.7057963955187461</c:v>
                </c:pt>
                <c:pt idx="11">
                  <c:v>-13.513024602026036</c:v>
                </c:pt>
                <c:pt idx="12">
                  <c:v>13.65</c:v>
                </c:pt>
                <c:pt idx="13">
                  <c:v>4.3026836779586404</c:v>
                </c:pt>
                <c:pt idx="14">
                  <c:v>1.6956301670322347</c:v>
                </c:pt>
                <c:pt idx="15">
                  <c:v>9.0750725839900781</c:v>
                </c:pt>
                <c:pt idx="16">
                  <c:v>-19.600000000000001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Quarter'!$D$5:$BJ$6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2016</c:v>
                  </c:pt>
                  <c:pt idx="1">
                    <c:v>2016</c:v>
                  </c:pt>
                  <c:pt idx="2">
                    <c:v>2016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2017</c:v>
                  </c:pt>
                  <c:pt idx="6">
                    <c:v>2017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2018</c:v>
                  </c:pt>
                  <c:pt idx="10">
                    <c:v>2018</c:v>
                  </c:pt>
                  <c:pt idx="11">
                    <c:v>2018</c:v>
                  </c:pt>
                  <c:pt idx="12">
                    <c:v>2019</c:v>
                  </c:pt>
                  <c:pt idx="13">
                    <c:v>2019</c:v>
                  </c:pt>
                  <c:pt idx="14">
                    <c:v>2019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2020</c:v>
                  </c:pt>
                  <c:pt idx="18">
                    <c:v>2020</c:v>
                  </c:pt>
                  <c:pt idx="19">
                    <c:v>2020</c:v>
                  </c:pt>
                </c:lvl>
              </c:multiLvlStrCache>
            </c:multiLvlStrRef>
          </c:cat>
          <c:val>
            <c:numRef>
              <c:f>'VIII. Returns by Quarter'!$D$10:$BJ$10</c:f>
              <c:numCache>
                <c:formatCode>_(* #,##0.0_);_(* \(#,##0.0\);_(* "-"??_);_(@_)</c:formatCode>
                <c:ptCount val="20"/>
                <c:pt idx="0">
                  <c:v>-2.75</c:v>
                </c:pt>
                <c:pt idx="1">
                  <c:v>-0.55526992287919086</c:v>
                </c:pt>
                <c:pt idx="2">
                  <c:v>9.6887602109399182</c:v>
                </c:pt>
                <c:pt idx="3">
                  <c:v>1.3386123680241582</c:v>
                </c:pt>
                <c:pt idx="4">
                  <c:v>9.8200000000000074</c:v>
                </c:pt>
                <c:pt idx="5">
                  <c:v>3.8699690402476818</c:v>
                </c:pt>
                <c:pt idx="6">
                  <c:v>5.7859209257473623</c:v>
                </c:pt>
                <c:pt idx="7">
                  <c:v>6.2733073671997914</c:v>
                </c:pt>
                <c:pt idx="8">
                  <c:v>2.3199999999999998</c:v>
                </c:pt>
                <c:pt idx="9">
                  <c:v>6.3232994526974124</c:v>
                </c:pt>
                <c:pt idx="10">
                  <c:v>7.1422005699053273</c:v>
                </c:pt>
                <c:pt idx="11">
                  <c:v>-17.536032944406315</c:v>
                </c:pt>
                <c:pt idx="12">
                  <c:v>16.489999999999998</c:v>
                </c:pt>
                <c:pt idx="13">
                  <c:v>3.5797064125675888</c:v>
                </c:pt>
                <c:pt idx="14">
                  <c:v>-8.2877507044585741E-2</c:v>
                </c:pt>
                <c:pt idx="15">
                  <c:v>12.168214996682167</c:v>
                </c:pt>
                <c:pt idx="16">
                  <c:v>-14.18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Cap'!$B$105:$B$182</c:f>
              <c:strCache>
                <c:ptCount val="78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</c:strCache>
            </c:strRef>
          </c:cat>
          <c:val>
            <c:numRef>
              <c:f>'XII. EEI Index Market Cap'!$C$105:$C$182</c:f>
              <c:numCache>
                <c:formatCode>_(* #,##0.0_);_(* \(#,##0.0\);_(* "-"_);_(@_)</c:formatCode>
                <c:ptCount val="78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43921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122.21040093655675</c:v>
                </c:pt>
                <c:pt idx="1">
                  <c:v>136.33724408205825</c:v>
                </c:pt>
                <c:pt idx="2">
                  <c:v>142.17382309978109</c:v>
                </c:pt>
                <c:pt idx="3">
                  <c:v>174.95399999581613</c:v>
                </c:pt>
                <c:pt idx="4">
                  <c:v>147.37378416485458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43921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121.15672968444402</c:v>
                </c:pt>
                <c:pt idx="1">
                  <c:v>135.28524338081266</c:v>
                </c:pt>
                <c:pt idx="2">
                  <c:v>141.43616449429649</c:v>
                </c:pt>
                <c:pt idx="3">
                  <c:v>176.17517610076644</c:v>
                </c:pt>
                <c:pt idx="4">
                  <c:v>149.70600291885603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42735</c:v>
                </c:pt>
                <c:pt idx="1">
                  <c:v>43100</c:v>
                </c:pt>
                <c:pt idx="2">
                  <c:v>43465</c:v>
                </c:pt>
                <c:pt idx="3">
                  <c:v>43830</c:v>
                </c:pt>
                <c:pt idx="4">
                  <c:v>43921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124.5656730660869</c:v>
                </c:pt>
                <c:pt idx="1">
                  <c:v>138.67182697116326</c:v>
                </c:pt>
                <c:pt idx="2">
                  <c:v>143.68741320668454</c:v>
                </c:pt>
                <c:pt idx="3">
                  <c:v>169.36693093771217</c:v>
                </c:pt>
                <c:pt idx="4">
                  <c:v>138.3509781769018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42735</c:v>
                      </c:pt>
                      <c:pt idx="1">
                        <c:v>43100</c:v>
                      </c:pt>
                      <c:pt idx="2">
                        <c:v>43465</c:v>
                      </c:pt>
                      <c:pt idx="3">
                        <c:v>43830</c:v>
                      </c:pt>
                      <c:pt idx="4">
                        <c:v>43921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Return'!$E$40:$J$40</c15:sqref>
                        </c15:fullRef>
                        <c15:formulaRef>
                          <c15:sqref>'XIII. Comp Category Return'!$F$40:$J$40</c15:sqref>
                        </c15:formulaRef>
                      </c:ext>
                    </c:extLst>
                    <c:numCache>
                      <c:formatCode>[$-409]mmm\-yy;@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6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28</xdr:row>
      <xdr:rowOff>50806</xdr:rowOff>
    </xdr:from>
    <xdr:to>
      <xdr:col>61</xdr:col>
      <xdr:colOff>400050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>
    <tabColor rgb="FFF68933"/>
    <outlinePr summaryBelow="0" summaryRight="0"/>
    <pageSetUpPr fitToPage="1"/>
  </sheetPr>
  <dimension ref="C1:Q68"/>
  <sheetViews>
    <sheetView showGridLines="0" tabSelected="1" zoomScaleNormal="100" workbookViewId="0"/>
  </sheetViews>
  <sheetFormatPr defaultColWidth="0" defaultRowHeight="0" customHeight="1" zeroHeight="1"/>
  <cols>
    <col min="1" max="1" width="3.33203125" style="157" customWidth="1"/>
    <col min="2" max="2" width="3.6640625" style="157" customWidth="1"/>
    <col min="3" max="4" width="2.44140625" style="157" customWidth="1"/>
    <col min="5" max="5" width="7" style="157" customWidth="1"/>
    <col min="6" max="6" width="27" style="157" bestFit="1" customWidth="1"/>
    <col min="7" max="10" width="2.44140625" style="157" customWidth="1"/>
    <col min="11" max="11" width="2.109375" style="157" customWidth="1"/>
    <col min="12" max="12" width="15.44140625" style="157" customWidth="1"/>
    <col min="13" max="13" width="6.109375" style="157" customWidth="1"/>
    <col min="14" max="14" width="3" style="157" customWidth="1"/>
    <col min="15" max="15" width="3" style="157" hidden="1"/>
    <col min="16" max="16" width="62" style="157" hidden="1"/>
    <col min="17" max="17" width="9" style="157" hidden="1"/>
    <col min="18" max="16384" width="9.109375" style="157" hidden="1"/>
  </cols>
  <sheetData>
    <row r="1" spans="3:16" s="141" customFormat="1" ht="13.5" customHeight="1">
      <c r="P1" s="591" t="s">
        <v>522</v>
      </c>
    </row>
    <row r="2" spans="3:16" s="141" customFormat="1" ht="14.4">
      <c r="E2" s="719"/>
      <c r="F2" s="719"/>
      <c r="G2" s="848" t="s">
        <v>356</v>
      </c>
      <c r="H2" s="848"/>
      <c r="I2" s="848"/>
      <c r="J2" s="848"/>
      <c r="K2" s="848"/>
      <c r="L2" s="848"/>
      <c r="P2" s="592" t="s">
        <v>534</v>
      </c>
    </row>
    <row r="3" spans="3:16" s="141" customFormat="1" ht="14.4">
      <c r="E3" s="719"/>
      <c r="F3" s="719"/>
      <c r="G3" s="848"/>
      <c r="H3" s="848"/>
      <c r="I3" s="848"/>
      <c r="J3" s="848"/>
      <c r="K3" s="848"/>
      <c r="L3" s="848"/>
      <c r="P3" s="592" t="s">
        <v>535</v>
      </c>
    </row>
    <row r="4" spans="3:16" s="141" customFormat="1" ht="14.4">
      <c r="E4" s="719"/>
      <c r="F4" s="719"/>
      <c r="G4" s="848"/>
      <c r="H4" s="848"/>
      <c r="I4" s="848"/>
      <c r="J4" s="848"/>
      <c r="K4" s="848"/>
      <c r="L4" s="848"/>
      <c r="P4" s="592" t="s">
        <v>536</v>
      </c>
    </row>
    <row r="5" spans="3:16" s="141" customFormat="1" ht="12.75" customHeight="1">
      <c r="E5" s="719"/>
      <c r="F5" s="719"/>
      <c r="G5" s="849" t="s">
        <v>710</v>
      </c>
      <c r="H5" s="849"/>
      <c r="I5" s="849"/>
      <c r="J5" s="849"/>
      <c r="K5" s="849"/>
      <c r="L5" s="849"/>
      <c r="P5" s="592"/>
    </row>
    <row r="6" spans="3:16" s="141" customFormat="1" ht="12.75" customHeight="1">
      <c r="E6" s="719"/>
      <c r="F6" s="719"/>
      <c r="G6" s="849"/>
      <c r="H6" s="849"/>
      <c r="I6" s="849"/>
      <c r="J6" s="849"/>
      <c r="K6" s="849"/>
      <c r="L6" s="849"/>
      <c r="P6" s="593"/>
    </row>
    <row r="7" spans="3:16" s="142" customFormat="1" ht="13.5" customHeight="1">
      <c r="C7" s="141"/>
      <c r="D7" s="141"/>
      <c r="E7" s="141"/>
      <c r="F7" s="141"/>
      <c r="P7" s="593"/>
    </row>
    <row r="8" spans="3:16" s="141" customFormat="1" ht="14.4">
      <c r="C8" s="850" t="s">
        <v>616</v>
      </c>
      <c r="D8" s="851"/>
      <c r="E8" s="851"/>
      <c r="F8" s="851"/>
      <c r="G8" s="851"/>
      <c r="H8" s="851"/>
      <c r="I8" s="851"/>
      <c r="J8" s="851"/>
      <c r="K8" s="851"/>
      <c r="L8" s="851"/>
      <c r="P8" s="593"/>
    </row>
    <row r="9" spans="3:16" s="144" customFormat="1" ht="6" customHeight="1" thickBot="1">
      <c r="C9" s="143"/>
      <c r="P9" s="590"/>
    </row>
    <row r="10" spans="3:16" s="145" customFormat="1" ht="9.75" customHeight="1"/>
    <row r="11" spans="3:16" s="145" customFormat="1" ht="9.75" customHeight="1"/>
    <row r="12" spans="3:16" s="147" customFormat="1" ht="18.75" customHeight="1">
      <c r="C12" s="146" t="s">
        <v>344</v>
      </c>
      <c r="L12" s="148" t="s">
        <v>345</v>
      </c>
      <c r="P12" s="147" t="s">
        <v>388</v>
      </c>
    </row>
    <row r="13" spans="3:16" s="149" customFormat="1" ht="10.5" customHeight="1">
      <c r="F13" s="150"/>
    </row>
    <row r="14" spans="3:16" s="149" customFormat="1" ht="14.4">
      <c r="E14" s="151" t="s">
        <v>357</v>
      </c>
      <c r="F14" s="199" t="s">
        <v>203</v>
      </c>
      <c r="P14" s="155" t="s">
        <v>651</v>
      </c>
    </row>
    <row r="15" spans="3:16" s="149" customFormat="1" ht="4.5" customHeight="1">
      <c r="E15" s="151"/>
      <c r="F15" s="151"/>
      <c r="P15" s="155"/>
    </row>
    <row r="16" spans="3:16" s="149" customFormat="1" ht="14.4">
      <c r="E16" s="151" t="s">
        <v>358</v>
      </c>
      <c r="F16" s="199" t="s">
        <v>0</v>
      </c>
      <c r="P16" s="155" t="s">
        <v>468</v>
      </c>
    </row>
    <row r="17" spans="5:17" s="149" customFormat="1" ht="4.5" customHeight="1">
      <c r="E17" s="151"/>
      <c r="F17" s="151"/>
      <c r="P17" s="155"/>
    </row>
    <row r="18" spans="5:17" s="149" customFormat="1" ht="14.4">
      <c r="E18" s="151" t="s">
        <v>359</v>
      </c>
      <c r="F18" s="199" t="s">
        <v>406</v>
      </c>
      <c r="P18" s="155" t="s">
        <v>538</v>
      </c>
    </row>
    <row r="19" spans="5:17" s="149" customFormat="1" ht="4.5" customHeight="1">
      <c r="E19" s="151"/>
      <c r="F19" s="151"/>
      <c r="P19" s="155"/>
    </row>
    <row r="20" spans="5:17" s="149" customFormat="1" ht="14.4">
      <c r="E20" s="151" t="s">
        <v>360</v>
      </c>
      <c r="F20" s="199" t="s">
        <v>407</v>
      </c>
      <c r="P20" s="155" t="s">
        <v>471</v>
      </c>
    </row>
    <row r="21" spans="5:17" s="149" customFormat="1" ht="4.5" customHeight="1">
      <c r="E21" s="151"/>
      <c r="F21" s="151"/>
      <c r="P21" s="155"/>
    </row>
    <row r="22" spans="5:17" s="149" customFormat="1" ht="14.4">
      <c r="E22" s="151" t="s">
        <v>361</v>
      </c>
      <c r="F22" s="199" t="s">
        <v>378</v>
      </c>
      <c r="P22" s="155" t="s">
        <v>471</v>
      </c>
    </row>
    <row r="23" spans="5:17" s="149" customFormat="1" ht="4.5" customHeight="1">
      <c r="E23" s="151"/>
      <c r="F23" s="151"/>
      <c r="P23" s="155"/>
    </row>
    <row r="24" spans="5:17" s="149" customFormat="1" ht="14.4">
      <c r="E24" s="207" t="s">
        <v>362</v>
      </c>
      <c r="F24" s="207" t="s">
        <v>363</v>
      </c>
      <c r="P24" s="155"/>
    </row>
    <row r="25" spans="5:17" s="149" customFormat="1" ht="4.5" customHeight="1">
      <c r="E25" s="151"/>
      <c r="F25" s="151"/>
      <c r="P25" s="155"/>
    </row>
    <row r="26" spans="5:17" s="206" customFormat="1" ht="14.4">
      <c r="E26" s="207" t="s">
        <v>364</v>
      </c>
      <c r="F26" s="207" t="s">
        <v>365</v>
      </c>
      <c r="P26" s="155"/>
      <c r="Q26" s="149"/>
    </row>
    <row r="27" spans="5:17" s="149" customFormat="1" ht="4.5" customHeight="1">
      <c r="E27" s="151"/>
      <c r="F27" s="151"/>
      <c r="P27" s="155"/>
    </row>
    <row r="28" spans="5:17" s="149" customFormat="1" ht="14.4">
      <c r="E28" s="151" t="s">
        <v>366</v>
      </c>
      <c r="F28" s="151" t="s">
        <v>367</v>
      </c>
      <c r="P28" s="155" t="s">
        <v>470</v>
      </c>
    </row>
    <row r="29" spans="5:17" s="149" customFormat="1" ht="4.5" customHeight="1">
      <c r="E29" s="151"/>
      <c r="F29" s="151"/>
      <c r="P29" s="155"/>
    </row>
    <row r="30" spans="5:17" s="149" customFormat="1" ht="14.4">
      <c r="E30" s="151" t="s">
        <v>375</v>
      </c>
      <c r="F30" s="151" t="s">
        <v>376</v>
      </c>
      <c r="P30" s="155" t="s">
        <v>472</v>
      </c>
    </row>
    <row r="31" spans="5:17" s="149" customFormat="1" ht="4.5" customHeight="1">
      <c r="E31" s="151"/>
      <c r="F31" s="151"/>
      <c r="P31" s="155"/>
    </row>
    <row r="32" spans="5:17" s="149" customFormat="1" ht="14.4">
      <c r="E32" s="151" t="s">
        <v>368</v>
      </c>
      <c r="F32" s="151" t="s">
        <v>369</v>
      </c>
      <c r="P32" s="155" t="s">
        <v>526</v>
      </c>
    </row>
    <row r="33" spans="3:16" s="149" customFormat="1" ht="4.5" customHeight="1">
      <c r="E33" s="151"/>
      <c r="F33" s="151"/>
      <c r="P33" s="155"/>
    </row>
    <row r="34" spans="3:16" s="149" customFormat="1" ht="14.4">
      <c r="E34" s="151" t="s">
        <v>370</v>
      </c>
      <c r="F34" s="151" t="s">
        <v>371</v>
      </c>
      <c r="P34" s="155" t="s">
        <v>532</v>
      </c>
    </row>
    <row r="35" spans="3:16" s="149" customFormat="1" ht="4.5" customHeight="1">
      <c r="E35" s="151"/>
      <c r="F35" s="151"/>
      <c r="P35" s="155"/>
    </row>
    <row r="36" spans="3:16" s="149" customFormat="1" ht="14.4">
      <c r="E36" s="151" t="s">
        <v>372</v>
      </c>
      <c r="F36" s="151" t="s">
        <v>379</v>
      </c>
      <c r="P36" s="155" t="s">
        <v>533</v>
      </c>
    </row>
    <row r="37" spans="3:16" s="149" customFormat="1" ht="4.5" customHeight="1">
      <c r="E37" s="151"/>
      <c r="F37" s="151"/>
      <c r="P37" s="155"/>
    </row>
    <row r="38" spans="3:16" s="149" customFormat="1" ht="14.4">
      <c r="E38" s="151" t="s">
        <v>373</v>
      </c>
      <c r="F38" s="151" t="s">
        <v>374</v>
      </c>
      <c r="P38" s="155" t="s">
        <v>526</v>
      </c>
    </row>
    <row r="39" spans="3:16" s="149" customFormat="1" ht="4.5" customHeight="1">
      <c r="F39" s="152"/>
      <c r="P39" s="155"/>
    </row>
    <row r="40" spans="3:16" s="153" customFormat="1" ht="12">
      <c r="F40" s="154" t="s">
        <v>346</v>
      </c>
    </row>
    <row r="41" spans="3:16" s="149" customFormat="1" ht="4.5" customHeight="1">
      <c r="F41" s="152"/>
    </row>
    <row r="42" spans="3:16" s="149" customFormat="1" ht="6.75" customHeight="1"/>
    <row r="43" spans="3:16" s="147" customFormat="1" ht="18.75" customHeight="1">
      <c r="C43" s="146" t="s">
        <v>347</v>
      </c>
    </row>
    <row r="44" spans="3:16" s="156" customFormat="1" ht="7.8">
      <c r="F44" s="585"/>
    </row>
    <row r="45" spans="3:16" s="155" customFormat="1" ht="13.8">
      <c r="D45" s="581" t="s">
        <v>348</v>
      </c>
      <c r="E45" s="581"/>
    </row>
    <row r="46" spans="3:16" s="153" customFormat="1" ht="12">
      <c r="E46" s="153" t="s">
        <v>657</v>
      </c>
    </row>
    <row r="47" spans="3:16" s="145" customFormat="1" ht="10.199999999999999">
      <c r="E47" s="145" t="s">
        <v>349</v>
      </c>
    </row>
    <row r="48" spans="3:16" s="145" customFormat="1" ht="10.199999999999999">
      <c r="E48" s="583" t="s">
        <v>350</v>
      </c>
      <c r="F48" s="583"/>
    </row>
    <row r="49" spans="3:12" s="584" customFormat="1" ht="6.6"/>
    <row r="50" spans="3:12" s="155" customFormat="1" ht="13.8">
      <c r="D50" s="581" t="s">
        <v>620</v>
      </c>
      <c r="E50" s="581"/>
    </row>
    <row r="51" spans="3:12" s="153" customFormat="1" ht="12">
      <c r="E51" s="153" t="s">
        <v>688</v>
      </c>
    </row>
    <row r="52" spans="3:12" s="145" customFormat="1" ht="10.199999999999999">
      <c r="E52" s="145" t="s">
        <v>621</v>
      </c>
    </row>
    <row r="53" spans="3:12" s="145" customFormat="1" ht="10.199999999999999">
      <c r="E53" s="583" t="s">
        <v>622</v>
      </c>
      <c r="F53" s="583"/>
    </row>
    <row r="54" spans="3:12" s="156" customFormat="1" ht="7.8"/>
    <row r="55" spans="3:12" s="155" customFormat="1" ht="13.8">
      <c r="D55" s="581" t="s">
        <v>700</v>
      </c>
      <c r="E55" s="581"/>
    </row>
    <row r="56" spans="3:12" s="153" customFormat="1" ht="12">
      <c r="E56" s="153" t="s">
        <v>701</v>
      </c>
    </row>
    <row r="57" spans="3:12" s="145" customFormat="1" ht="10.199999999999999">
      <c r="E57" s="145" t="s">
        <v>702</v>
      </c>
    </row>
    <row r="58" spans="3:12" s="145" customFormat="1" ht="10.199999999999999">
      <c r="E58" s="583" t="s">
        <v>703</v>
      </c>
      <c r="F58" s="583"/>
    </row>
    <row r="59" spans="3:12" s="156" customFormat="1" ht="7.8"/>
    <row r="60" spans="3:12" s="147" customFormat="1" ht="20.25" customHeight="1">
      <c r="C60" s="146" t="s">
        <v>351</v>
      </c>
      <c r="L60" s="148" t="s">
        <v>352</v>
      </c>
    </row>
    <row r="61" spans="3:12" s="156" customFormat="1" ht="7.8">
      <c r="F61" s="585"/>
    </row>
    <row r="62" spans="3:12" s="155" customFormat="1" ht="13.8">
      <c r="C62" s="582"/>
      <c r="E62" s="847" t="s">
        <v>353</v>
      </c>
      <c r="F62" s="847"/>
    </row>
    <row r="63" spans="3:12" s="155" customFormat="1" ht="4.5" customHeight="1">
      <c r="E63" s="582"/>
      <c r="F63" s="582"/>
    </row>
    <row r="64" spans="3:12" s="155" customFormat="1" ht="13.8">
      <c r="C64" s="582"/>
      <c r="E64" s="847" t="s">
        <v>354</v>
      </c>
      <c r="F64" s="847"/>
    </row>
    <row r="65" spans="3:12" s="155" customFormat="1" ht="4.5" customHeight="1">
      <c r="E65" s="642"/>
      <c r="F65" s="642"/>
    </row>
    <row r="66" spans="3:12" s="155" customFormat="1" ht="13.8">
      <c r="C66" s="582"/>
      <c r="E66" s="847" t="s">
        <v>355</v>
      </c>
      <c r="F66" s="847"/>
    </row>
    <row r="67" spans="3:12" s="586" customFormat="1" ht="7.8">
      <c r="C67" s="587"/>
    </row>
    <row r="68" spans="3:12" s="147" customFormat="1" ht="15.6">
      <c r="C68" s="146"/>
      <c r="L68" s="148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 xr:uid="{00000000-0004-0000-0000-000000000000}"/>
    <hyperlink ref="E48" r:id="rId2" xr:uid="{00000000-0004-0000-0000-000001000000}"/>
    <hyperlink ref="E58" r:id="rId3" display="mbuckley@eei.org" xr:uid="{00000000-0004-0000-0000-000002000000}"/>
    <hyperlink ref="F40" location="End!A1" display="End" xr:uid="{00000000-0004-0000-0000-000003000000}"/>
    <hyperlink ref="F14" location="'I. Index'!A1" display="Index Comparison" xr:uid="{00000000-0004-0000-0000-000004000000}"/>
    <hyperlink ref="F16" location="'II. Category'!A1" display="Category Comparison" xr:uid="{00000000-0004-0000-0000-000005000000}"/>
    <hyperlink ref="F18" location="'III. Total Return'!A1" display="Total Return Comparison" xr:uid="{00000000-0004-0000-0000-000006000000}"/>
    <hyperlink ref="F20" location="'IV. 10Y Treasury-Monthly'!A1" display="10-Year Treasury - Monthly" xr:uid="{00000000-0004-0000-0000-000007000000}"/>
    <hyperlink ref="F22" location="'V. 10Y Treasury-Daily'!A1" display="10-Year Treasury - Daily" xr:uid="{00000000-0004-0000-0000-000008000000}"/>
    <hyperlink ref="F24" location="'VI. NG Spot'!A1" display="Natural Gas Spot Prices" xr:uid="{00000000-0004-0000-0000-000009000000}"/>
    <hyperlink ref="F26" location="'VII. NG Futures'!A1" display="NYMEX Natural Gas Futures" xr:uid="{00000000-0004-0000-0000-00000A000000}"/>
    <hyperlink ref="F28" location="'VIII. Returns by Quarter'!A1" display="Returns by Quarter" xr:uid="{00000000-0004-0000-0000-00000B000000}"/>
    <hyperlink ref="F30" location="'IX &amp; X. Sector Comparison'!A1" display="Sector Comparison" xr:uid="{00000000-0004-0000-0000-00000C000000}"/>
    <hyperlink ref="F32" location="'XI. Market Capitalization'!A1" display="Market Capitalization" xr:uid="{00000000-0004-0000-0000-00000D000000}"/>
    <hyperlink ref="F34" location="'XII. EEI Index Market Cap'!A1" display="EEI Index Market Cap" xr:uid="{00000000-0004-0000-0000-00000E000000}"/>
    <hyperlink ref="F36" location="'XIII. Comp Category Return'!A1" display="Comp. Category Return" xr:uid="{00000000-0004-0000-0000-00000F000000}"/>
    <hyperlink ref="F38" location="'XIV. EEI Index Top 10'!A1" display="EEI Index Top 10" xr:uid="{00000000-0004-0000-0000-000010000000}"/>
    <hyperlink ref="E64" r:id="rId4" location="Quarterly" xr:uid="{00000000-0004-0000-0000-000011000000}"/>
    <hyperlink ref="E66" r:id="rId5" xr:uid="{00000000-0004-0000-0000-000012000000}"/>
    <hyperlink ref="E64:F64" r:id="rId6" display="Quarterly Financial Updates (Recent)" xr:uid="{00000000-0004-0000-0000-000013000000}"/>
    <hyperlink ref="E66:F66" r:id="rId7" display="Quarterly Financial Updates (Archive)" xr:uid="{00000000-0004-0000-0000-000014000000}"/>
    <hyperlink ref="E53" r:id="rId8" xr:uid="{2F570E4B-5333-4005-BFF6-DF779DFE057C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outlinePr summaryBelow="0" summaryRight="0"/>
  </sheetPr>
  <dimension ref="A1:BO27"/>
  <sheetViews>
    <sheetView showGridLines="0" zoomScaleNormal="100" workbookViewId="0">
      <pane xSplit="2" ySplit="6" topLeftCell="X7" activePane="bottomRight" state="frozen"/>
      <selection pane="topRight" activeCell="B1" sqref="B1"/>
      <selection pane="bottomLeft" activeCell="A5" sqref="A5"/>
      <selection pane="bottomRight" activeCell="AQ7" sqref="AQ7"/>
    </sheetView>
  </sheetViews>
  <sheetFormatPr defaultColWidth="12.5546875" defaultRowHeight="10.199999999999999" outlineLevelRow="1" outlineLevelCol="1"/>
  <cols>
    <col min="1" max="1" width="3.5546875" style="29" customWidth="1"/>
    <col min="2" max="2" width="30.6640625" style="30" customWidth="1" collapsed="1"/>
    <col min="3" max="9" width="7" style="28" hidden="1" customWidth="1" outlineLevel="1"/>
    <col min="10" max="10" width="7" style="29" hidden="1" customWidth="1" outlineLevel="1"/>
    <col min="11" max="11" width="7" style="29" hidden="1" customWidth="1" outlineLevel="1" collapsed="1"/>
    <col min="12" max="14" width="7" style="29" hidden="1" customWidth="1" outlineLevel="1"/>
    <col min="15" max="15" width="7" style="29" hidden="1" customWidth="1" outlineLevel="1" collapsed="1"/>
    <col min="16" max="22" width="7" style="29" hidden="1" customWidth="1" outlineLevel="1"/>
    <col min="23" max="42" width="6.88671875" style="29" hidden="1" customWidth="1" outlineLevel="1"/>
    <col min="43" max="61" width="6.88671875" style="29" customWidth="1"/>
    <col min="62" max="62" width="6.88671875" style="29" customWidth="1" collapsed="1"/>
    <col min="63" max="63" width="1.6640625" style="29" hidden="1" customWidth="1" outlineLevel="1"/>
    <col min="64" max="64" width="7.6640625" style="28" hidden="1" customWidth="1" outlineLevel="1"/>
    <col min="65" max="65" width="1.109375" style="28" customWidth="1" collapsed="1"/>
    <col min="66" max="66" width="1.109375" style="28" customWidth="1"/>
    <col min="67" max="67" width="7.109375" style="28" bestFit="1" customWidth="1"/>
    <col min="68" max="16384" width="12.5546875" style="29"/>
  </cols>
  <sheetData>
    <row r="1" spans="1:67" ht="13.2">
      <c r="A1" s="852" t="s">
        <v>408</v>
      </c>
      <c r="B1" s="855"/>
      <c r="V1" s="214"/>
    </row>
    <row r="2" spans="1:67" ht="18">
      <c r="B2" s="161" t="s">
        <v>88</v>
      </c>
      <c r="C2" s="27"/>
      <c r="D2" s="27"/>
      <c r="E2" s="27"/>
      <c r="O2" s="57"/>
      <c r="P2" s="57"/>
      <c r="Q2" s="57"/>
      <c r="R2" s="57"/>
      <c r="V2" s="76"/>
    </row>
    <row r="3" spans="1:67" s="18" customFormat="1" ht="13.8" collapsed="1">
      <c r="B3" s="210"/>
      <c r="C3" s="211"/>
      <c r="D3" s="211"/>
      <c r="E3" s="211"/>
      <c r="F3" s="180"/>
      <c r="G3" s="180"/>
      <c r="H3" s="180"/>
      <c r="I3" s="180"/>
      <c r="O3" s="212"/>
      <c r="P3" s="212"/>
      <c r="Q3" s="212"/>
      <c r="R3" s="212"/>
      <c r="BL3" s="180"/>
      <c r="BM3" s="180"/>
      <c r="BN3" s="180"/>
      <c r="BO3" s="180"/>
    </row>
    <row r="4" spans="1:67" s="18" customFormat="1" ht="13.8" hidden="1" outlineLevel="1">
      <c r="B4" s="14"/>
      <c r="C4" s="213" t="str">
        <f>C5 &amp; ":::" &amp; C6</f>
        <v xml:space="preserve">2006:::Q1 </v>
      </c>
      <c r="D4" s="213" t="str">
        <f t="shared" ref="D4:AJ4" si="0">D5 &amp; ":::" &amp; D6</f>
        <v xml:space="preserve">2006:::Q2 </v>
      </c>
      <c r="E4" s="213" t="str">
        <f t="shared" si="0"/>
        <v>2006:::Q3</v>
      </c>
      <c r="F4" s="213" t="str">
        <f t="shared" si="0"/>
        <v>2006:::Q4</v>
      </c>
      <c r="G4" s="213" t="str">
        <f t="shared" si="0"/>
        <v>2007:::Q1</v>
      </c>
      <c r="H4" s="213" t="str">
        <f t="shared" si="0"/>
        <v>2007:::Q2</v>
      </c>
      <c r="I4" s="213" t="str">
        <f t="shared" si="0"/>
        <v>2007:::Q3</v>
      </c>
      <c r="J4" s="213" t="str">
        <f t="shared" si="0"/>
        <v>2007:::Q4</v>
      </c>
      <c r="K4" s="213" t="str">
        <f t="shared" si="0"/>
        <v>2008:::Q1</v>
      </c>
      <c r="L4" s="213" t="str">
        <f t="shared" si="0"/>
        <v>2008:::Q2</v>
      </c>
      <c r="M4" s="213" t="str">
        <f t="shared" si="0"/>
        <v>2008:::Q3</v>
      </c>
      <c r="N4" s="213" t="str">
        <f t="shared" si="0"/>
        <v>2008:::Q4</v>
      </c>
      <c r="O4" s="213" t="str">
        <f t="shared" si="0"/>
        <v>2009:::Q1</v>
      </c>
      <c r="P4" s="213" t="str">
        <f t="shared" si="0"/>
        <v>2009:::Q2</v>
      </c>
      <c r="Q4" s="213" t="str">
        <f t="shared" si="0"/>
        <v>2009:::Q3</v>
      </c>
      <c r="R4" s="213" t="str">
        <f t="shared" si="0"/>
        <v>2009:::Q4</v>
      </c>
      <c r="S4" s="213" t="str">
        <f t="shared" si="0"/>
        <v>2010:::Q1</v>
      </c>
      <c r="T4" s="213" t="str">
        <f t="shared" si="0"/>
        <v>2010:::Q2</v>
      </c>
      <c r="U4" s="213" t="str">
        <f t="shared" si="0"/>
        <v>2010:::Q3</v>
      </c>
      <c r="V4" s="213" t="str">
        <f t="shared" si="0"/>
        <v>2010:::Q4</v>
      </c>
      <c r="W4" s="213" t="str">
        <f t="shared" si="0"/>
        <v>2011:::Q1</v>
      </c>
      <c r="X4" s="213" t="str">
        <f t="shared" si="0"/>
        <v>2011:::Q2</v>
      </c>
      <c r="Y4" s="213" t="str">
        <f t="shared" si="0"/>
        <v>2011:::Q3</v>
      </c>
      <c r="Z4" s="213" t="str">
        <f t="shared" si="0"/>
        <v>2011:::Q4</v>
      </c>
      <c r="AA4" s="213" t="str">
        <f t="shared" ref="AA4:AB4" si="1">AA5 &amp; ":::" &amp; AA6</f>
        <v>2012:::Q1</v>
      </c>
      <c r="AB4" s="213" t="str">
        <f t="shared" si="1"/>
        <v>2012:::Q2</v>
      </c>
      <c r="AE4" s="213" t="str">
        <f t="shared" ref="AE4:AF4" si="2">AE5 &amp; ":::" &amp; AE6</f>
        <v>2013:::Q1</v>
      </c>
      <c r="AF4" s="213" t="str">
        <f t="shared" si="2"/>
        <v>2013:::Q2</v>
      </c>
      <c r="AI4" s="213" t="str">
        <f t="shared" si="0"/>
        <v>2014:::Q1</v>
      </c>
      <c r="AJ4" s="213" t="str">
        <f t="shared" si="0"/>
        <v>2014:::Q2</v>
      </c>
      <c r="BL4" s="180"/>
      <c r="BM4" s="180"/>
      <c r="BN4" s="180"/>
      <c r="BO4" s="180"/>
    </row>
    <row r="5" spans="1:67" s="169" customFormat="1" ht="13.8" collapsed="1">
      <c r="B5" s="163"/>
      <c r="C5" s="170">
        <v>2006</v>
      </c>
      <c r="D5" s="170">
        <v>2006</v>
      </c>
      <c r="E5" s="170">
        <v>2006</v>
      </c>
      <c r="F5" s="170">
        <v>2006</v>
      </c>
      <c r="G5" s="171">
        <v>2007</v>
      </c>
      <c r="H5" s="171">
        <v>2007</v>
      </c>
      <c r="I5" s="171">
        <v>2007</v>
      </c>
      <c r="J5" s="171">
        <v>2007</v>
      </c>
      <c r="K5" s="170">
        <v>2008</v>
      </c>
      <c r="L5" s="170">
        <v>2008</v>
      </c>
      <c r="M5" s="170">
        <v>2008</v>
      </c>
      <c r="N5" s="170">
        <v>2008</v>
      </c>
      <c r="O5" s="170">
        <v>2009</v>
      </c>
      <c r="P5" s="170">
        <v>2009</v>
      </c>
      <c r="Q5" s="170">
        <v>2009</v>
      </c>
      <c r="R5" s="170">
        <v>2009</v>
      </c>
      <c r="S5" s="170">
        <v>2010</v>
      </c>
      <c r="T5" s="170">
        <v>2010</v>
      </c>
      <c r="U5" s="170">
        <v>2010</v>
      </c>
      <c r="V5" s="170">
        <v>2010</v>
      </c>
      <c r="W5" s="170">
        <v>2011</v>
      </c>
      <c r="X5" s="170">
        <v>2011</v>
      </c>
      <c r="Y5" s="170">
        <v>2011</v>
      </c>
      <c r="Z5" s="170">
        <v>2011</v>
      </c>
      <c r="AA5" s="170">
        <v>2012</v>
      </c>
      <c r="AB5" s="170">
        <v>2012</v>
      </c>
      <c r="AC5" s="170">
        <v>2012</v>
      </c>
      <c r="AD5" s="170">
        <v>2012</v>
      </c>
      <c r="AE5" s="170">
        <v>2013</v>
      </c>
      <c r="AF5" s="170">
        <v>2013</v>
      </c>
      <c r="AG5" s="170">
        <v>2013</v>
      </c>
      <c r="AH5" s="170">
        <v>2013</v>
      </c>
      <c r="AI5" s="170">
        <v>2014</v>
      </c>
      <c r="AJ5" s="170">
        <v>2014</v>
      </c>
      <c r="AK5" s="170">
        <v>2014</v>
      </c>
      <c r="AL5" s="170">
        <v>2014</v>
      </c>
      <c r="AM5" s="170">
        <v>2015</v>
      </c>
      <c r="AN5" s="170">
        <v>2015</v>
      </c>
      <c r="AO5" s="170">
        <v>2015</v>
      </c>
      <c r="AP5" s="170">
        <v>2015</v>
      </c>
      <c r="AQ5" s="170">
        <v>2016</v>
      </c>
      <c r="AR5" s="170">
        <v>2016</v>
      </c>
      <c r="AS5" s="170">
        <v>2016</v>
      </c>
      <c r="AT5" s="170">
        <v>2016</v>
      </c>
      <c r="AU5" s="170">
        <v>2017</v>
      </c>
      <c r="AV5" s="170">
        <v>2017</v>
      </c>
      <c r="AW5" s="170">
        <v>2017</v>
      </c>
      <c r="AX5" s="170">
        <v>2017</v>
      </c>
      <c r="AY5" s="170">
        <v>2018</v>
      </c>
      <c r="AZ5" s="170">
        <v>2018</v>
      </c>
      <c r="BA5" s="170">
        <v>2018</v>
      </c>
      <c r="BB5" s="170">
        <v>2018</v>
      </c>
      <c r="BC5" s="170">
        <v>2019</v>
      </c>
      <c r="BD5" s="170">
        <v>2019</v>
      </c>
      <c r="BE5" s="170">
        <v>2019</v>
      </c>
      <c r="BF5" s="170">
        <v>2019</v>
      </c>
      <c r="BG5" s="170">
        <v>2020</v>
      </c>
      <c r="BH5" s="170">
        <v>2020</v>
      </c>
      <c r="BI5" s="170">
        <v>2020</v>
      </c>
      <c r="BJ5" s="170">
        <v>2020</v>
      </c>
      <c r="BK5" s="172"/>
      <c r="BL5" s="655" t="s">
        <v>212</v>
      </c>
      <c r="BM5" s="656"/>
      <c r="BN5" s="656"/>
      <c r="BO5" s="655" t="s">
        <v>212</v>
      </c>
    </row>
    <row r="6" spans="1:67" s="173" customFormat="1" ht="13.8">
      <c r="B6" s="174" t="s">
        <v>65</v>
      </c>
      <c r="C6" s="175" t="s">
        <v>91</v>
      </c>
      <c r="D6" s="175" t="s">
        <v>92</v>
      </c>
      <c r="E6" s="175" t="s">
        <v>86</v>
      </c>
      <c r="F6" s="175" t="s">
        <v>93</v>
      </c>
      <c r="G6" s="176" t="s">
        <v>89</v>
      </c>
      <c r="H6" s="176" t="s">
        <v>90</v>
      </c>
      <c r="I6" s="176" t="s">
        <v>86</v>
      </c>
      <c r="J6" s="176" t="s">
        <v>93</v>
      </c>
      <c r="K6" s="175" t="s">
        <v>89</v>
      </c>
      <c r="L6" s="175" t="s">
        <v>90</v>
      </c>
      <c r="M6" s="175" t="s">
        <v>86</v>
      </c>
      <c r="N6" s="175" t="s">
        <v>93</v>
      </c>
      <c r="O6" s="175" t="s">
        <v>89</v>
      </c>
      <c r="P6" s="175" t="s">
        <v>90</v>
      </c>
      <c r="Q6" s="175" t="s">
        <v>86</v>
      </c>
      <c r="R6" s="175" t="s">
        <v>93</v>
      </c>
      <c r="S6" s="175" t="s">
        <v>89</v>
      </c>
      <c r="T6" s="175" t="s">
        <v>90</v>
      </c>
      <c r="U6" s="175" t="s">
        <v>86</v>
      </c>
      <c r="V6" s="175" t="s">
        <v>93</v>
      </c>
      <c r="W6" s="175" t="s">
        <v>89</v>
      </c>
      <c r="X6" s="175" t="s">
        <v>90</v>
      </c>
      <c r="Y6" s="175" t="s">
        <v>86</v>
      </c>
      <c r="Z6" s="175" t="s">
        <v>93</v>
      </c>
      <c r="AA6" s="175" t="s">
        <v>89</v>
      </c>
      <c r="AB6" s="175" t="s">
        <v>90</v>
      </c>
      <c r="AC6" s="175" t="s">
        <v>86</v>
      </c>
      <c r="AD6" s="175" t="s">
        <v>93</v>
      </c>
      <c r="AE6" s="175" t="s">
        <v>89</v>
      </c>
      <c r="AF6" s="175" t="s">
        <v>90</v>
      </c>
      <c r="AG6" s="175" t="s">
        <v>86</v>
      </c>
      <c r="AH6" s="175" t="s">
        <v>93</v>
      </c>
      <c r="AI6" s="175" t="s">
        <v>89</v>
      </c>
      <c r="AJ6" s="175" t="s">
        <v>90</v>
      </c>
      <c r="AK6" s="175" t="s">
        <v>86</v>
      </c>
      <c r="AL6" s="175" t="s">
        <v>93</v>
      </c>
      <c r="AM6" s="175" t="s">
        <v>89</v>
      </c>
      <c r="AN6" s="175" t="s">
        <v>90</v>
      </c>
      <c r="AO6" s="175" t="s">
        <v>86</v>
      </c>
      <c r="AP6" s="175" t="s">
        <v>93</v>
      </c>
      <c r="AQ6" s="175" t="s">
        <v>89</v>
      </c>
      <c r="AR6" s="175" t="s">
        <v>90</v>
      </c>
      <c r="AS6" s="175" t="s">
        <v>86</v>
      </c>
      <c r="AT6" s="175" t="s">
        <v>93</v>
      </c>
      <c r="AU6" s="175" t="s">
        <v>89</v>
      </c>
      <c r="AV6" s="175" t="s">
        <v>90</v>
      </c>
      <c r="AW6" s="175" t="s">
        <v>86</v>
      </c>
      <c r="AX6" s="175" t="s">
        <v>93</v>
      </c>
      <c r="AY6" s="175" t="s">
        <v>89</v>
      </c>
      <c r="AZ6" s="175" t="s">
        <v>90</v>
      </c>
      <c r="BA6" s="175" t="s">
        <v>86</v>
      </c>
      <c r="BB6" s="175" t="s">
        <v>93</v>
      </c>
      <c r="BC6" s="175" t="s">
        <v>89</v>
      </c>
      <c r="BD6" s="175" t="s">
        <v>90</v>
      </c>
      <c r="BE6" s="175" t="s">
        <v>86</v>
      </c>
      <c r="BF6" s="175" t="s">
        <v>93</v>
      </c>
      <c r="BG6" s="175" t="s">
        <v>89</v>
      </c>
      <c r="BH6" s="175" t="s">
        <v>90</v>
      </c>
      <c r="BI6" s="175" t="s">
        <v>86</v>
      </c>
      <c r="BJ6" s="175" t="s">
        <v>93</v>
      </c>
      <c r="BK6" s="177"/>
      <c r="BL6" s="657" t="s">
        <v>609</v>
      </c>
      <c r="BM6" s="175"/>
      <c r="BN6" s="175"/>
      <c r="BO6" s="657" t="s">
        <v>608</v>
      </c>
    </row>
    <row r="7" spans="1:67" s="136" customFormat="1" ht="13.8">
      <c r="B7" s="525" t="s">
        <v>2</v>
      </c>
      <c r="C7" s="528">
        <v>-0.63</v>
      </c>
      <c r="D7" s="528">
        <v>5.47</v>
      </c>
      <c r="E7" s="528">
        <v>7.48</v>
      </c>
      <c r="F7" s="528">
        <v>8.94</v>
      </c>
      <c r="G7" s="529">
        <v>8.6999999999999993</v>
      </c>
      <c r="H7" s="529">
        <v>-1.46</v>
      </c>
      <c r="I7" s="529">
        <v>1.83</v>
      </c>
      <c r="J7" s="164">
        <v>6.85</v>
      </c>
      <c r="K7" s="164">
        <v>-10.42</v>
      </c>
      <c r="L7" s="164">
        <v>7.11</v>
      </c>
      <c r="M7" s="164">
        <v>-14.29</v>
      </c>
      <c r="N7" s="164">
        <v>-9.8978599221789914</v>
      </c>
      <c r="O7" s="164">
        <v>-10.968132933639051</v>
      </c>
      <c r="P7" s="164">
        <v>9.140696698602536</v>
      </c>
      <c r="Q7" s="164">
        <v>5.4955233096634748</v>
      </c>
      <c r="R7" s="164">
        <v>7.999219588332851</v>
      </c>
      <c r="S7" s="164">
        <v>-2.5000000000000022</v>
      </c>
      <c r="T7" s="164">
        <v>-3.7435897435897409</v>
      </c>
      <c r="U7" s="164">
        <v>12.541289291422487</v>
      </c>
      <c r="V7" s="164">
        <v>1.3444423404658234</v>
      </c>
      <c r="W7" s="164">
        <v>2.94</v>
      </c>
      <c r="X7" s="164">
        <v>5.6634932970662319</v>
      </c>
      <c r="Y7" s="164">
        <v>1.7559988967546403</v>
      </c>
      <c r="Z7" s="164">
        <v>8.411637152150341</v>
      </c>
      <c r="AA7" s="164">
        <v>-1.37</v>
      </c>
      <c r="AB7" s="164">
        <v>6.6207036398661785</v>
      </c>
      <c r="AC7" s="164">
        <v>-0.41841004184102815</v>
      </c>
      <c r="AD7" s="164">
        <v>-2.5114591291061714</v>
      </c>
      <c r="AE7" s="677">
        <v>13.28</v>
      </c>
      <c r="AF7" s="677">
        <v>-2.1765960577910732</v>
      </c>
      <c r="AG7" s="677">
        <v>-0.44584600539378982</v>
      </c>
      <c r="AH7" s="677">
        <v>2.4380912711373099</v>
      </c>
      <c r="AI7" s="677">
        <v>9.92</v>
      </c>
      <c r="AJ7" s="677">
        <v>7.3144104803493377</v>
      </c>
      <c r="AK7" s="677">
        <v>-4.1285181417429442</v>
      </c>
      <c r="AL7" s="677">
        <v>13.988858431337874</v>
      </c>
      <c r="AM7" s="677">
        <v>-4.9500000000000028</v>
      </c>
      <c r="AN7" s="677">
        <v>-6.3335086796422928</v>
      </c>
      <c r="AO7" s="677">
        <v>6.2563180950241559</v>
      </c>
      <c r="AP7" s="677">
        <v>1.5856236786469253</v>
      </c>
      <c r="AQ7" s="677">
        <v>15.560000000000002</v>
      </c>
      <c r="AR7" s="677">
        <v>6.8622360678435541</v>
      </c>
      <c r="AS7" s="677">
        <v>-5.3931492428536956</v>
      </c>
      <c r="AT7" s="677">
        <v>0.52212616622445296</v>
      </c>
      <c r="AU7" s="677">
        <v>6.1299999999999955</v>
      </c>
      <c r="AV7" s="677">
        <v>2.3744464336191555</v>
      </c>
      <c r="AW7" s="677">
        <v>2.696732627703625</v>
      </c>
      <c r="AX7" s="677">
        <v>0.12547051442912505</v>
      </c>
      <c r="AY7" s="677">
        <v>-3.32</v>
      </c>
      <c r="AZ7" s="677">
        <v>3.7649979313198259</v>
      </c>
      <c r="BA7" s="677">
        <v>2.0135566188197629</v>
      </c>
      <c r="BB7" s="677">
        <v>1.2995896032831666</v>
      </c>
      <c r="BC7" s="677">
        <v>11.13</v>
      </c>
      <c r="BD7" s="677">
        <v>4.1482947898857203</v>
      </c>
      <c r="BE7" s="677">
        <v>8.2253326421289046</v>
      </c>
      <c r="BF7" s="677">
        <v>0.42311991058599574</v>
      </c>
      <c r="BG7" s="677">
        <v>-13.59</v>
      </c>
      <c r="BH7" s="677"/>
      <c r="BI7" s="677"/>
      <c r="BJ7" s="678"/>
      <c r="BK7" s="530"/>
      <c r="BL7" s="646">
        <f xml:space="preserve"> ( ( 1 + BG7 / 100 ) * ( 1 + BH7 / 100 ) * ( 1 + BI7 / 100 ) * ( 1 + BJ7 / 100 ) ) * 100 - 100</f>
        <v>-13.590000000000003</v>
      </c>
      <c r="BM7" s="647"/>
      <c r="BN7" s="647"/>
      <c r="BO7" s="648">
        <f>'I. Index'!$D8</f>
        <v>-13.59</v>
      </c>
    </row>
    <row r="8" spans="1:67" s="137" customFormat="1" ht="13.8">
      <c r="B8" s="178" t="s">
        <v>204</v>
      </c>
      <c r="C8" s="508">
        <v>4.25</v>
      </c>
      <c r="D8" s="508">
        <v>0.94</v>
      </c>
      <c r="E8" s="508">
        <v>5.35</v>
      </c>
      <c r="F8" s="508">
        <v>7.39</v>
      </c>
      <c r="G8" s="509">
        <v>-0.33</v>
      </c>
      <c r="H8" s="509">
        <v>9.11</v>
      </c>
      <c r="I8" s="509">
        <v>4.1900000000000004</v>
      </c>
      <c r="J8" s="165">
        <v>-3.91</v>
      </c>
      <c r="K8" s="165">
        <v>-7</v>
      </c>
      <c r="L8" s="165">
        <v>-6.86</v>
      </c>
      <c r="M8" s="165">
        <v>-3.71</v>
      </c>
      <c r="N8" s="165">
        <v>-18.391080206210283</v>
      </c>
      <c r="O8" s="165">
        <v>-12.48</v>
      </c>
      <c r="P8" s="165">
        <v>11.962979890310788</v>
      </c>
      <c r="Q8" s="165">
        <v>15.817940606184312</v>
      </c>
      <c r="R8" s="165">
        <v>8.0976297471142757</v>
      </c>
      <c r="S8" s="165">
        <v>4.8200000000000021</v>
      </c>
      <c r="T8" s="165">
        <v>-9.3684411371875651</v>
      </c>
      <c r="U8" s="165">
        <v>11.126315789473695</v>
      </c>
      <c r="V8" s="165">
        <v>8.0420574026712099</v>
      </c>
      <c r="W8" s="165">
        <v>7.07</v>
      </c>
      <c r="X8" s="165">
        <v>1.419632016437854</v>
      </c>
      <c r="Y8" s="165">
        <v>-11.501979924486616</v>
      </c>
      <c r="Z8" s="165">
        <v>12.778355879292413</v>
      </c>
      <c r="AA8" s="165">
        <v>8.84</v>
      </c>
      <c r="AB8" s="165">
        <v>-1.8467475192943823</v>
      </c>
      <c r="AC8" s="165">
        <v>2.9486099410278115</v>
      </c>
      <c r="AD8" s="165">
        <v>0.23640661938533469</v>
      </c>
      <c r="AE8" s="679">
        <v>11.89</v>
      </c>
      <c r="AF8" s="679">
        <v>2.9582625793189692</v>
      </c>
      <c r="AG8" s="679">
        <v>2.1180555555555713</v>
      </c>
      <c r="AH8" s="679">
        <v>10.209112546752806</v>
      </c>
      <c r="AI8" s="679">
        <v>-0.15</v>
      </c>
      <c r="AJ8" s="679">
        <v>2.8342513770655842</v>
      </c>
      <c r="AK8" s="679">
        <v>1.8698870276587627</v>
      </c>
      <c r="AL8" s="679">
        <v>5.200764818355637</v>
      </c>
      <c r="AM8" s="679">
        <v>0.33000000000001251</v>
      </c>
      <c r="AN8" s="679">
        <v>-0.29901325625436925</v>
      </c>
      <c r="AO8" s="679">
        <v>-6.9779066280115956</v>
      </c>
      <c r="AP8" s="679">
        <v>7.6947877485222875</v>
      </c>
      <c r="AQ8" s="679">
        <v>2.2000000000000028</v>
      </c>
      <c r="AR8" s="679">
        <v>2.0645792563600622</v>
      </c>
      <c r="AS8" s="679">
        <v>2.780174479915658</v>
      </c>
      <c r="AT8" s="679">
        <v>8.6652364518235316</v>
      </c>
      <c r="AU8" s="679">
        <v>5.1900000000000119</v>
      </c>
      <c r="AV8" s="679">
        <v>3.9547485502424138</v>
      </c>
      <c r="AW8" s="679">
        <v>5.2766346593507194</v>
      </c>
      <c r="AX8" s="679">
        <v>11.283877692842253</v>
      </c>
      <c r="AY8" s="679">
        <v>-1.96</v>
      </c>
      <c r="AZ8" s="679">
        <v>1.2545899632802815</v>
      </c>
      <c r="BA8" s="679">
        <v>9.6303011987508995</v>
      </c>
      <c r="BB8" s="679">
        <v>-11.311219332904528</v>
      </c>
      <c r="BC8" s="679">
        <v>11.81</v>
      </c>
      <c r="BD8" s="679">
        <v>3.2108040425722102</v>
      </c>
      <c r="BE8" s="679">
        <v>1.8284228769497446</v>
      </c>
      <c r="BF8" s="679">
        <v>6.6632627010467047</v>
      </c>
      <c r="BG8" s="679">
        <v>-22.73</v>
      </c>
      <c r="BH8" s="679"/>
      <c r="BI8" s="679"/>
      <c r="BJ8" s="843"/>
      <c r="BK8" s="179"/>
      <c r="BL8" s="649">
        <f t="shared" ref="BL8:BL9" si="3" xml:space="preserve"> ( ( 1 + BG8 / 100 ) * ( 1 + BH8 / 100 ) * ( 1 + BI8 / 100 ) * ( 1 + BJ8 / 100 ) ) * 100 - 100</f>
        <v>-22.730000000000004</v>
      </c>
      <c r="BM8" s="476"/>
      <c r="BN8" s="476"/>
      <c r="BO8" s="650">
        <f>'I. Index'!$D9</f>
        <v>-22.73</v>
      </c>
    </row>
    <row r="9" spans="1:67" s="137" customFormat="1" ht="13.8">
      <c r="B9" s="178" t="s">
        <v>7</v>
      </c>
      <c r="C9" s="508">
        <v>4.21</v>
      </c>
      <c r="D9" s="508">
        <v>-1.4</v>
      </c>
      <c r="E9" s="508">
        <v>5.67</v>
      </c>
      <c r="F9" s="508">
        <v>6.7</v>
      </c>
      <c r="G9" s="509">
        <v>0.64</v>
      </c>
      <c r="H9" s="509">
        <v>6.28</v>
      </c>
      <c r="I9" s="509">
        <v>2.0299999999999998</v>
      </c>
      <c r="J9" s="165">
        <v>-3.33</v>
      </c>
      <c r="K9" s="165">
        <v>-9.4499999999999993</v>
      </c>
      <c r="L9" s="165">
        <v>-2.72</v>
      </c>
      <c r="M9" s="165">
        <v>-8.3800000000000008</v>
      </c>
      <c r="N9" s="165">
        <v>-21.942758022549874</v>
      </c>
      <c r="O9" s="165">
        <v>-11.01</v>
      </c>
      <c r="P9" s="165">
        <v>15.923137431172046</v>
      </c>
      <c r="Q9" s="165">
        <v>15.606824350523452</v>
      </c>
      <c r="R9" s="165">
        <v>6.0372295824249633</v>
      </c>
      <c r="S9" s="165">
        <v>5.3900000000000059</v>
      </c>
      <c r="T9" s="165">
        <v>-11.424233798273086</v>
      </c>
      <c r="U9" s="165">
        <v>11.290840921264046</v>
      </c>
      <c r="V9" s="165">
        <v>10.751756665704114</v>
      </c>
      <c r="W9" s="165">
        <v>5.92</v>
      </c>
      <c r="X9" s="165">
        <v>9.4410876132941093E-2</v>
      </c>
      <c r="Y9" s="165">
        <v>-13.865308432371249</v>
      </c>
      <c r="Z9" s="165">
        <v>11.815593517301792</v>
      </c>
      <c r="AA9" s="165">
        <v>12.59</v>
      </c>
      <c r="AB9" s="165">
        <v>-2.7533528732569721</v>
      </c>
      <c r="AC9" s="165">
        <v>6.347611654032363</v>
      </c>
      <c r="AD9" s="165">
        <v>-0.37787701820681718</v>
      </c>
      <c r="AE9" s="679">
        <v>10.61</v>
      </c>
      <c r="AF9" s="679">
        <v>2.9020884187686278</v>
      </c>
      <c r="AG9" s="679">
        <v>5.2451238798102366</v>
      </c>
      <c r="AH9" s="679">
        <v>10.518407212622108</v>
      </c>
      <c r="AI9" s="679">
        <v>1.81</v>
      </c>
      <c r="AJ9" s="679">
        <v>5.235242117670154</v>
      </c>
      <c r="AK9" s="679">
        <v>1.1200298674631455</v>
      </c>
      <c r="AL9" s="679">
        <v>4.938157651836832</v>
      </c>
      <c r="AM9" s="679">
        <v>0.95000000000000284</v>
      </c>
      <c r="AN9" s="679">
        <v>0.27736503219415454</v>
      </c>
      <c r="AO9" s="679">
        <v>-6.4407784253679665</v>
      </c>
      <c r="AP9" s="679">
        <v>7.0425509449899693</v>
      </c>
      <c r="AQ9" s="679">
        <v>1.3500000000000085</v>
      </c>
      <c r="AR9" s="679">
        <v>2.4568327577701012</v>
      </c>
      <c r="AS9" s="679">
        <v>3.8520801232665605</v>
      </c>
      <c r="AT9" s="679">
        <v>3.820474777448041</v>
      </c>
      <c r="AU9" s="679">
        <v>6.0699999999999932</v>
      </c>
      <c r="AV9" s="679">
        <v>3.0828698029603032</v>
      </c>
      <c r="AW9" s="679">
        <v>4.4814340588988557</v>
      </c>
      <c r="AX9" s="679">
        <v>6.6439075630252233</v>
      </c>
      <c r="AY9" s="679">
        <v>-0.76</v>
      </c>
      <c r="AZ9" s="679">
        <v>3.436114469971784</v>
      </c>
      <c r="BA9" s="679">
        <v>7.7057963955187461</v>
      </c>
      <c r="BB9" s="679">
        <v>-13.513024602026036</v>
      </c>
      <c r="BC9" s="679">
        <v>13.65</v>
      </c>
      <c r="BD9" s="679">
        <v>4.3026836779586404</v>
      </c>
      <c r="BE9" s="679">
        <v>1.6956301670322347</v>
      </c>
      <c r="BF9" s="679">
        <v>9.0750725839900781</v>
      </c>
      <c r="BG9" s="679">
        <v>-19.600000000000001</v>
      </c>
      <c r="BH9" s="679"/>
      <c r="BI9" s="679"/>
      <c r="BJ9" s="843"/>
      <c r="BK9" s="179"/>
      <c r="BL9" s="649">
        <f t="shared" si="3"/>
        <v>-19.599999999999994</v>
      </c>
      <c r="BM9" s="476"/>
      <c r="BN9" s="476"/>
      <c r="BO9" s="650">
        <f>'I. Index'!$D10</f>
        <v>-19.600000000000001</v>
      </c>
    </row>
    <row r="10" spans="1:67" s="138" customFormat="1" ht="13.8">
      <c r="B10" s="531" t="s">
        <v>58</v>
      </c>
      <c r="C10" s="532">
        <v>6.1</v>
      </c>
      <c r="D10" s="532">
        <v>-7.17</v>
      </c>
      <c r="E10" s="532">
        <v>3.97</v>
      </c>
      <c r="F10" s="532">
        <v>6.95</v>
      </c>
      <c r="G10" s="533">
        <v>0.26</v>
      </c>
      <c r="H10" s="533">
        <v>7.5</v>
      </c>
      <c r="I10" s="533">
        <v>3.77</v>
      </c>
      <c r="J10" s="166">
        <v>-1.82</v>
      </c>
      <c r="K10" s="166">
        <v>-14.07</v>
      </c>
      <c r="L10" s="166">
        <v>0.61</v>
      </c>
      <c r="M10" s="166">
        <v>-9.18</v>
      </c>
      <c r="N10" s="166">
        <v>-24.264424914023692</v>
      </c>
      <c r="O10" s="166">
        <v>-3.07</v>
      </c>
      <c r="P10" s="166">
        <v>20.045393582998031</v>
      </c>
      <c r="Q10" s="166">
        <v>15.658301821931953</v>
      </c>
      <c r="R10" s="166">
        <v>6.9178183979788921</v>
      </c>
      <c r="S10" s="166">
        <v>5.6799999999999962</v>
      </c>
      <c r="T10" s="166">
        <v>-12.04579863739591</v>
      </c>
      <c r="U10" s="166">
        <v>12.296933835395386</v>
      </c>
      <c r="V10" s="166">
        <v>12.004215366928527</v>
      </c>
      <c r="W10" s="166">
        <v>4.83</v>
      </c>
      <c r="X10" s="166">
        <v>-0.26709911284936694</v>
      </c>
      <c r="Y10" s="166">
        <v>-12.912482065997144</v>
      </c>
      <c r="Z10" s="166">
        <v>7.8528281164195413</v>
      </c>
      <c r="AA10" s="166">
        <v>18.670000000000002</v>
      </c>
      <c r="AB10" s="166">
        <v>-5.0644644813347952</v>
      </c>
      <c r="AC10" s="166">
        <v>6.1778803479495679</v>
      </c>
      <c r="AD10" s="166">
        <v>-3.101488045477339</v>
      </c>
      <c r="AE10" s="680">
        <v>8.2100000000000009</v>
      </c>
      <c r="AF10" s="680">
        <v>4.1585805378430649</v>
      </c>
      <c r="AG10" s="680">
        <v>10.815366870730216</v>
      </c>
      <c r="AH10" s="680">
        <v>10.744595676541238</v>
      </c>
      <c r="AI10" s="680">
        <v>0.54</v>
      </c>
      <c r="AJ10" s="680">
        <v>4.9830913069425122</v>
      </c>
      <c r="AK10" s="680">
        <v>1.9327333017527195</v>
      </c>
      <c r="AL10" s="680">
        <v>5.4001301236174157</v>
      </c>
      <c r="AM10" s="680">
        <v>3.4799999999999898</v>
      </c>
      <c r="AN10" s="680">
        <v>1.7587939698492505</v>
      </c>
      <c r="AO10" s="680">
        <v>-7.3599240265907042</v>
      </c>
      <c r="AP10" s="680">
        <v>8.3854433623782541</v>
      </c>
      <c r="AQ10" s="680">
        <v>-2.75</v>
      </c>
      <c r="AR10" s="680">
        <v>-0.55526992287919086</v>
      </c>
      <c r="AS10" s="680">
        <v>9.6887602109399182</v>
      </c>
      <c r="AT10" s="680">
        <v>1.3386123680241582</v>
      </c>
      <c r="AU10" s="680">
        <v>9.8200000000000074</v>
      </c>
      <c r="AV10" s="680">
        <v>3.8699690402476818</v>
      </c>
      <c r="AW10" s="680">
        <v>5.7859209257473623</v>
      </c>
      <c r="AX10" s="680">
        <v>6.2733073671997914</v>
      </c>
      <c r="AY10" s="680">
        <v>2.3199999999999998</v>
      </c>
      <c r="AZ10" s="680">
        <v>6.3232994526974124</v>
      </c>
      <c r="BA10" s="680">
        <v>7.1422005699053273</v>
      </c>
      <c r="BB10" s="680">
        <v>-17.536032944406315</v>
      </c>
      <c r="BC10" s="680">
        <v>16.489999999999998</v>
      </c>
      <c r="BD10" s="680">
        <v>3.5797064125675888</v>
      </c>
      <c r="BE10" s="680">
        <v>-8.2877507044585741E-2</v>
      </c>
      <c r="BF10" s="680">
        <v>12.168214996682167</v>
      </c>
      <c r="BG10" s="680">
        <v>-14.18</v>
      </c>
      <c r="BH10" s="680"/>
      <c r="BI10" s="680"/>
      <c r="BJ10" s="844"/>
      <c r="BK10" s="534"/>
      <c r="BL10" s="651">
        <f xml:space="preserve"> ( ( 1 + BG10 / 100 ) * ( 1 + BH10 / 100 ) * ( 1 + BI10 / 100 ) * ( 1 + BJ10 / 100 ) ) * 100 - 100</f>
        <v>-14.180000000000007</v>
      </c>
      <c r="BM10" s="522"/>
      <c r="BN10" s="522"/>
      <c r="BO10" s="652">
        <f>'I. Index'!$D11</f>
        <v>-14.18</v>
      </c>
    </row>
    <row r="11" spans="1:67" s="18" customFormat="1" ht="13.8">
      <c r="B11" s="70"/>
      <c r="C11" s="180"/>
      <c r="D11" s="180"/>
      <c r="E11" s="180"/>
      <c r="F11" s="180"/>
      <c r="G11" s="181"/>
      <c r="H11" s="181"/>
      <c r="I11" s="181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3"/>
      <c r="BL11" s="653"/>
      <c r="BM11" s="180"/>
      <c r="BN11" s="180"/>
      <c r="BO11" s="180"/>
    </row>
    <row r="12" spans="1:67" s="18" customFormat="1" ht="13.8">
      <c r="B12" s="70"/>
      <c r="C12" s="180"/>
      <c r="D12" s="180"/>
      <c r="E12" s="180"/>
      <c r="F12" s="180"/>
      <c r="G12" s="181"/>
      <c r="H12" s="181"/>
      <c r="I12" s="181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3"/>
      <c r="BL12" s="653"/>
      <c r="BM12" s="180"/>
      <c r="BN12" s="180"/>
      <c r="BO12" s="180"/>
    </row>
    <row r="13" spans="1:67" s="169" customFormat="1" ht="13.8">
      <c r="B13" s="184"/>
      <c r="C13" s="170">
        <v>2006</v>
      </c>
      <c r="D13" s="170">
        <v>2006</v>
      </c>
      <c r="E13" s="170">
        <v>2006</v>
      </c>
      <c r="F13" s="170">
        <v>2006</v>
      </c>
      <c r="G13" s="170">
        <v>2007</v>
      </c>
      <c r="H13" s="170">
        <v>2007</v>
      </c>
      <c r="I13" s="170">
        <v>2007</v>
      </c>
      <c r="J13" s="170">
        <v>2007</v>
      </c>
      <c r="K13" s="170">
        <v>2008</v>
      </c>
      <c r="L13" s="170">
        <v>2008</v>
      </c>
      <c r="M13" s="170">
        <v>2008</v>
      </c>
      <c r="N13" s="170">
        <v>2008</v>
      </c>
      <c r="O13" s="170">
        <v>2009</v>
      </c>
      <c r="P13" s="170">
        <f>P5</f>
        <v>2009</v>
      </c>
      <c r="Q13" s="170">
        <f>Q5</f>
        <v>2009</v>
      </c>
      <c r="R13" s="170">
        <v>2009</v>
      </c>
      <c r="S13" s="170">
        <v>2010</v>
      </c>
      <c r="T13" s="170">
        <v>2010</v>
      </c>
      <c r="U13" s="170">
        <f t="shared" ref="U13:X14" si="4">U5</f>
        <v>2010</v>
      </c>
      <c r="V13" s="170">
        <f t="shared" si="4"/>
        <v>2010</v>
      </c>
      <c r="W13" s="170">
        <f>W5</f>
        <v>2011</v>
      </c>
      <c r="X13" s="170">
        <f t="shared" si="4"/>
        <v>2011</v>
      </c>
      <c r="Y13" s="170">
        <f t="shared" ref="Y13:AI14" si="5">Y5</f>
        <v>2011</v>
      </c>
      <c r="Z13" s="170">
        <f t="shared" si="5"/>
        <v>2011</v>
      </c>
      <c r="AA13" s="170">
        <f t="shared" ref="AA13:AH14" si="6">AA5</f>
        <v>2012</v>
      </c>
      <c r="AB13" s="170">
        <f t="shared" si="6"/>
        <v>2012</v>
      </c>
      <c r="AC13" s="170">
        <f t="shared" si="6"/>
        <v>2012</v>
      </c>
      <c r="AD13" s="170">
        <f t="shared" si="6"/>
        <v>2012</v>
      </c>
      <c r="AE13" s="170">
        <f t="shared" si="6"/>
        <v>2013</v>
      </c>
      <c r="AF13" s="170">
        <f t="shared" si="6"/>
        <v>2013</v>
      </c>
      <c r="AG13" s="170">
        <f t="shared" si="6"/>
        <v>2013</v>
      </c>
      <c r="AH13" s="170">
        <f t="shared" si="6"/>
        <v>2013</v>
      </c>
      <c r="AI13" s="170">
        <f t="shared" si="5"/>
        <v>2014</v>
      </c>
      <c r="AJ13" s="170">
        <f t="shared" ref="AJ13:AL13" si="7">AJ5</f>
        <v>2014</v>
      </c>
      <c r="AK13" s="170">
        <f t="shared" ref="AK13" si="8">AK5</f>
        <v>2014</v>
      </c>
      <c r="AL13" s="170">
        <f t="shared" si="7"/>
        <v>2014</v>
      </c>
      <c r="AM13" s="170">
        <v>2015</v>
      </c>
      <c r="AN13" s="170">
        <v>2015</v>
      </c>
      <c r="AO13" s="170">
        <v>2015</v>
      </c>
      <c r="AP13" s="170">
        <v>2015</v>
      </c>
      <c r="AQ13" s="170">
        <v>2016</v>
      </c>
      <c r="AR13" s="170">
        <v>2016</v>
      </c>
      <c r="AS13" s="170">
        <v>2016</v>
      </c>
      <c r="AT13" s="170">
        <v>2016</v>
      </c>
      <c r="AU13" s="170">
        <v>2017</v>
      </c>
      <c r="AV13" s="170">
        <v>2017</v>
      </c>
      <c r="AW13" s="170">
        <v>2017</v>
      </c>
      <c r="AX13" s="170">
        <v>2017</v>
      </c>
      <c r="AY13" s="170">
        <v>2018</v>
      </c>
      <c r="AZ13" s="170">
        <v>2018</v>
      </c>
      <c r="BA13" s="170">
        <v>2018</v>
      </c>
      <c r="BB13" s="170">
        <v>2018</v>
      </c>
      <c r="BC13" s="170">
        <v>2019</v>
      </c>
      <c r="BD13" s="170">
        <v>2019</v>
      </c>
      <c r="BE13" s="170">
        <v>2019</v>
      </c>
      <c r="BF13" s="170">
        <v>2019</v>
      </c>
      <c r="BG13" s="170">
        <v>2020</v>
      </c>
      <c r="BH13" s="170">
        <v>2020</v>
      </c>
      <c r="BI13" s="170">
        <v>2020</v>
      </c>
      <c r="BJ13" s="170">
        <v>2020</v>
      </c>
      <c r="BK13" s="185"/>
      <c r="BL13" s="654"/>
      <c r="BM13" s="643"/>
      <c r="BN13" s="643"/>
      <c r="BO13" s="643"/>
    </row>
    <row r="14" spans="1:67" s="173" customFormat="1" ht="13.8">
      <c r="B14" s="174" t="s">
        <v>1</v>
      </c>
      <c r="C14" s="175" t="s">
        <v>89</v>
      </c>
      <c r="D14" s="175" t="s">
        <v>90</v>
      </c>
      <c r="E14" s="175" t="s">
        <v>86</v>
      </c>
      <c r="F14" s="175" t="s">
        <v>93</v>
      </c>
      <c r="G14" s="175" t="s">
        <v>89</v>
      </c>
      <c r="H14" s="175" t="s">
        <v>90</v>
      </c>
      <c r="I14" s="175" t="s">
        <v>86</v>
      </c>
      <c r="J14" s="175" t="s">
        <v>93</v>
      </c>
      <c r="K14" s="175" t="s">
        <v>89</v>
      </c>
      <c r="L14" s="175" t="s">
        <v>90</v>
      </c>
      <c r="M14" s="175" t="s">
        <v>86</v>
      </c>
      <c r="N14" s="175" t="s">
        <v>93</v>
      </c>
      <c r="O14" s="175" t="s">
        <v>89</v>
      </c>
      <c r="P14" s="175" t="str">
        <f>P6</f>
        <v>Q2</v>
      </c>
      <c r="Q14" s="175" t="str">
        <f>Q6</f>
        <v>Q3</v>
      </c>
      <c r="R14" s="175" t="s">
        <v>93</v>
      </c>
      <c r="S14" s="175" t="s">
        <v>89</v>
      </c>
      <c r="T14" s="175" t="s">
        <v>90</v>
      </c>
      <c r="U14" s="186" t="str">
        <f t="shared" si="4"/>
        <v>Q3</v>
      </c>
      <c r="V14" s="186" t="str">
        <f t="shared" si="4"/>
        <v>Q4</v>
      </c>
      <c r="W14" s="186" t="str">
        <f>W6</f>
        <v>Q1</v>
      </c>
      <c r="X14" s="186" t="str">
        <f t="shared" si="4"/>
        <v>Q2</v>
      </c>
      <c r="Y14" s="186" t="str">
        <f t="shared" si="5"/>
        <v>Q3</v>
      </c>
      <c r="Z14" s="186" t="str">
        <f t="shared" si="5"/>
        <v>Q4</v>
      </c>
      <c r="AA14" s="186" t="str">
        <f t="shared" ref="AA14:AC14" si="9">AA6</f>
        <v>Q1</v>
      </c>
      <c r="AB14" s="186" t="str">
        <f t="shared" si="9"/>
        <v>Q2</v>
      </c>
      <c r="AC14" s="186" t="str">
        <f t="shared" si="9"/>
        <v>Q3</v>
      </c>
      <c r="AD14" s="186" t="str">
        <f t="shared" si="6"/>
        <v>Q4</v>
      </c>
      <c r="AE14" s="186" t="str">
        <f t="shared" si="6"/>
        <v>Q1</v>
      </c>
      <c r="AF14" s="186" t="str">
        <f t="shared" si="6"/>
        <v>Q2</v>
      </c>
      <c r="AG14" s="186" t="str">
        <f t="shared" si="6"/>
        <v>Q3</v>
      </c>
      <c r="AH14" s="186" t="str">
        <f t="shared" si="6"/>
        <v>Q4</v>
      </c>
      <c r="AI14" s="186" t="str">
        <f t="shared" si="5"/>
        <v>Q1</v>
      </c>
      <c r="AJ14" s="186" t="str">
        <f t="shared" ref="AJ14" si="10">AJ6</f>
        <v>Q2</v>
      </c>
      <c r="AK14" s="186" t="str">
        <f t="shared" ref="AK14" si="11">AK6</f>
        <v>Q3</v>
      </c>
      <c r="AL14" s="186" t="s">
        <v>93</v>
      </c>
      <c r="AM14" s="186" t="s">
        <v>89</v>
      </c>
      <c r="AN14" s="175" t="s">
        <v>90</v>
      </c>
      <c r="AO14" s="175" t="s">
        <v>86</v>
      </c>
      <c r="AP14" s="175" t="s">
        <v>93</v>
      </c>
      <c r="AQ14" s="175" t="s">
        <v>89</v>
      </c>
      <c r="AR14" s="175" t="s">
        <v>90</v>
      </c>
      <c r="AS14" s="175" t="s">
        <v>86</v>
      </c>
      <c r="AT14" s="175" t="s">
        <v>93</v>
      </c>
      <c r="AU14" s="175" t="s">
        <v>89</v>
      </c>
      <c r="AV14" s="175" t="s">
        <v>90</v>
      </c>
      <c r="AW14" s="175" t="s">
        <v>86</v>
      </c>
      <c r="AX14" s="175" t="s">
        <v>93</v>
      </c>
      <c r="AY14" s="175" t="s">
        <v>89</v>
      </c>
      <c r="AZ14" s="175" t="s">
        <v>90</v>
      </c>
      <c r="BA14" s="175" t="s">
        <v>86</v>
      </c>
      <c r="BB14" s="175" t="s">
        <v>93</v>
      </c>
      <c r="BC14" s="175" t="s">
        <v>89</v>
      </c>
      <c r="BD14" s="175" t="s">
        <v>90</v>
      </c>
      <c r="BE14" s="175" t="s">
        <v>86</v>
      </c>
      <c r="BF14" s="175" t="s">
        <v>93</v>
      </c>
      <c r="BG14" s="175" t="s">
        <v>89</v>
      </c>
      <c r="BH14" s="175" t="s">
        <v>90</v>
      </c>
      <c r="BI14" s="175" t="s">
        <v>86</v>
      </c>
      <c r="BJ14" s="175" t="s">
        <v>93</v>
      </c>
      <c r="BK14" s="177"/>
      <c r="BL14" s="644"/>
      <c r="BM14" s="645"/>
      <c r="BN14" s="645"/>
      <c r="BO14" s="645"/>
    </row>
    <row r="15" spans="1:67" s="136" customFormat="1" ht="13.8">
      <c r="B15" s="525" t="s">
        <v>87</v>
      </c>
      <c r="C15" s="528">
        <v>1.91</v>
      </c>
      <c r="D15" s="528">
        <v>3.83</v>
      </c>
      <c r="E15" s="528">
        <v>7.53</v>
      </c>
      <c r="F15" s="528">
        <v>8.82</v>
      </c>
      <c r="G15" s="529">
        <v>5.85</v>
      </c>
      <c r="H15" s="529">
        <v>-2.2200000000000002</v>
      </c>
      <c r="I15" s="529">
        <v>0.47</v>
      </c>
      <c r="J15" s="164">
        <v>5.62</v>
      </c>
      <c r="K15" s="164">
        <v>-12.42</v>
      </c>
      <c r="L15" s="164">
        <v>6.14</v>
      </c>
      <c r="M15" s="164">
        <v>-6.19</v>
      </c>
      <c r="N15" s="164">
        <v>-9.329191966023803</v>
      </c>
      <c r="O15" s="164">
        <v>-12.605953800647885</v>
      </c>
      <c r="P15" s="164">
        <v>9.8314016154475539</v>
      </c>
      <c r="Q15" s="164">
        <v>9.0498434720733592</v>
      </c>
      <c r="R15" s="164">
        <v>9.0359232888248098</v>
      </c>
      <c r="S15" s="164">
        <v>0.32165809512954002</v>
      </c>
      <c r="T15" s="164">
        <v>-3.7337517211643299</v>
      </c>
      <c r="U15" s="164">
        <v>12.087965103063492</v>
      </c>
      <c r="V15" s="164">
        <v>3.3425388641302733</v>
      </c>
      <c r="W15" s="164">
        <v>4.7603683521673306</v>
      </c>
      <c r="X15" s="164">
        <v>5.8609762443695486</v>
      </c>
      <c r="Y15" s="164">
        <v>-0.25590286936356677</v>
      </c>
      <c r="Z15" s="164">
        <v>9.7362264563548564</v>
      </c>
      <c r="AA15" s="164">
        <v>-0.57702875882879834</v>
      </c>
      <c r="AB15" s="164">
        <v>5.5711820951504052</v>
      </c>
      <c r="AC15" s="164">
        <v>0.91774853636607645</v>
      </c>
      <c r="AD15" s="164">
        <v>-1.0408484665538538</v>
      </c>
      <c r="AE15" s="677">
        <v>13.909433601649855</v>
      </c>
      <c r="AF15" s="677">
        <v>-0.6996972998188653</v>
      </c>
      <c r="AG15" s="677">
        <v>-9.6304241958662828E-2</v>
      </c>
      <c r="AH15" s="677">
        <v>3.775343835685689</v>
      </c>
      <c r="AI15" s="677">
        <v>11.630674131704421</v>
      </c>
      <c r="AJ15" s="677">
        <v>5.0398028724150237</v>
      </c>
      <c r="AK15" s="677">
        <v>-6.0186018677832749</v>
      </c>
      <c r="AL15" s="677">
        <v>15.813703241632041</v>
      </c>
      <c r="AM15" s="677">
        <v>-3.9779448808145901</v>
      </c>
      <c r="AN15" s="677">
        <v>-7.6814419745343088</v>
      </c>
      <c r="AO15" s="677">
        <v>7.4759430929570101</v>
      </c>
      <c r="AP15" s="677">
        <v>2.8059700759186654</v>
      </c>
      <c r="AQ15" s="677">
        <v>15.521849110212699</v>
      </c>
      <c r="AR15" s="677">
        <v>7.6604802378180779</v>
      </c>
      <c r="AS15" s="677">
        <v>-4.3294487967389728</v>
      </c>
      <c r="AT15" s="677">
        <v>2.7092240392292979</v>
      </c>
      <c r="AU15" s="677">
        <v>5.2225872351362028</v>
      </c>
      <c r="AV15" s="677">
        <v>2.4799677382875132</v>
      </c>
      <c r="AW15" s="677">
        <v>3.2111916262298479</v>
      </c>
      <c r="AX15" s="677">
        <v>0.23781555476055871</v>
      </c>
      <c r="AY15" s="677">
        <v>-3.0258657083534923</v>
      </c>
      <c r="AZ15" s="677">
        <v>5.2794202732391398</v>
      </c>
      <c r="BA15" s="677">
        <v>1.362949916721746</v>
      </c>
      <c r="BB15" s="677">
        <v>0.7688944263702524</v>
      </c>
      <c r="BC15" s="677">
        <v>10.597850769814793</v>
      </c>
      <c r="BD15" s="677">
        <v>4.8508259054126626</v>
      </c>
      <c r="BE15" s="677">
        <v>6.5138458093243372</v>
      </c>
      <c r="BF15" s="677">
        <v>-0.37240985154872419</v>
      </c>
      <c r="BG15" s="677">
        <v>-15.76426708255948</v>
      </c>
      <c r="BH15" s="677"/>
      <c r="BI15" s="677"/>
      <c r="BJ15" s="678"/>
      <c r="BK15" s="530"/>
      <c r="BL15" s="646">
        <f xml:space="preserve"> ( ( 1 + BG15 / 100 ) * ( 1 + BH15 / 100 ) * ( 1 + BI15 / 100 ) * ( 1 + BJ15 / 100 ) ) * 100 - 100</f>
        <v>-15.764267082559485</v>
      </c>
      <c r="BM15" s="647"/>
      <c r="BN15" s="647"/>
      <c r="BO15" s="648">
        <f ca="1">'II. Category'!$D7</f>
        <v>-15.76426708255948</v>
      </c>
    </row>
    <row r="16" spans="1:67" s="137" customFormat="1" ht="13.8">
      <c r="B16" s="178" t="s">
        <v>3</v>
      </c>
      <c r="C16" s="508">
        <v>3.02</v>
      </c>
      <c r="D16" s="508">
        <v>2.33</v>
      </c>
      <c r="E16" s="508">
        <v>8.73</v>
      </c>
      <c r="F16" s="508">
        <v>6.52</v>
      </c>
      <c r="G16" s="509">
        <v>4.3</v>
      </c>
      <c r="H16" s="509">
        <v>-3.16</v>
      </c>
      <c r="I16" s="509">
        <v>1.31</v>
      </c>
      <c r="J16" s="165">
        <v>5.36</v>
      </c>
      <c r="K16" s="165">
        <v>-13.61</v>
      </c>
      <c r="L16" s="165">
        <v>4.8600000000000003</v>
      </c>
      <c r="M16" s="165">
        <v>-0.35</v>
      </c>
      <c r="N16" s="165">
        <v>-5.9063402873936779</v>
      </c>
      <c r="O16" s="165">
        <v>-11.500542733008876</v>
      </c>
      <c r="P16" s="165">
        <v>7.4847518500325156</v>
      </c>
      <c r="Q16" s="165">
        <v>9.6229105150905436</v>
      </c>
      <c r="R16" s="165">
        <v>9.5632100002823517</v>
      </c>
      <c r="S16" s="165">
        <v>1.3184909576376524</v>
      </c>
      <c r="T16" s="165">
        <v>-2.6558241941812293</v>
      </c>
      <c r="U16" s="165">
        <v>11.995539115648679</v>
      </c>
      <c r="V16" s="165">
        <v>4.7916617602276723</v>
      </c>
      <c r="W16" s="165">
        <v>5.3714480838867775</v>
      </c>
      <c r="X16" s="165">
        <v>6.3989988278631866</v>
      </c>
      <c r="Y16" s="165">
        <v>-0.97238125521373897</v>
      </c>
      <c r="Z16" s="165">
        <v>10.152418298473865</v>
      </c>
      <c r="AA16" s="165">
        <v>-0.45155928626506459</v>
      </c>
      <c r="AB16" s="165">
        <v>5.8512374766565927</v>
      </c>
      <c r="AC16" s="165">
        <v>0.97611343591616162</v>
      </c>
      <c r="AD16" s="165">
        <v>-1.5835421481685472</v>
      </c>
      <c r="AE16" s="679">
        <v>13.014307351627689</v>
      </c>
      <c r="AF16" s="679">
        <v>0.36921850407439649</v>
      </c>
      <c r="AG16" s="679">
        <v>-1.0809393749283345</v>
      </c>
      <c r="AH16" s="679">
        <v>4.2503817654256579</v>
      </c>
      <c r="AI16" s="679">
        <v>11.637954377746549</v>
      </c>
      <c r="AJ16" s="679">
        <v>4.6566006355159431</v>
      </c>
      <c r="AK16" s="679">
        <v>-6.2121796300670411</v>
      </c>
      <c r="AL16" s="679">
        <v>17.651857135612417</v>
      </c>
      <c r="AM16" s="679">
        <v>-3.7242783724022956</v>
      </c>
      <c r="AN16" s="679">
        <v>-8.3047163473124215</v>
      </c>
      <c r="AO16" s="679">
        <v>9.404883001011342</v>
      </c>
      <c r="AP16" s="679">
        <v>2.8412728956317181</v>
      </c>
      <c r="AQ16" s="679">
        <v>15.920697546962856</v>
      </c>
      <c r="AR16" s="679">
        <v>7.2072433338316557</v>
      </c>
      <c r="AS16" s="679">
        <v>-4.3290697815067034</v>
      </c>
      <c r="AT16" s="679">
        <v>1.9019349701043637</v>
      </c>
      <c r="AU16" s="679">
        <v>5.7935853801212716</v>
      </c>
      <c r="AV16" s="679">
        <v>2.690178677415048</v>
      </c>
      <c r="AW16" s="679">
        <v>3.5126463279061824</v>
      </c>
      <c r="AX16" s="679">
        <v>-0.70640652479328025</v>
      </c>
      <c r="AY16" s="679">
        <v>-3.4595418403230496</v>
      </c>
      <c r="AZ16" s="679">
        <v>5.3918922459519649</v>
      </c>
      <c r="BA16" s="679">
        <v>2.0379309873613494</v>
      </c>
      <c r="BB16" s="679">
        <v>0.70054980397591748</v>
      </c>
      <c r="BC16" s="679">
        <v>10.638825218470668</v>
      </c>
      <c r="BD16" s="679">
        <v>5.8789371470664662</v>
      </c>
      <c r="BE16" s="679">
        <v>6.4859540185246232</v>
      </c>
      <c r="BF16" s="679">
        <v>-0.143856606795012</v>
      </c>
      <c r="BG16" s="679">
        <v>-15.024348928007255</v>
      </c>
      <c r="BH16" s="679"/>
      <c r="BI16" s="679"/>
      <c r="BJ16" s="843"/>
      <c r="BK16" s="179"/>
      <c r="BL16" s="649">
        <f xml:space="preserve"> ( ( 1 + BG16 / 100 ) * ( 1 + BH16 / 100 ) * ( 1 + BI16 / 100 ) * ( 1 + BJ16 / 100 ) ) * 100 - 100</f>
        <v>-15.024348928007257</v>
      </c>
      <c r="BM16" s="476"/>
      <c r="BN16" s="476"/>
      <c r="BO16" s="650">
        <f ca="1">'II. Category'!$D8</f>
        <v>-15.024348928007255</v>
      </c>
    </row>
    <row r="17" spans="2:67" s="137" customFormat="1" ht="13.8">
      <c r="B17" s="178" t="s">
        <v>5</v>
      </c>
      <c r="C17" s="508">
        <v>0.89</v>
      </c>
      <c r="D17" s="508">
        <v>3.61</v>
      </c>
      <c r="E17" s="508">
        <v>6.54</v>
      </c>
      <c r="F17" s="508">
        <v>11.94</v>
      </c>
      <c r="G17" s="509">
        <v>7.52</v>
      </c>
      <c r="H17" s="509">
        <v>-1.64</v>
      </c>
      <c r="I17" s="509">
        <v>-1.02</v>
      </c>
      <c r="J17" s="165">
        <v>5.01</v>
      </c>
      <c r="K17" s="165">
        <v>-10.06</v>
      </c>
      <c r="L17" s="165">
        <v>8.7100000000000009</v>
      </c>
      <c r="M17" s="165">
        <v>-13.89</v>
      </c>
      <c r="N17" s="165">
        <v>-13.962724545954803</v>
      </c>
      <c r="O17" s="165">
        <v>-11.91335187671433</v>
      </c>
      <c r="P17" s="165">
        <v>11.27211975030129</v>
      </c>
      <c r="Q17" s="165">
        <v>8.8875720411636827</v>
      </c>
      <c r="R17" s="165">
        <v>8.2976609119444369</v>
      </c>
      <c r="S17" s="165">
        <v>-0.80283957853883869</v>
      </c>
      <c r="T17" s="165">
        <v>-5.1597542749523218</v>
      </c>
      <c r="U17" s="165">
        <v>13.689687235289583</v>
      </c>
      <c r="V17" s="165">
        <v>1.4464333809592889</v>
      </c>
      <c r="W17" s="165">
        <v>3.6026651516598061</v>
      </c>
      <c r="X17" s="165">
        <v>4.6646179880948671</v>
      </c>
      <c r="Y17" s="165">
        <v>1.0883832013952155</v>
      </c>
      <c r="Z17" s="165">
        <v>9.0354641054626317</v>
      </c>
      <c r="AA17" s="165">
        <v>-0.96067153850130182</v>
      </c>
      <c r="AB17" s="165">
        <v>5.6100137465158468</v>
      </c>
      <c r="AC17" s="165">
        <v>1.8524807954621281</v>
      </c>
      <c r="AD17" s="165">
        <v>-0.68232648148665476</v>
      </c>
      <c r="AE17" s="679">
        <v>15.772206669883712</v>
      </c>
      <c r="AF17" s="679">
        <v>-3.4377387897195035</v>
      </c>
      <c r="AG17" s="679">
        <v>1.3651168824791853</v>
      </c>
      <c r="AH17" s="679">
        <v>2.338306813620818</v>
      </c>
      <c r="AI17" s="679">
        <v>9.8059726533373031</v>
      </c>
      <c r="AJ17" s="679">
        <v>7.6179913227692708</v>
      </c>
      <c r="AK17" s="679">
        <v>-3.6881893496196767</v>
      </c>
      <c r="AL17" s="679">
        <v>11.99098241079065</v>
      </c>
      <c r="AM17" s="679">
        <v>-4.3970662736295765</v>
      </c>
      <c r="AN17" s="679">
        <v>-6.0292953160484615</v>
      </c>
      <c r="AO17" s="679">
        <v>4.5339310969640962</v>
      </c>
      <c r="AP17" s="679">
        <v>2.5724271697892078</v>
      </c>
      <c r="AQ17" s="679">
        <v>13.216878205322445</v>
      </c>
      <c r="AR17" s="679">
        <v>10.106545289667835</v>
      </c>
      <c r="AS17" s="679">
        <v>-3.7117813756799904</v>
      </c>
      <c r="AT17" s="679">
        <v>3.7769529010496825</v>
      </c>
      <c r="AU17" s="679">
        <v>3.9048992082475991</v>
      </c>
      <c r="AV17" s="679">
        <v>1.9860478371408448</v>
      </c>
      <c r="AW17" s="679">
        <v>2.4979914829773264</v>
      </c>
      <c r="AX17" s="679">
        <v>2.4938283997271355</v>
      </c>
      <c r="AY17" s="679">
        <v>-1.9055357007654694</v>
      </c>
      <c r="AZ17" s="679">
        <v>4.9639080374162887</v>
      </c>
      <c r="BA17" s="679">
        <v>-0.3045417335712699</v>
      </c>
      <c r="BB17" s="679">
        <v>0.94170196827845132</v>
      </c>
      <c r="BC17" s="679">
        <v>10.45671655777787</v>
      </c>
      <c r="BD17" s="679">
        <v>1.3037153981637033</v>
      </c>
      <c r="BE17" s="679">
        <v>6.6144220061666772</v>
      </c>
      <c r="BF17" s="679">
        <v>-1.1955666527467343</v>
      </c>
      <c r="BG17" s="679">
        <v>-18.312874059350492</v>
      </c>
      <c r="BH17" s="679"/>
      <c r="BI17" s="679"/>
      <c r="BJ17" s="843"/>
      <c r="BK17" s="179"/>
      <c r="BL17" s="649">
        <f xml:space="preserve"> ( ( 1 + BG17 / 100 ) * ( 1 + BH17 / 100 ) * ( 1 + BI17 / 100 ) * ( 1 + BJ17 / 100 ) ) * 100 - 100</f>
        <v>-18.312874059350492</v>
      </c>
      <c r="BM17" s="476"/>
      <c r="BN17" s="476"/>
      <c r="BO17" s="650">
        <f ca="1">'II. Category'!$D9</f>
        <v>-18.312874059350492</v>
      </c>
    </row>
    <row r="18" spans="2:67" s="138" customFormat="1" ht="13.8">
      <c r="B18" s="531" t="s">
        <v>4</v>
      </c>
      <c r="C18" s="532">
        <v>0.73</v>
      </c>
      <c r="D18" s="532">
        <v>8.48</v>
      </c>
      <c r="E18" s="532">
        <v>6.33</v>
      </c>
      <c r="F18" s="532">
        <v>9.0500000000000007</v>
      </c>
      <c r="G18" s="533">
        <v>9.07</v>
      </c>
      <c r="H18" s="533">
        <v>-0.09</v>
      </c>
      <c r="I18" s="533">
        <v>0.08</v>
      </c>
      <c r="J18" s="166">
        <v>8.6199999999999992</v>
      </c>
      <c r="K18" s="166">
        <v>-11.61</v>
      </c>
      <c r="L18" s="166">
        <v>6.66</v>
      </c>
      <c r="M18" s="166">
        <v>-15.53</v>
      </c>
      <c r="N18" s="166">
        <v>-17.010167399024471</v>
      </c>
      <c r="O18" s="166">
        <v>-22.837198200281744</v>
      </c>
      <c r="P18" s="166">
        <v>22.75047243961405</v>
      </c>
      <c r="Q18" s="166">
        <v>5.6257101101336637</v>
      </c>
      <c r="R18" s="166">
        <v>8.0240515722569405</v>
      </c>
      <c r="S18" s="166">
        <v>-2.6079803172211258</v>
      </c>
      <c r="T18" s="166">
        <v>-7.0928850385978919</v>
      </c>
      <c r="U18" s="166">
        <v>5.0590429170990658</v>
      </c>
      <c r="V18" s="166">
        <v>-0.23619593396725369</v>
      </c>
      <c r="W18" s="166">
        <v>8.9058968390727689</v>
      </c>
      <c r="X18" s="166">
        <v>6.066940787316943</v>
      </c>
      <c r="Y18" s="166">
        <v>-3.5609523860670844</v>
      </c>
      <c r="Z18" s="166">
        <v>8.938203509681685</v>
      </c>
      <c r="AA18" s="166">
        <v>1.0087445764339398</v>
      </c>
      <c r="AB18" s="166">
        <v>5.1993804712084568</v>
      </c>
      <c r="AC18" s="166">
        <v>-2.1608779775875178</v>
      </c>
      <c r="AD18" s="166">
        <v>-3.0671381178514281</v>
      </c>
      <c r="AE18" s="680">
        <v>14.961680689831859</v>
      </c>
      <c r="AF18" s="680">
        <v>7.5546350665565143</v>
      </c>
      <c r="AG18" s="680">
        <v>8.616364338093419</v>
      </c>
      <c r="AH18" s="680">
        <v>9.8587772613514346</v>
      </c>
      <c r="AI18" s="680">
        <v>40.59292991223009</v>
      </c>
      <c r="AJ18" s="680">
        <v>-17.441061611145273</v>
      </c>
      <c r="AK18" s="680">
        <v>-14.641009291230205</v>
      </c>
      <c r="AL18" s="680">
        <v>7.6006704091916646</v>
      </c>
      <c r="AM18" s="680">
        <v>-5.7755471669335634</v>
      </c>
      <c r="AN18" s="680">
        <v>-7.1071664896567626</v>
      </c>
      <c r="AO18" s="680">
        <v>-6.507068961977339</v>
      </c>
      <c r="AP18" s="680">
        <v>4.5700645885913929</v>
      </c>
      <c r="AQ18" s="680">
        <v>21.618189880731364</v>
      </c>
      <c r="AR18" s="680">
        <v>2.2250724726027187</v>
      </c>
      <c r="AS18" s="680">
        <v>-7.7785780573050545</v>
      </c>
      <c r="AT18" s="680">
        <v>9.5371494886276906</v>
      </c>
      <c r="AU18" s="792" t="s">
        <v>660</v>
      </c>
      <c r="AV18" s="792" t="s">
        <v>660</v>
      </c>
      <c r="AW18" s="792" t="s">
        <v>660</v>
      </c>
      <c r="AX18" s="792" t="s">
        <v>660</v>
      </c>
      <c r="AY18" s="792" t="s">
        <v>660</v>
      </c>
      <c r="AZ18" s="792" t="s">
        <v>660</v>
      </c>
      <c r="BA18" s="792" t="s">
        <v>660</v>
      </c>
      <c r="BB18" s="792" t="s">
        <v>660</v>
      </c>
      <c r="BC18" s="792" t="s">
        <v>660</v>
      </c>
      <c r="BD18" s="792" t="s">
        <v>660</v>
      </c>
      <c r="BE18" s="792" t="s">
        <v>660</v>
      </c>
      <c r="BF18" s="792" t="s">
        <v>660</v>
      </c>
      <c r="BG18" s="792" t="s">
        <v>660</v>
      </c>
      <c r="BH18" s="792"/>
      <c r="BI18" s="792"/>
      <c r="BJ18" s="845"/>
      <c r="BK18" s="534"/>
      <c r="BL18" s="791" t="s">
        <v>660</v>
      </c>
      <c r="BM18" s="522"/>
      <c r="BN18" s="522"/>
      <c r="BO18" s="794" t="s">
        <v>660</v>
      </c>
    </row>
    <row r="21" spans="2:67">
      <c r="B21" s="30" t="s">
        <v>169</v>
      </c>
    </row>
    <row r="22" spans="2:67">
      <c r="B22" s="30" t="s">
        <v>465</v>
      </c>
    </row>
    <row r="23" spans="2:67">
      <c r="B23" s="569"/>
    </row>
    <row r="24" spans="2:67">
      <c r="B24" s="15" t="s">
        <v>658</v>
      </c>
    </row>
    <row r="26" spans="2:67" ht="14.4" collapsed="1">
      <c r="B26" s="31"/>
    </row>
    <row r="27" spans="2:67" s="136" customFormat="1" ht="13.8" hidden="1" outlineLevel="1">
      <c r="B27" s="525" t="s">
        <v>469</v>
      </c>
      <c r="C27" s="528">
        <v>-0.63</v>
      </c>
      <c r="D27" s="528">
        <v>5.47</v>
      </c>
      <c r="E27" s="528">
        <v>7.48</v>
      </c>
      <c r="F27" s="528">
        <v>8.94</v>
      </c>
      <c r="G27" s="529">
        <v>8.6999999999999993</v>
      </c>
      <c r="H27" s="529">
        <v>-1.46</v>
      </c>
      <c r="I27" s="529">
        <v>1.83</v>
      </c>
      <c r="J27" s="164">
        <v>6.85</v>
      </c>
      <c r="K27" s="164">
        <v>-10.42</v>
      </c>
      <c r="L27" s="164">
        <v>7.11</v>
      </c>
      <c r="M27" s="164">
        <v>-14.29</v>
      </c>
      <c r="N27" s="164">
        <v>-9.8978599221789914</v>
      </c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40"/>
      <c r="AC27" s="140"/>
      <c r="AD27" s="140"/>
      <c r="AE27" s="164"/>
      <c r="AF27" s="140"/>
      <c r="AG27" s="140"/>
      <c r="AH27" s="140"/>
      <c r="AI27" s="164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678"/>
      <c r="AY27" s="140"/>
      <c r="AZ27" s="140"/>
      <c r="BA27" s="140"/>
      <c r="BB27" s="678"/>
      <c r="BC27" s="678"/>
      <c r="BD27" s="678"/>
      <c r="BE27" s="678"/>
      <c r="BF27" s="678"/>
      <c r="BG27" s="140"/>
      <c r="BH27" s="140"/>
      <c r="BI27" s="140"/>
      <c r="BJ27" s="678">
        <f xml:space="preserve"> -100 + 100 * ( 1 + $BO27 / 100 ) / ( 1 + BG27 / 100 ) / ( 1 + BH27 / 100 ) / ( 1 + BI27 / 100 )</f>
        <v>5</v>
      </c>
      <c r="BK27" s="530"/>
      <c r="BL27" s="646">
        <f xml:space="preserve"> ( ( 1 + BG27 / 100 ) * ( 1 + BH27 / 100 ) * ( 1 + BI27 / 100 ) * ( 1 + BJ27 / 100 ) ) * 100 - 100</f>
        <v>5</v>
      </c>
      <c r="BM27" s="647"/>
      <c r="BN27" s="647"/>
      <c r="BO27" s="648">
        <v>5</v>
      </c>
    </row>
  </sheetData>
  <mergeCells count="1">
    <mergeCell ref="A1:B1"/>
  </mergeCells>
  <phoneticPr fontId="3" type="noConversion"/>
  <hyperlinks>
    <hyperlink ref="A1" location="Index!A1" display="Return to Index" xr:uid="{00000000-0004-0000-0900-000000000000}"/>
    <hyperlink ref="A1:B1" location="Contents!A1" display="Go to Contents" xr:uid="{00000000-0004-0000-0900-000001000000}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09375" defaultRowHeight="13.8" outlineLevelCol="2"/>
  <cols>
    <col min="1" max="1" width="2.88671875" style="59" customWidth="1"/>
    <col min="2" max="2" width="4.6640625" style="11" customWidth="1"/>
    <col min="3" max="3" width="19.5546875" style="11" customWidth="1"/>
    <col min="4" max="4" width="11.33203125" style="11" customWidth="1"/>
    <col min="5" max="5" width="6.5546875" style="11" customWidth="1" collapsed="1"/>
    <col min="6" max="6" width="19.5546875" style="11" hidden="1" customWidth="1" outlineLevel="1"/>
    <col min="7" max="7" width="11.33203125" style="11" hidden="1" customWidth="1" outlineLevel="1"/>
    <col min="8" max="8" width="6.5546875" style="11" hidden="1" customWidth="1" outlineLevel="1"/>
    <col min="9" max="9" width="19.5546875" style="11" customWidth="1"/>
    <col min="10" max="10" width="11.33203125" style="11" customWidth="1"/>
    <col min="11" max="11" width="2.44140625" style="11" customWidth="1"/>
    <col min="12" max="12" width="2.44140625" style="11" customWidth="1" collapsed="1"/>
    <col min="13" max="13" width="1.5546875" style="11" hidden="1" customWidth="1" outlineLevel="1" collapsed="1"/>
    <col min="14" max="14" width="5.44140625" style="295" hidden="1" customWidth="1" outlineLevel="2"/>
    <col min="15" max="15" width="2" style="11" hidden="1" customWidth="1" outlineLevel="2"/>
    <col min="16" max="18" width="4" style="295" hidden="1" customWidth="1" outlineLevel="2"/>
    <col min="19" max="19" width="4.109375" style="11" hidden="1" customWidth="1" outlineLevel="2"/>
    <col min="20" max="20" width="15.88671875" style="11" hidden="1" customWidth="1" outlineLevel="1"/>
    <col min="21" max="21" width="1.44140625" style="11" hidden="1" customWidth="1" outlineLevel="1"/>
    <col min="22" max="24" width="9.33203125" style="211" hidden="1" customWidth="1" outlineLevel="1"/>
    <col min="25" max="25" width="8.88671875" style="211" hidden="1" customWidth="1" outlineLevel="1"/>
    <col min="26" max="26" width="3.33203125" style="11" hidden="1" customWidth="1" outlineLevel="1"/>
    <col min="27" max="27" width="7.109375" style="11" hidden="1" customWidth="1" outlineLevel="1"/>
    <col min="28" max="28" width="7.6640625" style="11" hidden="1" customWidth="1" outlineLevel="1"/>
    <col min="29" max="29" width="8.6640625" style="11" hidden="1" customWidth="1" outlineLevel="1"/>
    <col min="30" max="30" width="4.33203125" style="11" hidden="1" customWidth="1" outlineLevel="1"/>
    <col min="31" max="33" width="5.44140625" style="295" hidden="1" customWidth="1" outlineLevel="1"/>
    <col min="34" max="39" width="9.109375" style="11" hidden="1" customWidth="1" outlineLevel="1"/>
    <col min="40" max="40" width="2" style="11" hidden="1" customWidth="1" outlineLevel="1"/>
    <col min="41" max="16384" width="9.109375" style="11"/>
  </cols>
  <sheetData>
    <row r="1" spans="1:40">
      <c r="A1" s="852" t="s">
        <v>408</v>
      </c>
      <c r="B1" s="855"/>
      <c r="C1" s="856"/>
      <c r="U1" s="620"/>
      <c r="V1" s="621" t="s">
        <v>460</v>
      </c>
      <c r="W1" s="622">
        <v>2020</v>
      </c>
    </row>
    <row r="2" spans="1:40" ht="18">
      <c r="A2" s="62"/>
      <c r="B2" s="161" t="s">
        <v>213</v>
      </c>
      <c r="C2" s="16"/>
      <c r="D2" s="16"/>
      <c r="U2" s="620"/>
      <c r="V2" s="621" t="s">
        <v>461</v>
      </c>
      <c r="W2" s="622" t="s">
        <v>89</v>
      </c>
    </row>
    <row r="3" spans="1:40">
      <c r="C3" s="197" t="str">
        <f>Settings_Ending_Periods</f>
        <v>Periods ending 3/31/2020</v>
      </c>
    </row>
    <row r="4" spans="1:40" ht="15.6">
      <c r="A4" s="63"/>
      <c r="B4" s="64"/>
      <c r="C4" s="64"/>
      <c r="M4" s="535"/>
      <c r="N4" s="860" t="s">
        <v>383</v>
      </c>
      <c r="O4" s="860"/>
      <c r="P4" s="860"/>
      <c r="Q4" s="860"/>
      <c r="R4" s="860"/>
      <c r="S4" s="102"/>
      <c r="T4" s="860" t="s">
        <v>455</v>
      </c>
      <c r="U4" s="860"/>
      <c r="V4" s="860"/>
      <c r="W4" s="860"/>
      <c r="X4" s="860"/>
      <c r="Y4" s="860"/>
      <c r="Z4" s="102"/>
      <c r="AA4" s="860" t="s">
        <v>456</v>
      </c>
      <c r="AB4" s="860"/>
      <c r="AC4" s="860"/>
      <c r="AD4" s="102"/>
      <c r="AE4" s="860" t="s">
        <v>457</v>
      </c>
      <c r="AF4" s="860"/>
      <c r="AG4" s="860"/>
      <c r="AH4" s="102"/>
      <c r="AI4" s="860" t="s">
        <v>458</v>
      </c>
      <c r="AJ4" s="860"/>
      <c r="AK4" s="860"/>
      <c r="AL4" s="861"/>
      <c r="AM4" s="861"/>
      <c r="AN4" s="535"/>
    </row>
    <row r="5" spans="1:40" s="67" customFormat="1" ht="15.6">
      <c r="A5" s="65"/>
      <c r="B5" s="66"/>
      <c r="C5" s="859" t="s">
        <v>451</v>
      </c>
      <c r="D5" s="859"/>
      <c r="E5" s="61"/>
      <c r="F5" s="859" t="s">
        <v>451</v>
      </c>
      <c r="G5" s="859"/>
      <c r="H5" s="291"/>
      <c r="I5" s="859" t="s">
        <v>451</v>
      </c>
      <c r="J5" s="859"/>
      <c r="M5" s="102"/>
      <c r="N5" s="296" t="s">
        <v>65</v>
      </c>
      <c r="O5" s="102"/>
      <c r="P5" s="296" t="s">
        <v>217</v>
      </c>
      <c r="Q5" s="296" t="s">
        <v>212</v>
      </c>
      <c r="R5" s="296" t="s">
        <v>449</v>
      </c>
      <c r="S5" s="102"/>
      <c r="T5" s="537"/>
      <c r="U5" s="302"/>
      <c r="V5" s="297" t="s">
        <v>452</v>
      </c>
      <c r="W5" s="297" t="s">
        <v>459</v>
      </c>
      <c r="X5" s="297" t="s">
        <v>453</v>
      </c>
      <c r="Y5" s="298" t="s">
        <v>454</v>
      </c>
      <c r="Z5" s="102"/>
      <c r="AA5" s="298" t="s">
        <v>217</v>
      </c>
      <c r="AB5" s="298" t="s">
        <v>212</v>
      </c>
      <c r="AC5" s="298" t="s">
        <v>449</v>
      </c>
      <c r="AD5" s="102"/>
      <c r="AE5" s="558" t="s">
        <v>217</v>
      </c>
      <c r="AF5" s="558" t="s">
        <v>212</v>
      </c>
      <c r="AG5" s="558" t="s">
        <v>449</v>
      </c>
      <c r="AH5" s="102"/>
      <c r="AI5" s="102"/>
      <c r="AJ5" s="102"/>
      <c r="AK5" s="299"/>
      <c r="AL5" s="538"/>
      <c r="AM5" s="538"/>
      <c r="AN5" s="102"/>
    </row>
    <row r="6" spans="1:40" ht="12.75" customHeight="1">
      <c r="A6" s="63"/>
      <c r="B6" s="64"/>
      <c r="C6" s="556" t="s">
        <v>377</v>
      </c>
      <c r="D6" s="100"/>
      <c r="E6" s="68"/>
      <c r="F6" s="556" t="s">
        <v>450</v>
      </c>
      <c r="G6" s="100"/>
      <c r="H6" s="68"/>
      <c r="I6" s="556" t="s">
        <v>243</v>
      </c>
      <c r="J6" s="100"/>
      <c r="M6" s="102"/>
      <c r="N6" s="301"/>
      <c r="O6" s="102"/>
      <c r="P6" s="301"/>
      <c r="Q6" s="301"/>
      <c r="R6" s="301"/>
      <c r="S6" s="102"/>
      <c r="T6" s="539" t="s">
        <v>448</v>
      </c>
      <c r="U6" s="540"/>
      <c r="V6" s="619">
        <v>43553</v>
      </c>
      <c r="W6" s="619">
        <v>43830</v>
      </c>
      <c r="X6" s="619">
        <v>43830</v>
      </c>
      <c r="Y6" s="619">
        <v>43921</v>
      </c>
      <c r="Z6" s="102"/>
      <c r="AA6" s="541" t="s">
        <v>447</v>
      </c>
      <c r="AB6" s="542" t="s">
        <v>212</v>
      </c>
      <c r="AC6" s="541" t="s">
        <v>446</v>
      </c>
      <c r="AD6" s="102"/>
      <c r="AE6" s="301"/>
      <c r="AF6" s="301"/>
      <c r="AG6" s="301"/>
      <c r="AH6" s="102"/>
      <c r="AI6" s="554" t="s">
        <v>228</v>
      </c>
      <c r="AJ6" s="102"/>
      <c r="AK6" s="102"/>
      <c r="AL6" s="299"/>
      <c r="AM6" s="543" t="s">
        <v>330</v>
      </c>
      <c r="AN6" s="102"/>
    </row>
    <row r="7" spans="1:40">
      <c r="C7" s="168" t="s">
        <v>214</v>
      </c>
      <c r="D7" s="555" t="s">
        <v>117</v>
      </c>
      <c r="E7" s="69"/>
      <c r="F7" s="168" t="s">
        <v>214</v>
      </c>
      <c r="G7" s="555" t="s">
        <v>117</v>
      </c>
      <c r="H7" s="69"/>
      <c r="I7" s="168" t="s">
        <v>214</v>
      </c>
      <c r="J7" s="555" t="s">
        <v>117</v>
      </c>
    </row>
    <row r="8" spans="1:40">
      <c r="C8" s="107" t="str">
        <f ca="1">OFFSET( $T$8, P8 - 1, 0 )</f>
        <v>Technology</v>
      </c>
      <c r="D8" s="684">
        <f ca="1">OFFSET( $AA$8, P8 - 1, 0 )</f>
        <v>8.7346215728657112E-2</v>
      </c>
      <c r="E8" s="71"/>
      <c r="F8" s="107" t="str">
        <f ca="1">OFFSET( $T$8, Q8 - 1, 0 )</f>
        <v>Technology</v>
      </c>
      <c r="G8" s="684">
        <f ca="1">OFFSET( $AB$8, Q8 - 1, 0 )</f>
        <v>-0.11765598005987318</v>
      </c>
      <c r="H8" s="71"/>
      <c r="I8" s="107" t="str">
        <f ca="1">OFFSET( $T$8, R8 - 1, 0 )</f>
        <v>Technology</v>
      </c>
      <c r="J8" s="684">
        <f ca="1">OFFSET( $AC$8, R8 - 1, 0 )</f>
        <v>-0.11765598005987318</v>
      </c>
      <c r="M8" s="544"/>
      <c r="N8" s="557">
        <v>1</v>
      </c>
      <c r="O8" s="102"/>
      <c r="P8" s="300">
        <f t="shared" ref="P8:P18" si="0">MATCH( $N8, AE$8:AE$19, 0 )</f>
        <v>8</v>
      </c>
      <c r="Q8" s="300">
        <f t="shared" ref="Q8:Q18" si="1">MATCH( $N8, AF$8:AF$19, 0 )</f>
        <v>8</v>
      </c>
      <c r="R8" s="300">
        <f t="shared" ref="R8:R18" si="2">MATCH( $N8, AG$8:AG$19, 0 )</f>
        <v>8</v>
      </c>
      <c r="S8" s="102"/>
      <c r="T8" s="561" t="s">
        <v>218</v>
      </c>
      <c r="U8" s="562"/>
      <c r="V8" s="563">
        <v>681.31</v>
      </c>
      <c r="W8" s="563">
        <v>745.72</v>
      </c>
      <c r="X8" s="563">
        <v>745.72</v>
      </c>
      <c r="Y8" s="563">
        <v>529.92999999999995</v>
      </c>
      <c r="Z8" s="102"/>
      <c r="AA8" s="546">
        <f t="shared" ref="AA8:AA17" si="3">(Y8-V8)/V8</f>
        <v>-0.22218960531916457</v>
      </c>
      <c r="AB8" s="546">
        <f t="shared" ref="AB8:AB17" si="4">(Y8-W8)/W8</f>
        <v>-0.28937134581344215</v>
      </c>
      <c r="AC8" s="546">
        <f t="shared" ref="AC8:AC17" si="5">(Y8-X8)/X8</f>
        <v>-0.28937134581344215</v>
      </c>
      <c r="AD8" s="102"/>
      <c r="AE8" s="309">
        <f t="shared" ref="AE8:AE17" si="6">RANK(AA8,AA$8:AA$19)</f>
        <v>10</v>
      </c>
      <c r="AF8" s="309">
        <f t="shared" ref="AF8:AF17" si="7">RANK(AB8,AB$8:AB$19)</f>
        <v>10</v>
      </c>
      <c r="AG8" s="309">
        <f t="shared" ref="AG8:AG17" si="8">RANK(AC8,AC$8:AC$19)</f>
        <v>10</v>
      </c>
      <c r="AH8" s="102"/>
      <c r="AI8" s="545" t="s">
        <v>229</v>
      </c>
      <c r="AJ8" s="102"/>
      <c r="AK8" s="102"/>
      <c r="AL8" s="299" t="s">
        <v>321</v>
      </c>
      <c r="AM8" s="543" t="s">
        <v>331</v>
      </c>
      <c r="AN8" s="102"/>
    </row>
    <row r="9" spans="1:40" ht="13.5" customHeight="1">
      <c r="C9" s="106" t="str">
        <f t="shared" ref="C9:C17" ca="1" si="9">OFFSET( $T$8, P9 - 1, 0 )</f>
        <v>Healthcare</v>
      </c>
      <c r="D9" s="685">
        <f t="shared" ref="D9:D17" ca="1" si="10">OFFSET( $AA$8, P9 - 1, 0 )</f>
        <v>-1.4988919828661171E-2</v>
      </c>
      <c r="E9" s="72"/>
      <c r="F9" s="106" t="str">
        <f t="shared" ref="F9:F17" ca="1" si="11">OFFSET( $T$8, Q9 - 1, 0 )</f>
        <v>Healthcare</v>
      </c>
      <c r="G9" s="685">
        <f t="shared" ref="G9:G17" ca="1" si="12">OFFSET( $AB$8, Q9 - 1, 0 )</f>
        <v>-0.12638310307878325</v>
      </c>
      <c r="H9" s="72"/>
      <c r="I9" s="106" t="str">
        <f t="shared" ref="I9:I17" ca="1" si="13">OFFSET( $T$8, R9 - 1, 0 )</f>
        <v>Healthcare</v>
      </c>
      <c r="J9" s="685">
        <f t="shared" ref="J9:J18" ca="1" si="14">OFFSET( $AC$8, R9 - 1, 0 )</f>
        <v>-0.12638310307878325</v>
      </c>
      <c r="M9" s="311"/>
      <c r="N9" s="300">
        <f>N8+1</f>
        <v>2</v>
      </c>
      <c r="O9" s="102"/>
      <c r="P9" s="300">
        <f t="shared" si="0"/>
        <v>5</v>
      </c>
      <c r="Q9" s="300">
        <f t="shared" si="1"/>
        <v>5</v>
      </c>
      <c r="R9" s="300">
        <f t="shared" si="2"/>
        <v>5</v>
      </c>
      <c r="S9" s="102"/>
      <c r="T9" s="561" t="s">
        <v>219</v>
      </c>
      <c r="U9" s="562"/>
      <c r="V9" s="563">
        <v>1120.77</v>
      </c>
      <c r="W9" s="563">
        <v>1278.2</v>
      </c>
      <c r="X9" s="563">
        <v>1278.2</v>
      </c>
      <c r="Y9" s="563">
        <v>1045.33</v>
      </c>
      <c r="Z9" s="102"/>
      <c r="AA9" s="546">
        <f t="shared" si="3"/>
        <v>-6.731086663633043E-2</v>
      </c>
      <c r="AB9" s="546">
        <f t="shared" si="4"/>
        <v>-0.18218588640275396</v>
      </c>
      <c r="AC9" s="546">
        <f t="shared" si="5"/>
        <v>-0.18218588640275396</v>
      </c>
      <c r="AD9" s="102"/>
      <c r="AE9" s="309">
        <f t="shared" si="6"/>
        <v>6</v>
      </c>
      <c r="AF9" s="309">
        <f t="shared" si="7"/>
        <v>6</v>
      </c>
      <c r="AG9" s="309">
        <f t="shared" si="8"/>
        <v>6</v>
      </c>
      <c r="AH9" s="102"/>
      <c r="AI9" s="545" t="s">
        <v>230</v>
      </c>
      <c r="AJ9" s="102"/>
      <c r="AK9" s="102"/>
      <c r="AL9" s="299" t="s">
        <v>322</v>
      </c>
      <c r="AM9" s="543" t="s">
        <v>332</v>
      </c>
      <c r="AN9" s="102"/>
    </row>
    <row r="10" spans="1:40">
      <c r="C10" s="106" t="str">
        <f t="shared" ca="1" si="9"/>
        <v>Telecommunications</v>
      </c>
      <c r="D10" s="685">
        <f t="shared" ca="1" si="10"/>
        <v>-2.1316371919118154E-2</v>
      </c>
      <c r="E10" s="72"/>
      <c r="F10" s="106" t="str">
        <f t="shared" ca="1" si="11"/>
        <v>EEI Index</v>
      </c>
      <c r="G10" s="685">
        <f t="shared" ca="1" si="12"/>
        <v>-0.13589999999999999</v>
      </c>
      <c r="H10" s="72"/>
      <c r="I10" s="106" t="str">
        <f t="shared" ca="1" si="13"/>
        <v>EEI Index</v>
      </c>
      <c r="J10" s="685">
        <f t="shared" ca="1" si="14"/>
        <v>-0.13589999999999999</v>
      </c>
      <c r="M10" s="311"/>
      <c r="N10" s="300">
        <f t="shared" ref="N10:N17" si="15">N9+1</f>
        <v>3</v>
      </c>
      <c r="O10" s="102"/>
      <c r="P10" s="300">
        <f t="shared" si="0"/>
        <v>9</v>
      </c>
      <c r="Q10" s="300">
        <f t="shared" si="1"/>
        <v>12</v>
      </c>
      <c r="R10" s="300">
        <f t="shared" si="2"/>
        <v>12</v>
      </c>
      <c r="S10" s="102"/>
      <c r="T10" s="561" t="s">
        <v>220</v>
      </c>
      <c r="U10" s="562"/>
      <c r="V10" s="563">
        <v>1425.45</v>
      </c>
      <c r="W10" s="563">
        <v>1595.67</v>
      </c>
      <c r="X10" s="563">
        <v>1595.67</v>
      </c>
      <c r="Y10" s="563">
        <v>1294.8599999999999</v>
      </c>
      <c r="Z10" s="102"/>
      <c r="AA10" s="546">
        <f t="shared" si="3"/>
        <v>-9.1613174786909501E-2</v>
      </c>
      <c r="AB10" s="546">
        <f t="shared" si="4"/>
        <v>-0.18851642256857631</v>
      </c>
      <c r="AC10" s="546">
        <f t="shared" si="5"/>
        <v>-0.18851642256857631</v>
      </c>
      <c r="AD10" s="102"/>
      <c r="AE10" s="309">
        <f t="shared" si="6"/>
        <v>7</v>
      </c>
      <c r="AF10" s="309">
        <f t="shared" si="7"/>
        <v>7</v>
      </c>
      <c r="AG10" s="309">
        <f t="shared" si="8"/>
        <v>7</v>
      </c>
      <c r="AH10" s="102"/>
      <c r="AI10" s="545" t="s">
        <v>231</v>
      </c>
      <c r="AJ10" s="102"/>
      <c r="AK10" s="102"/>
      <c r="AL10" s="299" t="s">
        <v>323</v>
      </c>
      <c r="AM10" s="543" t="s">
        <v>333</v>
      </c>
      <c r="AN10" s="102"/>
    </row>
    <row r="11" spans="1:40">
      <c r="C11" s="106" t="str">
        <f t="shared" ca="1" si="9"/>
        <v>EEI Index</v>
      </c>
      <c r="D11" s="685">
        <f t="shared" ca="1" si="10"/>
        <v>-2.18E-2</v>
      </c>
      <c r="E11" s="72"/>
      <c r="F11" s="106" t="str">
        <f t="shared" ca="1" si="11"/>
        <v>Utilities</v>
      </c>
      <c r="G11" s="685">
        <f t="shared" ca="1" si="12"/>
        <v>-0.14105647392085474</v>
      </c>
      <c r="H11" s="72"/>
      <c r="I11" s="106" t="str">
        <f t="shared" ca="1" si="13"/>
        <v>Utilities</v>
      </c>
      <c r="J11" s="685">
        <f t="shared" ca="1" si="14"/>
        <v>-0.14105647392085474</v>
      </c>
      <c r="M11" s="311"/>
      <c r="N11" s="300">
        <f t="shared" si="15"/>
        <v>4</v>
      </c>
      <c r="O11" s="102"/>
      <c r="P11" s="300">
        <f t="shared" si="0"/>
        <v>12</v>
      </c>
      <c r="Q11" s="300">
        <f t="shared" si="1"/>
        <v>10</v>
      </c>
      <c r="R11" s="300">
        <f t="shared" si="2"/>
        <v>10</v>
      </c>
      <c r="S11" s="102"/>
      <c r="T11" s="561" t="s">
        <v>221</v>
      </c>
      <c r="U11" s="562"/>
      <c r="V11" s="563">
        <v>1116.51</v>
      </c>
      <c r="W11" s="563">
        <v>1324.58</v>
      </c>
      <c r="X11" s="563">
        <v>1324.58</v>
      </c>
      <c r="Y11" s="563">
        <v>942.13</v>
      </c>
      <c r="Z11" s="102"/>
      <c r="AA11" s="546">
        <f t="shared" si="3"/>
        <v>-0.15618310628655363</v>
      </c>
      <c r="AB11" s="546">
        <f t="shared" si="4"/>
        <v>-0.28873303235742648</v>
      </c>
      <c r="AC11" s="546">
        <f t="shared" si="5"/>
        <v>-0.28873303235742648</v>
      </c>
      <c r="AD11" s="102"/>
      <c r="AE11" s="309">
        <f t="shared" si="6"/>
        <v>8</v>
      </c>
      <c r="AF11" s="309">
        <f t="shared" si="7"/>
        <v>9</v>
      </c>
      <c r="AG11" s="309">
        <f t="shared" si="8"/>
        <v>9</v>
      </c>
      <c r="AH11" s="102"/>
      <c r="AI11" s="545" t="s">
        <v>232</v>
      </c>
      <c r="AJ11" s="102"/>
      <c r="AK11" s="102"/>
      <c r="AL11" s="299" t="s">
        <v>324</v>
      </c>
      <c r="AM11" s="543" t="s">
        <v>334</v>
      </c>
      <c r="AN11" s="102"/>
    </row>
    <row r="12" spans="1:40">
      <c r="C12" s="106" t="str">
        <f t="shared" ca="1" si="9"/>
        <v>Utilities</v>
      </c>
      <c r="D12" s="685">
        <f t="shared" ca="1" si="10"/>
        <v>-3.1448967779278442E-2</v>
      </c>
      <c r="E12" s="72"/>
      <c r="F12" s="106" t="str">
        <f t="shared" ca="1" si="11"/>
        <v>Telecommunications</v>
      </c>
      <c r="G12" s="685">
        <f t="shared" ca="1" si="12"/>
        <v>-0.16832532914559101</v>
      </c>
      <c r="H12" s="72"/>
      <c r="I12" s="106" t="str">
        <f t="shared" ca="1" si="13"/>
        <v>Telecommunications</v>
      </c>
      <c r="J12" s="685">
        <f t="shared" ca="1" si="14"/>
        <v>-0.16832532914559101</v>
      </c>
      <c r="M12" s="311"/>
      <c r="N12" s="300">
        <f t="shared" si="15"/>
        <v>5</v>
      </c>
      <c r="O12" s="102"/>
      <c r="P12" s="300">
        <f t="shared" si="0"/>
        <v>10</v>
      </c>
      <c r="Q12" s="300">
        <f t="shared" si="1"/>
        <v>9</v>
      </c>
      <c r="R12" s="300">
        <f t="shared" si="2"/>
        <v>9</v>
      </c>
      <c r="S12" s="102"/>
      <c r="T12" s="561" t="s">
        <v>222</v>
      </c>
      <c r="U12" s="562"/>
      <c r="V12" s="563">
        <v>1547.81</v>
      </c>
      <c r="W12" s="563">
        <v>1745.17</v>
      </c>
      <c r="X12" s="563">
        <v>1745.17</v>
      </c>
      <c r="Y12" s="563">
        <v>1524.61</v>
      </c>
      <c r="Z12" s="102"/>
      <c r="AA12" s="546">
        <f t="shared" si="3"/>
        <v>-1.4988919828661171E-2</v>
      </c>
      <c r="AB12" s="546">
        <f t="shared" si="4"/>
        <v>-0.12638310307878325</v>
      </c>
      <c r="AC12" s="546">
        <f t="shared" si="5"/>
        <v>-0.12638310307878325</v>
      </c>
      <c r="AD12" s="102"/>
      <c r="AE12" s="309">
        <f t="shared" si="6"/>
        <v>2</v>
      </c>
      <c r="AF12" s="309">
        <f t="shared" si="7"/>
        <v>2</v>
      </c>
      <c r="AG12" s="309">
        <f t="shared" si="8"/>
        <v>2</v>
      </c>
      <c r="AH12" s="102"/>
      <c r="AI12" s="545" t="s">
        <v>233</v>
      </c>
      <c r="AJ12" s="102"/>
      <c r="AK12" s="102"/>
      <c r="AL12" s="299" t="s">
        <v>325</v>
      </c>
      <c r="AM12" s="543" t="s">
        <v>335</v>
      </c>
      <c r="AN12" s="102"/>
    </row>
    <row r="13" spans="1:40">
      <c r="C13" s="106" t="str">
        <f t="shared" ca="1" si="9"/>
        <v>Consumer Goods</v>
      </c>
      <c r="D13" s="685">
        <f t="shared" ca="1" si="10"/>
        <v>-6.731086663633043E-2</v>
      </c>
      <c r="E13" s="72"/>
      <c r="F13" s="106" t="str">
        <f t="shared" ca="1" si="11"/>
        <v>Consumer Goods</v>
      </c>
      <c r="G13" s="685">
        <f t="shared" ca="1" si="12"/>
        <v>-0.18218588640275396</v>
      </c>
      <c r="H13" s="72"/>
      <c r="I13" s="106" t="str">
        <f t="shared" ca="1" si="13"/>
        <v>Consumer Goods</v>
      </c>
      <c r="J13" s="685">
        <f t="shared" ca="1" si="14"/>
        <v>-0.18218588640275396</v>
      </c>
      <c r="M13" s="311"/>
      <c r="N13" s="300">
        <f t="shared" si="15"/>
        <v>6</v>
      </c>
      <c r="O13" s="102"/>
      <c r="P13" s="300">
        <f t="shared" si="0"/>
        <v>2</v>
      </c>
      <c r="Q13" s="300">
        <f t="shared" si="1"/>
        <v>2</v>
      </c>
      <c r="R13" s="300">
        <f t="shared" si="2"/>
        <v>2</v>
      </c>
      <c r="S13" s="102"/>
      <c r="T13" s="561" t="s">
        <v>223</v>
      </c>
      <c r="U13" s="562"/>
      <c r="V13" s="563">
        <v>1190.92</v>
      </c>
      <c r="W13" s="563">
        <v>1332.58</v>
      </c>
      <c r="X13" s="563">
        <v>1332.58</v>
      </c>
      <c r="Y13" s="563">
        <v>993.22</v>
      </c>
      <c r="Z13" s="102"/>
      <c r="AA13" s="546">
        <f t="shared" si="3"/>
        <v>-0.16600611292110304</v>
      </c>
      <c r="AB13" s="546">
        <f t="shared" si="4"/>
        <v>-0.25466388509507865</v>
      </c>
      <c r="AC13" s="546">
        <f t="shared" si="5"/>
        <v>-0.25466388509507865</v>
      </c>
      <c r="AD13" s="102"/>
      <c r="AE13" s="309">
        <f t="shared" si="6"/>
        <v>9</v>
      </c>
      <c r="AF13" s="309">
        <f t="shared" si="7"/>
        <v>8</v>
      </c>
      <c r="AG13" s="309">
        <f t="shared" si="8"/>
        <v>8</v>
      </c>
      <c r="AH13" s="102"/>
      <c r="AI13" s="545" t="s">
        <v>234</v>
      </c>
      <c r="AJ13" s="102"/>
      <c r="AK13" s="102"/>
      <c r="AL13" s="299" t="s">
        <v>326</v>
      </c>
      <c r="AM13" s="543" t="s">
        <v>336</v>
      </c>
      <c r="AN13" s="102"/>
    </row>
    <row r="14" spans="1:40">
      <c r="C14" s="106" t="str">
        <f t="shared" ca="1" si="9"/>
        <v>Consumer Services</v>
      </c>
      <c r="D14" s="685">
        <f t="shared" ca="1" si="10"/>
        <v>-9.1613174786909501E-2</v>
      </c>
      <c r="E14" s="72"/>
      <c r="F14" s="106" t="str">
        <f t="shared" ca="1" si="11"/>
        <v>Consumer Services</v>
      </c>
      <c r="G14" s="685">
        <f t="shared" ca="1" si="12"/>
        <v>-0.18851642256857631</v>
      </c>
      <c r="H14" s="72"/>
      <c r="I14" s="106" t="str">
        <f t="shared" ca="1" si="13"/>
        <v>Consumer Services</v>
      </c>
      <c r="J14" s="685">
        <f t="shared" ca="1" si="14"/>
        <v>-0.18851642256857631</v>
      </c>
      <c r="M14" s="311"/>
      <c r="N14" s="300">
        <f t="shared" si="15"/>
        <v>7</v>
      </c>
      <c r="O14" s="102"/>
      <c r="P14" s="300">
        <f t="shared" si="0"/>
        <v>3</v>
      </c>
      <c r="Q14" s="300">
        <f t="shared" si="1"/>
        <v>3</v>
      </c>
      <c r="R14" s="300">
        <f t="shared" si="2"/>
        <v>3</v>
      </c>
      <c r="S14" s="102"/>
      <c r="T14" s="561" t="s">
        <v>224</v>
      </c>
      <c r="U14" s="562"/>
      <c r="V14" s="563">
        <v>1034.81</v>
      </c>
      <c r="W14" s="563">
        <v>980.01</v>
      </c>
      <c r="X14" s="563">
        <v>980.01</v>
      </c>
      <c r="Y14" s="563">
        <v>476.61</v>
      </c>
      <c r="Z14" s="102"/>
      <c r="AA14" s="546">
        <f t="shared" si="3"/>
        <v>-0.53942269595384651</v>
      </c>
      <c r="AB14" s="546">
        <f t="shared" si="4"/>
        <v>-0.5136682278752257</v>
      </c>
      <c r="AC14" s="546">
        <f t="shared" si="5"/>
        <v>-0.5136682278752257</v>
      </c>
      <c r="AD14" s="102"/>
      <c r="AE14" s="309">
        <f t="shared" si="6"/>
        <v>11</v>
      </c>
      <c r="AF14" s="309">
        <f t="shared" si="7"/>
        <v>11</v>
      </c>
      <c r="AG14" s="309">
        <f t="shared" si="8"/>
        <v>11</v>
      </c>
      <c r="AH14" s="102"/>
      <c r="AI14" s="545" t="s">
        <v>235</v>
      </c>
      <c r="AJ14" s="102"/>
      <c r="AK14" s="102"/>
      <c r="AL14" s="299" t="s">
        <v>327</v>
      </c>
      <c r="AM14" s="102" t="s">
        <v>337</v>
      </c>
      <c r="AN14" s="102"/>
    </row>
    <row r="15" spans="1:40">
      <c r="C15" s="106" t="str">
        <f t="shared" ca="1" si="9"/>
        <v>Financials</v>
      </c>
      <c r="D15" s="685">
        <f t="shared" ca="1" si="10"/>
        <v>-0.15618310628655363</v>
      </c>
      <c r="E15" s="72"/>
      <c r="F15" s="106" t="str">
        <f t="shared" ca="1" si="11"/>
        <v>Industrials</v>
      </c>
      <c r="G15" s="685">
        <f t="shared" ca="1" si="12"/>
        <v>-0.25466388509507865</v>
      </c>
      <c r="H15" s="72"/>
      <c r="I15" s="106" t="str">
        <f t="shared" ca="1" si="13"/>
        <v>Industrials</v>
      </c>
      <c r="J15" s="685">
        <f t="shared" ca="1" si="14"/>
        <v>-0.25466388509507865</v>
      </c>
      <c r="M15" s="311"/>
      <c r="N15" s="300">
        <f t="shared" si="15"/>
        <v>8</v>
      </c>
      <c r="O15" s="102"/>
      <c r="P15" s="300">
        <f t="shared" si="0"/>
        <v>4</v>
      </c>
      <c r="Q15" s="300">
        <f t="shared" si="1"/>
        <v>6</v>
      </c>
      <c r="R15" s="300">
        <f t="shared" si="2"/>
        <v>6</v>
      </c>
      <c r="S15" s="102"/>
      <c r="T15" s="561" t="s">
        <v>225</v>
      </c>
      <c r="U15" s="562"/>
      <c r="V15" s="563">
        <v>2461.2399999999998</v>
      </c>
      <c r="W15" s="563">
        <v>3033.08</v>
      </c>
      <c r="X15" s="563">
        <v>3033.08</v>
      </c>
      <c r="Y15" s="563">
        <v>2676.22</v>
      </c>
      <c r="Z15" s="102"/>
      <c r="AA15" s="546">
        <f t="shared" si="3"/>
        <v>8.7346215728657112E-2</v>
      </c>
      <c r="AB15" s="546">
        <f t="shared" si="4"/>
        <v>-0.11765598005987318</v>
      </c>
      <c r="AC15" s="546">
        <f t="shared" si="5"/>
        <v>-0.11765598005987318</v>
      </c>
      <c r="AD15" s="102"/>
      <c r="AE15" s="309">
        <f t="shared" si="6"/>
        <v>1</v>
      </c>
      <c r="AF15" s="309">
        <f t="shared" si="7"/>
        <v>1</v>
      </c>
      <c r="AG15" s="309">
        <f t="shared" si="8"/>
        <v>1</v>
      </c>
      <c r="AH15" s="102"/>
      <c r="AI15" s="545" t="s">
        <v>236</v>
      </c>
      <c r="AJ15" s="102"/>
      <c r="AK15" s="102"/>
      <c r="AL15" s="102" t="s">
        <v>328</v>
      </c>
      <c r="AM15" s="102" t="s">
        <v>338</v>
      </c>
      <c r="AN15" s="102"/>
    </row>
    <row r="16" spans="1:40">
      <c r="C16" s="106" t="str">
        <f t="shared" ca="1" si="9"/>
        <v>Industrials</v>
      </c>
      <c r="D16" s="685">
        <f t="shared" ca="1" si="10"/>
        <v>-0.16600611292110304</v>
      </c>
      <c r="E16" s="72"/>
      <c r="F16" s="106" t="str">
        <f t="shared" ca="1" si="11"/>
        <v>Financials</v>
      </c>
      <c r="G16" s="685">
        <f t="shared" ca="1" si="12"/>
        <v>-0.28873303235742648</v>
      </c>
      <c r="H16" s="72"/>
      <c r="I16" s="106" t="str">
        <f t="shared" ca="1" si="13"/>
        <v>Financials</v>
      </c>
      <c r="J16" s="685">
        <f t="shared" ca="1" si="14"/>
        <v>-0.28873303235742648</v>
      </c>
      <c r="M16" s="311"/>
      <c r="N16" s="300">
        <f t="shared" si="15"/>
        <v>9</v>
      </c>
      <c r="O16" s="102"/>
      <c r="P16" s="300">
        <f t="shared" si="0"/>
        <v>6</v>
      </c>
      <c r="Q16" s="300">
        <f t="shared" si="1"/>
        <v>4</v>
      </c>
      <c r="R16" s="300">
        <f t="shared" si="2"/>
        <v>4</v>
      </c>
      <c r="S16" s="102"/>
      <c r="T16" s="561" t="s">
        <v>226</v>
      </c>
      <c r="U16" s="562"/>
      <c r="V16" s="563">
        <v>465.37</v>
      </c>
      <c r="W16" s="563">
        <v>547.63</v>
      </c>
      <c r="X16" s="563">
        <v>547.63</v>
      </c>
      <c r="Y16" s="563">
        <v>455.45</v>
      </c>
      <c r="Z16" s="102"/>
      <c r="AA16" s="546">
        <f t="shared" si="3"/>
        <v>-2.1316371919118154E-2</v>
      </c>
      <c r="AB16" s="546">
        <f t="shared" si="4"/>
        <v>-0.16832532914559101</v>
      </c>
      <c r="AC16" s="546">
        <f t="shared" si="5"/>
        <v>-0.16832532914559101</v>
      </c>
      <c r="AD16" s="102"/>
      <c r="AE16" s="309">
        <f t="shared" si="6"/>
        <v>3</v>
      </c>
      <c r="AF16" s="309">
        <f t="shared" si="7"/>
        <v>5</v>
      </c>
      <c r="AG16" s="309">
        <f t="shared" si="8"/>
        <v>5</v>
      </c>
      <c r="AH16" s="102"/>
      <c r="AI16" s="545" t="s">
        <v>237</v>
      </c>
      <c r="AJ16" s="102"/>
      <c r="AK16" s="102"/>
      <c r="AL16" s="102" t="s">
        <v>329</v>
      </c>
      <c r="AM16" s="102" t="s">
        <v>339</v>
      </c>
      <c r="AN16" s="102"/>
    </row>
    <row r="17" spans="3:40">
      <c r="C17" s="106" t="str">
        <f t="shared" ca="1" si="9"/>
        <v>Basic Materials</v>
      </c>
      <c r="D17" s="685">
        <f t="shared" ca="1" si="10"/>
        <v>-0.22218960531916457</v>
      </c>
      <c r="E17" s="73"/>
      <c r="F17" s="106" t="str">
        <f t="shared" ca="1" si="11"/>
        <v>Basic Materials</v>
      </c>
      <c r="G17" s="685">
        <f t="shared" ca="1" si="12"/>
        <v>-0.28937134581344215</v>
      </c>
      <c r="H17" s="73"/>
      <c r="I17" s="106" t="str">
        <f t="shared" ca="1" si="13"/>
        <v>Basic Materials</v>
      </c>
      <c r="J17" s="685">
        <f t="shared" ca="1" si="14"/>
        <v>-0.28937134581344215</v>
      </c>
      <c r="M17" s="311"/>
      <c r="N17" s="300">
        <f t="shared" si="15"/>
        <v>10</v>
      </c>
      <c r="O17" s="102"/>
      <c r="P17" s="300">
        <f t="shared" si="0"/>
        <v>1</v>
      </c>
      <c r="Q17" s="300">
        <f t="shared" si="1"/>
        <v>1</v>
      </c>
      <c r="R17" s="300">
        <f t="shared" si="2"/>
        <v>1</v>
      </c>
      <c r="S17" s="102"/>
      <c r="T17" s="561" t="s">
        <v>227</v>
      </c>
      <c r="U17" s="562"/>
      <c r="V17" s="563">
        <v>932.94</v>
      </c>
      <c r="W17" s="563">
        <v>1051.99</v>
      </c>
      <c r="X17" s="563">
        <v>1051.99</v>
      </c>
      <c r="Y17" s="563">
        <v>903.6</v>
      </c>
      <c r="Z17" s="102"/>
      <c r="AA17" s="546">
        <f t="shared" si="3"/>
        <v>-3.1448967779278442E-2</v>
      </c>
      <c r="AB17" s="546">
        <f t="shared" si="4"/>
        <v>-0.14105647392085474</v>
      </c>
      <c r="AC17" s="546">
        <f t="shared" si="5"/>
        <v>-0.14105647392085474</v>
      </c>
      <c r="AD17" s="102"/>
      <c r="AE17" s="309">
        <f t="shared" si="6"/>
        <v>5</v>
      </c>
      <c r="AF17" s="309">
        <f t="shared" si="7"/>
        <v>4</v>
      </c>
      <c r="AG17" s="309">
        <f t="shared" si="8"/>
        <v>4</v>
      </c>
      <c r="AH17" s="102"/>
      <c r="AI17" s="545" t="s">
        <v>238</v>
      </c>
      <c r="AJ17" s="102"/>
      <c r="AK17" s="102"/>
      <c r="AL17" s="102" t="s">
        <v>320</v>
      </c>
      <c r="AM17" s="102" t="s">
        <v>340</v>
      </c>
      <c r="AN17" s="102"/>
    </row>
    <row r="18" spans="3:40">
      <c r="C18" s="108" t="str">
        <f ca="1">OFFSET( $T$8, P18 - 1, 0 )</f>
        <v>Oil &amp; Gas</v>
      </c>
      <c r="D18" s="686">
        <f ca="1">OFFSET( $AA$8, P18 - 1, 0 )</f>
        <v>-0.53942269595384651</v>
      </c>
      <c r="E18" s="72"/>
      <c r="F18" s="108" t="str">
        <f ca="1">OFFSET( $T$8, Q18 - 1, 0 )</f>
        <v>Oil &amp; Gas</v>
      </c>
      <c r="G18" s="686">
        <f ca="1">OFFSET( $AB$8, Q18 - 1, 0 )</f>
        <v>-0.5136682278752257</v>
      </c>
      <c r="H18" s="72"/>
      <c r="I18" s="108" t="str">
        <f ca="1">OFFSET( $T$8, R18 - 1, 0 )</f>
        <v>Oil &amp; Gas</v>
      </c>
      <c r="J18" s="686">
        <f t="shared" ca="1" si="14"/>
        <v>-0.5136682278752257</v>
      </c>
      <c r="M18" s="311"/>
      <c r="N18" s="300">
        <f>N17+1</f>
        <v>11</v>
      </c>
      <c r="O18" s="102"/>
      <c r="P18" s="300">
        <f t="shared" si="0"/>
        <v>7</v>
      </c>
      <c r="Q18" s="300">
        <f t="shared" si="1"/>
        <v>7</v>
      </c>
      <c r="R18" s="300">
        <f t="shared" si="2"/>
        <v>7</v>
      </c>
      <c r="S18" s="102"/>
      <c r="T18" s="561"/>
      <c r="U18" s="562"/>
      <c r="V18" s="563"/>
      <c r="W18" s="563"/>
      <c r="X18" s="563"/>
      <c r="Y18" s="563"/>
      <c r="Z18" s="102"/>
      <c r="AA18" s="546"/>
      <c r="AB18" s="546"/>
      <c r="AC18" s="546"/>
      <c r="AD18" s="102"/>
      <c r="AE18" s="309"/>
      <c r="AF18" s="309"/>
      <c r="AG18" s="309"/>
      <c r="AH18" s="102"/>
      <c r="AI18" s="545"/>
      <c r="AJ18" s="102"/>
      <c r="AK18" s="102"/>
      <c r="AL18" s="102"/>
      <c r="AM18" s="102"/>
      <c r="AN18" s="102"/>
    </row>
    <row r="19" spans="3:40">
      <c r="N19" s="11"/>
      <c r="P19" s="11"/>
      <c r="Q19" s="11"/>
      <c r="R19" s="11"/>
      <c r="S19" s="102"/>
      <c r="T19" s="564" t="s">
        <v>2</v>
      </c>
      <c r="U19" s="565"/>
      <c r="V19" s="566"/>
      <c r="W19" s="566"/>
      <c r="X19" s="566"/>
      <c r="Y19" s="566"/>
      <c r="Z19" s="102"/>
      <c r="AA19" s="548">
        <f>'I. Index'!D17/100</f>
        <v>-2.18E-2</v>
      </c>
      <c r="AB19" s="547">
        <f>'I. Index'!D8/100</f>
        <v>-0.13589999999999999</v>
      </c>
      <c r="AC19" s="547">
        <f>SUMIFS( 'VIII. Returns by Quarter'!$7:$7, 'VIII. Returns by Quarter'!$5:$5, W1, 'VIII. Returns by Quarter'!$6:$6, W2 ) / 100</f>
        <v>-0.13589999999999999</v>
      </c>
      <c r="AD19" s="102"/>
      <c r="AE19" s="309">
        <f>RANK(AA19,AA$8:AA$19)</f>
        <v>4</v>
      </c>
      <c r="AF19" s="309">
        <f>RANK(AB19,AB$8:AB$19)</f>
        <v>3</v>
      </c>
      <c r="AG19" s="309">
        <f>RANK(AC19,AC$8:AC$19)</f>
        <v>3</v>
      </c>
      <c r="AH19" s="102"/>
      <c r="AI19" s="102"/>
      <c r="AJ19" s="102"/>
      <c r="AK19" s="102"/>
      <c r="AL19" s="102"/>
      <c r="AM19" s="102"/>
      <c r="AN19" s="102"/>
    </row>
    <row r="20" spans="3:40">
      <c r="D20" s="74"/>
      <c r="G20" s="74"/>
      <c r="J20" s="74"/>
      <c r="M20" s="102"/>
      <c r="N20" s="301"/>
      <c r="O20" s="102"/>
      <c r="P20" s="301"/>
      <c r="Q20" s="301"/>
      <c r="R20" s="301"/>
      <c r="S20" s="102"/>
      <c r="T20" s="102"/>
      <c r="U20" s="302"/>
      <c r="V20" s="549"/>
      <c r="W20" s="549"/>
      <c r="X20" s="310"/>
      <c r="Y20" s="310"/>
      <c r="Z20" s="102"/>
      <c r="AA20" s="551"/>
      <c r="AB20" s="550"/>
      <c r="AC20" s="559"/>
      <c r="AD20" s="102"/>
      <c r="AE20" s="301"/>
      <c r="AF20" s="301"/>
      <c r="AG20" s="301"/>
      <c r="AH20" s="102"/>
      <c r="AI20" s="102"/>
      <c r="AJ20" s="102"/>
      <c r="AK20" s="102"/>
      <c r="AL20" s="102"/>
      <c r="AM20" s="102"/>
      <c r="AN20" s="102"/>
    </row>
    <row r="21" spans="3:40">
      <c r="D21" s="74"/>
      <c r="G21" s="74"/>
      <c r="J21" s="74"/>
      <c r="M21" s="102"/>
      <c r="N21" s="301"/>
      <c r="O21" s="102"/>
      <c r="P21" s="301"/>
      <c r="Q21" s="301"/>
      <c r="R21" s="301"/>
      <c r="S21" s="102"/>
      <c r="T21" s="102"/>
      <c r="U21" s="302"/>
      <c r="V21" s="549"/>
      <c r="W21" s="549"/>
      <c r="X21" s="310"/>
      <c r="Y21" s="310"/>
      <c r="Z21" s="310"/>
      <c r="AA21" s="310"/>
      <c r="AB21" s="310"/>
      <c r="AC21" s="310"/>
      <c r="AD21" s="310"/>
      <c r="AE21" s="301"/>
      <c r="AF21" s="301"/>
      <c r="AG21" s="301"/>
      <c r="AH21" s="102"/>
      <c r="AI21" s="102"/>
      <c r="AJ21" s="102"/>
      <c r="AK21" s="102"/>
      <c r="AL21" s="102"/>
      <c r="AM21" s="102"/>
      <c r="AN21" s="102"/>
    </row>
    <row r="22" spans="3:40">
      <c r="C22" s="22" t="s">
        <v>215</v>
      </c>
      <c r="I22" s="13"/>
      <c r="M22" s="102"/>
      <c r="N22" s="301"/>
      <c r="O22" s="102"/>
      <c r="P22" s="301"/>
      <c r="Q22" s="301"/>
      <c r="R22" s="301"/>
      <c r="S22" s="102"/>
      <c r="T22" s="102"/>
      <c r="U22" s="302"/>
      <c r="V22" s="549"/>
      <c r="W22" s="549"/>
      <c r="X22" s="310"/>
      <c r="Y22" s="310"/>
      <c r="Z22" s="310"/>
      <c r="AA22" s="310"/>
      <c r="AB22" s="310"/>
      <c r="AC22" s="310"/>
      <c r="AD22" s="310"/>
      <c r="AE22" s="301"/>
      <c r="AF22" s="301"/>
      <c r="AG22" s="301"/>
      <c r="AH22" s="102"/>
      <c r="AI22" s="102"/>
      <c r="AJ22" s="102"/>
      <c r="AK22" s="102"/>
      <c r="AL22" s="102"/>
      <c r="AM22" s="102"/>
      <c r="AN22" s="102"/>
    </row>
    <row r="23" spans="3:40">
      <c r="C23" s="75" t="s">
        <v>216</v>
      </c>
      <c r="I23" s="13"/>
      <c r="M23" s="102"/>
      <c r="N23" s="301"/>
      <c r="O23" s="102"/>
      <c r="P23" s="301"/>
      <c r="Q23" s="301"/>
      <c r="R23" s="301"/>
      <c r="S23" s="102"/>
      <c r="T23" s="102"/>
      <c r="U23" s="302"/>
      <c r="V23" s="549"/>
      <c r="W23" s="549"/>
      <c r="X23" s="310"/>
      <c r="Y23" s="310"/>
      <c r="Z23" s="310"/>
      <c r="AA23" s="310"/>
      <c r="AB23" s="310"/>
      <c r="AC23" s="310"/>
      <c r="AD23" s="310"/>
      <c r="AE23" s="301"/>
      <c r="AF23" s="301"/>
      <c r="AG23" s="301"/>
      <c r="AH23" s="102"/>
      <c r="AI23" s="102"/>
      <c r="AJ23" s="102"/>
      <c r="AK23" s="102"/>
      <c r="AL23" s="102"/>
      <c r="AM23" s="102"/>
      <c r="AN23" s="102"/>
    </row>
    <row r="24" spans="3:40">
      <c r="I24" s="13"/>
      <c r="M24" s="102"/>
      <c r="N24" s="301"/>
      <c r="O24" s="102"/>
      <c r="P24" s="301"/>
      <c r="Q24" s="301"/>
      <c r="R24" s="301"/>
      <c r="S24" s="102"/>
      <c r="T24" s="536" t="s">
        <v>239</v>
      </c>
      <c r="U24" s="549"/>
      <c r="V24" s="549"/>
      <c r="W24" s="549"/>
      <c r="X24" s="310"/>
      <c r="Y24" s="310"/>
      <c r="Z24" s="102"/>
      <c r="AA24" s="553"/>
      <c r="AB24" s="552"/>
      <c r="AC24" s="560"/>
      <c r="AD24" s="102"/>
      <c r="AE24" s="301"/>
      <c r="AF24" s="301"/>
      <c r="AG24" s="301"/>
      <c r="AH24" s="102"/>
      <c r="AI24" s="102"/>
      <c r="AJ24" s="102"/>
      <c r="AK24" s="102"/>
      <c r="AL24" s="102"/>
      <c r="AM24" s="102"/>
      <c r="AN24" s="102"/>
    </row>
    <row r="25" spans="3:40">
      <c r="C25" s="22" t="s">
        <v>610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 xr:uid="{00000000-0004-0000-0A00-000000000000}"/>
    <hyperlink ref="A1" location="Index!A1" display="Return to Index" xr:uid="{00000000-0004-0000-0A00-000001000000}"/>
    <hyperlink ref="A1:B1" location="Contents!A1" display="Go to Contents" xr:uid="{00000000-0004-0000-0A00-000002000000}"/>
    <hyperlink ref="T24" r:id="rId2" xr:uid="{00000000-0004-0000-0A00-000003000000}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09375" defaultRowHeight="13.8" outlineLevelRow="1" outlineLevelCol="1"/>
  <cols>
    <col min="1" max="2" width="3.6640625" style="109" customWidth="1"/>
    <col min="3" max="3" width="35" style="109" customWidth="1"/>
    <col min="4" max="4" width="13.88671875" style="116" customWidth="1"/>
    <col min="5" max="5" width="16.5546875" style="109" customWidth="1"/>
    <col min="6" max="6" width="14.109375" style="109" customWidth="1"/>
    <col min="7" max="7" width="7.5546875" style="109" customWidth="1"/>
    <col min="8" max="8" width="7.5546875" style="109" customWidth="1" collapsed="1"/>
    <col min="9" max="9" width="6.6640625" style="387" hidden="1" customWidth="1" outlineLevel="1"/>
    <col min="10" max="10" width="6.6640625" style="109" hidden="1" customWidth="1" outlineLevel="1"/>
    <col min="11" max="11" width="2.109375" style="109" hidden="1" customWidth="1" outlineLevel="1"/>
    <col min="12" max="12" width="29.6640625" style="109" hidden="1" customWidth="1" outlineLevel="1"/>
    <col min="13" max="13" width="10.6640625" style="116" hidden="1" customWidth="1" outlineLevel="1"/>
    <col min="14" max="14" width="9.88671875" style="109" hidden="1" customWidth="1" outlineLevel="1"/>
    <col min="15" max="15" width="9.88671875" style="314" hidden="1" customWidth="1" outlineLevel="1"/>
    <col min="16" max="16" width="2.88671875" style="109" hidden="1" customWidth="1" outlineLevel="1"/>
    <col min="17" max="18" width="5.44140625" style="109" hidden="1" customWidth="1" outlineLevel="1"/>
    <col min="19" max="19" width="5.109375" style="109" hidden="1" customWidth="1" outlineLevel="1"/>
    <col min="20" max="20" width="5.44140625" style="109" hidden="1" customWidth="1" outlineLevel="1"/>
    <col min="21" max="21" width="2" style="109" hidden="1" customWidth="1" outlineLevel="1"/>
    <col min="22" max="23" width="13.33203125" style="313" hidden="1" customWidth="1" outlineLevel="1"/>
    <col min="24" max="24" width="13.33203125" style="111" hidden="1" customWidth="1" outlineLevel="1"/>
    <col min="25" max="25" width="3.109375" style="111" hidden="1" customWidth="1" outlineLevel="1"/>
    <col min="26" max="26" width="7.88671875" style="371" hidden="1" customWidth="1" outlineLevel="1"/>
    <col min="27" max="27" width="9.109375" style="109" collapsed="1"/>
    <col min="28" max="16384" width="9.109375" style="109"/>
  </cols>
  <sheetData>
    <row r="1" spans="1:26">
      <c r="A1" s="852" t="s">
        <v>408</v>
      </c>
      <c r="B1" s="855"/>
      <c r="C1" s="856"/>
      <c r="I1" s="478"/>
      <c r="J1" s="595"/>
      <c r="K1" s="595" t="s">
        <v>525</v>
      </c>
      <c r="L1" s="688">
        <f>Settings_Period</f>
        <v>2020.1</v>
      </c>
      <c r="M1" s="1"/>
      <c r="N1" s="1"/>
      <c r="O1" s="78"/>
      <c r="P1" s="1"/>
      <c r="Q1" s="1"/>
      <c r="R1" s="1"/>
      <c r="S1" s="1"/>
      <c r="T1" s="1"/>
      <c r="U1" s="1"/>
      <c r="V1" s="1"/>
      <c r="W1" s="1"/>
      <c r="X1" s="1"/>
      <c r="Y1" s="1"/>
      <c r="Z1" s="484"/>
    </row>
    <row r="2" spans="1:26" s="110" customFormat="1" ht="18">
      <c r="B2" s="663" t="s">
        <v>97</v>
      </c>
      <c r="C2" s="117"/>
      <c r="D2" s="664"/>
      <c r="E2" s="665"/>
      <c r="F2" s="665"/>
      <c r="I2" s="864" t="s">
        <v>436</v>
      </c>
      <c r="J2" s="865"/>
      <c r="K2" s="865"/>
      <c r="L2" s="865"/>
      <c r="M2" s="865"/>
      <c r="N2" s="865"/>
      <c r="O2" s="865"/>
      <c r="P2" s="865"/>
      <c r="Q2" s="865"/>
      <c r="R2" s="865"/>
      <c r="S2" s="865"/>
      <c r="T2" s="865"/>
      <c r="U2" s="865"/>
      <c r="V2" s="865"/>
      <c r="W2" s="865"/>
      <c r="X2" s="866"/>
      <c r="Y2" s="866"/>
      <c r="Z2" s="867"/>
    </row>
    <row r="3" spans="1:26">
      <c r="I3" s="479" t="s">
        <v>65</v>
      </c>
      <c r="J3" s="469" t="s">
        <v>383</v>
      </c>
      <c r="K3" s="331"/>
      <c r="L3" s="324" t="s">
        <v>9</v>
      </c>
      <c r="M3" s="470" t="s">
        <v>330</v>
      </c>
      <c r="N3" s="469" t="s">
        <v>312</v>
      </c>
      <c r="O3" s="325" t="s">
        <v>523</v>
      </c>
      <c r="P3" s="469"/>
      <c r="Q3" s="868" t="s">
        <v>437</v>
      </c>
      <c r="R3" s="868"/>
      <c r="S3" s="868"/>
      <c r="T3" s="868"/>
      <c r="U3" s="318"/>
      <c r="V3" s="337">
        <f>$L$1</f>
        <v>2020.1</v>
      </c>
      <c r="W3" s="337">
        <f>$L$1</f>
        <v>2020.1</v>
      </c>
      <c r="X3" s="318"/>
      <c r="Y3" s="318"/>
      <c r="Z3" s="373" t="s">
        <v>383</v>
      </c>
    </row>
    <row r="4" spans="1:26">
      <c r="C4" s="666"/>
      <c r="D4" s="117"/>
      <c r="E4" s="111"/>
      <c r="F4" s="111"/>
      <c r="I4" s="480"/>
      <c r="J4" s="332"/>
      <c r="K4" s="331"/>
      <c r="L4" s="331"/>
      <c r="M4" s="334"/>
      <c r="N4" s="471"/>
      <c r="O4" s="594"/>
      <c r="P4" s="472"/>
      <c r="Q4" s="469" t="s">
        <v>381</v>
      </c>
      <c r="R4" s="469" t="s">
        <v>382</v>
      </c>
      <c r="S4" s="469" t="s">
        <v>382</v>
      </c>
      <c r="T4" s="469" t="s">
        <v>381</v>
      </c>
      <c r="U4" s="318"/>
      <c r="V4" s="361" t="s">
        <v>245</v>
      </c>
      <c r="W4" s="361" t="s">
        <v>244</v>
      </c>
      <c r="X4" s="361" t="s">
        <v>404</v>
      </c>
      <c r="Y4" s="318"/>
      <c r="Z4" s="373"/>
    </row>
    <row r="5" spans="1:26">
      <c r="C5" s="111"/>
      <c r="D5" s="117"/>
      <c r="E5" s="111"/>
      <c r="F5" s="111"/>
      <c r="I5" s="480"/>
      <c r="J5" s="332"/>
      <c r="K5" s="331"/>
      <c r="L5" s="305"/>
      <c r="M5" s="334"/>
      <c r="N5" s="471"/>
      <c r="O5" s="594"/>
      <c r="P5" s="472"/>
      <c r="Q5" s="332"/>
      <c r="R5" s="332"/>
      <c r="S5" s="332"/>
      <c r="T5" s="332"/>
      <c r="U5" s="329"/>
      <c r="V5" s="329" t="str">
        <f>V3 &amp; ":::" &amp; V4</f>
        <v>2020.1:::Price</v>
      </c>
      <c r="W5" s="329" t="str">
        <f>W3 &amp; ":::" &amp; W4</f>
        <v>2020.1:::Shares</v>
      </c>
      <c r="X5" s="327"/>
      <c r="Y5" s="327"/>
      <c r="Z5" s="404"/>
    </row>
    <row r="6" spans="1:26">
      <c r="C6" s="111"/>
      <c r="D6" s="117"/>
      <c r="E6" s="111"/>
      <c r="F6" s="111"/>
      <c r="I6" s="480"/>
      <c r="J6" s="332"/>
      <c r="K6" s="331"/>
      <c r="L6" s="305" t="s">
        <v>397</v>
      </c>
      <c r="M6" s="334"/>
      <c r="N6" s="471"/>
      <c r="O6" s="594"/>
      <c r="P6" s="472"/>
      <c r="Q6" s="332"/>
      <c r="R6" s="332"/>
      <c r="S6" s="332"/>
      <c r="T6" s="332"/>
      <c r="U6" s="303"/>
      <c r="V6" s="303" t="s">
        <v>401</v>
      </c>
      <c r="W6" s="304" t="str">
        <f t="shared" ref="W6" si="0">V6</f>
        <v>'master'!</v>
      </c>
      <c r="X6" s="305"/>
      <c r="Y6" s="305"/>
      <c r="Z6" s="405" t="str">
        <f>W6</f>
        <v>'master'!</v>
      </c>
    </row>
    <row r="7" spans="1:26">
      <c r="C7" s="111"/>
      <c r="D7" s="117"/>
      <c r="E7" s="111"/>
      <c r="F7" s="111"/>
      <c r="I7" s="480"/>
      <c r="J7" s="332"/>
      <c r="K7" s="331"/>
      <c r="L7" s="601" t="str">
        <f>L6</f>
        <v>'CompanyList'!</v>
      </c>
      <c r="M7" s="306" t="str">
        <f>L7</f>
        <v>'CompanyList'!</v>
      </c>
      <c r="N7" s="471"/>
      <c r="O7" s="594"/>
      <c r="P7" s="472"/>
      <c r="Q7" s="332"/>
      <c r="R7" s="332"/>
      <c r="S7" s="332"/>
      <c r="T7" s="332"/>
      <c r="U7" s="303"/>
      <c r="V7" s="303" t="s">
        <v>402</v>
      </c>
      <c r="W7" s="304" t="str">
        <f>V7</f>
        <v>5:5</v>
      </c>
      <c r="X7" s="305"/>
      <c r="Y7" s="305"/>
      <c r="Z7" s="406" t="s">
        <v>403</v>
      </c>
    </row>
    <row r="8" spans="1:26" ht="15.6">
      <c r="C8" s="862" t="s">
        <v>8</v>
      </c>
      <c r="D8" s="862"/>
      <c r="E8" s="862"/>
      <c r="F8" s="862"/>
      <c r="I8" s="480"/>
      <c r="J8" s="332"/>
      <c r="K8" s="331"/>
      <c r="L8" s="307" t="s">
        <v>398</v>
      </c>
      <c r="M8" s="307" t="s">
        <v>399</v>
      </c>
      <c r="N8" s="471"/>
      <c r="O8" s="594"/>
      <c r="P8" s="472"/>
      <c r="Q8" s="332"/>
      <c r="R8" s="332"/>
      <c r="S8" s="332"/>
      <c r="T8" s="332"/>
      <c r="U8" s="308"/>
      <c r="V8" s="308" t="s">
        <v>310</v>
      </c>
      <c r="W8" s="304" t="str">
        <f>V8</f>
        <v>a1</v>
      </c>
      <c r="X8" s="333"/>
      <c r="Y8" s="333"/>
      <c r="Z8" s="376"/>
    </row>
    <row r="9" spans="1:26">
      <c r="C9" s="863" t="str">
        <f>Settings_As_Of</f>
        <v>As of 3/31/2020</v>
      </c>
      <c r="D9" s="863"/>
      <c r="E9" s="863"/>
      <c r="F9" s="863"/>
      <c r="I9" s="480"/>
      <c r="J9" s="332"/>
      <c r="K9" s="331"/>
      <c r="L9" s="335"/>
      <c r="M9" s="334"/>
      <c r="N9" s="471"/>
      <c r="O9" s="594"/>
      <c r="P9" s="472"/>
      <c r="Q9" s="332"/>
      <c r="R9" s="332"/>
      <c r="S9" s="332"/>
      <c r="T9" s="332"/>
      <c r="U9" s="336"/>
      <c r="V9" s="336">
        <f ca="1">MATCH( V$5, INDIRECT( V$6 &amp; V$7 ), 0 )</f>
        <v>4</v>
      </c>
      <c r="W9" s="336">
        <f ca="1">MATCH( W$5, INDIRECT( W$6 &amp; W$7 ), 0 )</f>
        <v>3</v>
      </c>
      <c r="X9" s="333"/>
      <c r="Y9" s="333"/>
      <c r="Z9" s="376"/>
    </row>
    <row r="10" spans="1:26">
      <c r="C10" s="127" t="s">
        <v>9</v>
      </c>
      <c r="D10" s="112" t="s">
        <v>330</v>
      </c>
      <c r="E10" s="113" t="s">
        <v>541</v>
      </c>
      <c r="F10" s="113" t="s">
        <v>72</v>
      </c>
      <c r="I10" s="480"/>
      <c r="J10" s="332"/>
      <c r="K10" s="331"/>
      <c r="L10" s="335"/>
      <c r="M10" s="334"/>
      <c r="N10" s="471"/>
      <c r="O10" s="594"/>
      <c r="P10" s="472"/>
      <c r="Q10" s="332"/>
      <c r="R10" s="332"/>
      <c r="S10" s="332"/>
      <c r="T10" s="332"/>
      <c r="U10" s="336"/>
      <c r="V10" s="336"/>
      <c r="W10" s="336"/>
      <c r="X10" s="333"/>
      <c r="Y10" s="333"/>
      <c r="Z10" s="376"/>
    </row>
    <row r="11" spans="1:26">
      <c r="C11" s="124" t="str">
        <f t="shared" ref="C11:C42" ca="1" si="1">OFFSET( L$10, $J11, 0 )</f>
        <v>NextEra Energy, Inc.</v>
      </c>
      <c r="D11" s="118" t="str">
        <f t="shared" ref="D11:D42" ca="1" si="2">OFFSET( M$10, $J11, 0 )</f>
        <v>NEE</v>
      </c>
      <c r="E11" s="610">
        <f t="shared" ref="E11:E42" ca="1" si="3">OFFSET( N$10, $J11, 0 )</f>
        <v>115978.84</v>
      </c>
      <c r="F11" s="119">
        <f t="shared" ref="F11:F42" ca="1" si="4">OFFSET( O$10, $J11, 0 )</f>
        <v>0.14993341912869498</v>
      </c>
      <c r="I11" s="481">
        <v>1</v>
      </c>
      <c r="J11" s="332">
        <f t="shared" ref="J11:J42" ca="1" si="5">MATCH( I11, $T$11:$T$70, 0 )</f>
        <v>25</v>
      </c>
      <c r="K11" s="331"/>
      <c r="L11" s="333" t="str">
        <f t="shared" ref="L11:M69" ca="1" si="6">IF( LEN( OFFSET( INDIRECT( L$7 &amp; L$8 ), $I11 - 1, 0 ) ) = 0, "-", OFFSET( INDIRECT( L$7 &amp; L$8 ), $I11 - 1, 0 ) )</f>
        <v>ALLETE, Inc.</v>
      </c>
      <c r="M11" s="596" t="str">
        <f t="shared" ca="1" si="6"/>
        <v>ALE</v>
      </c>
      <c r="N11" s="471">
        <f ca="1">X11</f>
        <v>3131.0880000000002</v>
      </c>
      <c r="O11" s="594">
        <f t="shared" ref="O11:O42" ca="1" si="7">N11/N$72</f>
        <v>4.0477618971945864E-3</v>
      </c>
      <c r="P11" s="472"/>
      <c r="Q11" s="332">
        <f t="shared" ref="Q11:Q42" ca="1" si="8">RANK( N11, $N$11:$N$70, 0 )</f>
        <v>33</v>
      </c>
      <c r="R11" s="332">
        <f ca="1">COUNTIF( Q$11:Q11, Q11 ) - 1</f>
        <v>0</v>
      </c>
      <c r="S11" s="332">
        <f ca="1">Q11 + R11 / 10</f>
        <v>33</v>
      </c>
      <c r="T11" s="332">
        <f t="shared" ref="T11:T42" ca="1" si="9">RANK( S11, $S$11:$S$70, 1 )</f>
        <v>33</v>
      </c>
      <c r="U11" s="441"/>
      <c r="V11" s="441">
        <f ca="1">OFFSET( INDIRECT( V$6 &amp; V$8 ), $Z11 - 1, V$9 - 1 )</f>
        <v>60.68</v>
      </c>
      <c r="W11" s="343">
        <f ca="1">OFFSET( INDIRECT( W$6 &amp; W$8 ), $Z11 - 1, W$9 - 1 )</f>
        <v>51.6</v>
      </c>
      <c r="X11" s="344">
        <f t="shared" ref="X11:X61" ca="1" si="10">IF( OR( ISNA( V11 ), ISNA( W11 ) ), 0, V11 * W11 )</f>
        <v>3131.0880000000002</v>
      </c>
      <c r="Y11" s="344"/>
      <c r="Z11" s="407">
        <f ca="1">MATCH( $M11, INDIRECT( Z$6 &amp; Z$7 ), 0 )</f>
        <v>87</v>
      </c>
    </row>
    <row r="12" spans="1:26">
      <c r="C12" s="125" t="str">
        <f t="shared" ca="1" si="1"/>
        <v>Duke Energy Corporation</v>
      </c>
      <c r="D12" s="120" t="str">
        <f t="shared" ca="1" si="2"/>
        <v>DUK</v>
      </c>
      <c r="E12" s="611">
        <f t="shared" ca="1" si="3"/>
        <v>58961.52</v>
      </c>
      <c r="F12" s="121">
        <f t="shared" ca="1" si="4"/>
        <v>7.6223406706127872E-2</v>
      </c>
      <c r="I12" s="480">
        <f>I11+1</f>
        <v>2</v>
      </c>
      <c r="J12" s="332">
        <f t="shared" ca="1" si="5"/>
        <v>13</v>
      </c>
      <c r="K12" s="331"/>
      <c r="L12" s="333" t="str">
        <f t="shared" ca="1" si="6"/>
        <v>Alliant Energy Corporation</v>
      </c>
      <c r="M12" s="596" t="str">
        <f t="shared" ca="1" si="6"/>
        <v>LNT</v>
      </c>
      <c r="N12" s="471">
        <f t="shared" ref="N12:N55" ca="1" si="11">X12</f>
        <v>11517.164999999999</v>
      </c>
      <c r="O12" s="594">
        <f t="shared" ca="1" si="7"/>
        <v>1.4888991191146042E-2</v>
      </c>
      <c r="P12" s="472"/>
      <c r="Q12" s="332">
        <f t="shared" ca="1" si="8"/>
        <v>22</v>
      </c>
      <c r="R12" s="332">
        <f ca="1">COUNTIF( Q$11:Q12, Q12 ) - 1</f>
        <v>0</v>
      </c>
      <c r="S12" s="332">
        <f t="shared" ref="S12:S55" ca="1" si="12">Q12 + R12 / 10</f>
        <v>22</v>
      </c>
      <c r="T12" s="332">
        <f t="shared" ca="1" si="9"/>
        <v>22</v>
      </c>
      <c r="U12" s="441"/>
      <c r="V12" s="441">
        <f t="shared" ref="V12:W12" ca="1" si="13">OFFSET( INDIRECT( V$6 &amp; V$8 ), $Z12 - 1, V$9 - 1 )</f>
        <v>48.29</v>
      </c>
      <c r="W12" s="343">
        <f t="shared" ca="1" si="13"/>
        <v>238.5</v>
      </c>
      <c r="X12" s="344">
        <f t="shared" ca="1" si="10"/>
        <v>11517.164999999999</v>
      </c>
      <c r="Y12" s="344"/>
      <c r="Z12" s="407">
        <f t="shared" ref="Z12" ca="1" si="14">MATCH( $M12, INDIRECT( Z$6 &amp; Z$7 ), 0 )</f>
        <v>108</v>
      </c>
    </row>
    <row r="13" spans="1:26">
      <c r="C13" s="125" t="str">
        <f t="shared" ca="1" si="1"/>
        <v>Dominion Energy, Inc.</v>
      </c>
      <c r="D13" s="120" t="str">
        <f t="shared" ca="1" si="2"/>
        <v>D</v>
      </c>
      <c r="E13" s="611">
        <f t="shared" ca="1" si="3"/>
        <v>58387.271999999997</v>
      </c>
      <c r="F13" s="121">
        <f t="shared" ca="1" si="4"/>
        <v>7.548103882188438E-2</v>
      </c>
      <c r="I13" s="480">
        <f t="shared" ref="I13:I70" si="15">I12+1</f>
        <v>3</v>
      </c>
      <c r="J13" s="332">
        <f t="shared" ca="1" si="5"/>
        <v>11</v>
      </c>
      <c r="K13" s="331"/>
      <c r="L13" s="333" t="str">
        <f t="shared" ca="1" si="6"/>
        <v>Ameren Corporation</v>
      </c>
      <c r="M13" s="596" t="str">
        <f t="shared" ca="1" si="6"/>
        <v>AEE</v>
      </c>
      <c r="N13" s="471">
        <f t="shared" ca="1" si="11"/>
        <v>17887.047999999999</v>
      </c>
      <c r="O13" s="594">
        <f t="shared" ca="1" si="7"/>
        <v>2.3123754856998788E-2</v>
      </c>
      <c r="P13" s="472"/>
      <c r="Q13" s="332">
        <f t="shared" ca="1" si="8"/>
        <v>17</v>
      </c>
      <c r="R13" s="332">
        <f ca="1">COUNTIF( Q$11:Q13, Q13 ) - 1</f>
        <v>0</v>
      </c>
      <c r="S13" s="332">
        <f t="shared" ca="1" si="12"/>
        <v>17</v>
      </c>
      <c r="T13" s="332">
        <f t="shared" ca="1" si="9"/>
        <v>17</v>
      </c>
      <c r="U13" s="441"/>
      <c r="V13" s="441">
        <f ca="1">OFFSET( INDIRECT( V$6 &amp; V$8 ), $Z13 - 1, V$9 - 1 )</f>
        <v>72.83</v>
      </c>
      <c r="W13" s="343">
        <f ca="1">OFFSET( INDIRECT( W$6 &amp; W$8 ), $Z13 - 1, W$9 - 1 )</f>
        <v>245.6</v>
      </c>
      <c r="X13" s="344">
        <f t="shared" ca="1" si="10"/>
        <v>17887.047999999999</v>
      </c>
      <c r="Y13" s="344"/>
      <c r="Z13" s="407">
        <f ca="1">MATCH( $M13, INDIRECT( Z$6 &amp; Z$7 ), 0 )</f>
        <v>65</v>
      </c>
    </row>
    <row r="14" spans="1:26">
      <c r="C14" s="125" t="str">
        <f t="shared" ca="1" si="1"/>
        <v>Southern Company</v>
      </c>
      <c r="D14" s="120" t="str">
        <f t="shared" ca="1" si="2"/>
        <v>SO</v>
      </c>
      <c r="E14" s="611">
        <f t="shared" ca="1" si="3"/>
        <v>56631.685219999999</v>
      </c>
      <c r="F14" s="121">
        <f t="shared" ca="1" si="4"/>
        <v>7.3211477163028879E-2</v>
      </c>
      <c r="I14" s="480">
        <f t="shared" si="15"/>
        <v>4</v>
      </c>
      <c r="J14" s="332">
        <f t="shared" ca="1" si="5"/>
        <v>37</v>
      </c>
      <c r="K14" s="331"/>
      <c r="L14" s="333" t="str">
        <f t="shared" ca="1" si="6"/>
        <v>American Electric Power Company, Inc.</v>
      </c>
      <c r="M14" s="596" t="str">
        <f t="shared" ca="1" si="6"/>
        <v>AEP</v>
      </c>
      <c r="N14" s="471">
        <f t="shared" ca="1" si="11"/>
        <v>39485.673713100005</v>
      </c>
      <c r="O14" s="594">
        <f t="shared" ca="1" si="7"/>
        <v>5.1045708565503126E-2</v>
      </c>
      <c r="P14" s="472"/>
      <c r="Q14" s="332">
        <f t="shared" ca="1" si="8"/>
        <v>5</v>
      </c>
      <c r="R14" s="332">
        <f ca="1">COUNTIF( Q$11:Q14, Q14 ) - 1</f>
        <v>0</v>
      </c>
      <c r="S14" s="332">
        <f t="shared" ca="1" si="12"/>
        <v>5</v>
      </c>
      <c r="T14" s="332">
        <f t="shared" ca="1" si="9"/>
        <v>5</v>
      </c>
      <c r="U14" s="441"/>
      <c r="V14" s="441">
        <f t="shared" ref="V14:W45" ca="1" si="16">OFFSET( INDIRECT( V$6 &amp; V$8 ), $Z14 - 1, V$9 - 1 )</f>
        <v>79.98</v>
      </c>
      <c r="W14" s="343">
        <f t="shared" ca="1" si="16"/>
        <v>493.694345</v>
      </c>
      <c r="X14" s="344">
        <f t="shared" ca="1" si="10"/>
        <v>39485.673713100005</v>
      </c>
      <c r="Y14" s="344"/>
      <c r="Z14" s="407">
        <f t="shared" ref="Z14:Z70" ca="1" si="17">MATCH( $M14, INDIRECT( Z$6 &amp; Z$7 ), 0 )</f>
        <v>11</v>
      </c>
    </row>
    <row r="15" spans="1:26">
      <c r="C15" s="125" t="str">
        <f t="shared" ca="1" si="1"/>
        <v>American Electric Power Company, Inc.</v>
      </c>
      <c r="D15" s="120" t="str">
        <f t="shared" ca="1" si="2"/>
        <v>AEP</v>
      </c>
      <c r="E15" s="611">
        <f t="shared" ca="1" si="3"/>
        <v>39485.673713100005</v>
      </c>
      <c r="F15" s="121">
        <f t="shared" ca="1" si="4"/>
        <v>5.1045708565503126E-2</v>
      </c>
      <c r="I15" s="480">
        <f t="shared" si="15"/>
        <v>5</v>
      </c>
      <c r="J15" s="332">
        <f t="shared" ca="1" si="5"/>
        <v>4</v>
      </c>
      <c r="K15" s="331"/>
      <c r="L15" s="333" t="str">
        <f t="shared" ca="1" si="6"/>
        <v>AVANGRID, Inc.</v>
      </c>
      <c r="M15" s="596" t="str">
        <f t="shared" ca="1" si="6"/>
        <v>AGR</v>
      </c>
      <c r="N15" s="471">
        <f t="shared" ca="1" si="11"/>
        <v>13549.519569960001</v>
      </c>
      <c r="O15" s="594">
        <f t="shared" ca="1" si="7"/>
        <v>1.7516348643211707E-2</v>
      </c>
      <c r="P15" s="472"/>
      <c r="Q15" s="332">
        <f t="shared" ca="1" si="8"/>
        <v>20</v>
      </c>
      <c r="R15" s="332">
        <f ca="1">COUNTIF( Q$11:Q15, Q15 ) - 1</f>
        <v>0</v>
      </c>
      <c r="S15" s="332">
        <f t="shared" ca="1" si="12"/>
        <v>20</v>
      </c>
      <c r="T15" s="332">
        <f t="shared" ca="1" si="9"/>
        <v>20</v>
      </c>
      <c r="U15" s="441"/>
      <c r="V15" s="441">
        <f t="shared" ca="1" si="16"/>
        <v>43.78</v>
      </c>
      <c r="W15" s="343">
        <f t="shared" ca="1" si="16"/>
        <v>309.49108200000001</v>
      </c>
      <c r="X15" s="344">
        <f t="shared" ca="1" si="10"/>
        <v>13549.519569960001</v>
      </c>
      <c r="Y15" s="344"/>
      <c r="Z15" s="407">
        <f t="shared" ca="1" si="17"/>
        <v>114</v>
      </c>
    </row>
    <row r="16" spans="1:26">
      <c r="C16" s="125" t="str">
        <f t="shared" ca="1" si="1"/>
        <v>Exelon Corporation</v>
      </c>
      <c r="D16" s="120" t="str">
        <f t="shared" ca="1" si="2"/>
        <v>EXC</v>
      </c>
      <c r="E16" s="611">
        <f t="shared" ca="1" si="3"/>
        <v>35816.130000000005</v>
      </c>
      <c r="F16" s="121">
        <f t="shared" ca="1" si="4"/>
        <v>4.6301849810343222E-2</v>
      </c>
      <c r="I16" s="480">
        <f t="shared" si="15"/>
        <v>6</v>
      </c>
      <c r="J16" s="332">
        <f t="shared" ca="1" si="5"/>
        <v>19</v>
      </c>
      <c r="K16" s="331"/>
      <c r="L16" s="333" t="str">
        <f t="shared" ca="1" si="6"/>
        <v>Avista Corporation</v>
      </c>
      <c r="M16" s="596" t="str">
        <f t="shared" ca="1" si="6"/>
        <v>AVA</v>
      </c>
      <c r="N16" s="471">
        <f t="shared" ca="1" si="11"/>
        <v>2813.0504500000002</v>
      </c>
      <c r="O16" s="594">
        <f t="shared" ca="1" si="7"/>
        <v>3.6366139905349461E-3</v>
      </c>
      <c r="P16" s="472"/>
      <c r="Q16" s="332">
        <f t="shared" ca="1" si="8"/>
        <v>36</v>
      </c>
      <c r="R16" s="332">
        <f ca="1">COUNTIF( Q$11:Q16, Q16 ) - 1</f>
        <v>0</v>
      </c>
      <c r="S16" s="332">
        <f t="shared" ca="1" si="12"/>
        <v>36</v>
      </c>
      <c r="T16" s="332">
        <f t="shared" ca="1" si="9"/>
        <v>36</v>
      </c>
      <c r="U16" s="441"/>
      <c r="V16" s="441">
        <f t="shared" ca="1" si="16"/>
        <v>42.49</v>
      </c>
      <c r="W16" s="343">
        <f t="shared" ca="1" si="16"/>
        <v>66.204999999999998</v>
      </c>
      <c r="X16" s="344">
        <f t="shared" ca="1" si="10"/>
        <v>2813.0504500000002</v>
      </c>
      <c r="Y16" s="344"/>
      <c r="Z16" s="407">
        <f t="shared" ca="1" si="17"/>
        <v>109</v>
      </c>
    </row>
    <row r="17" spans="3:26">
      <c r="C17" s="125" t="str">
        <f t="shared" ca="1" si="1"/>
        <v>Sempra Energy</v>
      </c>
      <c r="D17" s="120" t="str">
        <f t="shared" ca="1" si="2"/>
        <v>SRE</v>
      </c>
      <c r="E17" s="611">
        <f t="shared" ca="1" si="3"/>
        <v>31400.372959999997</v>
      </c>
      <c r="F17" s="121">
        <f t="shared" ca="1" si="4"/>
        <v>4.0593312364643586E-2</v>
      </c>
      <c r="I17" s="480">
        <f t="shared" si="15"/>
        <v>7</v>
      </c>
      <c r="J17" s="332">
        <f t="shared" ca="1" si="5"/>
        <v>36</v>
      </c>
      <c r="K17" s="331"/>
      <c r="L17" s="333" t="str">
        <f t="shared" ca="1" si="6"/>
        <v>Black Hills Corporation</v>
      </c>
      <c r="M17" s="596" t="str">
        <f t="shared" ca="1" si="6"/>
        <v>BKH</v>
      </c>
      <c r="N17" s="471">
        <f t="shared" ca="1" si="11"/>
        <v>3884.18786</v>
      </c>
      <c r="O17" s="594">
        <f t="shared" ca="1" si="7"/>
        <v>5.0213432587183039E-3</v>
      </c>
      <c r="P17" s="472"/>
      <c r="Q17" s="332">
        <f t="shared" ca="1" si="8"/>
        <v>32</v>
      </c>
      <c r="R17" s="332">
        <f ca="1">COUNTIF( Q$11:Q17, Q17 ) - 1</f>
        <v>0</v>
      </c>
      <c r="S17" s="332">
        <f t="shared" ca="1" si="12"/>
        <v>32</v>
      </c>
      <c r="T17" s="332">
        <f t="shared" ca="1" si="9"/>
        <v>32</v>
      </c>
      <c r="U17" s="441"/>
      <c r="V17" s="441">
        <f t="shared" ca="1" si="16"/>
        <v>64.03</v>
      </c>
      <c r="W17" s="343">
        <f t="shared" ca="1" si="16"/>
        <v>60.661999999999999</v>
      </c>
      <c r="X17" s="344">
        <f t="shared" ca="1" si="10"/>
        <v>3884.18786</v>
      </c>
      <c r="Y17" s="344"/>
      <c r="Z17" s="407">
        <f t="shared" ca="1" si="17"/>
        <v>14</v>
      </c>
    </row>
    <row r="18" spans="3:26">
      <c r="C18" s="125" t="str">
        <f t="shared" ca="1" si="1"/>
        <v>Xcel Energy Inc.</v>
      </c>
      <c r="D18" s="120" t="str">
        <f t="shared" ca="1" si="2"/>
        <v>XEL</v>
      </c>
      <c r="E18" s="611">
        <f t="shared" ca="1" si="3"/>
        <v>31295.699999999997</v>
      </c>
      <c r="F18" s="121">
        <f t="shared" ca="1" si="4"/>
        <v>4.0457994794791008E-2</v>
      </c>
      <c r="I18" s="480">
        <f t="shared" si="15"/>
        <v>8</v>
      </c>
      <c r="J18" s="332">
        <f t="shared" ca="1" si="5"/>
        <v>40</v>
      </c>
      <c r="K18" s="331"/>
      <c r="L18" s="333" t="str">
        <f t="shared" ca="1" si="6"/>
        <v>CenterPoint Energy, Inc.</v>
      </c>
      <c r="M18" s="596" t="str">
        <f t="shared" ca="1" si="6"/>
        <v>CNP</v>
      </c>
      <c r="N18" s="471">
        <f t="shared" ca="1" si="11"/>
        <v>7756.6724999999997</v>
      </c>
      <c r="O18" s="594">
        <f t="shared" ca="1" si="7"/>
        <v>1.0027557000798786E-2</v>
      </c>
      <c r="P18" s="472"/>
      <c r="Q18" s="332">
        <f t="shared" ca="1" si="8"/>
        <v>25</v>
      </c>
      <c r="R18" s="332">
        <f ca="1">COUNTIF( Q$11:Q18, Q18 ) - 1</f>
        <v>0</v>
      </c>
      <c r="S18" s="332">
        <f t="shared" ca="1" si="12"/>
        <v>25</v>
      </c>
      <c r="T18" s="332">
        <f t="shared" ca="1" si="9"/>
        <v>25</v>
      </c>
      <c r="U18" s="441"/>
      <c r="V18" s="441">
        <f t="shared" ca="1" si="16"/>
        <v>15.45</v>
      </c>
      <c r="W18" s="343">
        <f t="shared" ca="1" si="16"/>
        <v>502.05</v>
      </c>
      <c r="X18" s="344">
        <f t="shared" ca="1" si="10"/>
        <v>7756.6724999999997</v>
      </c>
      <c r="Y18" s="344"/>
      <c r="Z18" s="407">
        <f t="shared" ca="1" si="17"/>
        <v>38</v>
      </c>
    </row>
    <row r="19" spans="3:26">
      <c r="C19" s="125" t="str">
        <f t="shared" ca="1" si="1"/>
        <v>WEC Energy Group, Inc.</v>
      </c>
      <c r="D19" s="120" t="str">
        <f t="shared" ca="1" si="2"/>
        <v>WEC</v>
      </c>
      <c r="E19" s="611">
        <f t="shared" ca="1" si="3"/>
        <v>27796.201999999997</v>
      </c>
      <c r="F19" s="121">
        <f t="shared" ca="1" si="4"/>
        <v>3.5933965235829826E-2</v>
      </c>
      <c r="I19" s="480">
        <f t="shared" si="15"/>
        <v>9</v>
      </c>
      <c r="J19" s="332">
        <f t="shared" ca="1" si="5"/>
        <v>39</v>
      </c>
      <c r="K19" s="331"/>
      <c r="L19" s="333" t="str">
        <f t="shared" ca="1" si="6"/>
        <v>CMS Energy Corporation</v>
      </c>
      <c r="M19" s="596" t="str">
        <f t="shared" ca="1" si="6"/>
        <v>CMS</v>
      </c>
      <c r="N19" s="471">
        <f t="shared" ca="1" si="11"/>
        <v>16626.25</v>
      </c>
      <c r="O19" s="594">
        <f t="shared" ca="1" si="7"/>
        <v>2.1493838960524737E-2</v>
      </c>
      <c r="P19" s="472"/>
      <c r="Q19" s="332">
        <f t="shared" ca="1" si="8"/>
        <v>19</v>
      </c>
      <c r="R19" s="332">
        <f ca="1">COUNTIF( Q$11:Q19, Q19 ) - 1</f>
        <v>0</v>
      </c>
      <c r="S19" s="332">
        <f t="shared" ca="1" si="12"/>
        <v>19</v>
      </c>
      <c r="T19" s="332">
        <f t="shared" ca="1" si="9"/>
        <v>19</v>
      </c>
      <c r="U19" s="441"/>
      <c r="V19" s="441">
        <f t="shared" ca="1" si="16"/>
        <v>58.75</v>
      </c>
      <c r="W19" s="343">
        <f t="shared" ca="1" si="16"/>
        <v>283</v>
      </c>
      <c r="X19" s="344">
        <f t="shared" ca="1" si="10"/>
        <v>16626.25</v>
      </c>
      <c r="Y19" s="344"/>
      <c r="Z19" s="407">
        <f t="shared" ca="1" si="17"/>
        <v>71</v>
      </c>
    </row>
    <row r="20" spans="3:26">
      <c r="C20" s="125" t="str">
        <f t="shared" ca="1" si="1"/>
        <v>Consolidated Edison, Inc.</v>
      </c>
      <c r="D20" s="120" t="str">
        <f t="shared" ca="1" si="2"/>
        <v>ED</v>
      </c>
      <c r="E20" s="611">
        <f t="shared" ca="1" si="3"/>
        <v>25623</v>
      </c>
      <c r="F20" s="121">
        <f t="shared" ca="1" si="4"/>
        <v>3.3124525114534266E-2</v>
      </c>
      <c r="I20" s="480">
        <f t="shared" si="15"/>
        <v>10</v>
      </c>
      <c r="J20" s="332">
        <f t="shared" ca="1" si="5"/>
        <v>10</v>
      </c>
      <c r="K20" s="331"/>
      <c r="L20" s="333" t="str">
        <f t="shared" ca="1" si="6"/>
        <v>Consolidated Edison, Inc.</v>
      </c>
      <c r="M20" s="596" t="str">
        <f t="shared" ca="1" si="6"/>
        <v>ED</v>
      </c>
      <c r="N20" s="471">
        <f t="shared" ca="1" si="11"/>
        <v>25623</v>
      </c>
      <c r="O20" s="594">
        <f t="shared" ca="1" si="7"/>
        <v>3.3124525114534266E-2</v>
      </c>
      <c r="P20" s="472"/>
      <c r="Q20" s="332">
        <f t="shared" ca="1" si="8"/>
        <v>10</v>
      </c>
      <c r="R20" s="332">
        <f ca="1">COUNTIF( Q$11:Q20, Q20 ) - 1</f>
        <v>0</v>
      </c>
      <c r="S20" s="332">
        <f t="shared" ca="1" si="12"/>
        <v>10</v>
      </c>
      <c r="T20" s="332">
        <f t="shared" ca="1" si="9"/>
        <v>10</v>
      </c>
      <c r="U20" s="441"/>
      <c r="V20" s="441">
        <f t="shared" ca="1" si="16"/>
        <v>78</v>
      </c>
      <c r="W20" s="343">
        <f t="shared" ca="1" si="16"/>
        <v>328.5</v>
      </c>
      <c r="X20" s="344">
        <f t="shared" ca="1" si="10"/>
        <v>25623</v>
      </c>
      <c r="Y20" s="344"/>
      <c r="Z20" s="407">
        <f t="shared" ca="1" si="17"/>
        <v>76</v>
      </c>
    </row>
    <row r="21" spans="3:26">
      <c r="C21" s="125" t="str">
        <f t="shared" ca="1" si="1"/>
        <v>Eversource Energy</v>
      </c>
      <c r="D21" s="120" t="str">
        <f t="shared" ca="1" si="2"/>
        <v>ES</v>
      </c>
      <c r="E21" s="611">
        <f t="shared" ca="1" si="3"/>
        <v>25137.952086059999</v>
      </c>
      <c r="F21" s="121">
        <f t="shared" ca="1" si="4"/>
        <v>3.2497472005723511E-2</v>
      </c>
      <c r="I21" s="480">
        <f t="shared" si="15"/>
        <v>11</v>
      </c>
      <c r="J21" s="332">
        <f t="shared" ca="1" si="5"/>
        <v>18</v>
      </c>
      <c r="K21" s="331"/>
      <c r="L21" s="333" t="str">
        <f t="shared" ca="1" si="6"/>
        <v>Dominion Energy, Inc.</v>
      </c>
      <c r="M21" s="596" t="str">
        <f t="shared" ca="1" si="6"/>
        <v>D</v>
      </c>
      <c r="N21" s="471">
        <f t="shared" ca="1" si="11"/>
        <v>58387.271999999997</v>
      </c>
      <c r="O21" s="594">
        <f t="shared" ca="1" si="7"/>
        <v>7.548103882188438E-2</v>
      </c>
      <c r="P21" s="472"/>
      <c r="Q21" s="332">
        <f t="shared" ca="1" si="8"/>
        <v>3</v>
      </c>
      <c r="R21" s="332">
        <f ca="1">COUNTIF( Q$11:Q21, Q21 ) - 1</f>
        <v>0</v>
      </c>
      <c r="S21" s="332">
        <f t="shared" ca="1" si="12"/>
        <v>3</v>
      </c>
      <c r="T21" s="332">
        <f t="shared" ca="1" si="9"/>
        <v>3</v>
      </c>
      <c r="U21" s="441"/>
      <c r="V21" s="441">
        <f t="shared" ca="1" si="16"/>
        <v>72.19</v>
      </c>
      <c r="W21" s="343">
        <f t="shared" ca="1" si="16"/>
        <v>808.8</v>
      </c>
      <c r="X21" s="344">
        <f t="shared" ca="1" si="10"/>
        <v>58387.271999999997</v>
      </c>
      <c r="Y21" s="344"/>
      <c r="Z21" s="407">
        <f t="shared" ca="1" si="17"/>
        <v>25</v>
      </c>
    </row>
    <row r="22" spans="3:26">
      <c r="C22" s="125" t="str">
        <f t="shared" ca="1" si="1"/>
        <v>Public Service Enterprise Group Incorporated</v>
      </c>
      <c r="D22" s="120" t="str">
        <f t="shared" ca="1" si="2"/>
        <v>PEG</v>
      </c>
      <c r="E22" s="611">
        <f t="shared" ca="1" si="3"/>
        <v>22634.639999999999</v>
      </c>
      <c r="F22" s="121">
        <f t="shared" ca="1" si="4"/>
        <v>2.9261277022145801E-2</v>
      </c>
      <c r="I22" s="480">
        <f t="shared" si="15"/>
        <v>12</v>
      </c>
      <c r="J22" s="332">
        <f t="shared" ca="1" si="5"/>
        <v>35</v>
      </c>
      <c r="K22" s="331"/>
      <c r="L22" s="333" t="str">
        <f t="shared" ca="1" si="6"/>
        <v>DTE Energy Company</v>
      </c>
      <c r="M22" s="596" t="str">
        <f t="shared" ca="1" si="6"/>
        <v>DTE</v>
      </c>
      <c r="N22" s="471">
        <f t="shared" ca="1" si="11"/>
        <v>17569.45</v>
      </c>
      <c r="O22" s="594">
        <f t="shared" ca="1" si="7"/>
        <v>2.2713175185323894E-2</v>
      </c>
      <c r="P22" s="472"/>
      <c r="Q22" s="332">
        <f t="shared" ca="1" si="8"/>
        <v>18</v>
      </c>
      <c r="R22" s="332">
        <f ca="1">COUNTIF( Q$11:Q22, Q22 ) - 1</f>
        <v>0</v>
      </c>
      <c r="S22" s="332">
        <f t="shared" ca="1" si="12"/>
        <v>18</v>
      </c>
      <c r="T22" s="332">
        <f t="shared" ca="1" si="9"/>
        <v>18</v>
      </c>
      <c r="U22" s="441"/>
      <c r="V22" s="441">
        <f t="shared" ca="1" si="16"/>
        <v>94.97</v>
      </c>
      <c r="W22" s="343">
        <f t="shared" ca="1" si="16"/>
        <v>185</v>
      </c>
      <c r="X22" s="344">
        <f t="shared" ca="1" si="10"/>
        <v>17569.45</v>
      </c>
      <c r="Y22" s="344"/>
      <c r="Z22" s="407">
        <f t="shared" ca="1" si="17"/>
        <v>24</v>
      </c>
    </row>
    <row r="23" spans="3:26">
      <c r="C23" s="125" t="str">
        <f t="shared" ca="1" si="1"/>
        <v>FirstEnergy Corp.</v>
      </c>
      <c r="D23" s="120" t="str">
        <f t="shared" ca="1" si="2"/>
        <v>FE</v>
      </c>
      <c r="E23" s="611">
        <f t="shared" ca="1" si="3"/>
        <v>21437.45</v>
      </c>
      <c r="F23" s="121">
        <f t="shared" ca="1" si="4"/>
        <v>2.7713591340458674E-2</v>
      </c>
      <c r="I23" s="480">
        <f t="shared" si="15"/>
        <v>13</v>
      </c>
      <c r="J23" s="332">
        <f t="shared" ca="1" si="5"/>
        <v>20</v>
      </c>
      <c r="K23" s="331"/>
      <c r="L23" s="333" t="str">
        <f t="shared" ca="1" si="6"/>
        <v>Duke Energy Corporation</v>
      </c>
      <c r="M23" s="596" t="str">
        <f t="shared" ca="1" si="6"/>
        <v>DUK</v>
      </c>
      <c r="N23" s="471">
        <f t="shared" ca="1" si="11"/>
        <v>58961.52</v>
      </c>
      <c r="O23" s="594">
        <f t="shared" ca="1" si="7"/>
        <v>7.6223406706127872E-2</v>
      </c>
      <c r="P23" s="472"/>
      <c r="Q23" s="332">
        <f t="shared" ca="1" si="8"/>
        <v>2</v>
      </c>
      <c r="R23" s="332">
        <f ca="1">COUNTIF( Q$11:Q23, Q23 ) - 1</f>
        <v>0</v>
      </c>
      <c r="S23" s="332">
        <f t="shared" ca="1" si="12"/>
        <v>2</v>
      </c>
      <c r="T23" s="332">
        <f t="shared" ca="1" si="9"/>
        <v>2</v>
      </c>
      <c r="U23" s="441"/>
      <c r="V23" s="441">
        <f t="shared" ca="1" si="16"/>
        <v>80.88</v>
      </c>
      <c r="W23" s="343">
        <f t="shared" ca="1" si="16"/>
        <v>729</v>
      </c>
      <c r="X23" s="344">
        <f t="shared" ca="1" si="10"/>
        <v>58961.52</v>
      </c>
      <c r="Y23" s="344"/>
      <c r="Z23" s="407">
        <f t="shared" ca="1" si="17"/>
        <v>26</v>
      </c>
    </row>
    <row r="24" spans="3:26">
      <c r="C24" s="125" t="str">
        <f t="shared" ca="1" si="1"/>
        <v>Edison International</v>
      </c>
      <c r="D24" s="120" t="str">
        <f t="shared" ca="1" si="2"/>
        <v>EIX</v>
      </c>
      <c r="E24" s="611">
        <f t="shared" ca="1" si="3"/>
        <v>18628.599999999999</v>
      </c>
      <c r="F24" s="121">
        <f t="shared" ca="1" si="4"/>
        <v>2.4082407545900675E-2</v>
      </c>
      <c r="I24" s="480">
        <f t="shared" si="15"/>
        <v>14</v>
      </c>
      <c r="J24" s="332">
        <f t="shared" ca="1" si="5"/>
        <v>14</v>
      </c>
      <c r="K24" s="331"/>
      <c r="L24" s="333" t="str">
        <f t="shared" ca="1" si="6"/>
        <v>Edison International</v>
      </c>
      <c r="M24" s="596" t="str">
        <f t="shared" ca="1" si="6"/>
        <v>EIX</v>
      </c>
      <c r="N24" s="471">
        <f t="shared" ca="1" si="11"/>
        <v>18628.599999999999</v>
      </c>
      <c r="O24" s="594">
        <f t="shared" ca="1" si="7"/>
        <v>2.4082407545900675E-2</v>
      </c>
      <c r="P24" s="472"/>
      <c r="Q24" s="332">
        <f t="shared" ca="1" si="8"/>
        <v>14</v>
      </c>
      <c r="R24" s="332">
        <f ca="1">COUNTIF( Q$11:Q24, Q24 ) - 1</f>
        <v>0</v>
      </c>
      <c r="S24" s="332">
        <f t="shared" ca="1" si="12"/>
        <v>14</v>
      </c>
      <c r="T24" s="332">
        <f t="shared" ca="1" si="9"/>
        <v>14</v>
      </c>
      <c r="U24" s="441"/>
      <c r="V24" s="441">
        <f t="shared" ca="1" si="16"/>
        <v>54.79</v>
      </c>
      <c r="W24" s="343">
        <f t="shared" ca="1" si="16"/>
        <v>340</v>
      </c>
      <c r="X24" s="344">
        <f t="shared" ca="1" si="10"/>
        <v>18628.599999999999</v>
      </c>
      <c r="Y24" s="344"/>
      <c r="Z24" s="407">
        <f t="shared" ca="1" si="17"/>
        <v>58</v>
      </c>
    </row>
    <row r="25" spans="3:26">
      <c r="C25" s="125" t="str">
        <f t="shared" ca="1" si="1"/>
        <v>Entergy Corporation</v>
      </c>
      <c r="D25" s="120" t="str">
        <f t="shared" ca="1" si="2"/>
        <v>ETR</v>
      </c>
      <c r="E25" s="611">
        <f t="shared" ca="1" si="3"/>
        <v>18342.55477626</v>
      </c>
      <c r="F25" s="121">
        <f t="shared" ca="1" si="4"/>
        <v>2.3712618208287274E-2</v>
      </c>
      <c r="I25" s="480">
        <f t="shared" si="15"/>
        <v>15</v>
      </c>
      <c r="J25" s="332">
        <f t="shared" ca="1" si="5"/>
        <v>16</v>
      </c>
      <c r="K25" s="331"/>
      <c r="L25" s="333" t="str">
        <f t="shared" ca="1" si="6"/>
        <v>El Paso Electric Company</v>
      </c>
      <c r="M25" s="596" t="str">
        <f t="shared" ca="1" si="6"/>
        <v>EE</v>
      </c>
      <c r="N25" s="471">
        <f t="shared" ca="1" si="11"/>
        <v>2759.5563721200001</v>
      </c>
      <c r="O25" s="594">
        <f t="shared" ca="1" si="7"/>
        <v>3.5674587032456001E-3</v>
      </c>
      <c r="P25" s="472"/>
      <c r="Q25" s="332">
        <f t="shared" ca="1" si="8"/>
        <v>37</v>
      </c>
      <c r="R25" s="332">
        <f ca="1">COUNTIF( Q$11:Q25, Q25 ) - 1</f>
        <v>0</v>
      </c>
      <c r="S25" s="332">
        <f t="shared" ca="1" si="12"/>
        <v>37</v>
      </c>
      <c r="T25" s="332">
        <f t="shared" ca="1" si="9"/>
        <v>37</v>
      </c>
      <c r="U25" s="441"/>
      <c r="V25" s="441">
        <f t="shared" ca="1" si="16"/>
        <v>67.959999999999994</v>
      </c>
      <c r="W25" s="343">
        <f t="shared" ca="1" si="16"/>
        <v>40.605597000000003</v>
      </c>
      <c r="X25" s="344">
        <f t="shared" ca="1" si="10"/>
        <v>2759.5563721200001</v>
      </c>
      <c r="Y25" s="344"/>
      <c r="Z25" s="407">
        <f t="shared" ca="1" si="17"/>
        <v>29</v>
      </c>
    </row>
    <row r="26" spans="3:26">
      <c r="C26" s="125" t="str">
        <f t="shared" ca="1" si="1"/>
        <v>PPL Corporation</v>
      </c>
      <c r="D26" s="120" t="str">
        <f t="shared" ca="1" si="2"/>
        <v>PPL</v>
      </c>
      <c r="E26" s="611">
        <f t="shared" ca="1" si="3"/>
        <v>17979.676159999999</v>
      </c>
      <c r="F26" s="121">
        <f t="shared" ca="1" si="4"/>
        <v>2.3243501327444602E-2</v>
      </c>
      <c r="I26" s="480">
        <f t="shared" si="15"/>
        <v>16</v>
      </c>
      <c r="J26" s="332">
        <f t="shared" ca="1" si="5"/>
        <v>34</v>
      </c>
      <c r="K26" s="331"/>
      <c r="L26" s="333" t="str">
        <f t="shared" ca="1" si="6"/>
        <v>Entergy Corporation</v>
      </c>
      <c r="M26" s="596" t="str">
        <f t="shared" ca="1" si="6"/>
        <v>ETR</v>
      </c>
      <c r="N26" s="471">
        <f t="shared" ca="1" si="11"/>
        <v>18342.55477626</v>
      </c>
      <c r="O26" s="594">
        <f t="shared" ca="1" si="7"/>
        <v>2.3712618208287274E-2</v>
      </c>
      <c r="P26" s="472"/>
      <c r="Q26" s="332">
        <f t="shared" ca="1" si="8"/>
        <v>15</v>
      </c>
      <c r="R26" s="332">
        <f ca="1">COUNTIF( Q$11:Q26, Q26 ) - 1</f>
        <v>0</v>
      </c>
      <c r="S26" s="332">
        <f t="shared" ca="1" si="12"/>
        <v>15</v>
      </c>
      <c r="T26" s="332">
        <f t="shared" ca="1" si="9"/>
        <v>15</v>
      </c>
      <c r="U26" s="441"/>
      <c r="V26" s="441">
        <f t="shared" ca="1" si="16"/>
        <v>93.97</v>
      </c>
      <c r="W26" s="343">
        <f t="shared" ca="1" si="16"/>
        <v>195.19585799999999</v>
      </c>
      <c r="X26" s="344">
        <f t="shared" ca="1" si="10"/>
        <v>18342.55477626</v>
      </c>
      <c r="Y26" s="344"/>
      <c r="Z26" s="407">
        <f t="shared" ca="1" si="17"/>
        <v>31</v>
      </c>
    </row>
    <row r="27" spans="3:26">
      <c r="C27" s="125" t="str">
        <f t="shared" ca="1" si="1"/>
        <v>Ameren Corporation</v>
      </c>
      <c r="D27" s="120" t="str">
        <f t="shared" ca="1" si="2"/>
        <v>AEE</v>
      </c>
      <c r="E27" s="611">
        <f t="shared" ca="1" si="3"/>
        <v>17887.047999999999</v>
      </c>
      <c r="F27" s="121">
        <f t="shared" ca="1" si="4"/>
        <v>2.3123754856998788E-2</v>
      </c>
      <c r="I27" s="480">
        <f t="shared" si="15"/>
        <v>17</v>
      </c>
      <c r="J27" s="332">
        <f t="shared" ca="1" si="5"/>
        <v>3</v>
      </c>
      <c r="K27" s="331"/>
      <c r="L27" s="333" t="str">
        <f t="shared" ca="1" si="6"/>
        <v>Evergy, Inc.</v>
      </c>
      <c r="M27" s="596" t="str">
        <f t="shared" ca="1" si="6"/>
        <v>EVRG</v>
      </c>
      <c r="N27" s="471">
        <f t="shared" ca="1" si="11"/>
        <v>13184.474999999999</v>
      </c>
      <c r="O27" s="594">
        <f t="shared" ca="1" si="7"/>
        <v>1.7044431692598411E-2</v>
      </c>
      <c r="P27" s="472"/>
      <c r="Q27" s="332">
        <f t="shared" ca="1" si="8"/>
        <v>21</v>
      </c>
      <c r="R27" s="332">
        <f ca="1">COUNTIF( Q$11:Q27, Q27 ) - 1</f>
        <v>0</v>
      </c>
      <c r="S27" s="332">
        <f t="shared" ca="1" si="12"/>
        <v>21</v>
      </c>
      <c r="T27" s="332">
        <f t="shared" ca="1" si="9"/>
        <v>21</v>
      </c>
      <c r="U27" s="441"/>
      <c r="V27" s="441">
        <f t="shared" ca="1" si="16"/>
        <v>55.05</v>
      </c>
      <c r="W27" s="343">
        <f t="shared" ca="1" si="16"/>
        <v>239.5</v>
      </c>
      <c r="X27" s="344">
        <f t="shared" ca="1" si="10"/>
        <v>13184.474999999999</v>
      </c>
      <c r="Y27" s="344"/>
      <c r="Z27" s="407">
        <f t="shared" ca="1" si="17"/>
        <v>42</v>
      </c>
    </row>
    <row r="28" spans="3:26">
      <c r="C28" s="125" t="str">
        <f t="shared" ca="1" si="1"/>
        <v>DTE Energy Company</v>
      </c>
      <c r="D28" s="120" t="str">
        <f t="shared" ca="1" si="2"/>
        <v>DTE</v>
      </c>
      <c r="E28" s="611">
        <f t="shared" ca="1" si="3"/>
        <v>17569.45</v>
      </c>
      <c r="F28" s="121">
        <f t="shared" ca="1" si="4"/>
        <v>2.2713175185323894E-2</v>
      </c>
      <c r="I28" s="480">
        <f t="shared" si="15"/>
        <v>18</v>
      </c>
      <c r="J28" s="332">
        <f t="shared" ca="1" si="5"/>
        <v>12</v>
      </c>
      <c r="K28" s="331"/>
      <c r="L28" s="333" t="str">
        <f t="shared" ca="1" si="6"/>
        <v>Eversource Energy</v>
      </c>
      <c r="M28" s="596" t="str">
        <f t="shared" ca="1" si="6"/>
        <v>ES</v>
      </c>
      <c r="N28" s="471">
        <f t="shared" ca="1" si="11"/>
        <v>25137.952086059999</v>
      </c>
      <c r="O28" s="594">
        <f t="shared" ca="1" si="7"/>
        <v>3.2497472005723511E-2</v>
      </c>
      <c r="P28" s="472"/>
      <c r="Q28" s="332">
        <f t="shared" ca="1" si="8"/>
        <v>11</v>
      </c>
      <c r="R28" s="332">
        <f ca="1">COUNTIF( Q$11:Q28, Q28 ) - 1</f>
        <v>0</v>
      </c>
      <c r="S28" s="332">
        <f t="shared" ca="1" si="12"/>
        <v>11</v>
      </c>
      <c r="T28" s="332">
        <f t="shared" ca="1" si="9"/>
        <v>11</v>
      </c>
      <c r="U28" s="441"/>
      <c r="V28" s="441">
        <f t="shared" ca="1" si="16"/>
        <v>78.209999999999994</v>
      </c>
      <c r="W28" s="343">
        <f t="shared" ca="1" si="16"/>
        <v>321.41608600000001</v>
      </c>
      <c r="X28" s="344">
        <f t="shared" ca="1" si="10"/>
        <v>25137.952086059999</v>
      </c>
      <c r="Y28" s="344"/>
      <c r="Z28" s="407">
        <f t="shared" ca="1" si="17"/>
        <v>48</v>
      </c>
    </row>
    <row r="29" spans="3:26">
      <c r="C29" s="125" t="str">
        <f t="shared" ca="1" si="1"/>
        <v>CMS Energy Corporation</v>
      </c>
      <c r="D29" s="120" t="str">
        <f t="shared" ca="1" si="2"/>
        <v>CMS</v>
      </c>
      <c r="E29" s="611">
        <f t="shared" ca="1" si="3"/>
        <v>16626.25</v>
      </c>
      <c r="F29" s="121">
        <f t="shared" ca="1" si="4"/>
        <v>2.1493838960524737E-2</v>
      </c>
      <c r="I29" s="480">
        <f t="shared" si="15"/>
        <v>19</v>
      </c>
      <c r="J29" s="332">
        <f t="shared" ca="1" si="5"/>
        <v>9</v>
      </c>
      <c r="K29" s="331"/>
      <c r="L29" s="333" t="str">
        <f t="shared" ca="1" si="6"/>
        <v>Exelon Corporation</v>
      </c>
      <c r="M29" s="596" t="str">
        <f t="shared" ca="1" si="6"/>
        <v>EXC</v>
      </c>
      <c r="N29" s="471">
        <f t="shared" ca="1" si="11"/>
        <v>35816.130000000005</v>
      </c>
      <c r="O29" s="594">
        <f t="shared" ca="1" si="7"/>
        <v>4.6301849810343222E-2</v>
      </c>
      <c r="P29" s="472"/>
      <c r="Q29" s="332">
        <f t="shared" ca="1" si="8"/>
        <v>6</v>
      </c>
      <c r="R29" s="332">
        <f ca="1">COUNTIF( Q$11:Q29, Q29 ) - 1</f>
        <v>0</v>
      </c>
      <c r="S29" s="332">
        <f t="shared" ca="1" si="12"/>
        <v>6</v>
      </c>
      <c r="T29" s="332">
        <f t="shared" ca="1" si="9"/>
        <v>6</v>
      </c>
      <c r="U29" s="441"/>
      <c r="V29" s="441">
        <f t="shared" ca="1" si="16"/>
        <v>36.81</v>
      </c>
      <c r="W29" s="343">
        <f t="shared" ca="1" si="16"/>
        <v>973</v>
      </c>
      <c r="X29" s="344">
        <f t="shared" ca="1" si="10"/>
        <v>35816.130000000005</v>
      </c>
      <c r="Y29" s="344"/>
      <c r="Z29" s="407">
        <f t="shared" ca="1" si="17"/>
        <v>97</v>
      </c>
    </row>
    <row r="30" spans="3:26">
      <c r="C30" s="125" t="str">
        <f t="shared" ca="1" si="1"/>
        <v>AVANGRID, Inc.</v>
      </c>
      <c r="D30" s="120" t="str">
        <f t="shared" ca="1" si="2"/>
        <v>AGR</v>
      </c>
      <c r="E30" s="611">
        <f t="shared" ca="1" si="3"/>
        <v>13549.519569960001</v>
      </c>
      <c r="F30" s="121">
        <f t="shared" ca="1" si="4"/>
        <v>1.7516348643211707E-2</v>
      </c>
      <c r="I30" s="480">
        <f t="shared" si="15"/>
        <v>20</v>
      </c>
      <c r="J30" s="332">
        <f t="shared" ca="1" si="5"/>
        <v>5</v>
      </c>
      <c r="K30" s="331"/>
      <c r="L30" s="333" t="str">
        <f t="shared" ca="1" si="6"/>
        <v>FirstEnergy Corp.</v>
      </c>
      <c r="M30" s="596" t="str">
        <f t="shared" ca="1" si="6"/>
        <v>FE</v>
      </c>
      <c r="N30" s="471">
        <f t="shared" ca="1" si="11"/>
        <v>21437.45</v>
      </c>
      <c r="O30" s="594">
        <f t="shared" ca="1" si="7"/>
        <v>2.7713591340458674E-2</v>
      </c>
      <c r="P30" s="472"/>
      <c r="Q30" s="332">
        <f t="shared" ca="1" si="8"/>
        <v>13</v>
      </c>
      <c r="R30" s="332">
        <f ca="1">COUNTIF( Q$11:Q30, Q30 ) - 1</f>
        <v>0</v>
      </c>
      <c r="S30" s="332">
        <f t="shared" ca="1" si="12"/>
        <v>13</v>
      </c>
      <c r="T30" s="332">
        <f t="shared" ca="1" si="9"/>
        <v>13</v>
      </c>
      <c r="U30" s="441"/>
      <c r="V30" s="441">
        <f t="shared" ca="1" si="16"/>
        <v>40.07</v>
      </c>
      <c r="W30" s="343">
        <f t="shared" ca="1" si="16"/>
        <v>535</v>
      </c>
      <c r="X30" s="344">
        <f t="shared" ca="1" si="10"/>
        <v>21437.45</v>
      </c>
      <c r="Y30" s="344"/>
      <c r="Z30" s="407">
        <f t="shared" ca="1" si="17"/>
        <v>49</v>
      </c>
    </row>
    <row r="31" spans="3:26">
      <c r="C31" s="125" t="str">
        <f t="shared" ca="1" si="1"/>
        <v>Evergy, Inc.</v>
      </c>
      <c r="D31" s="120" t="str">
        <f t="shared" ca="1" si="2"/>
        <v>EVRG</v>
      </c>
      <c r="E31" s="611">
        <f t="shared" ca="1" si="3"/>
        <v>13184.474999999999</v>
      </c>
      <c r="F31" s="121">
        <f t="shared" ca="1" si="4"/>
        <v>1.7044431692598411E-2</v>
      </c>
      <c r="I31" s="480">
        <f t="shared" si="15"/>
        <v>21</v>
      </c>
      <c r="J31" s="332">
        <f t="shared" ca="1" si="5"/>
        <v>17</v>
      </c>
      <c r="K31" s="331"/>
      <c r="L31" s="333" t="str">
        <f t="shared" ca="1" si="6"/>
        <v>Hawaiian Electric Industries, Inc.</v>
      </c>
      <c r="M31" s="596" t="str">
        <f t="shared" ca="1" si="6"/>
        <v>HE</v>
      </c>
      <c r="N31" s="471">
        <f t="shared" ca="1" si="11"/>
        <v>4690.2544499999995</v>
      </c>
      <c r="O31" s="594">
        <f t="shared" ca="1" si="7"/>
        <v>6.0633981704945198E-3</v>
      </c>
      <c r="P31" s="472"/>
      <c r="Q31" s="332">
        <f t="shared" ca="1" si="8"/>
        <v>28</v>
      </c>
      <c r="R31" s="332">
        <f ca="1">COUNTIF( Q$11:Q31, Q31 ) - 1</f>
        <v>0</v>
      </c>
      <c r="S31" s="332">
        <f t="shared" ca="1" si="12"/>
        <v>28</v>
      </c>
      <c r="T31" s="332">
        <f t="shared" ca="1" si="9"/>
        <v>28</v>
      </c>
      <c r="U31" s="441"/>
      <c r="V31" s="441">
        <f t="shared" ca="1" si="16"/>
        <v>43.05</v>
      </c>
      <c r="W31" s="343">
        <f t="shared" ca="1" si="16"/>
        <v>108.949</v>
      </c>
      <c r="X31" s="344">
        <f t="shared" ca="1" si="10"/>
        <v>4690.2544499999995</v>
      </c>
      <c r="Y31" s="344"/>
      <c r="Z31" s="407">
        <f t="shared" ca="1" si="17"/>
        <v>37</v>
      </c>
    </row>
    <row r="32" spans="3:26">
      <c r="C32" s="125" t="str">
        <f t="shared" ca="1" si="1"/>
        <v>Alliant Energy Corporation</v>
      </c>
      <c r="D32" s="120" t="str">
        <f t="shared" ca="1" si="2"/>
        <v>LNT</v>
      </c>
      <c r="E32" s="611">
        <f t="shared" ca="1" si="3"/>
        <v>11517.164999999999</v>
      </c>
      <c r="F32" s="121">
        <f t="shared" ca="1" si="4"/>
        <v>1.4888991191146042E-2</v>
      </c>
      <c r="I32" s="480">
        <f t="shared" si="15"/>
        <v>22</v>
      </c>
      <c r="J32" s="332">
        <f t="shared" ca="1" si="5"/>
        <v>2</v>
      </c>
      <c r="K32" s="331"/>
      <c r="L32" s="333" t="str">
        <f t="shared" ca="1" si="6"/>
        <v>IDACORP, Inc.</v>
      </c>
      <c r="M32" s="596" t="str">
        <f t="shared" ca="1" si="6"/>
        <v>IDA</v>
      </c>
      <c r="N32" s="471">
        <f t="shared" ca="1" si="11"/>
        <v>4433.5705800000005</v>
      </c>
      <c r="O32" s="594">
        <f t="shared" ca="1" si="7"/>
        <v>5.7315661719654328E-3</v>
      </c>
      <c r="P32" s="472"/>
      <c r="Q32" s="332">
        <f t="shared" ca="1" si="8"/>
        <v>29</v>
      </c>
      <c r="R32" s="332">
        <f ca="1">COUNTIF( Q$11:Q32, Q32 ) - 1</f>
        <v>0</v>
      </c>
      <c r="S32" s="332">
        <f t="shared" ca="1" si="12"/>
        <v>29</v>
      </c>
      <c r="T32" s="332">
        <f t="shared" ca="1" si="9"/>
        <v>29</v>
      </c>
      <c r="U32" s="441"/>
      <c r="V32" s="441">
        <f t="shared" ca="1" si="16"/>
        <v>87.79</v>
      </c>
      <c r="W32" s="343">
        <f t="shared" ca="1" si="16"/>
        <v>50.502000000000002</v>
      </c>
      <c r="X32" s="344">
        <f t="shared" ca="1" si="10"/>
        <v>4433.5705800000005</v>
      </c>
      <c r="Y32" s="344"/>
      <c r="Z32" s="407">
        <f t="shared" ca="1" si="17"/>
        <v>39</v>
      </c>
    </row>
    <row r="33" spans="3:26">
      <c r="C33" s="125" t="str">
        <f t="shared" ca="1" si="1"/>
        <v>NiSource Inc.</v>
      </c>
      <c r="D33" s="120" t="str">
        <f t="shared" ca="1" si="2"/>
        <v>NI</v>
      </c>
      <c r="E33" s="611">
        <f t="shared" ca="1" si="3"/>
        <v>9355.0104999999985</v>
      </c>
      <c r="F33" s="121">
        <f t="shared" ca="1" si="4"/>
        <v>1.2093832894430072E-2</v>
      </c>
      <c r="I33" s="480">
        <f t="shared" si="15"/>
        <v>23</v>
      </c>
      <c r="J33" s="332">
        <f t="shared" ca="1" si="5"/>
        <v>26</v>
      </c>
      <c r="K33" s="331"/>
      <c r="L33" s="333" t="str">
        <f t="shared" ca="1" si="6"/>
        <v>MDU Resources Group, Inc.</v>
      </c>
      <c r="M33" s="596" t="str">
        <f t="shared" ca="1" si="6"/>
        <v>MDU</v>
      </c>
      <c r="N33" s="471">
        <f t="shared" ca="1" si="11"/>
        <v>4270.1579999999994</v>
      </c>
      <c r="O33" s="594">
        <f t="shared" ca="1" si="7"/>
        <v>5.5203120600253444E-3</v>
      </c>
      <c r="P33" s="472"/>
      <c r="Q33" s="332">
        <f t="shared" ca="1" si="8"/>
        <v>31</v>
      </c>
      <c r="R33" s="332">
        <f ca="1">COUNTIF( Q$11:Q33, Q33 ) - 1</f>
        <v>0</v>
      </c>
      <c r="S33" s="332">
        <f t="shared" ca="1" si="12"/>
        <v>31</v>
      </c>
      <c r="T33" s="332">
        <f t="shared" ca="1" si="9"/>
        <v>31</v>
      </c>
      <c r="U33" s="441"/>
      <c r="V33" s="441">
        <f t="shared" ca="1" si="16"/>
        <v>21.5</v>
      </c>
      <c r="W33" s="343">
        <f t="shared" ca="1" si="16"/>
        <v>198.61199999999999</v>
      </c>
      <c r="X33" s="344">
        <f t="shared" ca="1" si="10"/>
        <v>4270.1579999999994</v>
      </c>
      <c r="Y33" s="344"/>
      <c r="Z33" s="407">
        <f t="shared" ca="1" si="17"/>
        <v>112</v>
      </c>
    </row>
    <row r="34" spans="3:26">
      <c r="C34" s="125" t="str">
        <f t="shared" ca="1" si="1"/>
        <v>Pinnacle West Capital Corporation</v>
      </c>
      <c r="D34" s="120" t="str">
        <f t="shared" ca="1" si="2"/>
        <v>PNW</v>
      </c>
      <c r="E34" s="611">
        <f t="shared" ca="1" si="3"/>
        <v>8522.0411762200001</v>
      </c>
      <c r="F34" s="121">
        <f t="shared" ca="1" si="4"/>
        <v>1.101699906212366E-2</v>
      </c>
      <c r="I34" s="480">
        <f t="shared" si="15"/>
        <v>24</v>
      </c>
      <c r="J34" s="332">
        <f t="shared" ca="1" si="5"/>
        <v>31</v>
      </c>
      <c r="K34" s="331"/>
      <c r="L34" s="333" t="str">
        <f t="shared" ca="1" si="6"/>
        <v>MGE Energy, Inc.</v>
      </c>
      <c r="M34" s="596" t="str">
        <f t="shared" ca="1" si="6"/>
        <v>MGEE</v>
      </c>
      <c r="N34" s="471">
        <f t="shared" ca="1" si="11"/>
        <v>2269.71396</v>
      </c>
      <c r="O34" s="594">
        <f t="shared" ca="1" si="7"/>
        <v>2.9342074335881444E-3</v>
      </c>
      <c r="P34" s="472"/>
      <c r="Q34" s="332">
        <f t="shared" ca="1" si="8"/>
        <v>38</v>
      </c>
      <c r="R34" s="332">
        <f ca="1">COUNTIF( Q$11:Q34, Q34 ) - 1</f>
        <v>0</v>
      </c>
      <c r="S34" s="332">
        <f t="shared" ca="1" si="12"/>
        <v>38</v>
      </c>
      <c r="T34" s="332">
        <f t="shared" ca="1" si="9"/>
        <v>38</v>
      </c>
      <c r="U34" s="441"/>
      <c r="V34" s="441">
        <f t="shared" ca="1" si="16"/>
        <v>65.47</v>
      </c>
      <c r="W34" s="343">
        <f t="shared" ca="1" si="16"/>
        <v>34.667999999999999</v>
      </c>
      <c r="X34" s="344">
        <f t="shared" ca="1" si="10"/>
        <v>2269.71396</v>
      </c>
      <c r="Y34" s="344"/>
      <c r="Z34" s="407">
        <f t="shared" ca="1" si="17"/>
        <v>85</v>
      </c>
    </row>
    <row r="35" spans="3:26">
      <c r="C35" s="125" t="str">
        <f t="shared" ca="1" si="1"/>
        <v>CenterPoint Energy, Inc.</v>
      </c>
      <c r="D35" s="120" t="str">
        <f t="shared" ca="1" si="2"/>
        <v>CNP</v>
      </c>
      <c r="E35" s="611">
        <f t="shared" ca="1" si="3"/>
        <v>7756.6724999999997</v>
      </c>
      <c r="F35" s="121">
        <f t="shared" ca="1" si="4"/>
        <v>1.0027557000798786E-2</v>
      </c>
      <c r="I35" s="480">
        <f t="shared" si="15"/>
        <v>25</v>
      </c>
      <c r="J35" s="332">
        <f t="shared" ca="1" si="5"/>
        <v>8</v>
      </c>
      <c r="K35" s="331"/>
      <c r="L35" s="333" t="str">
        <f t="shared" ca="1" si="6"/>
        <v>NextEra Energy, Inc.</v>
      </c>
      <c r="M35" s="596" t="str">
        <f t="shared" ca="1" si="6"/>
        <v>NEE</v>
      </c>
      <c r="N35" s="471">
        <f t="shared" ca="1" si="11"/>
        <v>115978.84</v>
      </c>
      <c r="O35" s="594">
        <f t="shared" ca="1" si="7"/>
        <v>0.14993341912869498</v>
      </c>
      <c r="P35" s="472"/>
      <c r="Q35" s="332">
        <f t="shared" ca="1" si="8"/>
        <v>1</v>
      </c>
      <c r="R35" s="332">
        <f ca="1">COUNTIF( Q$11:Q35, Q35 ) - 1</f>
        <v>0</v>
      </c>
      <c r="S35" s="332">
        <f t="shared" ca="1" si="12"/>
        <v>1</v>
      </c>
      <c r="T35" s="332">
        <f t="shared" ca="1" si="9"/>
        <v>1</v>
      </c>
      <c r="U35" s="441"/>
      <c r="V35" s="441">
        <f t="shared" ca="1" si="16"/>
        <v>240.62</v>
      </c>
      <c r="W35" s="343">
        <f t="shared" ca="1" si="16"/>
        <v>482</v>
      </c>
      <c r="X35" s="344">
        <f t="shared" ca="1" si="10"/>
        <v>115978.84</v>
      </c>
      <c r="Y35" s="344"/>
      <c r="Z35" s="407">
        <f t="shared" ca="1" si="17"/>
        <v>32</v>
      </c>
    </row>
    <row r="36" spans="3:26">
      <c r="C36" s="125" t="str">
        <f t="shared" ca="1" si="1"/>
        <v>OGE Energy Corp.</v>
      </c>
      <c r="D36" s="120" t="str">
        <f t="shared" ca="1" si="2"/>
        <v>OGE</v>
      </c>
      <c r="E36" s="611">
        <f t="shared" ca="1" si="3"/>
        <v>6149.0730000000003</v>
      </c>
      <c r="F36" s="121">
        <f t="shared" ca="1" si="4"/>
        <v>7.9493081614020449E-3</v>
      </c>
      <c r="I36" s="480">
        <f t="shared" si="15"/>
        <v>26</v>
      </c>
      <c r="J36" s="332">
        <f t="shared" ca="1" si="5"/>
        <v>28</v>
      </c>
      <c r="K36" s="331"/>
      <c r="L36" s="333" t="str">
        <f t="shared" ca="1" si="6"/>
        <v>NiSource Inc.</v>
      </c>
      <c r="M36" s="596" t="str">
        <f t="shared" ca="1" si="6"/>
        <v>NI</v>
      </c>
      <c r="N36" s="471">
        <f t="shared" ca="1" si="11"/>
        <v>9355.0104999999985</v>
      </c>
      <c r="O36" s="594">
        <f t="shared" ca="1" si="7"/>
        <v>1.2093832894430072E-2</v>
      </c>
      <c r="P36" s="472"/>
      <c r="Q36" s="332">
        <f t="shared" ca="1" si="8"/>
        <v>23</v>
      </c>
      <c r="R36" s="332">
        <f ca="1">COUNTIF( Q$11:Q36, Q36 ) - 1</f>
        <v>0</v>
      </c>
      <c r="S36" s="332">
        <f t="shared" ca="1" si="12"/>
        <v>23</v>
      </c>
      <c r="T36" s="332">
        <f t="shared" ca="1" si="9"/>
        <v>23</v>
      </c>
      <c r="U36" s="441"/>
      <c r="V36" s="441">
        <f t="shared" ca="1" si="16"/>
        <v>24.97</v>
      </c>
      <c r="W36" s="343">
        <f t="shared" ca="1" si="16"/>
        <v>374.65</v>
      </c>
      <c r="X36" s="344">
        <f t="shared" ca="1" si="10"/>
        <v>9355.0104999999985</v>
      </c>
      <c r="Y36" s="344"/>
      <c r="Z36" s="407">
        <f t="shared" ca="1" si="17"/>
        <v>89</v>
      </c>
    </row>
    <row r="37" spans="3:26">
      <c r="C37" s="125" t="str">
        <f t="shared" ca="1" si="1"/>
        <v>PG&amp;E Corporation</v>
      </c>
      <c r="D37" s="120" t="str">
        <f t="shared" ca="1" si="2"/>
        <v>PCG</v>
      </c>
      <c r="E37" s="611">
        <f t="shared" ca="1" si="3"/>
        <v>4746.72</v>
      </c>
      <c r="F37" s="121">
        <f t="shared" ca="1" si="4"/>
        <v>6.136394873811111E-3</v>
      </c>
      <c r="I37" s="480">
        <f t="shared" si="15"/>
        <v>27</v>
      </c>
      <c r="J37" s="332">
        <f t="shared" ca="1" si="5"/>
        <v>30</v>
      </c>
      <c r="K37" s="331"/>
      <c r="L37" s="333" t="str">
        <f t="shared" ca="1" si="6"/>
        <v>NorthWestern Corporation</v>
      </c>
      <c r="M37" s="596" t="str">
        <f t="shared" ca="1" si="6"/>
        <v>NWE</v>
      </c>
      <c r="N37" s="471">
        <f t="shared" ca="1" si="11"/>
        <v>3017.1407447999995</v>
      </c>
      <c r="O37" s="594">
        <f t="shared" ca="1" si="7"/>
        <v>3.9004548403860674E-3</v>
      </c>
      <c r="P37" s="472"/>
      <c r="Q37" s="332">
        <f t="shared" ca="1" si="8"/>
        <v>35</v>
      </c>
      <c r="R37" s="332">
        <f ca="1">COUNTIF( Q$11:Q37, Q37 ) - 1</f>
        <v>0</v>
      </c>
      <c r="S37" s="332">
        <f t="shared" ca="1" si="12"/>
        <v>35</v>
      </c>
      <c r="T37" s="332">
        <f t="shared" ca="1" si="9"/>
        <v>35</v>
      </c>
      <c r="U37" s="441"/>
      <c r="V37" s="441">
        <f t="shared" ca="1" si="16"/>
        <v>59.83</v>
      </c>
      <c r="W37" s="343">
        <f t="shared" ca="1" si="16"/>
        <v>50.428559999999997</v>
      </c>
      <c r="X37" s="344">
        <f t="shared" ca="1" si="10"/>
        <v>3017.1407447999995</v>
      </c>
      <c r="Y37" s="344"/>
      <c r="Z37" s="407">
        <f t="shared" ca="1" si="17"/>
        <v>93</v>
      </c>
    </row>
    <row r="38" spans="3:26">
      <c r="C38" s="125" t="str">
        <f t="shared" ca="1" si="1"/>
        <v>Hawaiian Electric Industries, Inc.</v>
      </c>
      <c r="D38" s="120" t="str">
        <f t="shared" ca="1" si="2"/>
        <v>HE</v>
      </c>
      <c r="E38" s="611">
        <f t="shared" ca="1" si="3"/>
        <v>4690.2544499999995</v>
      </c>
      <c r="F38" s="121">
        <f t="shared" ca="1" si="4"/>
        <v>6.0633981704945198E-3</v>
      </c>
      <c r="I38" s="480">
        <f t="shared" si="15"/>
        <v>28</v>
      </c>
      <c r="J38" s="332">
        <f t="shared" ca="1" si="5"/>
        <v>21</v>
      </c>
      <c r="K38" s="331"/>
      <c r="L38" s="333" t="str">
        <f t="shared" ca="1" si="6"/>
        <v>OGE Energy Corp.</v>
      </c>
      <c r="M38" s="596" t="str">
        <f t="shared" ca="1" si="6"/>
        <v>OGE</v>
      </c>
      <c r="N38" s="471">
        <f t="shared" ca="1" si="11"/>
        <v>6149.0730000000003</v>
      </c>
      <c r="O38" s="594">
        <f t="shared" ca="1" si="7"/>
        <v>7.9493081614020449E-3</v>
      </c>
      <c r="P38" s="472"/>
      <c r="Q38" s="332">
        <f t="shared" ca="1" si="8"/>
        <v>26</v>
      </c>
      <c r="R38" s="332">
        <f ca="1">COUNTIF( Q$11:Q38, Q38 ) - 1</f>
        <v>0</v>
      </c>
      <c r="S38" s="332">
        <f t="shared" ca="1" si="12"/>
        <v>26</v>
      </c>
      <c r="T38" s="332">
        <f t="shared" ca="1" si="9"/>
        <v>26</v>
      </c>
      <c r="U38" s="441"/>
      <c r="V38" s="441">
        <f t="shared" ca="1" si="16"/>
        <v>30.73</v>
      </c>
      <c r="W38" s="343">
        <f t="shared" ca="1" si="16"/>
        <v>200.1</v>
      </c>
      <c r="X38" s="344">
        <f t="shared" ca="1" si="10"/>
        <v>6149.0730000000003</v>
      </c>
      <c r="Y38" s="344"/>
      <c r="Z38" s="407">
        <f t="shared" ca="1" si="17"/>
        <v>50</v>
      </c>
    </row>
    <row r="39" spans="3:26">
      <c r="C39" s="125" t="str">
        <f t="shared" ca="1" si="1"/>
        <v>IDACORP, Inc.</v>
      </c>
      <c r="D39" s="120" t="str">
        <f t="shared" ca="1" si="2"/>
        <v>IDA</v>
      </c>
      <c r="E39" s="611">
        <f t="shared" ca="1" si="3"/>
        <v>4433.5705800000005</v>
      </c>
      <c r="F39" s="121">
        <f t="shared" ca="1" si="4"/>
        <v>5.7315661719654328E-3</v>
      </c>
      <c r="I39" s="480">
        <f t="shared" si="15"/>
        <v>29</v>
      </c>
      <c r="J39" s="332">
        <f t="shared" ca="1" si="5"/>
        <v>22</v>
      </c>
      <c r="K39" s="331"/>
      <c r="L39" s="333" t="str">
        <f t="shared" ca="1" si="6"/>
        <v>Otter Tail Corporation</v>
      </c>
      <c r="M39" s="596" t="str">
        <f t="shared" ca="1" si="6"/>
        <v>OTTR</v>
      </c>
      <c r="N39" s="471">
        <f t="shared" ca="1" si="11"/>
        <v>1765.9888576200001</v>
      </c>
      <c r="O39" s="594">
        <f t="shared" ca="1" si="7"/>
        <v>2.2830091037825927E-3</v>
      </c>
      <c r="P39" s="472"/>
      <c r="Q39" s="332">
        <f t="shared" ca="1" si="8"/>
        <v>39</v>
      </c>
      <c r="R39" s="332">
        <f ca="1">COUNTIF( Q$11:Q39, Q39 ) - 1</f>
        <v>0</v>
      </c>
      <c r="S39" s="332">
        <f t="shared" ca="1" si="12"/>
        <v>39</v>
      </c>
      <c r="T39" s="332">
        <f t="shared" ca="1" si="9"/>
        <v>39</v>
      </c>
      <c r="U39" s="441"/>
      <c r="V39" s="441">
        <f t="shared" ca="1" si="16"/>
        <v>44.46</v>
      </c>
      <c r="W39" s="343">
        <f t="shared" ca="1" si="16"/>
        <v>39.720846999999999</v>
      </c>
      <c r="X39" s="344">
        <f t="shared" ca="1" si="10"/>
        <v>1765.9888576200001</v>
      </c>
      <c r="Y39" s="344"/>
      <c r="Z39" s="407">
        <f t="shared" ca="1" si="17"/>
        <v>51</v>
      </c>
    </row>
    <row r="40" spans="3:26">
      <c r="C40" s="125" t="str">
        <f t="shared" ca="1" si="1"/>
        <v>Portland General Electric Company</v>
      </c>
      <c r="D40" s="120" t="str">
        <f t="shared" ca="1" si="2"/>
        <v>POR</v>
      </c>
      <c r="E40" s="611">
        <f t="shared" ca="1" si="3"/>
        <v>4283.5828199999996</v>
      </c>
      <c r="F40" s="121">
        <f t="shared" ca="1" si="4"/>
        <v>5.5376672013924015E-3</v>
      </c>
      <c r="I40" s="480">
        <f t="shared" si="15"/>
        <v>30</v>
      </c>
      <c r="J40" s="332">
        <f t="shared" ca="1" si="5"/>
        <v>33</v>
      </c>
      <c r="K40" s="331"/>
      <c r="L40" s="333" t="str">
        <f t="shared" ca="1" si="6"/>
        <v>PG&amp;E Corporation</v>
      </c>
      <c r="M40" s="596" t="str">
        <f t="shared" ca="1" si="6"/>
        <v>PCG</v>
      </c>
      <c r="N40" s="471">
        <f t="shared" ca="1" si="11"/>
        <v>4746.72</v>
      </c>
      <c r="O40" s="594">
        <f t="shared" ca="1" si="7"/>
        <v>6.136394873811111E-3</v>
      </c>
      <c r="P40" s="472"/>
      <c r="Q40" s="332">
        <f t="shared" ca="1" si="8"/>
        <v>27</v>
      </c>
      <c r="R40" s="332">
        <f ca="1">COUNTIF( Q$11:Q40, Q40 ) - 1</f>
        <v>0</v>
      </c>
      <c r="S40" s="332">
        <f t="shared" ca="1" si="12"/>
        <v>27</v>
      </c>
      <c r="T40" s="332">
        <f t="shared" ca="1" si="9"/>
        <v>27</v>
      </c>
      <c r="U40" s="441"/>
      <c r="V40" s="441">
        <f t="shared" ca="1" si="16"/>
        <v>8.99</v>
      </c>
      <c r="W40" s="343">
        <f t="shared" ca="1" si="16"/>
        <v>528</v>
      </c>
      <c r="X40" s="344">
        <f t="shared" ca="1" si="10"/>
        <v>4746.72</v>
      </c>
      <c r="Y40" s="344"/>
      <c r="Z40" s="407">
        <f t="shared" ca="1" si="17"/>
        <v>95</v>
      </c>
    </row>
    <row r="41" spans="3:26">
      <c r="C41" s="125" t="str">
        <f t="shared" ca="1" si="1"/>
        <v>MDU Resources Group, Inc.</v>
      </c>
      <c r="D41" s="120" t="str">
        <f t="shared" ca="1" si="2"/>
        <v>MDU</v>
      </c>
      <c r="E41" s="611">
        <f t="shared" ca="1" si="3"/>
        <v>4270.1579999999994</v>
      </c>
      <c r="F41" s="121">
        <f t="shared" ca="1" si="4"/>
        <v>5.5203120600253444E-3</v>
      </c>
      <c r="I41" s="480">
        <f t="shared" si="15"/>
        <v>31</v>
      </c>
      <c r="J41" s="332">
        <f t="shared" ca="1" si="5"/>
        <v>23</v>
      </c>
      <c r="K41" s="331"/>
      <c r="L41" s="333" t="str">
        <f t="shared" ca="1" si="6"/>
        <v>Pinnacle West Capital Corporation</v>
      </c>
      <c r="M41" s="596" t="str">
        <f t="shared" ca="1" si="6"/>
        <v>PNW</v>
      </c>
      <c r="N41" s="471">
        <f t="shared" ca="1" si="11"/>
        <v>8522.0411762200001</v>
      </c>
      <c r="O41" s="594">
        <f t="shared" ca="1" si="7"/>
        <v>1.101699906212366E-2</v>
      </c>
      <c r="P41" s="472"/>
      <c r="Q41" s="332">
        <f t="shared" ca="1" si="8"/>
        <v>24</v>
      </c>
      <c r="R41" s="332">
        <f ca="1">COUNTIF( Q$11:Q41, Q41 ) - 1</f>
        <v>0</v>
      </c>
      <c r="S41" s="332">
        <f t="shared" ca="1" si="12"/>
        <v>24</v>
      </c>
      <c r="T41" s="332">
        <f t="shared" ca="1" si="9"/>
        <v>24</v>
      </c>
      <c r="U41" s="441"/>
      <c r="V41" s="441">
        <f t="shared" ca="1" si="16"/>
        <v>75.790000000000006</v>
      </c>
      <c r="W41" s="343">
        <f t="shared" ca="1" si="16"/>
        <v>112.442818</v>
      </c>
      <c r="X41" s="344">
        <f t="shared" ca="1" si="10"/>
        <v>8522.0411762200001</v>
      </c>
      <c r="Y41" s="344"/>
      <c r="Z41" s="407">
        <f t="shared" ca="1" si="17"/>
        <v>54</v>
      </c>
    </row>
    <row r="42" spans="3:26">
      <c r="C42" s="125" t="str">
        <f t="shared" ca="1" si="1"/>
        <v>Black Hills Corporation</v>
      </c>
      <c r="D42" s="120" t="str">
        <f t="shared" ca="1" si="2"/>
        <v>BKH</v>
      </c>
      <c r="E42" s="611">
        <f t="shared" ca="1" si="3"/>
        <v>3884.18786</v>
      </c>
      <c r="F42" s="121">
        <f t="shared" ca="1" si="4"/>
        <v>5.0213432587183039E-3</v>
      </c>
      <c r="I42" s="480">
        <f t="shared" si="15"/>
        <v>32</v>
      </c>
      <c r="J42" s="332">
        <f t="shared" ca="1" si="5"/>
        <v>7</v>
      </c>
      <c r="K42" s="331"/>
      <c r="L42" s="333" t="str">
        <f t="shared" ca="1" si="6"/>
        <v>PNM Resources, Inc.</v>
      </c>
      <c r="M42" s="596" t="str">
        <f t="shared" ca="1" si="6"/>
        <v>PNM</v>
      </c>
      <c r="N42" s="471">
        <f t="shared" ca="1" si="11"/>
        <v>3037.3779999999997</v>
      </c>
      <c r="O42" s="594">
        <f t="shared" ca="1" si="7"/>
        <v>3.9266168615436853E-3</v>
      </c>
      <c r="P42" s="472"/>
      <c r="Q42" s="332">
        <f t="shared" ca="1" si="8"/>
        <v>34</v>
      </c>
      <c r="R42" s="332">
        <f ca="1">COUNTIF( Q$11:Q42, Q42 ) - 1</f>
        <v>0</v>
      </c>
      <c r="S42" s="332">
        <f t="shared" ca="1" si="12"/>
        <v>34</v>
      </c>
      <c r="T42" s="332">
        <f t="shared" ca="1" si="9"/>
        <v>34</v>
      </c>
      <c r="U42" s="441"/>
      <c r="V42" s="441">
        <f t="shared" ca="1" si="16"/>
        <v>38</v>
      </c>
      <c r="W42" s="343">
        <f t="shared" ca="1" si="16"/>
        <v>79.930999999999997</v>
      </c>
      <c r="X42" s="344">
        <f t="shared" ca="1" si="10"/>
        <v>3037.3779999999997</v>
      </c>
      <c r="Y42" s="344"/>
      <c r="Z42" s="407">
        <f t="shared" ca="1" si="17"/>
        <v>99</v>
      </c>
    </row>
    <row r="43" spans="3:26">
      <c r="C43" s="125" t="str">
        <f t="shared" ref="C43:C60" ca="1" si="18">OFFSET( L$10, $J43, 0 )</f>
        <v>ALLETE, Inc.</v>
      </c>
      <c r="D43" s="120" t="str">
        <f t="shared" ref="D43:D60" ca="1" si="19">OFFSET( M$10, $J43, 0 )</f>
        <v>ALE</v>
      </c>
      <c r="E43" s="611">
        <f t="shared" ref="E43:E60" ca="1" si="20">OFFSET( N$10, $J43, 0 )</f>
        <v>3131.0880000000002</v>
      </c>
      <c r="F43" s="121">
        <f t="shared" ref="F43:F60" ca="1" si="21">OFFSET( O$10, $J43, 0 )</f>
        <v>4.0477618971945864E-3</v>
      </c>
      <c r="I43" s="480">
        <f t="shared" si="15"/>
        <v>33</v>
      </c>
      <c r="J43" s="332">
        <f t="shared" ref="J43:J61" ca="1" si="22">MATCH( I43, $T$11:$T$70, 0 )</f>
        <v>1</v>
      </c>
      <c r="K43" s="331"/>
      <c r="L43" s="333" t="str">
        <f t="shared" ca="1" si="6"/>
        <v>Portland General Electric Company</v>
      </c>
      <c r="M43" s="596" t="str">
        <f t="shared" ca="1" si="6"/>
        <v>POR</v>
      </c>
      <c r="N43" s="471">
        <f t="shared" ca="1" si="11"/>
        <v>4283.5828199999996</v>
      </c>
      <c r="O43" s="594">
        <f t="shared" ref="O43:O61" ca="1" si="23">N43/N$72</f>
        <v>5.5376672013924015E-3</v>
      </c>
      <c r="P43" s="472"/>
      <c r="Q43" s="332">
        <f t="shared" ref="Q43:Q61" ca="1" si="24">RANK( N43, $N$11:$N$70, 0 )</f>
        <v>30</v>
      </c>
      <c r="R43" s="332">
        <f ca="1">COUNTIF( Q$11:Q43, Q43 ) - 1</f>
        <v>0</v>
      </c>
      <c r="S43" s="332">
        <f t="shared" ca="1" si="12"/>
        <v>30</v>
      </c>
      <c r="T43" s="332">
        <f t="shared" ref="T43:T61" ca="1" si="25">RANK( S43, $S$11:$S$70, 1 )</f>
        <v>30</v>
      </c>
      <c r="U43" s="441"/>
      <c r="V43" s="441">
        <f t="shared" ca="1" si="16"/>
        <v>47.94</v>
      </c>
      <c r="W43" s="343">
        <f t="shared" ca="1" si="16"/>
        <v>89.352999999999994</v>
      </c>
      <c r="X43" s="344">
        <f t="shared" ca="1" si="10"/>
        <v>4283.5828199999996</v>
      </c>
      <c r="Y43" s="344"/>
      <c r="Z43" s="407">
        <f t="shared" ca="1" si="17"/>
        <v>113</v>
      </c>
    </row>
    <row r="44" spans="3:26">
      <c r="C44" s="125" t="str">
        <f t="shared" ca="1" si="18"/>
        <v>PNM Resources, Inc.</v>
      </c>
      <c r="D44" s="120" t="str">
        <f t="shared" ca="1" si="19"/>
        <v>PNM</v>
      </c>
      <c r="E44" s="611">
        <f t="shared" ca="1" si="20"/>
        <v>3037.3779999999997</v>
      </c>
      <c r="F44" s="121">
        <f t="shared" ca="1" si="21"/>
        <v>3.9266168615436853E-3</v>
      </c>
      <c r="I44" s="480">
        <f t="shared" si="15"/>
        <v>34</v>
      </c>
      <c r="J44" s="332">
        <f t="shared" ca="1" si="22"/>
        <v>32</v>
      </c>
      <c r="K44" s="331"/>
      <c r="L44" s="333" t="str">
        <f t="shared" ca="1" si="6"/>
        <v>PPL Corporation</v>
      </c>
      <c r="M44" s="596" t="str">
        <f t="shared" ca="1" si="6"/>
        <v>PPL</v>
      </c>
      <c r="N44" s="471">
        <f t="shared" ca="1" si="11"/>
        <v>17979.676159999999</v>
      </c>
      <c r="O44" s="594">
        <f t="shared" ca="1" si="23"/>
        <v>2.3243501327444602E-2</v>
      </c>
      <c r="P44" s="472"/>
      <c r="Q44" s="332">
        <f t="shared" ca="1" si="24"/>
        <v>16</v>
      </c>
      <c r="R44" s="332">
        <f ca="1">COUNTIF( Q$11:Q44, Q44 ) - 1</f>
        <v>0</v>
      </c>
      <c r="S44" s="332">
        <f t="shared" ca="1" si="12"/>
        <v>16</v>
      </c>
      <c r="T44" s="332">
        <f t="shared" ca="1" si="25"/>
        <v>16</v>
      </c>
      <c r="U44" s="441"/>
      <c r="V44" s="441">
        <f t="shared" ca="1" si="16"/>
        <v>24.68</v>
      </c>
      <c r="W44" s="343">
        <f t="shared" ca="1" si="16"/>
        <v>728.51199999999994</v>
      </c>
      <c r="X44" s="344">
        <f t="shared" ca="1" si="10"/>
        <v>17979.676159999999</v>
      </c>
      <c r="Y44" s="344"/>
      <c r="Z44" s="407">
        <f t="shared" ca="1" si="17"/>
        <v>53</v>
      </c>
    </row>
    <row r="45" spans="3:26">
      <c r="C45" s="125" t="str">
        <f t="shared" ca="1" si="18"/>
        <v>NorthWestern Corporation</v>
      </c>
      <c r="D45" s="120" t="str">
        <f t="shared" ca="1" si="19"/>
        <v>NWE</v>
      </c>
      <c r="E45" s="611">
        <f t="shared" ca="1" si="20"/>
        <v>3017.1407447999995</v>
      </c>
      <c r="F45" s="121">
        <f t="shared" ca="1" si="21"/>
        <v>3.9004548403860674E-3</v>
      </c>
      <c r="I45" s="480">
        <f t="shared" si="15"/>
        <v>35</v>
      </c>
      <c r="J45" s="332">
        <f t="shared" ca="1" si="22"/>
        <v>27</v>
      </c>
      <c r="K45" s="331"/>
      <c r="L45" s="333" t="str">
        <f t="shared" ca="1" si="6"/>
        <v>Public Service Enterprise Group Incorporated</v>
      </c>
      <c r="M45" s="596" t="str">
        <f t="shared" ca="1" si="6"/>
        <v>PEG</v>
      </c>
      <c r="N45" s="471">
        <f t="shared" ca="1" si="11"/>
        <v>22634.639999999999</v>
      </c>
      <c r="O45" s="594">
        <f t="shared" ca="1" si="23"/>
        <v>2.9261277022145801E-2</v>
      </c>
      <c r="P45" s="472"/>
      <c r="Q45" s="332">
        <f t="shared" ca="1" si="24"/>
        <v>12</v>
      </c>
      <c r="R45" s="332">
        <f ca="1">COUNTIF( Q$11:Q45, Q45 ) - 1</f>
        <v>0</v>
      </c>
      <c r="S45" s="332">
        <f t="shared" ca="1" si="12"/>
        <v>12</v>
      </c>
      <c r="T45" s="332">
        <f t="shared" ca="1" si="25"/>
        <v>12</v>
      </c>
      <c r="U45" s="441"/>
      <c r="V45" s="441">
        <f t="shared" ca="1" si="16"/>
        <v>44.91</v>
      </c>
      <c r="W45" s="343">
        <f t="shared" ca="1" si="16"/>
        <v>504</v>
      </c>
      <c r="X45" s="344">
        <f t="shared" ca="1" si="10"/>
        <v>22634.639999999999</v>
      </c>
      <c r="Y45" s="344"/>
      <c r="Z45" s="407">
        <f t="shared" ca="1" si="17"/>
        <v>100</v>
      </c>
    </row>
    <row r="46" spans="3:26">
      <c r="C46" s="125" t="str">
        <f t="shared" ca="1" si="18"/>
        <v>Avista Corporation</v>
      </c>
      <c r="D46" s="120" t="str">
        <f t="shared" ca="1" si="19"/>
        <v>AVA</v>
      </c>
      <c r="E46" s="611">
        <f t="shared" ca="1" si="20"/>
        <v>2813.0504500000002</v>
      </c>
      <c r="F46" s="121">
        <f t="shared" ca="1" si="21"/>
        <v>3.6366139905349461E-3</v>
      </c>
      <c r="I46" s="480">
        <f t="shared" si="15"/>
        <v>36</v>
      </c>
      <c r="J46" s="332">
        <f t="shared" ca="1" si="22"/>
        <v>6</v>
      </c>
      <c r="K46" s="331"/>
      <c r="L46" s="333" t="str">
        <f t="shared" ca="1" si="6"/>
        <v>Sempra Energy</v>
      </c>
      <c r="M46" s="596" t="str">
        <f t="shared" ca="1" si="6"/>
        <v>SRE</v>
      </c>
      <c r="N46" s="471">
        <f t="shared" ca="1" si="11"/>
        <v>31400.372959999997</v>
      </c>
      <c r="O46" s="594">
        <f t="shared" ca="1" si="23"/>
        <v>4.0593312364643586E-2</v>
      </c>
      <c r="P46" s="472"/>
      <c r="Q46" s="332">
        <f t="shared" ca="1" si="24"/>
        <v>7</v>
      </c>
      <c r="R46" s="332">
        <f ca="1">COUNTIF( Q$11:Q46, Q46 ) - 1</f>
        <v>0</v>
      </c>
      <c r="S46" s="332">
        <f t="shared" ca="1" si="12"/>
        <v>7</v>
      </c>
      <c r="T46" s="332">
        <f t="shared" ca="1" si="25"/>
        <v>7</v>
      </c>
      <c r="U46" s="441"/>
      <c r="V46" s="441">
        <f t="shared" ref="V46:W55" ca="1" si="26">OFFSET( INDIRECT( V$6 &amp; V$8 ), $Z46 - 1, V$9 - 1 )</f>
        <v>112.99</v>
      </c>
      <c r="W46" s="343">
        <f t="shared" ca="1" si="26"/>
        <v>277.904</v>
      </c>
      <c r="X46" s="344">
        <f t="shared" ca="1" si="10"/>
        <v>31400.372959999997</v>
      </c>
      <c r="Y46" s="344"/>
      <c r="Z46" s="407">
        <f t="shared" ca="1" si="17"/>
        <v>103</v>
      </c>
    </row>
    <row r="47" spans="3:26">
      <c r="C47" s="125" t="str">
        <f t="shared" ca="1" si="18"/>
        <v>El Paso Electric Company</v>
      </c>
      <c r="D47" s="120" t="str">
        <f t="shared" ca="1" si="19"/>
        <v>EE</v>
      </c>
      <c r="E47" s="611">
        <f t="shared" ca="1" si="20"/>
        <v>2759.5563721200001</v>
      </c>
      <c r="F47" s="121">
        <f t="shared" ca="1" si="21"/>
        <v>3.5674587032456001E-3</v>
      </c>
      <c r="I47" s="480">
        <f t="shared" si="15"/>
        <v>37</v>
      </c>
      <c r="J47" s="332">
        <f t="shared" ca="1" si="22"/>
        <v>15</v>
      </c>
      <c r="K47" s="331"/>
      <c r="L47" s="333" t="str">
        <f t="shared" ca="1" si="6"/>
        <v>Southern Company</v>
      </c>
      <c r="M47" s="596" t="str">
        <f t="shared" ca="1" si="6"/>
        <v>SO</v>
      </c>
      <c r="N47" s="471">
        <f t="shared" ca="1" si="11"/>
        <v>56631.685219999999</v>
      </c>
      <c r="O47" s="594">
        <f t="shared" ca="1" si="23"/>
        <v>7.3211477163028879E-2</v>
      </c>
      <c r="P47" s="472"/>
      <c r="Q47" s="332">
        <f t="shared" ca="1" si="24"/>
        <v>4</v>
      </c>
      <c r="R47" s="332">
        <f ca="1">COUNTIF( Q$11:Q47, Q47 ) - 1</f>
        <v>0</v>
      </c>
      <c r="S47" s="332">
        <f t="shared" ca="1" si="12"/>
        <v>4</v>
      </c>
      <c r="T47" s="332">
        <f t="shared" ca="1" si="25"/>
        <v>4</v>
      </c>
      <c r="U47" s="441"/>
      <c r="V47" s="441">
        <f t="shared" ca="1" si="26"/>
        <v>54.14</v>
      </c>
      <c r="W47" s="343">
        <f t="shared" ca="1" si="26"/>
        <v>1046.0229999999999</v>
      </c>
      <c r="X47" s="344">
        <f t="shared" ca="1" si="10"/>
        <v>56631.685219999999</v>
      </c>
      <c r="Y47" s="344"/>
      <c r="Z47" s="407">
        <f t="shared" ca="1" si="17"/>
        <v>59</v>
      </c>
    </row>
    <row r="48" spans="3:26">
      <c r="C48" s="125" t="str">
        <f t="shared" ca="1" si="18"/>
        <v>MGE Energy, Inc.</v>
      </c>
      <c r="D48" s="120" t="str">
        <f t="shared" ca="1" si="19"/>
        <v>MGEE</v>
      </c>
      <c r="E48" s="611">
        <f t="shared" ca="1" si="20"/>
        <v>2269.71396</v>
      </c>
      <c r="F48" s="121">
        <f t="shared" ca="1" si="21"/>
        <v>2.9342074335881444E-3</v>
      </c>
      <c r="I48" s="480">
        <f t="shared" si="15"/>
        <v>38</v>
      </c>
      <c r="J48" s="332">
        <f t="shared" ca="1" si="22"/>
        <v>24</v>
      </c>
      <c r="K48" s="331"/>
      <c r="L48" s="333" t="str">
        <f t="shared" ca="1" si="6"/>
        <v>Unitil Corporation</v>
      </c>
      <c r="M48" s="596" t="str">
        <f t="shared" ca="1" si="6"/>
        <v>UTL</v>
      </c>
      <c r="N48" s="471">
        <f t="shared" ca="1" si="11"/>
        <v>779.25408000000004</v>
      </c>
      <c r="O48" s="594">
        <f t="shared" ca="1" si="23"/>
        <v>1.0073926294174491E-3</v>
      </c>
      <c r="P48" s="472"/>
      <c r="Q48" s="332">
        <f t="shared" ca="1" si="24"/>
        <v>40</v>
      </c>
      <c r="R48" s="332">
        <f ca="1">COUNTIF( Q$11:Q48, Q48 ) - 1</f>
        <v>0</v>
      </c>
      <c r="S48" s="332">
        <f t="shared" ca="1" si="12"/>
        <v>40</v>
      </c>
      <c r="T48" s="332">
        <f t="shared" ca="1" si="25"/>
        <v>40</v>
      </c>
      <c r="U48" s="441"/>
      <c r="V48" s="441">
        <f t="shared" ca="1" si="26"/>
        <v>52.32</v>
      </c>
      <c r="W48" s="343">
        <f t="shared" ca="1" si="26"/>
        <v>14.894</v>
      </c>
      <c r="X48" s="344">
        <f t="shared" ca="1" si="10"/>
        <v>779.25408000000004</v>
      </c>
      <c r="Y48" s="344"/>
      <c r="Z48" s="407">
        <f t="shared" ca="1" si="17"/>
        <v>67</v>
      </c>
    </row>
    <row r="49" spans="3:26">
      <c r="C49" s="125" t="str">
        <f t="shared" ca="1" si="18"/>
        <v>Otter Tail Corporation</v>
      </c>
      <c r="D49" s="120" t="str">
        <f t="shared" ca="1" si="19"/>
        <v>OTTR</v>
      </c>
      <c r="E49" s="611">
        <f t="shared" ca="1" si="20"/>
        <v>1765.9888576200001</v>
      </c>
      <c r="F49" s="121">
        <f t="shared" ca="1" si="21"/>
        <v>2.2830091037825927E-3</v>
      </c>
      <c r="I49" s="480">
        <f t="shared" si="15"/>
        <v>39</v>
      </c>
      <c r="J49" s="332">
        <f t="shared" ca="1" si="22"/>
        <v>29</v>
      </c>
      <c r="K49" s="331"/>
      <c r="L49" s="333" t="str">
        <f t="shared" ca="1" si="6"/>
        <v>WEC Energy Group, Inc.</v>
      </c>
      <c r="M49" s="596" t="str">
        <f t="shared" ca="1" si="6"/>
        <v>WEC</v>
      </c>
      <c r="N49" s="471">
        <f t="shared" ca="1" si="11"/>
        <v>27796.201999999997</v>
      </c>
      <c r="O49" s="594">
        <f t="shared" ca="1" si="23"/>
        <v>3.5933965235829826E-2</v>
      </c>
      <c r="P49" s="472"/>
      <c r="Q49" s="332">
        <f t="shared" ca="1" si="24"/>
        <v>9</v>
      </c>
      <c r="R49" s="332">
        <f ca="1">COUNTIF( Q$11:Q49, Q49 ) - 1</f>
        <v>0</v>
      </c>
      <c r="S49" s="332">
        <f t="shared" ca="1" si="12"/>
        <v>9</v>
      </c>
      <c r="T49" s="332">
        <f t="shared" ca="1" si="25"/>
        <v>9</v>
      </c>
      <c r="U49" s="441"/>
      <c r="V49" s="441">
        <f t="shared" ca="1" si="26"/>
        <v>88.13</v>
      </c>
      <c r="W49" s="343">
        <f t="shared" ca="1" si="26"/>
        <v>315.39999999999998</v>
      </c>
      <c r="X49" s="344">
        <f t="shared" ca="1" si="10"/>
        <v>27796.201999999997</v>
      </c>
      <c r="Y49" s="344"/>
      <c r="Z49" s="407">
        <f t="shared" ca="1" si="17"/>
        <v>110</v>
      </c>
    </row>
    <row r="50" spans="3:26" collapsed="1">
      <c r="C50" s="125" t="str">
        <f t="shared" ca="1" si="18"/>
        <v>Unitil Corporation</v>
      </c>
      <c r="D50" s="120" t="str">
        <f t="shared" ca="1" si="19"/>
        <v>UTL</v>
      </c>
      <c r="E50" s="611">
        <f t="shared" ca="1" si="20"/>
        <v>779.25408000000004</v>
      </c>
      <c r="F50" s="121">
        <f t="shared" ca="1" si="21"/>
        <v>1.0073926294174491E-3</v>
      </c>
      <c r="I50" s="480">
        <f t="shared" si="15"/>
        <v>40</v>
      </c>
      <c r="J50" s="332">
        <f t="shared" ca="1" si="22"/>
        <v>38</v>
      </c>
      <c r="K50" s="331"/>
      <c r="L50" s="333" t="str">
        <f t="shared" ca="1" si="6"/>
        <v>Xcel Energy Inc.</v>
      </c>
      <c r="M50" s="596" t="str">
        <f t="shared" ca="1" si="6"/>
        <v>XEL</v>
      </c>
      <c r="N50" s="471">
        <f t="shared" ca="1" si="11"/>
        <v>31295.699999999997</v>
      </c>
      <c r="O50" s="594">
        <f t="shared" ca="1" si="23"/>
        <v>4.0457994794791008E-2</v>
      </c>
      <c r="P50" s="472"/>
      <c r="Q50" s="332">
        <f t="shared" ca="1" si="24"/>
        <v>8</v>
      </c>
      <c r="R50" s="332">
        <f ca="1">COUNTIF( Q$11:Q50, Q50 ) - 1</f>
        <v>0</v>
      </c>
      <c r="S50" s="332">
        <f t="shared" ca="1" si="12"/>
        <v>8</v>
      </c>
      <c r="T50" s="332">
        <f t="shared" ca="1" si="25"/>
        <v>8</v>
      </c>
      <c r="U50" s="441"/>
      <c r="V50" s="441">
        <f t="shared" ca="1" si="26"/>
        <v>60.3</v>
      </c>
      <c r="W50" s="343">
        <f t="shared" ca="1" si="26"/>
        <v>519</v>
      </c>
      <c r="X50" s="344">
        <f t="shared" ca="1" si="10"/>
        <v>31295.699999999997</v>
      </c>
      <c r="Y50" s="344"/>
      <c r="Z50" s="407">
        <f t="shared" ca="1" si="17"/>
        <v>92</v>
      </c>
    </row>
    <row r="51" spans="3:26" hidden="1" outlineLevel="1">
      <c r="C51" s="125" t="str">
        <f t="shared" ca="1" si="18"/>
        <v>-</v>
      </c>
      <c r="D51" s="120" t="str">
        <f t="shared" ca="1" si="19"/>
        <v>-</v>
      </c>
      <c r="E51" s="611">
        <f t="shared" ca="1" si="20"/>
        <v>0</v>
      </c>
      <c r="F51" s="121">
        <f t="shared" ca="1" si="21"/>
        <v>0</v>
      </c>
      <c r="I51" s="480">
        <f t="shared" si="15"/>
        <v>41</v>
      </c>
      <c r="J51" s="332">
        <f t="shared" ca="1" si="22"/>
        <v>41</v>
      </c>
      <c r="K51" s="331"/>
      <c r="L51" s="333" t="str">
        <f t="shared" ca="1" si="6"/>
        <v>-</v>
      </c>
      <c r="M51" s="596" t="str">
        <f t="shared" ca="1" si="6"/>
        <v>-</v>
      </c>
      <c r="N51" s="471">
        <f t="shared" ca="1" si="11"/>
        <v>0</v>
      </c>
      <c r="O51" s="594">
        <f t="shared" ca="1" si="23"/>
        <v>0</v>
      </c>
      <c r="P51" s="472"/>
      <c r="Q51" s="332">
        <f t="shared" ca="1" si="24"/>
        <v>41</v>
      </c>
      <c r="R51" s="332">
        <f ca="1">COUNTIF( Q$11:Q51, Q51 ) - 1</f>
        <v>0</v>
      </c>
      <c r="S51" s="332">
        <f t="shared" ca="1" si="12"/>
        <v>41</v>
      </c>
      <c r="T51" s="332">
        <f t="shared" ca="1" si="25"/>
        <v>41</v>
      </c>
      <c r="U51" s="441"/>
      <c r="V51" s="441" t="e">
        <f t="shared" ca="1" si="26"/>
        <v>#N/A</v>
      </c>
      <c r="W51" s="343" t="e">
        <f t="shared" ca="1" si="26"/>
        <v>#N/A</v>
      </c>
      <c r="X51" s="344">
        <f t="shared" ca="1" si="10"/>
        <v>0</v>
      </c>
      <c r="Y51" s="344"/>
      <c r="Z51" s="407" t="e">
        <f t="shared" ca="1" si="17"/>
        <v>#N/A</v>
      </c>
    </row>
    <row r="52" spans="3:26" hidden="1" outlineLevel="1">
      <c r="C52" s="125" t="str">
        <f t="shared" ca="1" si="18"/>
        <v>-</v>
      </c>
      <c r="D52" s="120" t="str">
        <f t="shared" ca="1" si="19"/>
        <v>-</v>
      </c>
      <c r="E52" s="611">
        <f t="shared" ca="1" si="20"/>
        <v>0</v>
      </c>
      <c r="F52" s="121">
        <f t="shared" ca="1" si="21"/>
        <v>0</v>
      </c>
      <c r="I52" s="480">
        <f t="shared" si="15"/>
        <v>42</v>
      </c>
      <c r="J52" s="332">
        <f t="shared" ca="1" si="22"/>
        <v>42</v>
      </c>
      <c r="K52" s="331"/>
      <c r="L52" s="333" t="str">
        <f t="shared" ca="1" si="6"/>
        <v>-</v>
      </c>
      <c r="M52" s="596" t="str">
        <f t="shared" ca="1" si="6"/>
        <v>-</v>
      </c>
      <c r="N52" s="471">
        <f t="shared" ca="1" si="11"/>
        <v>0</v>
      </c>
      <c r="O52" s="594">
        <f t="shared" ca="1" si="23"/>
        <v>0</v>
      </c>
      <c r="P52" s="472"/>
      <c r="Q52" s="332">
        <f t="shared" ca="1" si="24"/>
        <v>41</v>
      </c>
      <c r="R52" s="332">
        <f ca="1">COUNTIF( Q$11:Q52, Q52 ) - 1</f>
        <v>1</v>
      </c>
      <c r="S52" s="332">
        <f t="shared" ca="1" si="12"/>
        <v>41.1</v>
      </c>
      <c r="T52" s="332">
        <f t="shared" ca="1" si="25"/>
        <v>42</v>
      </c>
      <c r="U52" s="441"/>
      <c r="V52" s="441" t="e">
        <f t="shared" ca="1" si="26"/>
        <v>#N/A</v>
      </c>
      <c r="W52" s="343" t="e">
        <f t="shared" ca="1" si="26"/>
        <v>#N/A</v>
      </c>
      <c r="X52" s="344">
        <f t="shared" ca="1" si="10"/>
        <v>0</v>
      </c>
      <c r="Y52" s="344"/>
      <c r="Z52" s="407" t="e">
        <f t="shared" ca="1" si="17"/>
        <v>#N/A</v>
      </c>
    </row>
    <row r="53" spans="3:26" hidden="1" outlineLevel="1">
      <c r="C53" s="125" t="str">
        <f t="shared" ca="1" si="18"/>
        <v>-</v>
      </c>
      <c r="D53" s="120" t="str">
        <f t="shared" ca="1" si="19"/>
        <v>-</v>
      </c>
      <c r="E53" s="611">
        <f t="shared" ca="1" si="20"/>
        <v>0</v>
      </c>
      <c r="F53" s="121">
        <f t="shared" ca="1" si="21"/>
        <v>0</v>
      </c>
      <c r="I53" s="480">
        <f t="shared" si="15"/>
        <v>43</v>
      </c>
      <c r="J53" s="332">
        <f t="shared" ca="1" si="22"/>
        <v>43</v>
      </c>
      <c r="K53" s="331"/>
      <c r="L53" s="333" t="str">
        <f t="shared" ca="1" si="6"/>
        <v>-</v>
      </c>
      <c r="M53" s="596" t="str">
        <f t="shared" ca="1" si="6"/>
        <v>-</v>
      </c>
      <c r="N53" s="471">
        <f t="shared" ca="1" si="11"/>
        <v>0</v>
      </c>
      <c r="O53" s="594">
        <f t="shared" ca="1" si="23"/>
        <v>0</v>
      </c>
      <c r="P53" s="472"/>
      <c r="Q53" s="332">
        <f t="shared" ca="1" si="24"/>
        <v>41</v>
      </c>
      <c r="R53" s="332">
        <f ca="1">COUNTIF( Q$11:Q53, Q53 ) - 1</f>
        <v>2</v>
      </c>
      <c r="S53" s="332">
        <f t="shared" ca="1" si="12"/>
        <v>41.2</v>
      </c>
      <c r="T53" s="332">
        <f t="shared" ca="1" si="25"/>
        <v>43</v>
      </c>
      <c r="U53" s="441"/>
      <c r="V53" s="441" t="e">
        <f t="shared" ca="1" si="26"/>
        <v>#N/A</v>
      </c>
      <c r="W53" s="343" t="e">
        <f t="shared" ca="1" si="26"/>
        <v>#N/A</v>
      </c>
      <c r="X53" s="344">
        <f t="shared" ca="1" si="10"/>
        <v>0</v>
      </c>
      <c r="Y53" s="344"/>
      <c r="Z53" s="407" t="e">
        <f t="shared" ca="1" si="17"/>
        <v>#N/A</v>
      </c>
    </row>
    <row r="54" spans="3:26" hidden="1" outlineLevel="1">
      <c r="C54" s="125" t="str">
        <f t="shared" ca="1" si="18"/>
        <v>-</v>
      </c>
      <c r="D54" s="120" t="str">
        <f t="shared" ca="1" si="19"/>
        <v>-</v>
      </c>
      <c r="E54" s="611">
        <f t="shared" ca="1" si="20"/>
        <v>0</v>
      </c>
      <c r="F54" s="121">
        <f t="shared" ca="1" si="21"/>
        <v>0</v>
      </c>
      <c r="I54" s="480">
        <f t="shared" si="15"/>
        <v>44</v>
      </c>
      <c r="J54" s="332">
        <f t="shared" ca="1" si="22"/>
        <v>44</v>
      </c>
      <c r="K54" s="331"/>
      <c r="L54" s="333" t="str">
        <f t="shared" ca="1" si="6"/>
        <v>-</v>
      </c>
      <c r="M54" s="596" t="str">
        <f t="shared" ca="1" si="6"/>
        <v>-</v>
      </c>
      <c r="N54" s="471">
        <f t="shared" ca="1" si="11"/>
        <v>0</v>
      </c>
      <c r="O54" s="594">
        <f t="shared" ca="1" si="23"/>
        <v>0</v>
      </c>
      <c r="P54" s="472"/>
      <c r="Q54" s="332">
        <f t="shared" ca="1" si="24"/>
        <v>41</v>
      </c>
      <c r="R54" s="332">
        <f ca="1">COUNTIF( Q$11:Q54, Q54 ) - 1</f>
        <v>3</v>
      </c>
      <c r="S54" s="332">
        <f t="shared" ca="1" si="12"/>
        <v>41.3</v>
      </c>
      <c r="T54" s="332">
        <f t="shared" ca="1" si="25"/>
        <v>44</v>
      </c>
      <c r="U54" s="441"/>
      <c r="V54" s="441" t="e">
        <f t="shared" ca="1" si="26"/>
        <v>#N/A</v>
      </c>
      <c r="W54" s="343" t="e">
        <f t="shared" ca="1" si="26"/>
        <v>#N/A</v>
      </c>
      <c r="X54" s="344">
        <f t="shared" ca="1" si="10"/>
        <v>0</v>
      </c>
      <c r="Y54" s="344"/>
      <c r="Z54" s="407" t="e">
        <f t="shared" ca="1" si="17"/>
        <v>#N/A</v>
      </c>
    </row>
    <row r="55" spans="3:26" hidden="1" outlineLevel="1">
      <c r="C55" s="125" t="str">
        <f t="shared" ca="1" si="18"/>
        <v>-</v>
      </c>
      <c r="D55" s="120" t="str">
        <f t="shared" ca="1" si="19"/>
        <v>-</v>
      </c>
      <c r="E55" s="611">
        <f t="shared" ca="1" si="20"/>
        <v>0</v>
      </c>
      <c r="F55" s="121">
        <f t="shared" ca="1" si="21"/>
        <v>0</v>
      </c>
      <c r="I55" s="480">
        <f t="shared" si="15"/>
        <v>45</v>
      </c>
      <c r="J55" s="332">
        <f t="shared" ca="1" si="22"/>
        <v>45</v>
      </c>
      <c r="K55" s="331"/>
      <c r="L55" s="333" t="str">
        <f t="shared" ca="1" si="6"/>
        <v>-</v>
      </c>
      <c r="M55" s="596" t="str">
        <f t="shared" ca="1" si="6"/>
        <v>-</v>
      </c>
      <c r="N55" s="471">
        <f t="shared" ca="1" si="11"/>
        <v>0</v>
      </c>
      <c r="O55" s="594">
        <f t="shared" ca="1" si="23"/>
        <v>0</v>
      </c>
      <c r="P55" s="472"/>
      <c r="Q55" s="332">
        <f t="shared" ca="1" si="24"/>
        <v>41</v>
      </c>
      <c r="R55" s="332">
        <f ca="1">COUNTIF( Q$11:Q55, Q55 ) - 1</f>
        <v>4</v>
      </c>
      <c r="S55" s="332">
        <f t="shared" ca="1" si="12"/>
        <v>41.4</v>
      </c>
      <c r="T55" s="332">
        <f t="shared" ca="1" si="25"/>
        <v>45</v>
      </c>
      <c r="U55" s="441"/>
      <c r="V55" s="441" t="e">
        <f t="shared" ca="1" si="26"/>
        <v>#N/A</v>
      </c>
      <c r="W55" s="343" t="e">
        <f t="shared" ca="1" si="26"/>
        <v>#N/A</v>
      </c>
      <c r="X55" s="344">
        <f t="shared" ca="1" si="10"/>
        <v>0</v>
      </c>
      <c r="Y55" s="344"/>
      <c r="Z55" s="407" t="e">
        <f t="shared" ca="1" si="17"/>
        <v>#N/A</v>
      </c>
    </row>
    <row r="56" spans="3:26" hidden="1" outlineLevel="1">
      <c r="C56" s="125" t="str">
        <f t="shared" ca="1" si="18"/>
        <v>-</v>
      </c>
      <c r="D56" s="120" t="str">
        <f t="shared" ca="1" si="19"/>
        <v>-</v>
      </c>
      <c r="E56" s="611">
        <f t="shared" ca="1" si="20"/>
        <v>0</v>
      </c>
      <c r="F56" s="121">
        <f t="shared" ca="1" si="21"/>
        <v>0</v>
      </c>
      <c r="I56" s="480">
        <f t="shared" si="15"/>
        <v>46</v>
      </c>
      <c r="J56" s="332">
        <f t="shared" ca="1" si="22"/>
        <v>46</v>
      </c>
      <c r="K56" s="331"/>
      <c r="L56" s="333" t="str">
        <f t="shared" ca="1" si="6"/>
        <v>-</v>
      </c>
      <c r="M56" s="596" t="str">
        <f t="shared" ca="1" si="6"/>
        <v>-</v>
      </c>
      <c r="N56" s="471">
        <f t="shared" ref="N56:N61" ca="1" si="27">X56</f>
        <v>0</v>
      </c>
      <c r="O56" s="594">
        <f t="shared" ca="1" si="23"/>
        <v>0</v>
      </c>
      <c r="P56" s="472"/>
      <c r="Q56" s="332">
        <f t="shared" ca="1" si="24"/>
        <v>41</v>
      </c>
      <c r="R56" s="332">
        <f ca="1">COUNTIF( Q$11:Q56, Q56 ) - 1</f>
        <v>5</v>
      </c>
      <c r="S56" s="332">
        <f t="shared" ref="S56:S61" ca="1" si="28">Q56 + R56 / 10</f>
        <v>41.5</v>
      </c>
      <c r="T56" s="332">
        <f t="shared" ca="1" si="25"/>
        <v>46</v>
      </c>
      <c r="U56" s="441"/>
      <c r="V56" s="441" t="e">
        <f t="shared" ref="V56:W70" ca="1" si="29">OFFSET( INDIRECT( V$6 &amp; V$8 ), $Z56 - 1, V$9 - 1 )</f>
        <v>#N/A</v>
      </c>
      <c r="W56" s="343" t="e">
        <f t="shared" ca="1" si="29"/>
        <v>#N/A</v>
      </c>
      <c r="X56" s="344">
        <f t="shared" ca="1" si="10"/>
        <v>0</v>
      </c>
      <c r="Y56" s="344"/>
      <c r="Z56" s="407" t="e">
        <f t="shared" ca="1" si="17"/>
        <v>#N/A</v>
      </c>
    </row>
    <row r="57" spans="3:26" hidden="1" outlineLevel="1">
      <c r="C57" s="125" t="str">
        <f t="shared" ca="1" si="18"/>
        <v>-</v>
      </c>
      <c r="D57" s="120" t="str">
        <f t="shared" ca="1" si="19"/>
        <v>-</v>
      </c>
      <c r="E57" s="611">
        <f t="shared" ca="1" si="20"/>
        <v>0</v>
      </c>
      <c r="F57" s="121">
        <f t="shared" ca="1" si="21"/>
        <v>0</v>
      </c>
      <c r="I57" s="480">
        <f t="shared" si="15"/>
        <v>47</v>
      </c>
      <c r="J57" s="332">
        <f t="shared" ca="1" si="22"/>
        <v>47</v>
      </c>
      <c r="K57" s="331"/>
      <c r="L57" s="333" t="str">
        <f t="shared" ca="1" si="6"/>
        <v>-</v>
      </c>
      <c r="M57" s="596" t="str">
        <f t="shared" ca="1" si="6"/>
        <v>-</v>
      </c>
      <c r="N57" s="471">
        <f t="shared" ca="1" si="27"/>
        <v>0</v>
      </c>
      <c r="O57" s="594">
        <f t="shared" ca="1" si="23"/>
        <v>0</v>
      </c>
      <c r="P57" s="472"/>
      <c r="Q57" s="332">
        <f t="shared" ca="1" si="24"/>
        <v>41</v>
      </c>
      <c r="R57" s="332">
        <f ca="1">COUNTIF( Q$11:Q57, Q57 ) - 1</f>
        <v>6</v>
      </c>
      <c r="S57" s="332">
        <f t="shared" ca="1" si="28"/>
        <v>41.6</v>
      </c>
      <c r="T57" s="332">
        <f t="shared" ca="1" si="25"/>
        <v>47</v>
      </c>
      <c r="U57" s="441"/>
      <c r="V57" s="441" t="e">
        <f t="shared" ca="1" si="29"/>
        <v>#N/A</v>
      </c>
      <c r="W57" s="343" t="e">
        <f t="shared" ca="1" si="29"/>
        <v>#N/A</v>
      </c>
      <c r="X57" s="344">
        <f t="shared" ca="1" si="10"/>
        <v>0</v>
      </c>
      <c r="Y57" s="344"/>
      <c r="Z57" s="407" t="e">
        <f t="shared" ca="1" si="17"/>
        <v>#N/A</v>
      </c>
    </row>
    <row r="58" spans="3:26" hidden="1" outlineLevel="1">
      <c r="C58" s="125" t="str">
        <f t="shared" ca="1" si="18"/>
        <v>-</v>
      </c>
      <c r="D58" s="120" t="str">
        <f t="shared" ca="1" si="19"/>
        <v>-</v>
      </c>
      <c r="E58" s="611">
        <f t="shared" ca="1" si="20"/>
        <v>0</v>
      </c>
      <c r="F58" s="121">
        <f t="shared" ca="1" si="21"/>
        <v>0</v>
      </c>
      <c r="I58" s="480">
        <f t="shared" si="15"/>
        <v>48</v>
      </c>
      <c r="J58" s="332">
        <f t="shared" ca="1" si="22"/>
        <v>48</v>
      </c>
      <c r="K58" s="331"/>
      <c r="L58" s="333" t="str">
        <f t="shared" ca="1" si="6"/>
        <v>-</v>
      </c>
      <c r="M58" s="596" t="str">
        <f t="shared" ca="1" si="6"/>
        <v>-</v>
      </c>
      <c r="N58" s="471">
        <f t="shared" ca="1" si="27"/>
        <v>0</v>
      </c>
      <c r="O58" s="594">
        <f t="shared" ca="1" si="23"/>
        <v>0</v>
      </c>
      <c r="P58" s="472"/>
      <c r="Q58" s="332">
        <f t="shared" ca="1" si="24"/>
        <v>41</v>
      </c>
      <c r="R58" s="332">
        <f ca="1">COUNTIF( Q$11:Q58, Q58 ) - 1</f>
        <v>7</v>
      </c>
      <c r="S58" s="332">
        <f t="shared" ca="1" si="28"/>
        <v>41.7</v>
      </c>
      <c r="T58" s="332">
        <f t="shared" ca="1" si="25"/>
        <v>48</v>
      </c>
      <c r="U58" s="441"/>
      <c r="V58" s="441" t="e">
        <f t="shared" ca="1" si="29"/>
        <v>#N/A</v>
      </c>
      <c r="W58" s="343" t="e">
        <f t="shared" ca="1" si="29"/>
        <v>#N/A</v>
      </c>
      <c r="X58" s="344">
        <f t="shared" ca="1" si="10"/>
        <v>0</v>
      </c>
      <c r="Y58" s="344"/>
      <c r="Z58" s="407" t="e">
        <f t="shared" ca="1" si="17"/>
        <v>#N/A</v>
      </c>
    </row>
    <row r="59" spans="3:26" hidden="1" outlineLevel="1" collapsed="1">
      <c r="C59" s="125" t="str">
        <f t="shared" ca="1" si="18"/>
        <v>-</v>
      </c>
      <c r="D59" s="120" t="str">
        <f t="shared" ca="1" si="19"/>
        <v>-</v>
      </c>
      <c r="E59" s="611">
        <f t="shared" ca="1" si="20"/>
        <v>0</v>
      </c>
      <c r="F59" s="121">
        <f t="shared" ca="1" si="21"/>
        <v>0</v>
      </c>
      <c r="I59" s="480">
        <f t="shared" si="15"/>
        <v>49</v>
      </c>
      <c r="J59" s="332">
        <f t="shared" ca="1" si="22"/>
        <v>49</v>
      </c>
      <c r="K59" s="331"/>
      <c r="L59" s="333" t="str">
        <f t="shared" ca="1" si="6"/>
        <v>-</v>
      </c>
      <c r="M59" s="596" t="str">
        <f t="shared" ca="1" si="6"/>
        <v>-</v>
      </c>
      <c r="N59" s="471">
        <f t="shared" ca="1" si="27"/>
        <v>0</v>
      </c>
      <c r="O59" s="594">
        <f t="shared" ca="1" si="23"/>
        <v>0</v>
      </c>
      <c r="P59" s="472"/>
      <c r="Q59" s="332">
        <f t="shared" ca="1" si="24"/>
        <v>41</v>
      </c>
      <c r="R59" s="332">
        <f ca="1">COUNTIF( Q$11:Q59, Q59 ) - 1</f>
        <v>8</v>
      </c>
      <c r="S59" s="332">
        <f t="shared" ca="1" si="28"/>
        <v>41.8</v>
      </c>
      <c r="T59" s="332">
        <f t="shared" ca="1" si="25"/>
        <v>49</v>
      </c>
      <c r="U59" s="441"/>
      <c r="V59" s="441" t="e">
        <f t="shared" ca="1" si="29"/>
        <v>#N/A</v>
      </c>
      <c r="W59" s="343" t="e">
        <f t="shared" ca="1" si="29"/>
        <v>#N/A</v>
      </c>
      <c r="X59" s="344">
        <f t="shared" ca="1" si="10"/>
        <v>0</v>
      </c>
      <c r="Y59" s="344"/>
      <c r="Z59" s="407" t="e">
        <f t="shared" ca="1" si="17"/>
        <v>#N/A</v>
      </c>
    </row>
    <row r="60" spans="3:26" hidden="1" outlineLevel="1" collapsed="1">
      <c r="C60" s="125" t="str">
        <f t="shared" ca="1" si="18"/>
        <v>-</v>
      </c>
      <c r="D60" s="120" t="str">
        <f t="shared" ca="1" si="19"/>
        <v>-</v>
      </c>
      <c r="E60" s="611">
        <f t="shared" ca="1" si="20"/>
        <v>0</v>
      </c>
      <c r="F60" s="121">
        <f t="shared" ca="1" si="21"/>
        <v>0</v>
      </c>
      <c r="I60" s="480">
        <f t="shared" si="15"/>
        <v>50</v>
      </c>
      <c r="J60" s="332">
        <f t="shared" ca="1" si="22"/>
        <v>50</v>
      </c>
      <c r="K60" s="331"/>
      <c r="L60" s="333" t="str">
        <f t="shared" ca="1" si="6"/>
        <v>-</v>
      </c>
      <c r="M60" s="596" t="str">
        <f t="shared" ca="1" si="6"/>
        <v>-</v>
      </c>
      <c r="N60" s="471">
        <f t="shared" ca="1" si="27"/>
        <v>0</v>
      </c>
      <c r="O60" s="594">
        <f t="shared" ca="1" si="23"/>
        <v>0</v>
      </c>
      <c r="P60" s="472"/>
      <c r="Q60" s="332">
        <f t="shared" ca="1" si="24"/>
        <v>41</v>
      </c>
      <c r="R60" s="332">
        <f ca="1">COUNTIF( Q$11:Q60, Q60 ) - 1</f>
        <v>9</v>
      </c>
      <c r="S60" s="332">
        <f t="shared" ca="1" si="28"/>
        <v>41.9</v>
      </c>
      <c r="T60" s="332">
        <f t="shared" ca="1" si="25"/>
        <v>50</v>
      </c>
      <c r="U60" s="441"/>
      <c r="V60" s="441" t="e">
        <f t="shared" ca="1" si="29"/>
        <v>#N/A</v>
      </c>
      <c r="W60" s="343" t="e">
        <f t="shared" ca="1" si="29"/>
        <v>#N/A</v>
      </c>
      <c r="X60" s="344">
        <f t="shared" ca="1" si="10"/>
        <v>0</v>
      </c>
      <c r="Y60" s="344"/>
      <c r="Z60" s="407" t="e">
        <f t="shared" ca="1" si="17"/>
        <v>#N/A</v>
      </c>
    </row>
    <row r="61" spans="3:26" hidden="1" outlineLevel="1" collapsed="1">
      <c r="C61" s="125" t="str">
        <f t="shared" ref="C61:C62" ca="1" si="30">OFFSET( L$10, $J61, 0 )</f>
        <v>-</v>
      </c>
      <c r="D61" s="120" t="str">
        <f t="shared" ref="D61:D62" ca="1" si="31">OFFSET( M$10, $J61, 0 )</f>
        <v>-</v>
      </c>
      <c r="E61" s="611">
        <f t="shared" ref="E61:E62" ca="1" si="32">OFFSET( N$10, $J61, 0 )</f>
        <v>0</v>
      </c>
      <c r="F61" s="121">
        <f t="shared" ref="F61:F62" ca="1" si="33">OFFSET( O$10, $J61, 0 )</f>
        <v>0</v>
      </c>
      <c r="I61" s="480">
        <f t="shared" si="15"/>
        <v>51</v>
      </c>
      <c r="J61" s="332">
        <f t="shared" ca="1" si="22"/>
        <v>51</v>
      </c>
      <c r="K61" s="331"/>
      <c r="L61" s="333" t="str">
        <f t="shared" ca="1" si="6"/>
        <v>-</v>
      </c>
      <c r="M61" s="596" t="str">
        <f t="shared" ca="1" si="6"/>
        <v>-</v>
      </c>
      <c r="N61" s="471">
        <f t="shared" ca="1" si="27"/>
        <v>0</v>
      </c>
      <c r="O61" s="594">
        <f t="shared" ca="1" si="23"/>
        <v>0</v>
      </c>
      <c r="P61" s="472"/>
      <c r="Q61" s="332">
        <f t="shared" ca="1" si="24"/>
        <v>41</v>
      </c>
      <c r="R61" s="332">
        <f ca="1">COUNTIF( Q$11:Q61, Q61 ) - 1</f>
        <v>10</v>
      </c>
      <c r="S61" s="332">
        <f t="shared" ca="1" si="28"/>
        <v>42</v>
      </c>
      <c r="T61" s="332">
        <f t="shared" ca="1" si="25"/>
        <v>51</v>
      </c>
      <c r="U61" s="441"/>
      <c r="V61" s="441" t="e">
        <f t="shared" ca="1" si="29"/>
        <v>#N/A</v>
      </c>
      <c r="W61" s="343" t="e">
        <f t="shared" ca="1" si="29"/>
        <v>#N/A</v>
      </c>
      <c r="X61" s="344">
        <f t="shared" ca="1" si="10"/>
        <v>0</v>
      </c>
      <c r="Y61" s="344"/>
      <c r="Z61" s="407" t="e">
        <f t="shared" ca="1" si="17"/>
        <v>#N/A</v>
      </c>
    </row>
    <row r="62" spans="3:26" hidden="1" outlineLevel="1" collapsed="1">
      <c r="C62" s="125" t="str">
        <f t="shared" ca="1" si="30"/>
        <v>-</v>
      </c>
      <c r="D62" s="120" t="str">
        <f t="shared" ca="1" si="31"/>
        <v>-</v>
      </c>
      <c r="E62" s="611">
        <f t="shared" ca="1" si="32"/>
        <v>0</v>
      </c>
      <c r="F62" s="121">
        <f t="shared" ca="1" si="33"/>
        <v>0</v>
      </c>
      <c r="I62" s="480">
        <f t="shared" si="15"/>
        <v>52</v>
      </c>
      <c r="J62" s="332">
        <f t="shared" ref="J62:J70" ca="1" si="34">MATCH( I62, $T$11:$T$70, 0 )</f>
        <v>52</v>
      </c>
      <c r="K62" s="331"/>
      <c r="L62" s="333" t="str">
        <f t="shared" ca="1" si="6"/>
        <v>-</v>
      </c>
      <c r="M62" s="596" t="str">
        <f t="shared" ca="1" si="6"/>
        <v>-</v>
      </c>
      <c r="N62" s="471">
        <f t="shared" ref="N62:N65" ca="1" si="35">X62</f>
        <v>0</v>
      </c>
      <c r="O62" s="594">
        <f t="shared" ref="O62:O70" ca="1" si="36">N62/N$72</f>
        <v>0</v>
      </c>
      <c r="P62" s="472"/>
      <c r="Q62" s="332">
        <f t="shared" ref="Q62:Q65" ca="1" si="37">RANK( N62, $N$11:$N$70, 0 )</f>
        <v>41</v>
      </c>
      <c r="R62" s="332">
        <f ca="1">COUNTIF( Q$11:Q62, Q62 ) - 1</f>
        <v>11</v>
      </c>
      <c r="S62" s="332">
        <f t="shared" ref="S62:S65" ca="1" si="38">Q62 + R62 / 10</f>
        <v>42.1</v>
      </c>
      <c r="T62" s="332">
        <f t="shared" ref="T62:T70" ca="1" si="39">RANK( S62, $S$11:$S$70, 1 )</f>
        <v>52</v>
      </c>
      <c r="U62" s="441"/>
      <c r="V62" s="441" t="e">
        <f t="shared" ca="1" si="29"/>
        <v>#N/A</v>
      </c>
      <c r="W62" s="343" t="e">
        <f t="shared" ca="1" si="29"/>
        <v>#N/A</v>
      </c>
      <c r="X62" s="344">
        <f t="shared" ref="X62:X65" ca="1" si="40">IF( OR( ISNA( V62 ), ISNA( W62 ) ), 0, V62 * W62 )</f>
        <v>0</v>
      </c>
      <c r="Y62" s="344"/>
      <c r="Z62" s="407" t="e">
        <f t="shared" ca="1" si="17"/>
        <v>#N/A</v>
      </c>
    </row>
    <row r="63" spans="3:26" hidden="1" outlineLevel="1">
      <c r="C63" s="125" t="str">
        <f t="shared" ref="C63:F64" ca="1" si="41">OFFSET( L$10, $J63, 0 )</f>
        <v>-</v>
      </c>
      <c r="D63" s="120" t="str">
        <f t="shared" ca="1" si="41"/>
        <v>-</v>
      </c>
      <c r="E63" s="611">
        <f t="shared" ca="1" si="41"/>
        <v>0</v>
      </c>
      <c r="F63" s="121">
        <f t="shared" ca="1" si="41"/>
        <v>0</v>
      </c>
      <c r="I63" s="480">
        <f t="shared" si="15"/>
        <v>53</v>
      </c>
      <c r="J63" s="332">
        <f t="shared" ca="1" si="34"/>
        <v>53</v>
      </c>
      <c r="K63" s="331"/>
      <c r="L63" s="333" t="str">
        <f t="shared" ca="1" si="6"/>
        <v>-</v>
      </c>
      <c r="M63" s="596" t="str">
        <f t="shared" ca="1" si="6"/>
        <v>-</v>
      </c>
      <c r="N63" s="471">
        <f t="shared" ca="1" si="35"/>
        <v>0</v>
      </c>
      <c r="O63" s="594">
        <f t="shared" ca="1" si="36"/>
        <v>0</v>
      </c>
      <c r="P63" s="472"/>
      <c r="Q63" s="332">
        <f t="shared" ca="1" si="37"/>
        <v>41</v>
      </c>
      <c r="R63" s="332">
        <f ca="1">COUNTIF( Q$11:Q63, Q63 ) - 1</f>
        <v>12</v>
      </c>
      <c r="S63" s="332">
        <f t="shared" ca="1" si="38"/>
        <v>42.2</v>
      </c>
      <c r="T63" s="332">
        <f t="shared" ca="1" si="39"/>
        <v>53</v>
      </c>
      <c r="U63" s="441"/>
      <c r="V63" s="441" t="e">
        <f t="shared" ca="1" si="29"/>
        <v>#N/A</v>
      </c>
      <c r="W63" s="343" t="e">
        <f t="shared" ca="1" si="29"/>
        <v>#N/A</v>
      </c>
      <c r="X63" s="344">
        <f t="shared" ca="1" si="40"/>
        <v>0</v>
      </c>
      <c r="Y63" s="344"/>
      <c r="Z63" s="407" t="e">
        <f t="shared" ca="1" si="17"/>
        <v>#N/A</v>
      </c>
    </row>
    <row r="64" spans="3:26" hidden="1" outlineLevel="1" collapsed="1">
      <c r="C64" s="125" t="str">
        <f t="shared" ca="1" si="41"/>
        <v>-</v>
      </c>
      <c r="D64" s="120" t="str">
        <f t="shared" ca="1" si="41"/>
        <v>-</v>
      </c>
      <c r="E64" s="611">
        <f t="shared" ca="1" si="41"/>
        <v>0</v>
      </c>
      <c r="F64" s="121">
        <f t="shared" ca="1" si="41"/>
        <v>0</v>
      </c>
      <c r="I64" s="480">
        <f t="shared" si="15"/>
        <v>54</v>
      </c>
      <c r="J64" s="332">
        <f t="shared" ca="1" si="34"/>
        <v>54</v>
      </c>
      <c r="K64" s="331"/>
      <c r="L64" s="333" t="str">
        <f t="shared" ca="1" si="6"/>
        <v>-</v>
      </c>
      <c r="M64" s="596" t="str">
        <f t="shared" ca="1" si="6"/>
        <v>-</v>
      </c>
      <c r="N64" s="471">
        <f t="shared" ca="1" si="35"/>
        <v>0</v>
      </c>
      <c r="O64" s="594">
        <f t="shared" ca="1" si="36"/>
        <v>0</v>
      </c>
      <c r="P64" s="472"/>
      <c r="Q64" s="332">
        <f t="shared" ca="1" si="37"/>
        <v>41</v>
      </c>
      <c r="R64" s="332">
        <f ca="1">COUNTIF( Q$11:Q64, Q64 ) - 1</f>
        <v>13</v>
      </c>
      <c r="S64" s="332">
        <f t="shared" ca="1" si="38"/>
        <v>42.3</v>
      </c>
      <c r="T64" s="332">
        <f t="shared" ca="1" si="39"/>
        <v>54</v>
      </c>
      <c r="U64" s="441"/>
      <c r="V64" s="441" t="e">
        <f t="shared" ca="1" si="29"/>
        <v>#N/A</v>
      </c>
      <c r="W64" s="343" t="e">
        <f t="shared" ca="1" si="29"/>
        <v>#N/A</v>
      </c>
      <c r="X64" s="344">
        <f t="shared" ca="1" si="40"/>
        <v>0</v>
      </c>
      <c r="Y64" s="344"/>
      <c r="Z64" s="407" t="e">
        <f t="shared" ca="1" si="17"/>
        <v>#N/A</v>
      </c>
    </row>
    <row r="65" spans="3:26" hidden="1" outlineLevel="1">
      <c r="C65" s="125" t="str">
        <f t="shared" ref="C65" ca="1" si="42">OFFSET( L$10, $J65, 0 )</f>
        <v>-</v>
      </c>
      <c r="D65" s="120" t="str">
        <f t="shared" ref="D65" ca="1" si="43">OFFSET( M$10, $J65, 0 )</f>
        <v>-</v>
      </c>
      <c r="E65" s="611">
        <f t="shared" ref="E65" ca="1" si="44">OFFSET( N$10, $J65, 0 )</f>
        <v>0</v>
      </c>
      <c r="F65" s="121">
        <f t="shared" ref="F65" ca="1" si="45">OFFSET( O$10, $J65, 0 )</f>
        <v>0</v>
      </c>
      <c r="I65" s="480">
        <f t="shared" si="15"/>
        <v>55</v>
      </c>
      <c r="J65" s="332">
        <f t="shared" ca="1" si="34"/>
        <v>55</v>
      </c>
      <c r="K65" s="331"/>
      <c r="L65" s="333" t="str">
        <f t="shared" ca="1" si="6"/>
        <v>-</v>
      </c>
      <c r="M65" s="596" t="str">
        <f t="shared" ca="1" si="6"/>
        <v>-</v>
      </c>
      <c r="N65" s="471">
        <f t="shared" ca="1" si="35"/>
        <v>0</v>
      </c>
      <c r="O65" s="594">
        <f t="shared" ca="1" si="36"/>
        <v>0</v>
      </c>
      <c r="P65" s="472"/>
      <c r="Q65" s="332">
        <f t="shared" ca="1" si="37"/>
        <v>41</v>
      </c>
      <c r="R65" s="332">
        <f ca="1">COUNTIF( Q$11:Q65, Q65 ) - 1</f>
        <v>14</v>
      </c>
      <c r="S65" s="332">
        <f t="shared" ca="1" si="38"/>
        <v>42.4</v>
      </c>
      <c r="T65" s="332">
        <f t="shared" ca="1" si="39"/>
        <v>55</v>
      </c>
      <c r="U65" s="441"/>
      <c r="V65" s="441" t="e">
        <f t="shared" ca="1" si="29"/>
        <v>#N/A</v>
      </c>
      <c r="W65" s="343" t="e">
        <f t="shared" ca="1" si="29"/>
        <v>#N/A</v>
      </c>
      <c r="X65" s="344">
        <f t="shared" ca="1" si="40"/>
        <v>0</v>
      </c>
      <c r="Y65" s="344"/>
      <c r="Z65" s="407" t="e">
        <f t="shared" ca="1" si="17"/>
        <v>#N/A</v>
      </c>
    </row>
    <row r="66" spans="3:26" hidden="1" outlineLevel="1">
      <c r="C66" s="125" t="str">
        <f t="shared" ref="C66:C70" ca="1" si="46">OFFSET( L$10, $J66, 0 )</f>
        <v>-</v>
      </c>
      <c r="D66" s="120" t="str">
        <f t="shared" ref="D66:D70" ca="1" si="47">OFFSET( M$10, $J66, 0 )</f>
        <v>-</v>
      </c>
      <c r="E66" s="611">
        <f t="shared" ref="E66:E70" ca="1" si="48">OFFSET( N$10, $J66, 0 )</f>
        <v>0</v>
      </c>
      <c r="F66" s="121">
        <f t="shared" ref="F66:F70" ca="1" si="49">OFFSET( O$10, $J66, 0 )</f>
        <v>0</v>
      </c>
      <c r="I66" s="480">
        <f t="shared" si="15"/>
        <v>56</v>
      </c>
      <c r="J66" s="332">
        <f t="shared" ca="1" si="34"/>
        <v>56</v>
      </c>
      <c r="K66" s="331"/>
      <c r="L66" s="333" t="str">
        <f t="shared" ca="1" si="6"/>
        <v>-</v>
      </c>
      <c r="M66" s="596" t="str">
        <f t="shared" ca="1" si="6"/>
        <v>-</v>
      </c>
      <c r="N66" s="471">
        <f t="shared" ref="N66:N70" ca="1" si="50">X66</f>
        <v>0</v>
      </c>
      <c r="O66" s="594">
        <f t="shared" ca="1" si="36"/>
        <v>0</v>
      </c>
      <c r="P66" s="472"/>
      <c r="Q66" s="332">
        <f t="shared" ref="Q66:Q70" ca="1" si="51">RANK( N66, $N$11:$N$70, 0 )</f>
        <v>41</v>
      </c>
      <c r="R66" s="332">
        <f ca="1">COUNTIF( Q$11:Q66, Q66 ) - 1</f>
        <v>15</v>
      </c>
      <c r="S66" s="332">
        <f t="shared" ref="S66:S70" ca="1" si="52">Q66 + R66 / 10</f>
        <v>42.5</v>
      </c>
      <c r="T66" s="332">
        <f t="shared" ca="1" si="39"/>
        <v>56</v>
      </c>
      <c r="U66" s="441"/>
      <c r="V66" s="441" t="e">
        <f t="shared" ca="1" si="29"/>
        <v>#N/A</v>
      </c>
      <c r="W66" s="343" t="e">
        <f t="shared" ca="1" si="29"/>
        <v>#N/A</v>
      </c>
      <c r="X66" s="344">
        <f t="shared" ref="X66:X70" ca="1" si="53">IF( OR( ISNA( V66 ), ISNA( W66 ) ), 0, V66 * W66 )</f>
        <v>0</v>
      </c>
      <c r="Y66" s="344"/>
      <c r="Z66" s="407" t="e">
        <f t="shared" ca="1" si="17"/>
        <v>#N/A</v>
      </c>
    </row>
    <row r="67" spans="3:26" hidden="1" outlineLevel="1">
      <c r="C67" s="125" t="str">
        <f t="shared" ca="1" si="46"/>
        <v>-</v>
      </c>
      <c r="D67" s="120" t="str">
        <f t="shared" ca="1" si="47"/>
        <v>-</v>
      </c>
      <c r="E67" s="611">
        <f t="shared" ca="1" si="48"/>
        <v>0</v>
      </c>
      <c r="F67" s="121">
        <f t="shared" ca="1" si="49"/>
        <v>0</v>
      </c>
      <c r="I67" s="480">
        <f t="shared" si="15"/>
        <v>57</v>
      </c>
      <c r="J67" s="332">
        <f t="shared" ca="1" si="34"/>
        <v>57</v>
      </c>
      <c r="K67" s="331"/>
      <c r="L67" s="333" t="str">
        <f t="shared" ca="1" si="6"/>
        <v>-</v>
      </c>
      <c r="M67" s="596" t="str">
        <f t="shared" ca="1" si="6"/>
        <v>-</v>
      </c>
      <c r="N67" s="471">
        <f t="shared" ca="1" si="50"/>
        <v>0</v>
      </c>
      <c r="O67" s="594">
        <f t="shared" ca="1" si="36"/>
        <v>0</v>
      </c>
      <c r="P67" s="472"/>
      <c r="Q67" s="332">
        <f t="shared" ca="1" si="51"/>
        <v>41</v>
      </c>
      <c r="R67" s="332">
        <f ca="1">COUNTIF( Q$11:Q67, Q67 ) - 1</f>
        <v>16</v>
      </c>
      <c r="S67" s="332">
        <f t="shared" ca="1" si="52"/>
        <v>42.6</v>
      </c>
      <c r="T67" s="332">
        <f t="shared" ca="1" si="39"/>
        <v>57</v>
      </c>
      <c r="U67" s="441"/>
      <c r="V67" s="441" t="e">
        <f t="shared" ca="1" si="29"/>
        <v>#N/A</v>
      </c>
      <c r="W67" s="343" t="e">
        <f t="shared" ca="1" si="29"/>
        <v>#N/A</v>
      </c>
      <c r="X67" s="344">
        <f t="shared" ca="1" si="53"/>
        <v>0</v>
      </c>
      <c r="Y67" s="344"/>
      <c r="Z67" s="407" t="e">
        <f t="shared" ca="1" si="17"/>
        <v>#N/A</v>
      </c>
    </row>
    <row r="68" spans="3:26" hidden="1" outlineLevel="1">
      <c r="C68" s="125" t="str">
        <f t="shared" ca="1" si="46"/>
        <v>-</v>
      </c>
      <c r="D68" s="120" t="str">
        <f t="shared" ca="1" si="47"/>
        <v>-</v>
      </c>
      <c r="E68" s="611">
        <f t="shared" ca="1" si="48"/>
        <v>0</v>
      </c>
      <c r="F68" s="121">
        <f t="shared" ca="1" si="49"/>
        <v>0</v>
      </c>
      <c r="I68" s="480">
        <f t="shared" si="15"/>
        <v>58</v>
      </c>
      <c r="J68" s="332">
        <f t="shared" ca="1" si="34"/>
        <v>58</v>
      </c>
      <c r="K68" s="331"/>
      <c r="L68" s="333" t="str">
        <f t="shared" ca="1" si="6"/>
        <v>-</v>
      </c>
      <c r="M68" s="596" t="str">
        <f t="shared" ca="1" si="6"/>
        <v>-</v>
      </c>
      <c r="N68" s="471">
        <f t="shared" ca="1" si="50"/>
        <v>0</v>
      </c>
      <c r="O68" s="594">
        <f t="shared" ca="1" si="36"/>
        <v>0</v>
      </c>
      <c r="P68" s="472"/>
      <c r="Q68" s="332">
        <f t="shared" ca="1" si="51"/>
        <v>41</v>
      </c>
      <c r="R68" s="332">
        <f ca="1">COUNTIF( Q$11:Q68, Q68 ) - 1</f>
        <v>17</v>
      </c>
      <c r="S68" s="332">
        <f t="shared" ca="1" si="52"/>
        <v>42.7</v>
      </c>
      <c r="T68" s="332">
        <f t="shared" ca="1" si="39"/>
        <v>58</v>
      </c>
      <c r="U68" s="441"/>
      <c r="V68" s="441" t="e">
        <f t="shared" ca="1" si="29"/>
        <v>#N/A</v>
      </c>
      <c r="W68" s="343" t="e">
        <f t="shared" ca="1" si="29"/>
        <v>#N/A</v>
      </c>
      <c r="X68" s="344">
        <f t="shared" ca="1" si="53"/>
        <v>0</v>
      </c>
      <c r="Y68" s="344"/>
      <c r="Z68" s="407" t="e">
        <f t="shared" ca="1" si="17"/>
        <v>#N/A</v>
      </c>
    </row>
    <row r="69" spans="3:26" hidden="1" outlineLevel="1">
      <c r="C69" s="125" t="str">
        <f t="shared" ca="1" si="46"/>
        <v>-</v>
      </c>
      <c r="D69" s="120" t="str">
        <f t="shared" ca="1" si="47"/>
        <v>-</v>
      </c>
      <c r="E69" s="611">
        <f t="shared" ca="1" si="48"/>
        <v>0</v>
      </c>
      <c r="F69" s="121">
        <f t="shared" ca="1" si="49"/>
        <v>0</v>
      </c>
      <c r="I69" s="480">
        <f t="shared" si="15"/>
        <v>59</v>
      </c>
      <c r="J69" s="332">
        <f t="shared" ca="1" si="34"/>
        <v>59</v>
      </c>
      <c r="K69" s="331"/>
      <c r="L69" s="333" t="str">
        <f t="shared" ca="1" si="6"/>
        <v>-</v>
      </c>
      <c r="M69" s="596" t="str">
        <f t="shared" ca="1" si="6"/>
        <v>-</v>
      </c>
      <c r="N69" s="471">
        <f t="shared" ca="1" si="50"/>
        <v>0</v>
      </c>
      <c r="O69" s="594">
        <f t="shared" ca="1" si="36"/>
        <v>0</v>
      </c>
      <c r="P69" s="472"/>
      <c r="Q69" s="332">
        <f t="shared" ca="1" si="51"/>
        <v>41</v>
      </c>
      <c r="R69" s="332">
        <f ca="1">COUNTIF( Q$11:Q69, Q69 ) - 1</f>
        <v>18</v>
      </c>
      <c r="S69" s="332">
        <f t="shared" ca="1" si="52"/>
        <v>42.8</v>
      </c>
      <c r="T69" s="332">
        <f t="shared" ca="1" si="39"/>
        <v>59</v>
      </c>
      <c r="U69" s="441"/>
      <c r="V69" s="441" t="e">
        <f t="shared" ca="1" si="29"/>
        <v>#N/A</v>
      </c>
      <c r="W69" s="343" t="e">
        <f t="shared" ca="1" si="29"/>
        <v>#N/A</v>
      </c>
      <c r="X69" s="344">
        <f t="shared" ca="1" si="53"/>
        <v>0</v>
      </c>
      <c r="Y69" s="344"/>
      <c r="Z69" s="407" t="e">
        <f t="shared" ca="1" si="17"/>
        <v>#N/A</v>
      </c>
    </row>
    <row r="70" spans="3:26" hidden="1" outlineLevel="1">
      <c r="C70" s="126" t="str">
        <f t="shared" ca="1" si="46"/>
        <v>-</v>
      </c>
      <c r="D70" s="122" t="str">
        <f t="shared" ca="1" si="47"/>
        <v>-</v>
      </c>
      <c r="E70" s="612">
        <f t="shared" ca="1" si="48"/>
        <v>0</v>
      </c>
      <c r="F70" s="123">
        <f t="shared" ca="1" si="49"/>
        <v>0</v>
      </c>
      <c r="I70" s="480">
        <f t="shared" si="15"/>
        <v>60</v>
      </c>
      <c r="J70" s="332">
        <f t="shared" ca="1" si="34"/>
        <v>60</v>
      </c>
      <c r="K70" s="331"/>
      <c r="L70" s="333" t="str">
        <f ca="1">IF( LEN( OFFSET( INDIRECT( L$7 &amp; L$8 ), $I70 - 1, 0 ) ) = 0, "-", OFFSET( INDIRECT( L$7 &amp; L$8 ), $I70 - 1, 0 ) )</f>
        <v>-</v>
      </c>
      <c r="M70" s="596" t="str">
        <f t="shared" ref="M70" ca="1" si="54">IF( LEN( OFFSET( INDIRECT( M$7 &amp; M$8 ), $I70 - 1, 0 ) ) = 0, "-", OFFSET( INDIRECT( M$7 &amp; M$8 ), $I70 - 1, 0 ) )</f>
        <v>-</v>
      </c>
      <c r="N70" s="471">
        <f t="shared" ca="1" si="50"/>
        <v>0</v>
      </c>
      <c r="O70" s="594">
        <f t="shared" ca="1" si="36"/>
        <v>0</v>
      </c>
      <c r="P70" s="472"/>
      <c r="Q70" s="332">
        <f t="shared" ca="1" si="51"/>
        <v>41</v>
      </c>
      <c r="R70" s="332">
        <f ca="1">COUNTIF( Q$11:Q70, Q70 ) - 1</f>
        <v>19</v>
      </c>
      <c r="S70" s="332">
        <f t="shared" ca="1" si="52"/>
        <v>42.9</v>
      </c>
      <c r="T70" s="332">
        <f t="shared" ca="1" si="39"/>
        <v>60</v>
      </c>
      <c r="U70" s="441"/>
      <c r="V70" s="441" t="e">
        <f t="shared" ca="1" si="29"/>
        <v>#N/A</v>
      </c>
      <c r="W70" s="343" t="e">
        <f t="shared" ca="1" si="29"/>
        <v>#N/A</v>
      </c>
      <c r="X70" s="344">
        <f t="shared" ca="1" si="53"/>
        <v>0</v>
      </c>
      <c r="Y70" s="344"/>
      <c r="Z70" s="407" t="e">
        <f t="shared" ca="1" si="17"/>
        <v>#N/A</v>
      </c>
    </row>
    <row r="71" spans="3:26">
      <c r="C71" s="597"/>
      <c r="D71" s="598"/>
      <c r="E71" s="613"/>
      <c r="F71" s="599"/>
      <c r="I71" s="482"/>
      <c r="J71" s="472"/>
      <c r="K71" s="331"/>
      <c r="L71" s="331"/>
      <c r="M71" s="334"/>
      <c r="N71" s="471"/>
      <c r="O71" s="594"/>
      <c r="P71" s="472"/>
      <c r="Q71" s="472"/>
      <c r="R71" s="472"/>
      <c r="S71" s="472"/>
      <c r="T71" s="472"/>
      <c r="U71" s="331"/>
      <c r="V71" s="441"/>
      <c r="W71" s="343"/>
      <c r="X71" s="344"/>
      <c r="Y71" s="344"/>
      <c r="Z71" s="407"/>
    </row>
    <row r="72" spans="3:26">
      <c r="C72" s="475" t="s">
        <v>71</v>
      </c>
      <c r="D72" s="115"/>
      <c r="E72" s="614">
        <f ca="1">SUM(E11:E71)</f>
        <v>773535.61783613998</v>
      </c>
      <c r="F72" s="600">
        <v>0.99999999999999967</v>
      </c>
      <c r="G72" s="114"/>
      <c r="H72" s="114"/>
      <c r="I72" s="483"/>
      <c r="J72" s="473"/>
      <c r="K72" s="331"/>
      <c r="L72" s="331"/>
      <c r="M72" s="325" t="s">
        <v>71</v>
      </c>
      <c r="N72" s="474">
        <f ca="1">SUM(N11:N71)</f>
        <v>773535.61783613998</v>
      </c>
      <c r="O72" s="420">
        <f ca="1">SUM(O11:O71)</f>
        <v>0.99999999999999978</v>
      </c>
      <c r="P72" s="473"/>
      <c r="Q72" s="473"/>
      <c r="R72" s="473"/>
      <c r="S72" s="473"/>
      <c r="T72" s="473"/>
      <c r="U72" s="331"/>
      <c r="V72" s="354"/>
      <c r="W72" s="343"/>
      <c r="X72" s="355"/>
      <c r="Y72" s="355"/>
      <c r="Z72" s="407"/>
    </row>
    <row r="73" spans="3:26">
      <c r="I73" s="367"/>
      <c r="J73" s="331"/>
      <c r="K73" s="331"/>
      <c r="L73" s="331"/>
      <c r="M73" s="334"/>
      <c r="N73" s="331"/>
      <c r="O73" s="322"/>
      <c r="P73" s="331"/>
      <c r="Q73" s="331"/>
      <c r="R73" s="331"/>
      <c r="S73" s="331"/>
      <c r="T73" s="331"/>
      <c r="U73" s="331"/>
      <c r="V73" s="357"/>
      <c r="W73" s="331"/>
      <c r="X73" s="355"/>
      <c r="Y73" s="355"/>
      <c r="Z73" s="408"/>
    </row>
    <row r="74" spans="3:26">
      <c r="C74" s="15" t="s">
        <v>658</v>
      </c>
      <c r="I74" s="367"/>
      <c r="J74" s="331"/>
      <c r="K74" s="331"/>
      <c r="L74" s="333"/>
      <c r="M74" s="334"/>
      <c r="N74" s="331"/>
      <c r="O74" s="322"/>
      <c r="P74" s="331"/>
      <c r="Q74" s="331"/>
      <c r="R74" s="331"/>
      <c r="S74" s="331"/>
      <c r="T74" s="331"/>
      <c r="U74" s="331"/>
      <c r="V74" s="325"/>
      <c r="W74" s="410"/>
      <c r="X74" s="410">
        <f ca="1">SUM(X10:X71)</f>
        <v>773535.61783613998</v>
      </c>
      <c r="Y74" s="324"/>
      <c r="Z74" s="411"/>
    </row>
    <row r="75" spans="3:26">
      <c r="I75" s="367"/>
      <c r="J75" s="331"/>
      <c r="K75" s="331"/>
      <c r="L75" s="331"/>
      <c r="M75" s="334"/>
      <c r="N75" s="331"/>
      <c r="O75" s="322"/>
      <c r="P75" s="331"/>
      <c r="Q75" s="331"/>
      <c r="R75" s="331"/>
      <c r="S75" s="331"/>
      <c r="T75" s="331"/>
      <c r="U75" s="331"/>
      <c r="V75" s="325"/>
      <c r="W75" s="325"/>
      <c r="X75" s="324"/>
      <c r="Y75" s="324"/>
      <c r="Z75" s="373"/>
    </row>
    <row r="76" spans="3:26">
      <c r="I76" s="367"/>
      <c r="J76" s="331"/>
      <c r="K76" s="331"/>
      <c r="L76" s="331"/>
      <c r="M76" s="334"/>
      <c r="N76" s="331"/>
      <c r="O76" s="322"/>
      <c r="P76" s="331"/>
      <c r="Q76" s="331"/>
      <c r="R76" s="331"/>
      <c r="S76" s="331"/>
      <c r="T76" s="331"/>
      <c r="U76" s="331"/>
      <c r="V76" s="357"/>
      <c r="W76" s="357"/>
      <c r="X76" s="333"/>
      <c r="Y76" s="333"/>
      <c r="Z76" s="376"/>
    </row>
    <row r="77" spans="3:26">
      <c r="I77" s="367"/>
      <c r="J77" s="331"/>
      <c r="K77" s="331"/>
      <c r="L77" s="331"/>
      <c r="M77" s="334"/>
      <c r="N77" s="331"/>
      <c r="O77" s="322"/>
      <c r="P77" s="331"/>
      <c r="Q77" s="331"/>
      <c r="R77" s="331"/>
      <c r="S77" s="331"/>
      <c r="T77" s="331"/>
      <c r="U77" s="331"/>
      <c r="V77" s="357"/>
      <c r="W77" s="357"/>
      <c r="X77" s="333"/>
      <c r="Y77" s="333"/>
      <c r="Z77" s="376"/>
    </row>
    <row r="78" spans="3:26">
      <c r="I78" s="367"/>
      <c r="J78" s="331"/>
      <c r="K78" s="331"/>
      <c r="L78" s="331"/>
      <c r="M78" s="334"/>
      <c r="N78" s="331"/>
      <c r="O78" s="322"/>
      <c r="P78" s="331"/>
      <c r="Q78" s="331"/>
      <c r="R78" s="331"/>
      <c r="S78" s="331"/>
      <c r="T78" s="331"/>
      <c r="U78" s="331"/>
      <c r="V78" s="357"/>
      <c r="W78" s="357"/>
      <c r="X78" s="333"/>
      <c r="Y78" s="333"/>
      <c r="Z78" s="376"/>
    </row>
    <row r="79" spans="3:26">
      <c r="I79" s="367"/>
      <c r="J79" s="331"/>
      <c r="K79" s="331"/>
      <c r="L79" s="331"/>
      <c r="M79" s="334"/>
      <c r="N79" s="331"/>
      <c r="O79" s="322"/>
      <c r="P79" s="331"/>
      <c r="Q79" s="331"/>
      <c r="R79" s="331"/>
      <c r="S79" s="331"/>
      <c r="T79" s="331"/>
      <c r="U79" s="331"/>
      <c r="V79" s="357"/>
      <c r="W79" s="357"/>
      <c r="X79" s="333"/>
      <c r="Y79" s="333"/>
      <c r="Z79" s="376"/>
    </row>
  </sheetData>
  <sortState xmlns:xlrd2="http://schemas.microsoft.com/office/spreadsheetml/2017/richdata2"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3" type="noConversion"/>
  <hyperlinks>
    <hyperlink ref="A1" location="Index!A1" display="Return to Index" xr:uid="{00000000-0004-0000-0B00-000000000000}"/>
    <hyperlink ref="A1:C1" location="Contents!A1" display="Go to Contents" xr:uid="{00000000-0004-0000-0B00-000001000000}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outlinePr summaryBelow="0" summaryRight="0"/>
  </sheetPr>
  <dimension ref="A1:K185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09375" defaultRowHeight="13.8"/>
  <cols>
    <col min="1" max="1" width="4.88671875" style="16" customWidth="1"/>
    <col min="2" max="4" width="12.109375" style="16" customWidth="1"/>
    <col min="5" max="16384" width="9.109375" style="16"/>
  </cols>
  <sheetData>
    <row r="1" spans="1:2">
      <c r="A1" s="852" t="s">
        <v>408</v>
      </c>
      <c r="B1" s="855"/>
    </row>
    <row r="2" spans="1:2" ht="18">
      <c r="B2" s="162" t="s">
        <v>98</v>
      </c>
    </row>
    <row r="3" spans="1:2" ht="18">
      <c r="B3" s="33"/>
    </row>
    <row r="4" spans="1:2" ht="18">
      <c r="B4" s="33"/>
    </row>
    <row r="5" spans="1:2" ht="18">
      <c r="B5" s="33"/>
    </row>
    <row r="6" spans="1:2" ht="18">
      <c r="B6" s="33"/>
    </row>
    <row r="7" spans="1:2" ht="18">
      <c r="B7" s="33"/>
    </row>
    <row r="8" spans="1:2" ht="18">
      <c r="B8" s="33"/>
    </row>
    <row r="9" spans="1:2" ht="18">
      <c r="B9" s="33"/>
    </row>
    <row r="10" spans="1:2" ht="18">
      <c r="B10" s="33"/>
    </row>
    <row r="11" spans="1:2" ht="18">
      <c r="B11" s="33"/>
    </row>
    <row r="12" spans="1:2" ht="18">
      <c r="B12" s="33"/>
    </row>
    <row r="13" spans="1:2" ht="18">
      <c r="B13" s="33"/>
    </row>
    <row r="14" spans="1:2" ht="18">
      <c r="B14" s="33"/>
    </row>
    <row r="15" spans="1:2" ht="18">
      <c r="B15" s="33"/>
    </row>
    <row r="16" spans="1:2" ht="18">
      <c r="B16" s="33"/>
    </row>
    <row r="17" spans="2:4">
      <c r="B17" s="294"/>
    </row>
    <row r="18" spans="2:4">
      <c r="B18" s="294"/>
    </row>
    <row r="19" spans="2:4">
      <c r="B19" s="294"/>
    </row>
    <row r="20" spans="2:4" ht="15.6">
      <c r="B20" s="862" t="s">
        <v>57</v>
      </c>
      <c r="C20" s="862"/>
      <c r="D20" s="862"/>
    </row>
    <row r="21" spans="2:4">
      <c r="B21" s="556" t="s">
        <v>524</v>
      </c>
      <c r="C21" s="175" t="s">
        <v>54</v>
      </c>
      <c r="D21" s="603" t="s">
        <v>55</v>
      </c>
    </row>
    <row r="22" spans="2:4">
      <c r="B22" s="128" t="s">
        <v>473</v>
      </c>
      <c r="C22" s="689">
        <v>327807.59999999998</v>
      </c>
      <c r="D22" s="604"/>
    </row>
    <row r="23" spans="2:4">
      <c r="B23" s="130" t="s">
        <v>474</v>
      </c>
      <c r="C23" s="690">
        <v>319483.5</v>
      </c>
      <c r="D23" s="605">
        <f xml:space="preserve"> IF( LEN( C23 ) = 0, #N/A, ( C23 / C22 - 1 ) )</f>
        <v>-2.5393248966771864E-2</v>
      </c>
    </row>
    <row r="24" spans="2:4">
      <c r="B24" s="130" t="s">
        <v>475</v>
      </c>
      <c r="C24" s="690">
        <v>317546</v>
      </c>
      <c r="D24" s="605">
        <f t="shared" ref="D24:D69" si="0" xml:space="preserve"> IF( LEN( C24 ) = 0, #N/A, ( C24 / C23 - 1 ) )</f>
        <v>-6.0644759432020301E-3</v>
      </c>
    </row>
    <row r="25" spans="2:4">
      <c r="B25" s="130" t="s">
        <v>476</v>
      </c>
      <c r="C25" s="690">
        <v>291034.7</v>
      </c>
      <c r="D25" s="605">
        <f t="shared" si="0"/>
        <v>-8.3488061572181582E-2</v>
      </c>
    </row>
    <row r="26" spans="2:4">
      <c r="B26" s="130" t="s">
        <v>477</v>
      </c>
      <c r="C26" s="690">
        <v>300199.7</v>
      </c>
      <c r="D26" s="605">
        <f t="shared" si="0"/>
        <v>3.1491090237693253E-2</v>
      </c>
    </row>
    <row r="27" spans="2:4">
      <c r="B27" s="130" t="s">
        <v>478</v>
      </c>
      <c r="C27" s="690">
        <v>317667.7</v>
      </c>
      <c r="D27" s="605">
        <f t="shared" si="0"/>
        <v>5.8187932899333328E-2</v>
      </c>
    </row>
    <row r="28" spans="2:4">
      <c r="B28" s="130" t="s">
        <v>479</v>
      </c>
      <c r="C28" s="690">
        <v>292237.8</v>
      </c>
      <c r="D28" s="605">
        <f t="shared" si="0"/>
        <v>-8.0051890702139472E-2</v>
      </c>
    </row>
    <row r="29" spans="2:4">
      <c r="B29" s="130" t="s">
        <v>480</v>
      </c>
      <c r="C29" s="690">
        <v>238330.7</v>
      </c>
      <c r="D29" s="605">
        <f t="shared" si="0"/>
        <v>-0.18446313242161005</v>
      </c>
    </row>
    <row r="30" spans="2:4">
      <c r="B30" s="130" t="s">
        <v>481</v>
      </c>
      <c r="C30" s="690">
        <v>249552.6</v>
      </c>
      <c r="D30" s="605">
        <f t="shared" si="0"/>
        <v>4.7085415349344295E-2</v>
      </c>
    </row>
    <row r="31" spans="2:4">
      <c r="B31" s="130" t="s">
        <v>482</v>
      </c>
      <c r="C31" s="690">
        <v>240597.7</v>
      </c>
      <c r="D31" s="605">
        <f t="shared" si="0"/>
        <v>-3.5883817680120278E-2</v>
      </c>
    </row>
    <row r="32" spans="2:4">
      <c r="B32" s="130" t="s">
        <v>483</v>
      </c>
      <c r="C32" s="690">
        <v>289454</v>
      </c>
      <c r="D32" s="605">
        <f t="shared" si="0"/>
        <v>0.2030622071615813</v>
      </c>
    </row>
    <row r="33" spans="2:4">
      <c r="B33" s="130" t="s">
        <v>484</v>
      </c>
      <c r="C33" s="690">
        <v>288073</v>
      </c>
      <c r="D33" s="605">
        <f t="shared" si="0"/>
        <v>-4.7710517042431899E-3</v>
      </c>
    </row>
    <row r="34" spans="2:4">
      <c r="B34" s="130" t="s">
        <v>485</v>
      </c>
      <c r="C34" s="690">
        <v>314323.59999999998</v>
      </c>
      <c r="D34" s="605">
        <f t="shared" si="0"/>
        <v>9.1124819056280781E-2</v>
      </c>
    </row>
    <row r="35" spans="2:4">
      <c r="B35" s="130" t="s">
        <v>486</v>
      </c>
      <c r="C35" s="691">
        <v>329601.22019444988</v>
      </c>
      <c r="D35" s="605">
        <f t="shared" si="0"/>
        <v>4.8604750627855742E-2</v>
      </c>
    </row>
    <row r="36" spans="2:4">
      <c r="B36" s="130" t="s">
        <v>487</v>
      </c>
      <c r="C36" s="691">
        <v>323192.65701436007</v>
      </c>
      <c r="D36" s="605">
        <f t="shared" si="0"/>
        <v>-1.9443384269964281E-2</v>
      </c>
    </row>
    <row r="37" spans="2:4">
      <c r="B37" s="130" t="s">
        <v>488</v>
      </c>
      <c r="C37" s="691">
        <v>342459.84326309006</v>
      </c>
      <c r="D37" s="605">
        <f t="shared" si="0"/>
        <v>5.9615173273797284E-2</v>
      </c>
    </row>
    <row r="38" spans="2:4">
      <c r="B38" s="130" t="s">
        <v>489</v>
      </c>
      <c r="C38" s="690">
        <v>380305.05</v>
      </c>
      <c r="D38" s="605">
        <f t="shared" si="0"/>
        <v>0.11050991081554584</v>
      </c>
    </row>
    <row r="39" spans="2:4">
      <c r="B39" s="130" t="s">
        <v>490</v>
      </c>
      <c r="C39" s="690">
        <v>395662.62093468994</v>
      </c>
      <c r="D39" s="605">
        <f t="shared" si="0"/>
        <v>4.0382242977551774E-2</v>
      </c>
    </row>
    <row r="40" spans="2:4">
      <c r="B40" s="130" t="s">
        <v>491</v>
      </c>
      <c r="C40" s="690">
        <v>425989.33684204984</v>
      </c>
      <c r="D40" s="605">
        <f t="shared" si="0"/>
        <v>7.6647917449765401E-2</v>
      </c>
    </row>
    <row r="41" spans="2:4">
      <c r="B41" s="130" t="s">
        <v>492</v>
      </c>
      <c r="C41" s="690">
        <v>454726.91181868984</v>
      </c>
      <c r="D41" s="605">
        <f t="shared" si="0"/>
        <v>6.7460784792590767E-2</v>
      </c>
    </row>
    <row r="42" spans="2:4">
      <c r="B42" s="130" t="s">
        <v>493</v>
      </c>
      <c r="C42" s="690">
        <v>428824.64356707007</v>
      </c>
      <c r="D42" s="605">
        <f t="shared" si="0"/>
        <v>-5.6962250481334187E-2</v>
      </c>
    </row>
    <row r="43" spans="2:4">
      <c r="B43" s="130" t="s">
        <v>494</v>
      </c>
      <c r="C43" s="690">
        <v>422899.12853534013</v>
      </c>
      <c r="D43" s="605">
        <f t="shared" si="0"/>
        <v>-1.381803756062161E-2</v>
      </c>
    </row>
    <row r="44" spans="2:4">
      <c r="B44" s="130" t="s">
        <v>495</v>
      </c>
      <c r="C44" s="690">
        <v>432848.42539027013</v>
      </c>
      <c r="D44" s="605">
        <f t="shared" si="0"/>
        <v>2.3526406614712503E-2</v>
      </c>
    </row>
    <row r="45" spans="2:4">
      <c r="B45" s="130" t="s">
        <v>496</v>
      </c>
      <c r="C45" s="690">
        <v>464281.36085105978</v>
      </c>
      <c r="D45" s="605">
        <f t="shared" si="0"/>
        <v>7.2618805145123755E-2</v>
      </c>
    </row>
    <row r="46" spans="2:4">
      <c r="B46" s="130" t="s">
        <v>497</v>
      </c>
      <c r="C46" s="690">
        <v>503858.10332096997</v>
      </c>
      <c r="D46" s="605">
        <f t="shared" si="0"/>
        <v>8.5243013842647652E-2</v>
      </c>
    </row>
    <row r="47" spans="2:4">
      <c r="B47" s="130" t="s">
        <v>498</v>
      </c>
      <c r="C47" s="690">
        <v>525088.42571174994</v>
      </c>
      <c r="D47" s="605">
        <f t="shared" si="0"/>
        <v>4.2135518414508244E-2</v>
      </c>
    </row>
    <row r="48" spans="2:4">
      <c r="B48" s="130" t="s">
        <v>499</v>
      </c>
      <c r="C48" s="690">
        <v>515565</v>
      </c>
      <c r="D48" s="605">
        <f t="shared" si="0"/>
        <v>-1.8136803718042493E-2</v>
      </c>
    </row>
    <row r="49" spans="2:5">
      <c r="B49" s="130" t="s">
        <v>500</v>
      </c>
      <c r="C49" s="690">
        <v>514946.39532535005</v>
      </c>
      <c r="D49" s="605">
        <f t="shared" si="0"/>
        <v>-1.1998577767108332E-3</v>
      </c>
    </row>
    <row r="50" spans="2:5">
      <c r="B50" s="130" t="s">
        <v>501</v>
      </c>
      <c r="C50" s="690">
        <v>514485.99349637004</v>
      </c>
      <c r="D50" s="605">
        <f t="shared" si="0"/>
        <v>-8.9407719552847542E-4</v>
      </c>
    </row>
    <row r="51" spans="2:5">
      <c r="B51" s="130" t="s">
        <v>502</v>
      </c>
      <c r="C51" s="690">
        <v>456711.13444769988</v>
      </c>
      <c r="D51" s="605">
        <f t="shared" si="0"/>
        <v>-0.11229627196659109</v>
      </c>
    </row>
    <row r="52" spans="2:5">
      <c r="B52" s="130" t="s">
        <v>503</v>
      </c>
      <c r="C52" s="690">
        <v>482024.26450020995</v>
      </c>
      <c r="D52" s="605">
        <f t="shared" si="0"/>
        <v>5.5424814818936241E-2</v>
      </c>
    </row>
    <row r="53" spans="2:5">
      <c r="B53" s="130" t="s">
        <v>504</v>
      </c>
      <c r="C53" s="690">
        <v>404471.5603723799</v>
      </c>
      <c r="D53" s="605">
        <f t="shared" si="0"/>
        <v>-0.16088962701543885</v>
      </c>
    </row>
    <row r="54" spans="2:5">
      <c r="B54" s="131" t="s">
        <v>505</v>
      </c>
      <c r="C54" s="691">
        <v>361920.98126997985</v>
      </c>
      <c r="D54" s="605">
        <f t="shared" si="0"/>
        <v>-0.10520042265326524</v>
      </c>
      <c r="E54" s="34"/>
    </row>
    <row r="55" spans="2:5">
      <c r="B55" s="130" t="s">
        <v>506</v>
      </c>
      <c r="C55" s="691">
        <v>316069.77204999997</v>
      </c>
      <c r="D55" s="605">
        <f t="shared" si="0"/>
        <v>-0.12668845298520159</v>
      </c>
    </row>
    <row r="56" spans="2:5">
      <c r="B56" s="130" t="s">
        <v>507</v>
      </c>
      <c r="C56" s="691">
        <v>343844.49533299991</v>
      </c>
      <c r="D56" s="605">
        <f t="shared" si="0"/>
        <v>8.7875291277794698E-2</v>
      </c>
    </row>
    <row r="57" spans="2:5">
      <c r="B57" s="130" t="s">
        <v>508</v>
      </c>
      <c r="C57" s="691">
        <v>363185.48616191006</v>
      </c>
      <c r="D57" s="605">
        <f t="shared" si="0"/>
        <v>5.6249237930010132E-2</v>
      </c>
    </row>
    <row r="58" spans="2:5">
      <c r="B58" s="130" t="s">
        <v>509</v>
      </c>
      <c r="C58" s="691">
        <v>389671.51094029995</v>
      </c>
      <c r="D58" s="605">
        <f t="shared" si="0"/>
        <v>7.2926991269090191E-2</v>
      </c>
    </row>
    <row r="59" spans="2:5">
      <c r="B59" s="130" t="s">
        <v>510</v>
      </c>
      <c r="C59" s="691">
        <v>377280.94793894986</v>
      </c>
      <c r="D59" s="605">
        <f t="shared" si="0"/>
        <v>-3.1797456712837291E-2</v>
      </c>
    </row>
    <row r="60" spans="2:5">
      <c r="B60" s="130" t="s">
        <v>511</v>
      </c>
      <c r="C60" s="691">
        <v>360043.69155345997</v>
      </c>
      <c r="D60" s="605">
        <f t="shared" si="0"/>
        <v>-4.5688117779748461E-2</v>
      </c>
    </row>
    <row r="61" spans="2:5">
      <c r="B61" s="130" t="s">
        <v>512</v>
      </c>
      <c r="C61" s="691">
        <v>402013.86640884</v>
      </c>
      <c r="D61" s="605">
        <f t="shared" si="0"/>
        <v>0.11656967151484787</v>
      </c>
    </row>
    <row r="62" spans="2:5">
      <c r="B62" s="130" t="s">
        <v>513</v>
      </c>
      <c r="C62" s="691">
        <v>407274.53218216012</v>
      </c>
      <c r="D62" s="605">
        <f t="shared" si="0"/>
        <v>1.3085781891836845E-2</v>
      </c>
    </row>
    <row r="63" spans="2:5">
      <c r="B63" s="130" t="s">
        <v>514</v>
      </c>
      <c r="C63" s="691">
        <v>411163.50945867994</v>
      </c>
      <c r="D63" s="605">
        <f t="shared" si="0"/>
        <v>9.5487858169840401E-3</v>
      </c>
    </row>
    <row r="64" spans="2:5">
      <c r="B64" s="130" t="s">
        <v>515</v>
      </c>
      <c r="C64" s="691">
        <v>433235.63623772998</v>
      </c>
      <c r="D64" s="605">
        <f t="shared" si="0"/>
        <v>5.3682114952538607E-2</v>
      </c>
    </row>
    <row r="65" spans="2:4">
      <c r="B65" s="130" t="s">
        <v>516</v>
      </c>
      <c r="C65" s="691">
        <v>442352.13418901985</v>
      </c>
      <c r="D65" s="605">
        <f t="shared" si="0"/>
        <v>2.1042816400004938E-2</v>
      </c>
    </row>
    <row r="66" spans="2:4">
      <c r="B66" s="130" t="s">
        <v>517</v>
      </c>
      <c r="C66" s="691">
        <v>471634.82986866002</v>
      </c>
      <c r="D66" s="605">
        <f t="shared" si="0"/>
        <v>6.6197704083253095E-2</v>
      </c>
    </row>
    <row r="67" spans="2:4">
      <c r="B67" s="130" t="s">
        <v>518</v>
      </c>
      <c r="C67" s="691">
        <v>450597.4006266002</v>
      </c>
      <c r="D67" s="605">
        <f t="shared" si="0"/>
        <v>-4.4605334275075292E-2</v>
      </c>
    </row>
    <row r="68" spans="2:4">
      <c r="B68" s="130" t="s">
        <v>519</v>
      </c>
      <c r="C68" s="692">
        <v>475083.41590257315</v>
      </c>
      <c r="D68" s="605">
        <f t="shared" si="0"/>
        <v>5.4341226207525128E-2</v>
      </c>
    </row>
    <row r="69" spans="2:4">
      <c r="B69" s="588" t="s">
        <v>520</v>
      </c>
      <c r="C69" s="692">
        <v>479539.89036317001</v>
      </c>
      <c r="D69" s="605">
        <f t="shared" si="0"/>
        <v>9.3804041804539384E-3</v>
      </c>
    </row>
    <row r="70" spans="2:4">
      <c r="B70" s="588" t="s">
        <v>521</v>
      </c>
      <c r="C70" s="692">
        <v>463915.86649211013</v>
      </c>
      <c r="D70" s="605">
        <f t="shared" ref="D70:D83" si="1" xml:space="preserve"> IF( LEN( C70 ) = 0, #N/A, ( C70 / C69 - 1 ) )</f>
        <v>-3.2581280900797038E-2</v>
      </c>
    </row>
    <row r="71" spans="2:4">
      <c r="B71" s="588" t="s">
        <v>530</v>
      </c>
      <c r="C71" s="692">
        <v>507163.05109525</v>
      </c>
      <c r="D71" s="605">
        <f t="shared" si="1"/>
        <v>9.322204245815624E-2</v>
      </c>
    </row>
    <row r="72" spans="2:4">
      <c r="B72" s="588" t="s">
        <v>531</v>
      </c>
      <c r="C72" s="692">
        <v>505091.49956703989</v>
      </c>
      <c r="D72" s="605">
        <f t="shared" si="1"/>
        <v>-4.0845868478321945E-3</v>
      </c>
    </row>
    <row r="73" spans="2:4">
      <c r="B73" s="588" t="s">
        <v>528</v>
      </c>
      <c r="C73" s="692">
        <v>499776.48118901002</v>
      </c>
      <c r="D73" s="605">
        <f t="shared" si="1"/>
        <v>-1.0522882255167398E-2</v>
      </c>
    </row>
    <row r="74" spans="2:4">
      <c r="B74" s="588" t="s">
        <v>529</v>
      </c>
      <c r="C74" s="692">
        <v>504364.52230437996</v>
      </c>
      <c r="D74" s="605">
        <f t="shared" si="1"/>
        <v>9.1801861193119283E-3</v>
      </c>
    </row>
    <row r="75" spans="2:4">
      <c r="B75" s="588" t="s">
        <v>614</v>
      </c>
      <c r="C75" s="692">
        <v>548006.35600041994</v>
      </c>
      <c r="D75" s="605">
        <f t="shared" si="1"/>
        <v>8.6528357499543684E-2</v>
      </c>
    </row>
    <row r="76" spans="2:4">
      <c r="B76" s="588" t="s">
        <v>615</v>
      </c>
      <c r="C76" s="692">
        <v>587734.7854031499</v>
      </c>
      <c r="D76" s="605">
        <f t="shared" si="1"/>
        <v>7.2496293095366093E-2</v>
      </c>
    </row>
    <row r="77" spans="2:4">
      <c r="B77" s="588" t="s">
        <v>617</v>
      </c>
      <c r="C77" s="692">
        <v>557472.48832412006</v>
      </c>
      <c r="D77" s="605">
        <f t="shared" si="1"/>
        <v>-5.1489715821859683E-2</v>
      </c>
    </row>
    <row r="78" spans="2:4">
      <c r="B78" s="588" t="s">
        <v>618</v>
      </c>
      <c r="C78" s="692">
        <v>632185.49245675968</v>
      </c>
      <c r="D78" s="605">
        <f t="shared" si="1"/>
        <v>0.13402097089533993</v>
      </c>
    </row>
    <row r="79" spans="2:4">
      <c r="B79" s="588" t="s">
        <v>626</v>
      </c>
      <c r="C79" s="692">
        <v>596851.32125075988</v>
      </c>
      <c r="D79" s="605">
        <f t="shared" si="1"/>
        <v>-5.5892094373577561E-2</v>
      </c>
    </row>
    <row r="80" spans="2:4">
      <c r="B80" s="588" t="s">
        <v>628</v>
      </c>
      <c r="C80" s="692">
        <v>549164.1063640099</v>
      </c>
      <c r="D80" s="605">
        <f t="shared" si="1"/>
        <v>-7.9897979930440233E-2</v>
      </c>
    </row>
    <row r="81" spans="2:4">
      <c r="B81" s="588" t="s">
        <v>630</v>
      </c>
      <c r="C81" s="692">
        <v>568250.33357370994</v>
      </c>
      <c r="D81" s="605">
        <f t="shared" si="1"/>
        <v>3.4755052248532925E-2</v>
      </c>
    </row>
    <row r="82" spans="2:4">
      <c r="B82" s="588" t="s">
        <v>640</v>
      </c>
      <c r="C82" s="692">
        <v>576818.94679729012</v>
      </c>
      <c r="D82" s="605">
        <f t="shared" si="1"/>
        <v>1.5078940947895969E-2</v>
      </c>
    </row>
    <row r="83" spans="2:4">
      <c r="B83" s="588" t="s">
        <v>647</v>
      </c>
      <c r="C83" s="692">
        <v>662574.10528503032</v>
      </c>
      <c r="D83" s="605">
        <f t="shared" si="1"/>
        <v>0.148669108329198</v>
      </c>
    </row>
    <row r="84" spans="2:4">
      <c r="B84" s="588" t="s">
        <v>650</v>
      </c>
      <c r="C84" s="692">
        <v>706366.49706886022</v>
      </c>
      <c r="D84" s="605">
        <f xml:space="preserve"> IF( LEN( C84 ) = 0, #N/A, ( C84 / C83 - 1 ) )</f>
        <v>6.6094330331534668E-2</v>
      </c>
    </row>
    <row r="85" spans="2:4">
      <c r="B85" s="588" t="s">
        <v>654</v>
      </c>
      <c r="C85" s="692">
        <v>658728.37961059681</v>
      </c>
      <c r="D85" s="605">
        <f t="shared" ref="D85:D99" si="2" xml:space="preserve"> IF( LEN( C85 ) = 0, #N/A, ( C85 / C84 - 1 ) )</f>
        <v>-6.7441077197096133E-2</v>
      </c>
    </row>
    <row r="86" spans="2:4">
      <c r="B86" s="588" t="s">
        <v>656</v>
      </c>
      <c r="C86" s="692">
        <v>659845.41104898008</v>
      </c>
      <c r="D86" s="605">
        <f t="shared" si="2"/>
        <v>1.6957390526328719E-3</v>
      </c>
    </row>
    <row r="87" spans="2:4">
      <c r="B87" s="588" t="s">
        <v>662</v>
      </c>
      <c r="C87" s="692">
        <v>690205.38069674012</v>
      </c>
      <c r="D87" s="605">
        <f t="shared" si="2"/>
        <v>4.6010730906646202E-2</v>
      </c>
    </row>
    <row r="88" spans="2:4">
      <c r="B88" s="588" t="s">
        <v>669</v>
      </c>
      <c r="C88" s="692">
        <v>708329.16817071021</v>
      </c>
      <c r="D88" s="605">
        <f t="shared" si="2"/>
        <v>2.6258542719088451E-2</v>
      </c>
    </row>
    <row r="89" spans="2:4">
      <c r="B89" s="588" t="s">
        <v>671</v>
      </c>
      <c r="C89" s="692">
        <v>722422.90231951012</v>
      </c>
      <c r="D89" s="605">
        <f t="shared" si="2"/>
        <v>1.9897153445194826E-2</v>
      </c>
    </row>
    <row r="90" spans="2:4">
      <c r="B90" s="588" t="s">
        <v>674</v>
      </c>
      <c r="C90" s="692">
        <v>720427.04633623024</v>
      </c>
      <c r="D90" s="605">
        <f t="shared" si="2"/>
        <v>-2.762725235968766E-3</v>
      </c>
    </row>
    <row r="91" spans="2:4">
      <c r="B91" s="588" t="s">
        <v>676</v>
      </c>
      <c r="C91" s="692">
        <v>692282.33316157979</v>
      </c>
      <c r="D91" s="605">
        <f t="shared" si="2"/>
        <v>-3.9066708166748954E-2</v>
      </c>
    </row>
    <row r="92" spans="2:4">
      <c r="B92" s="588" t="s">
        <v>682</v>
      </c>
      <c r="C92" s="692">
        <v>716349.84834647027</v>
      </c>
      <c r="D92" s="605">
        <f t="shared" si="2"/>
        <v>3.476546205502129E-2</v>
      </c>
    </row>
    <row r="93" spans="2:4">
      <c r="B93" s="588" t="s">
        <v>685</v>
      </c>
      <c r="C93" s="692">
        <v>724765.68537327019</v>
      </c>
      <c r="D93" s="605">
        <f t="shared" si="2"/>
        <v>1.1748221970348638E-2</v>
      </c>
    </row>
    <row r="94" spans="2:4">
      <c r="B94" s="588" t="s">
        <v>687</v>
      </c>
      <c r="C94" s="692">
        <v>731312.77571297996</v>
      </c>
      <c r="D94" s="605">
        <f t="shared" si="2"/>
        <v>9.0333889584437443E-3</v>
      </c>
    </row>
    <row r="95" spans="2:4">
      <c r="B95" s="588" t="s">
        <v>694</v>
      </c>
      <c r="C95" s="692">
        <v>790290.84938114998</v>
      </c>
      <c r="D95" s="605">
        <f t="shared" si="2"/>
        <v>8.0646852655719581E-2</v>
      </c>
    </row>
    <row r="96" spans="2:4">
      <c r="B96" s="588" t="s">
        <v>696</v>
      </c>
      <c r="C96" s="692">
        <v>838256.04277361021</v>
      </c>
      <c r="D96" s="605">
        <f t="shared" si="2"/>
        <v>6.0693089677072987E-2</v>
      </c>
    </row>
    <row r="97" spans="2:11">
      <c r="B97" s="588" t="s">
        <v>698</v>
      </c>
      <c r="C97" s="692">
        <v>902428.12045604002</v>
      </c>
      <c r="D97" s="605">
        <f t="shared" si="2"/>
        <v>7.6554267918067298E-2</v>
      </c>
    </row>
    <row r="98" spans="2:11">
      <c r="B98" s="588" t="s">
        <v>704</v>
      </c>
      <c r="C98" s="692">
        <v>905008.72347773006</v>
      </c>
      <c r="D98" s="605">
        <f t="shared" si="2"/>
        <v>2.8596216842022848E-3</v>
      </c>
    </row>
    <row r="99" spans="2:11">
      <c r="B99" s="132" t="s">
        <v>715</v>
      </c>
      <c r="C99" s="693">
        <v>773535.61783613998</v>
      </c>
      <c r="D99" s="606">
        <f t="shared" si="2"/>
        <v>-0.14527274956684466</v>
      </c>
    </row>
    <row r="100" spans="2:11">
      <c r="B100" s="95" t="s">
        <v>527</v>
      </c>
      <c r="C100" s="589">
        <f ca="1">'XI. Market Capitalization'!E72</f>
        <v>773535.61783613998</v>
      </c>
      <c r="F100" s="26"/>
    </row>
    <row r="101" spans="2:11">
      <c r="F101" s="26"/>
    </row>
    <row r="102" spans="2:11">
      <c r="F102" s="26"/>
    </row>
    <row r="103" spans="2:11" ht="15.6">
      <c r="B103" s="869" t="s">
        <v>56</v>
      </c>
      <c r="C103" s="869"/>
      <c r="D103" s="869"/>
    </row>
    <row r="104" spans="2:11">
      <c r="B104" s="556" t="s">
        <v>524</v>
      </c>
      <c r="C104" s="556" t="s">
        <v>54</v>
      </c>
      <c r="D104" s="603" t="s">
        <v>55</v>
      </c>
    </row>
    <row r="105" spans="2:11">
      <c r="B105" s="128" t="str">
        <f>B22</f>
        <v>2000-Q4</v>
      </c>
      <c r="C105" s="133">
        <f>IF( LEN( C22 ) = 0, #N/A, C22 / 10^3 )</f>
        <v>327.80759999999998</v>
      </c>
      <c r="D105" s="129"/>
    </row>
    <row r="106" spans="2:11">
      <c r="B106" s="130" t="str">
        <f>B23</f>
        <v>2001-Q1</v>
      </c>
      <c r="C106" s="134">
        <f>IF( LEN( C23 ) = 0, #N/A, C23 / 10^3 )</f>
        <v>319.48349999999999</v>
      </c>
      <c r="D106" s="605">
        <f xml:space="preserve"> IF( LEN( C106 ) = 0, #N/A, ( C106 / C105 - 1 ) )</f>
        <v>-2.5393248966771975E-2</v>
      </c>
      <c r="I106" s="35"/>
      <c r="K106" s="32"/>
    </row>
    <row r="107" spans="2:11">
      <c r="B107" s="130" t="str">
        <f>B24</f>
        <v>2001-Q2</v>
      </c>
      <c r="C107" s="134">
        <f>IF( LEN( C24 ) = 0, #N/A, C24 / 10^3 )</f>
        <v>317.54599999999999</v>
      </c>
      <c r="D107" s="605">
        <f t="shared" ref="D107:D154" si="3" xml:space="preserve"> IF( LEN( C107 ) = 0, #N/A, ( C107 / C106 - 1 ) )</f>
        <v>-6.0644759432020301E-3</v>
      </c>
    </row>
    <row r="108" spans="2:11">
      <c r="B108" s="130" t="str">
        <f>B25</f>
        <v>2001-Q3</v>
      </c>
      <c r="C108" s="134">
        <f>IF( LEN( C25 ) = 0, #N/A, C25 / 10^3 )</f>
        <v>291.03469999999999</v>
      </c>
      <c r="D108" s="605">
        <f t="shared" si="3"/>
        <v>-8.3488061572181693E-2</v>
      </c>
    </row>
    <row r="109" spans="2:11">
      <c r="B109" s="130" t="str">
        <f>B26</f>
        <v>2001-Q4</v>
      </c>
      <c r="C109" s="134">
        <f>IF( LEN( C26 ) = 0, #N/A, C26 / 10^3 )</f>
        <v>300.19970000000001</v>
      </c>
      <c r="D109" s="605">
        <f t="shared" si="3"/>
        <v>3.1491090237693475E-2</v>
      </c>
    </row>
    <row r="110" spans="2:11">
      <c r="B110" s="130" t="str">
        <f>B27</f>
        <v>2002-Q1</v>
      </c>
      <c r="C110" s="134">
        <f>IF( LEN( C27 ) = 0, #N/A, C27 / 10^3 )</f>
        <v>317.66770000000002</v>
      </c>
      <c r="D110" s="605">
        <f t="shared" si="3"/>
        <v>5.8187932899333328E-2</v>
      </c>
    </row>
    <row r="111" spans="2:11">
      <c r="B111" s="130" t="str">
        <f>B28</f>
        <v>2002-Q2</v>
      </c>
      <c r="C111" s="134">
        <f>IF( LEN( C28 ) = 0, #N/A, C28 / 10^3 )</f>
        <v>292.23779999999999</v>
      </c>
      <c r="D111" s="605">
        <f t="shared" si="3"/>
        <v>-8.0051890702139472E-2</v>
      </c>
    </row>
    <row r="112" spans="2:11">
      <c r="B112" s="130" t="str">
        <f>B29</f>
        <v>2002-Q3</v>
      </c>
      <c r="C112" s="134">
        <f>IF( LEN( C29 ) = 0, #N/A, C29 / 10^3 )</f>
        <v>238.33070000000001</v>
      </c>
      <c r="D112" s="605">
        <f t="shared" si="3"/>
        <v>-0.18446313242161005</v>
      </c>
    </row>
    <row r="113" spans="2:7">
      <c r="B113" s="130" t="str">
        <f>B30</f>
        <v>2002-Q4</v>
      </c>
      <c r="C113" s="134">
        <f>IF( LEN( C30 ) = 0, #N/A, C30 / 10^3 )</f>
        <v>249.55260000000001</v>
      </c>
      <c r="D113" s="605">
        <f t="shared" si="3"/>
        <v>4.7085415349344517E-2</v>
      </c>
    </row>
    <row r="114" spans="2:7">
      <c r="B114" s="130" t="str">
        <f>B31</f>
        <v>2003-Q1</v>
      </c>
      <c r="C114" s="134">
        <f>IF( LEN( C31 ) = 0, #N/A, C31 / 10^3 )</f>
        <v>240.5977</v>
      </c>
      <c r="D114" s="605">
        <f t="shared" si="3"/>
        <v>-3.5883817680120389E-2</v>
      </c>
    </row>
    <row r="115" spans="2:7">
      <c r="B115" s="130" t="str">
        <f>B32</f>
        <v>2003-Q2</v>
      </c>
      <c r="C115" s="134">
        <f>IF( LEN( C32 ) = 0, #N/A, C32 / 10^3 )</f>
        <v>289.45400000000001</v>
      </c>
      <c r="D115" s="605">
        <f t="shared" si="3"/>
        <v>0.2030622071615813</v>
      </c>
    </row>
    <row r="116" spans="2:7">
      <c r="B116" s="130" t="str">
        <f>B33</f>
        <v>2003-Q3</v>
      </c>
      <c r="C116" s="134">
        <f>IF( LEN( C33 ) = 0, #N/A, C33 / 10^3 )</f>
        <v>288.07299999999998</v>
      </c>
      <c r="D116" s="605">
        <f t="shared" si="3"/>
        <v>-4.7710517042433009E-3</v>
      </c>
    </row>
    <row r="117" spans="2:7">
      <c r="B117" s="130" t="str">
        <f>B34</f>
        <v>2003-Q4</v>
      </c>
      <c r="C117" s="134">
        <f>IF( LEN( C34 ) = 0, #N/A, C34 / 10^3 )</f>
        <v>314.3236</v>
      </c>
      <c r="D117" s="605">
        <f t="shared" si="3"/>
        <v>9.1124819056281003E-2</v>
      </c>
    </row>
    <row r="118" spans="2:7">
      <c r="B118" s="130" t="str">
        <f>B35</f>
        <v>2004-Q1</v>
      </c>
      <c r="C118" s="134">
        <f>IF( LEN( C35 ) = 0, #N/A, C35 / 10^3 )</f>
        <v>329.60122019444987</v>
      </c>
      <c r="D118" s="605">
        <f t="shared" si="3"/>
        <v>4.8604750627855742E-2</v>
      </c>
    </row>
    <row r="119" spans="2:7">
      <c r="B119" s="130" t="str">
        <f>B36</f>
        <v>2004-Q2</v>
      </c>
      <c r="C119" s="134">
        <f>IF( LEN( C36 ) = 0, #N/A, C36 / 10^3 )</f>
        <v>323.19265701436007</v>
      </c>
      <c r="D119" s="605">
        <f t="shared" si="3"/>
        <v>-1.9443384269964281E-2</v>
      </c>
    </row>
    <row r="120" spans="2:7">
      <c r="B120" s="130" t="str">
        <f>B37</f>
        <v>2004-Q3</v>
      </c>
      <c r="C120" s="134">
        <f>IF( LEN( C37 ) = 0, #N/A, C37 / 10^3 )</f>
        <v>342.45984326309008</v>
      </c>
      <c r="D120" s="605">
        <f t="shared" si="3"/>
        <v>5.9615173273797284E-2</v>
      </c>
    </row>
    <row r="121" spans="2:7">
      <c r="B121" s="130" t="str">
        <f>B38</f>
        <v>2004-Q4</v>
      </c>
      <c r="C121" s="134">
        <f>IF( LEN( C38 ) = 0, #N/A, C38 / 10^3 )</f>
        <v>380.30504999999999</v>
      </c>
      <c r="D121" s="605">
        <f t="shared" si="3"/>
        <v>0.11050991081554584</v>
      </c>
    </row>
    <row r="122" spans="2:7">
      <c r="B122" s="130" t="str">
        <f>B39</f>
        <v>2005-Q1</v>
      </c>
      <c r="C122" s="134">
        <f>IF( LEN( C39 ) = 0, #N/A, C39 / 10^3 )</f>
        <v>395.66262093468993</v>
      </c>
      <c r="D122" s="605">
        <f t="shared" si="3"/>
        <v>4.0382242977551552E-2</v>
      </c>
    </row>
    <row r="123" spans="2:7">
      <c r="B123" s="130" t="str">
        <f>B40</f>
        <v>2005-Q2</v>
      </c>
      <c r="C123" s="134">
        <f>IF( LEN( C40 ) = 0, #N/A, C40 / 10^3 )</f>
        <v>425.98933684204985</v>
      </c>
      <c r="D123" s="605">
        <f t="shared" si="3"/>
        <v>7.6647917449765401E-2</v>
      </c>
    </row>
    <row r="124" spans="2:7">
      <c r="B124" s="130" t="str">
        <f>B41</f>
        <v>2005-Q3</v>
      </c>
      <c r="C124" s="134">
        <f>IF( LEN( C41 ) = 0, #N/A, C41 / 10^3 )</f>
        <v>454.72691181868981</v>
      </c>
      <c r="D124" s="605">
        <f t="shared" si="3"/>
        <v>6.7460784792590767E-2</v>
      </c>
    </row>
    <row r="125" spans="2:7">
      <c r="B125" s="130" t="str">
        <f>B42</f>
        <v>2005-Q4</v>
      </c>
      <c r="C125" s="134">
        <f>IF( LEN( C42 ) = 0, #N/A, C42 / 10^3 )</f>
        <v>428.8246435670701</v>
      </c>
      <c r="D125" s="605">
        <f t="shared" si="3"/>
        <v>-5.6962250481334076E-2</v>
      </c>
      <c r="F125" s="25"/>
      <c r="G125" s="36"/>
    </row>
    <row r="126" spans="2:7">
      <c r="B126" s="130" t="str">
        <f>B43</f>
        <v>2006-Q1</v>
      </c>
      <c r="C126" s="134">
        <f>IF( LEN( C43 ) = 0, #N/A, C43 / 10^3 )</f>
        <v>422.89912853534014</v>
      </c>
      <c r="D126" s="605">
        <f t="shared" si="3"/>
        <v>-1.381803756062161E-2</v>
      </c>
      <c r="F126" s="37"/>
      <c r="G126" s="32"/>
    </row>
    <row r="127" spans="2:7">
      <c r="B127" s="130" t="str">
        <f>B44</f>
        <v>2006-Q2</v>
      </c>
      <c r="C127" s="134">
        <f>IF( LEN( C44 ) = 0, #N/A, C44 / 10^3 )</f>
        <v>432.84842539027011</v>
      </c>
      <c r="D127" s="605">
        <f t="shared" si="3"/>
        <v>2.3526406614712503E-2</v>
      </c>
      <c r="F127" s="37"/>
      <c r="G127" s="32"/>
    </row>
    <row r="128" spans="2:7">
      <c r="B128" s="130" t="str">
        <f>B45</f>
        <v>2006-Q3</v>
      </c>
      <c r="C128" s="134">
        <f>IF( LEN( C45 ) = 0, #N/A, C45 / 10^3 )</f>
        <v>464.28136085105979</v>
      </c>
      <c r="D128" s="605">
        <f t="shared" si="3"/>
        <v>7.2618805145123755E-2</v>
      </c>
      <c r="F128" s="37"/>
      <c r="G128" s="32"/>
    </row>
    <row r="129" spans="2:7">
      <c r="B129" s="130" t="str">
        <f>B46</f>
        <v>2006-Q4</v>
      </c>
      <c r="C129" s="134">
        <f>IF( LEN( C46 ) = 0, #N/A, C46 / 10^3 )</f>
        <v>503.85810332096997</v>
      </c>
      <c r="D129" s="605">
        <f t="shared" si="3"/>
        <v>8.5243013842647652E-2</v>
      </c>
      <c r="F129" s="37"/>
      <c r="G129" s="32"/>
    </row>
    <row r="130" spans="2:7">
      <c r="B130" s="130" t="str">
        <f>B47</f>
        <v>2007-Q1</v>
      </c>
      <c r="C130" s="134">
        <f>IF( LEN( C47 ) = 0, #N/A, C47 / 10^3 )</f>
        <v>525.08842571174989</v>
      </c>
      <c r="D130" s="605">
        <f t="shared" si="3"/>
        <v>4.2135518414508244E-2</v>
      </c>
      <c r="F130" s="37"/>
      <c r="G130" s="32"/>
    </row>
    <row r="131" spans="2:7">
      <c r="B131" s="130" t="str">
        <f>B48</f>
        <v>2007-Q2</v>
      </c>
      <c r="C131" s="134">
        <f>IF( LEN( C48 ) = 0, #N/A, C48 / 10^3 )</f>
        <v>515.56500000000005</v>
      </c>
      <c r="D131" s="605">
        <f t="shared" si="3"/>
        <v>-1.8136803718042271E-2</v>
      </c>
      <c r="F131" s="37"/>
      <c r="G131" s="32"/>
    </row>
    <row r="132" spans="2:7">
      <c r="B132" s="130" t="str">
        <f>B49</f>
        <v>2007-Q3</v>
      </c>
      <c r="C132" s="134">
        <f>IF( LEN( C49 ) = 0, #N/A, C49 / 10^3 )</f>
        <v>514.94639532535007</v>
      </c>
      <c r="D132" s="605">
        <f t="shared" si="3"/>
        <v>-1.1998577767109442E-3</v>
      </c>
      <c r="F132" s="37"/>
      <c r="G132" s="32"/>
    </row>
    <row r="133" spans="2:7">
      <c r="B133" s="130" t="str">
        <f>B50</f>
        <v>2007-Q4</v>
      </c>
      <c r="C133" s="134">
        <f>IF( LEN( C50 ) = 0, #N/A, C50 / 10^3 )</f>
        <v>514.48599349637004</v>
      </c>
      <c r="D133" s="605">
        <f t="shared" si="3"/>
        <v>-8.9407719552858644E-4</v>
      </c>
      <c r="F133" s="37"/>
      <c r="G133" s="32"/>
    </row>
    <row r="134" spans="2:7">
      <c r="B134" s="130" t="str">
        <f>B51</f>
        <v>2008-Q1</v>
      </c>
      <c r="C134" s="134">
        <f>IF( LEN( C51 ) = 0, #N/A, C51 / 10^3 )</f>
        <v>456.71113444769986</v>
      </c>
      <c r="D134" s="605">
        <f t="shared" si="3"/>
        <v>-0.11229627196659109</v>
      </c>
      <c r="F134" s="37"/>
      <c r="G134" s="32"/>
    </row>
    <row r="135" spans="2:7">
      <c r="B135" s="130" t="str">
        <f>B52</f>
        <v>2008-Q2</v>
      </c>
      <c r="C135" s="134">
        <f>IF( LEN( C52 ) = 0, #N/A, C52 / 10^3 )</f>
        <v>482.02426450020994</v>
      </c>
      <c r="D135" s="605">
        <f t="shared" si="3"/>
        <v>5.5424814818936241E-2</v>
      </c>
      <c r="F135" s="37"/>
      <c r="G135" s="32"/>
    </row>
    <row r="136" spans="2:7">
      <c r="B136" s="130" t="str">
        <f>B53</f>
        <v>2008-Q3</v>
      </c>
      <c r="C136" s="134">
        <f>IF( LEN( C53 ) = 0, #N/A, C53 / 10^3 )</f>
        <v>404.47156037237988</v>
      </c>
      <c r="D136" s="605">
        <f t="shared" si="3"/>
        <v>-0.16088962701543896</v>
      </c>
      <c r="F136" s="37"/>
      <c r="G136" s="32"/>
    </row>
    <row r="137" spans="2:7">
      <c r="B137" s="130" t="str">
        <f>B54</f>
        <v>2008-Q4</v>
      </c>
      <c r="C137" s="134">
        <f>IF( LEN( C54 ) = 0, #N/A, C54 / 10^3 )</f>
        <v>361.92098126997985</v>
      </c>
      <c r="D137" s="605">
        <f t="shared" si="3"/>
        <v>-0.10520042265326524</v>
      </c>
    </row>
    <row r="138" spans="2:7">
      <c r="B138" s="130" t="str">
        <f>B55</f>
        <v>2009-Q1</v>
      </c>
      <c r="C138" s="134">
        <f>IF( LEN( C55 ) = 0, #N/A, C55 / 10^3 )</f>
        <v>316.06977204999998</v>
      </c>
      <c r="D138" s="605">
        <f t="shared" si="3"/>
        <v>-0.12668845298520159</v>
      </c>
    </row>
    <row r="139" spans="2:7">
      <c r="B139" s="130" t="str">
        <f>B56</f>
        <v>2009-Q2</v>
      </c>
      <c r="C139" s="134">
        <f>IF( LEN( C56 ) = 0, #N/A, C56 / 10^3 )</f>
        <v>343.84449533299988</v>
      </c>
      <c r="D139" s="605">
        <f t="shared" si="3"/>
        <v>8.7875291277794698E-2</v>
      </c>
    </row>
    <row r="140" spans="2:7">
      <c r="B140" s="130" t="str">
        <f>B57</f>
        <v>2009-Q3</v>
      </c>
      <c r="C140" s="134">
        <f>IF( LEN( C57 ) = 0, #N/A, C57 / 10^3 )</f>
        <v>363.18548616191003</v>
      </c>
      <c r="D140" s="605">
        <f t="shared" si="3"/>
        <v>5.6249237930010132E-2</v>
      </c>
    </row>
    <row r="141" spans="2:7">
      <c r="B141" s="130" t="str">
        <f>B58</f>
        <v>2009-Q4</v>
      </c>
      <c r="C141" s="134">
        <f>IF( LEN( C58 ) = 0, #N/A, C58 / 10^3 )</f>
        <v>389.67151094029992</v>
      </c>
      <c r="D141" s="605">
        <f t="shared" si="3"/>
        <v>7.2926991269090191E-2</v>
      </c>
    </row>
    <row r="142" spans="2:7">
      <c r="B142" s="130" t="str">
        <f>B59</f>
        <v>2010-Q1</v>
      </c>
      <c r="C142" s="134">
        <f>IF( LEN( C59 ) = 0, #N/A, C59 / 10^3 )</f>
        <v>377.28094793894985</v>
      </c>
      <c r="D142" s="605">
        <f t="shared" si="3"/>
        <v>-3.1797456712837291E-2</v>
      </c>
    </row>
    <row r="143" spans="2:7">
      <c r="B143" s="130" t="str">
        <f>B60</f>
        <v>2010-Q2</v>
      </c>
      <c r="C143" s="134">
        <f>IF( LEN( C60 ) = 0, #N/A, C60 / 10^3 )</f>
        <v>360.04369155345995</v>
      </c>
      <c r="D143" s="605">
        <f t="shared" si="3"/>
        <v>-4.5688117779748461E-2</v>
      </c>
    </row>
    <row r="144" spans="2:7">
      <c r="B144" s="130" t="str">
        <f>B61</f>
        <v>2010-Q3</v>
      </c>
      <c r="C144" s="134">
        <f>IF( LEN( C61 ) = 0, #N/A, C61 / 10^3 )</f>
        <v>402.01386640883999</v>
      </c>
      <c r="D144" s="605">
        <f t="shared" si="3"/>
        <v>0.11656967151484787</v>
      </c>
    </row>
    <row r="145" spans="2:4">
      <c r="B145" s="130" t="str">
        <f>B62</f>
        <v>2010-Q4</v>
      </c>
      <c r="C145" s="134">
        <f>IF( LEN( C62 ) = 0, #N/A, C62 / 10^3 )</f>
        <v>407.2745321821601</v>
      </c>
      <c r="D145" s="605">
        <f t="shared" si="3"/>
        <v>1.3085781891836845E-2</v>
      </c>
    </row>
    <row r="146" spans="2:4">
      <c r="B146" s="130" t="str">
        <f>B63</f>
        <v>2011-Q1</v>
      </c>
      <c r="C146" s="134">
        <f>IF( LEN( C63 ) = 0, #N/A, C63 / 10^3 )</f>
        <v>411.16350945867993</v>
      </c>
      <c r="D146" s="605">
        <f t="shared" si="3"/>
        <v>9.5487858169840401E-3</v>
      </c>
    </row>
    <row r="147" spans="2:4">
      <c r="B147" s="130" t="str">
        <f>B64</f>
        <v>2011-Q2</v>
      </c>
      <c r="C147" s="134">
        <f>IF( LEN( C64 ) = 0, #N/A, C64 / 10^3 )</f>
        <v>433.23563623772998</v>
      </c>
      <c r="D147" s="605">
        <f t="shared" si="3"/>
        <v>5.3682114952538607E-2</v>
      </c>
    </row>
    <row r="148" spans="2:4">
      <c r="B148" s="130" t="str">
        <f>B65</f>
        <v>2011-Q3</v>
      </c>
      <c r="C148" s="134">
        <f>IF( LEN( C65 ) = 0, #N/A, C65 / 10^3 )</f>
        <v>442.35213418901986</v>
      </c>
      <c r="D148" s="605">
        <f t="shared" si="3"/>
        <v>2.1042816400004938E-2</v>
      </c>
    </row>
    <row r="149" spans="2:4">
      <c r="B149" s="130" t="str">
        <f>B66</f>
        <v>2011-Q4</v>
      </c>
      <c r="C149" s="134">
        <f>IF( LEN( C66 ) = 0, #N/A, C66 / 10^3 )</f>
        <v>471.63482986866001</v>
      </c>
      <c r="D149" s="605">
        <f t="shared" si="3"/>
        <v>6.6197704083252873E-2</v>
      </c>
    </row>
    <row r="150" spans="2:4">
      <c r="B150" s="130" t="str">
        <f>B67</f>
        <v>2012-Q1</v>
      </c>
      <c r="C150" s="134">
        <f>IF( LEN( C67 ) = 0, #N/A, C67 / 10^3 )</f>
        <v>450.59740062660018</v>
      </c>
      <c r="D150" s="605">
        <f t="shared" si="3"/>
        <v>-4.4605334275075292E-2</v>
      </c>
    </row>
    <row r="151" spans="2:4">
      <c r="B151" s="130" t="str">
        <f>B68</f>
        <v>2012-Q2</v>
      </c>
      <c r="C151" s="134">
        <f>IF( LEN( C68 ) = 0, #N/A, C68 / 10^3 )</f>
        <v>475.08341590257317</v>
      </c>
      <c r="D151" s="605">
        <f t="shared" si="3"/>
        <v>5.434122620752535E-2</v>
      </c>
    </row>
    <row r="152" spans="2:4">
      <c r="B152" s="130" t="str">
        <f>B69</f>
        <v>2012-Q3</v>
      </c>
      <c r="C152" s="134">
        <f>IF( LEN( C69 ) = 0, #N/A, C69 / 10^3 )</f>
        <v>479.53989036317</v>
      </c>
      <c r="D152" s="605">
        <f t="shared" si="3"/>
        <v>9.3804041804539384E-3</v>
      </c>
    </row>
    <row r="153" spans="2:4">
      <c r="B153" s="130" t="str">
        <f>B70</f>
        <v>2012-Q4</v>
      </c>
      <c r="C153" s="134">
        <f>IF( LEN( C70 ) = 0, #N/A, C70 / 10^3 )</f>
        <v>463.91586649211013</v>
      </c>
      <c r="D153" s="605">
        <f t="shared" si="3"/>
        <v>-3.2581280900797038E-2</v>
      </c>
    </row>
    <row r="154" spans="2:4">
      <c r="B154" s="130" t="str">
        <f>B71</f>
        <v>2013-Q1</v>
      </c>
      <c r="C154" s="134">
        <f>IF( LEN( C71 ) = 0, #N/A, C71 / 10^3 )</f>
        <v>507.16305109525001</v>
      </c>
      <c r="D154" s="605">
        <f t="shared" si="3"/>
        <v>9.3222042458156462E-2</v>
      </c>
    </row>
    <row r="155" spans="2:4">
      <c r="B155" s="130" t="str">
        <f>B72</f>
        <v>2013-Q2</v>
      </c>
      <c r="C155" s="134">
        <f>IF( LEN( C72 ) = 0, #N/A, C72 / 10^3 )</f>
        <v>505.09149956703988</v>
      </c>
      <c r="D155" s="605">
        <f t="shared" ref="D155" si="4" xml:space="preserve"> IF( LEN( C155 ) = 0, #N/A, ( C155 / C154 - 1 ) )</f>
        <v>-4.0845868478323055E-3</v>
      </c>
    </row>
    <row r="156" spans="2:4">
      <c r="B156" s="130" t="str">
        <f>B73</f>
        <v>2013-Q3</v>
      </c>
      <c r="C156" s="134">
        <f>IF( LEN( C73 ) = 0, #N/A, C73 / 10^3 )</f>
        <v>499.77648118901004</v>
      </c>
      <c r="D156" s="605">
        <f t="shared" ref="D156" si="5" xml:space="preserve"> IF( LEN( C156 ) = 0, #N/A, ( C156 / C155 - 1 ) )</f>
        <v>-1.0522882255167287E-2</v>
      </c>
    </row>
    <row r="157" spans="2:4">
      <c r="B157" s="130" t="str">
        <f>B74</f>
        <v>2013-Q4</v>
      </c>
      <c r="C157" s="134">
        <f>IF( LEN( C74 ) = 0, #N/A, C74 / 10^3 )</f>
        <v>504.36452230437999</v>
      </c>
      <c r="D157" s="605">
        <f t="shared" ref="D157:D166" si="6" xml:space="preserve"> IF( LEN( C157 ) = 0, #N/A, ( C157 / C156 - 1 ) )</f>
        <v>9.1801861193119283E-3</v>
      </c>
    </row>
    <row r="158" spans="2:4">
      <c r="B158" s="130" t="str">
        <f>B75</f>
        <v>2014-Q1</v>
      </c>
      <c r="C158" s="134">
        <f>IF( LEN( C75 ) = 0, #N/A, C75 / 10^3 )</f>
        <v>548.00635600041994</v>
      </c>
      <c r="D158" s="605">
        <f t="shared" si="6"/>
        <v>8.6528357499543684E-2</v>
      </c>
    </row>
    <row r="159" spans="2:4">
      <c r="B159" s="130" t="str">
        <f>B76</f>
        <v>2014-Q2</v>
      </c>
      <c r="C159" s="134">
        <f>IF( LEN( C76 ) = 0, #N/A, C76 / 10^3 )</f>
        <v>587.73478540314989</v>
      </c>
      <c r="D159" s="605">
        <f t="shared" si="6"/>
        <v>7.2496293095366093E-2</v>
      </c>
    </row>
    <row r="160" spans="2:4">
      <c r="B160" s="130" t="str">
        <f>B77</f>
        <v>2014-Q3</v>
      </c>
      <c r="C160" s="134">
        <f>IF( LEN( C77 ) = 0, #N/A, C77 / 10^3 )</f>
        <v>557.47248832412004</v>
      </c>
      <c r="D160" s="605">
        <f t="shared" si="6"/>
        <v>-5.1489715821859683E-2</v>
      </c>
    </row>
    <row r="161" spans="2:4">
      <c r="B161" s="130" t="str">
        <f>B78</f>
        <v>2014-Q4</v>
      </c>
      <c r="C161" s="134">
        <f>IF( LEN( C78 ) = 0, #N/A, C78 / 10^3 )</f>
        <v>632.18549245675968</v>
      </c>
      <c r="D161" s="605">
        <f t="shared" si="6"/>
        <v>0.13402097089533993</v>
      </c>
    </row>
    <row r="162" spans="2:4">
      <c r="B162" s="130" t="str">
        <f>B79</f>
        <v>2015-Q1</v>
      </c>
      <c r="C162" s="134">
        <f>IF( LEN( C79 ) = 0, #N/A, C79 / 10^3 )</f>
        <v>596.85132125075984</v>
      </c>
      <c r="D162" s="605">
        <f t="shared" si="6"/>
        <v>-5.5892094373577561E-2</v>
      </c>
    </row>
    <row r="163" spans="2:4">
      <c r="B163" s="130" t="str">
        <f>B80</f>
        <v>2015-Q2</v>
      </c>
      <c r="C163" s="134">
        <f>IF( LEN( C80 ) = 0, #N/A, C80 / 10^3 )</f>
        <v>549.16410636400985</v>
      </c>
      <c r="D163" s="605">
        <f t="shared" si="6"/>
        <v>-7.9897979930440344E-2</v>
      </c>
    </row>
    <row r="164" spans="2:4">
      <c r="B164" s="130" t="str">
        <f>B81</f>
        <v>2015-Q3</v>
      </c>
      <c r="C164" s="134">
        <f>IF( LEN( C81 ) = 0, #N/A, C81 / 10^3 )</f>
        <v>568.2503335737099</v>
      </c>
      <c r="D164" s="605">
        <f t="shared" si="6"/>
        <v>3.4755052248532925E-2</v>
      </c>
    </row>
    <row r="165" spans="2:4">
      <c r="B165" s="130" t="str">
        <f>B82</f>
        <v>2015-Q4</v>
      </c>
      <c r="C165" s="134">
        <f>IF( LEN( C82 ) = 0, #N/A, C82 / 10^3 )</f>
        <v>576.8189467972901</v>
      </c>
      <c r="D165" s="605">
        <f t="shared" si="6"/>
        <v>1.5078940947895969E-2</v>
      </c>
    </row>
    <row r="166" spans="2:4">
      <c r="B166" s="130" t="str">
        <f>B83</f>
        <v>2016-Q1</v>
      </c>
      <c r="C166" s="134">
        <f>IF( LEN( C83 ) = 0, #N/A, C83 / 10^3 )</f>
        <v>662.57410528503033</v>
      </c>
      <c r="D166" s="605">
        <f t="shared" si="6"/>
        <v>0.148669108329198</v>
      </c>
    </row>
    <row r="167" spans="2:4">
      <c r="B167" s="130" t="str">
        <f>B84</f>
        <v>2016-Q2</v>
      </c>
      <c r="C167" s="134">
        <f>IF( LEN( C84 ) = 0, #N/A, C84 / 10^3 )</f>
        <v>706.36649706886021</v>
      </c>
      <c r="D167" s="605">
        <f t="shared" ref="D167:D168" si="7" xml:space="preserve"> IF( LEN( C167 ) = 0, #N/A, ( C167 / C166 - 1 ) )</f>
        <v>6.6094330331534668E-2</v>
      </c>
    </row>
    <row r="168" spans="2:4">
      <c r="B168" s="130" t="str">
        <f>B85</f>
        <v>2016-Q3</v>
      </c>
      <c r="C168" s="134">
        <f>IF( LEN( C85 ) = 0, #N/A, C85 / 10^3 )</f>
        <v>658.72837961059679</v>
      </c>
      <c r="D168" s="605">
        <f t="shared" si="7"/>
        <v>-6.7441077197096244E-2</v>
      </c>
    </row>
    <row r="169" spans="2:4">
      <c r="B169" s="130" t="str">
        <f>B86</f>
        <v>2016-Q4</v>
      </c>
      <c r="C169" s="134">
        <f>IF( LEN( C86 ) = 0, #N/A, C86 / 10^3 )</f>
        <v>659.84541104898005</v>
      </c>
      <c r="D169" s="605">
        <f t="shared" ref="D169:D170" si="8" xml:space="preserve"> IF( LEN( C169 ) = 0, #N/A, ( C169 / C168 - 1 ) )</f>
        <v>1.6957390526328719E-3</v>
      </c>
    </row>
    <row r="170" spans="2:4">
      <c r="B170" s="130" t="str">
        <f>B87</f>
        <v>2017-Q1</v>
      </c>
      <c r="C170" s="134">
        <f>IF( LEN( C87 ) = 0, #N/A, C87 / 10^3 )</f>
        <v>690.20538069674012</v>
      </c>
      <c r="D170" s="605">
        <f t="shared" si="8"/>
        <v>4.6010730906646424E-2</v>
      </c>
    </row>
    <row r="171" spans="2:4">
      <c r="B171" s="130" t="str">
        <f>B88</f>
        <v>2017-Q2</v>
      </c>
      <c r="C171" s="134">
        <f>IF( LEN( C88 ) = 0, #N/A, C88 / 10^3 )</f>
        <v>708.3291681707102</v>
      </c>
      <c r="D171" s="605">
        <f t="shared" ref="D171" si="9" xml:space="preserve"> IF( LEN( C171 ) = 0, #N/A, ( C171 / C170 - 1 ) )</f>
        <v>2.6258542719088451E-2</v>
      </c>
    </row>
    <row r="172" spans="2:4">
      <c r="B172" s="130" t="str">
        <f>B89</f>
        <v>2017-Q3</v>
      </c>
      <c r="C172" s="134">
        <f>IF( LEN( C89 ) = 0, #N/A, C89 / 10^3 )</f>
        <v>722.42290231951017</v>
      </c>
      <c r="D172" s="605">
        <f t="shared" ref="D172" si="10" xml:space="preserve"> IF( LEN( C172 ) = 0, #N/A, ( C172 / C171 - 1 ) )</f>
        <v>1.9897153445195048E-2</v>
      </c>
    </row>
    <row r="173" spans="2:4">
      <c r="B173" s="130" t="str">
        <f>B90</f>
        <v>2017-Q4</v>
      </c>
      <c r="C173" s="134">
        <f>IF( LEN( C90 ) = 0, #N/A, C90 / 10^3 )</f>
        <v>720.42704633623021</v>
      </c>
      <c r="D173" s="605">
        <f t="shared" ref="D173:D174" si="11" xml:space="preserve"> IF( LEN( C173 ) = 0, #N/A, ( C173 / C172 - 1 ) )</f>
        <v>-2.762725235968877E-3</v>
      </c>
    </row>
    <row r="174" spans="2:4">
      <c r="B174" s="130" t="str">
        <f>B91</f>
        <v>2018-Q1</v>
      </c>
      <c r="C174" s="134">
        <f>IF( LEN( C91 ) = 0, #N/A, C91 / 10^3 )</f>
        <v>692.2823331615798</v>
      </c>
      <c r="D174" s="605">
        <f t="shared" si="11"/>
        <v>-3.9066708166748954E-2</v>
      </c>
    </row>
    <row r="175" spans="2:4">
      <c r="B175" s="130" t="str">
        <f>B92</f>
        <v>2018-Q2</v>
      </c>
      <c r="C175" s="134">
        <f>IF( LEN( C92 ) = 0, #N/A, C92 / 10^3 )</f>
        <v>716.34984834647025</v>
      </c>
      <c r="D175" s="605">
        <f t="shared" ref="D175:D177" si="12" xml:space="preserve"> IF( LEN( C175 ) = 0, #N/A, ( C175 / C174 - 1 ) )</f>
        <v>3.476546205502129E-2</v>
      </c>
    </row>
    <row r="176" spans="2:4">
      <c r="B176" s="130" t="str">
        <f>B93</f>
        <v>2018-Q3</v>
      </c>
      <c r="C176" s="134">
        <f>IF( LEN( C93 ) = 0, #N/A, C93 / 10^3 )</f>
        <v>724.76568537327023</v>
      </c>
      <c r="D176" s="605">
        <f t="shared" si="12"/>
        <v>1.1748221970348638E-2</v>
      </c>
    </row>
    <row r="177" spans="2:4">
      <c r="B177" s="130" t="str">
        <f>B94</f>
        <v>2018-Q4</v>
      </c>
      <c r="C177" s="134">
        <f>IF( LEN( C94 ) = 0, #N/A, C94 / 10^3 )</f>
        <v>731.31277571297994</v>
      </c>
      <c r="D177" s="605">
        <f t="shared" si="12"/>
        <v>9.0333889584435223E-3</v>
      </c>
    </row>
    <row r="178" spans="2:4">
      <c r="B178" s="130" t="str">
        <f>B95</f>
        <v>2019-Q1</v>
      </c>
      <c r="C178" s="134">
        <f>IF( LEN( C95 ) = 0, #N/A, C95 / 10^3 )</f>
        <v>790.29084938115</v>
      </c>
      <c r="D178" s="605">
        <f t="shared" ref="D178:D180" si="13" xml:space="preserve"> IF( LEN( C178 ) = 0, #N/A, ( C178 / C177 - 1 ) )</f>
        <v>8.0646852655719581E-2</v>
      </c>
    </row>
    <row r="179" spans="2:4">
      <c r="B179" s="130" t="str">
        <f>B96</f>
        <v>2019-Q2</v>
      </c>
      <c r="C179" s="134">
        <f>IF( LEN( C96 ) = 0, #N/A, C96 / 10^3 )</f>
        <v>838.25604277361026</v>
      </c>
      <c r="D179" s="605">
        <f t="shared" si="13"/>
        <v>6.0693089677072987E-2</v>
      </c>
    </row>
    <row r="180" spans="2:4">
      <c r="B180" s="130" t="str">
        <f t="shared" ref="B180:B182" si="14">B97</f>
        <v>2019-Q3</v>
      </c>
      <c r="C180" s="134">
        <f t="shared" ref="C180:C182" si="15">IF( LEN( C97 ) = 0, #N/A, C97 / 10^3 )</f>
        <v>902.42812045604001</v>
      </c>
      <c r="D180" s="605">
        <f t="shared" ref="D180:D182" si="16" xml:space="preserve"> IF( LEN( C180 ) = 0, #N/A, ( C180 / C179 - 1 ) )</f>
        <v>7.6554267918067076E-2</v>
      </c>
    </row>
    <row r="181" spans="2:4">
      <c r="B181" s="130" t="str">
        <f t="shared" si="14"/>
        <v>2019-Q4</v>
      </c>
      <c r="C181" s="134">
        <f t="shared" si="15"/>
        <v>905.00872347773009</v>
      </c>
      <c r="D181" s="605">
        <f t="shared" si="16"/>
        <v>2.8596216842022848E-3</v>
      </c>
    </row>
    <row r="182" spans="2:4">
      <c r="B182" s="130" t="str">
        <f t="shared" si="14"/>
        <v>2020-Q1</v>
      </c>
      <c r="C182" s="134">
        <f t="shared" si="15"/>
        <v>773.53561783613998</v>
      </c>
      <c r="D182" s="605">
        <f t="shared" si="16"/>
        <v>-0.14527274956684477</v>
      </c>
    </row>
    <row r="183" spans="2:4">
      <c r="B183" s="602"/>
      <c r="C183" s="602"/>
      <c r="D183" s="602"/>
    </row>
    <row r="185" spans="2:4">
      <c r="B185" s="15" t="s">
        <v>658</v>
      </c>
    </row>
  </sheetData>
  <mergeCells count="3">
    <mergeCell ref="B20:D20"/>
    <mergeCell ref="B103:D103"/>
    <mergeCell ref="A1:B1"/>
  </mergeCells>
  <phoneticPr fontId="3" type="noConversion"/>
  <hyperlinks>
    <hyperlink ref="A1" location="Index!A1" display="Return to Index" xr:uid="{00000000-0004-0000-0C00-000000000000}"/>
    <hyperlink ref="A1:B1" location="Contents!A1" display="Go to Contents" xr:uid="{00000000-0004-0000-0C00-000001000000}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outlinePr summaryBelow="0" summaryRight="0"/>
  </sheetPr>
  <dimension ref="A1:N45"/>
  <sheetViews>
    <sheetView showGridLines="0" zoomScaleNormal="100" workbookViewId="0">
      <selection sqref="A1:B1"/>
    </sheetView>
  </sheetViews>
  <sheetFormatPr defaultColWidth="9.109375" defaultRowHeight="13.8"/>
  <cols>
    <col min="1" max="1" width="4.88671875" style="11" customWidth="1"/>
    <col min="2" max="2" width="6" style="11" customWidth="1"/>
    <col min="3" max="3" width="35.5546875" style="11" customWidth="1"/>
    <col min="4" max="4" width="3.109375" style="11" customWidth="1"/>
    <col min="5" max="10" width="11.88671875" style="11" customWidth="1"/>
    <col min="11" max="11" width="5.5546875" style="11" customWidth="1"/>
    <col min="12" max="12" width="10.5546875" style="11" bestFit="1" customWidth="1"/>
    <col min="13" max="16384" width="9.109375" style="11"/>
  </cols>
  <sheetData>
    <row r="1" spans="1:11">
      <c r="A1" s="852" t="s">
        <v>408</v>
      </c>
      <c r="B1" s="855"/>
    </row>
    <row r="2" spans="1:11" ht="18">
      <c r="B2" s="162" t="s">
        <v>99</v>
      </c>
    </row>
    <row r="3" spans="1:11">
      <c r="C3" s="167" t="s">
        <v>667</v>
      </c>
    </row>
    <row r="4" spans="1:11">
      <c r="B4" s="38"/>
      <c r="C4" s="50"/>
      <c r="D4" s="50"/>
      <c r="E4" s="50"/>
      <c r="F4" s="50"/>
      <c r="G4" s="50"/>
      <c r="H4" s="50"/>
      <c r="I4" s="50"/>
      <c r="J4" s="50"/>
      <c r="K4" s="50"/>
    </row>
    <row r="5" spans="1:11" ht="15.6">
      <c r="B5" s="38"/>
      <c r="C5" s="870" t="s">
        <v>543</v>
      </c>
      <c r="D5" s="870"/>
      <c r="E5" s="870"/>
      <c r="F5" s="870"/>
      <c r="G5" s="870"/>
      <c r="H5" s="870"/>
      <c r="I5" s="870"/>
      <c r="J5" s="870"/>
      <c r="K5" s="50"/>
    </row>
    <row r="6" spans="1:11" s="22" customFormat="1" ht="10.199999999999999">
      <c r="C6" s="871"/>
      <c r="D6" s="871"/>
      <c r="E6" s="871"/>
      <c r="F6" s="871"/>
      <c r="G6" s="871"/>
      <c r="H6" s="871"/>
      <c r="I6" s="871"/>
      <c r="J6" s="871"/>
      <c r="K6" s="615"/>
    </row>
    <row r="7" spans="1:11">
      <c r="B7" s="38"/>
      <c r="C7" s="872" t="s">
        <v>66</v>
      </c>
      <c r="D7" s="872"/>
      <c r="E7" s="872"/>
      <c r="F7" s="872"/>
      <c r="G7" s="872"/>
      <c r="H7" s="872"/>
      <c r="I7" s="872"/>
      <c r="J7" s="872"/>
      <c r="K7" s="50"/>
    </row>
    <row r="8" spans="1:11">
      <c r="B8" s="38"/>
      <c r="C8" s="43"/>
      <c r="D8" s="43"/>
      <c r="E8" s="699"/>
      <c r="F8" s="718"/>
      <c r="G8" s="790"/>
      <c r="H8" s="52"/>
      <c r="I8" s="846"/>
      <c r="J8" s="43"/>
    </row>
    <row r="9" spans="1:11">
      <c r="B9" s="38"/>
    </row>
    <row r="30" spans="3:14">
      <c r="K30" s="16"/>
    </row>
    <row r="32" spans="3:14">
      <c r="C32" s="103"/>
      <c r="D32" s="103"/>
      <c r="E32" s="135">
        <v>42369</v>
      </c>
      <c r="F32" s="135">
        <v>42735</v>
      </c>
      <c r="G32" s="135">
        <v>43100</v>
      </c>
      <c r="H32" s="135">
        <v>43465</v>
      </c>
      <c r="I32" s="135">
        <v>43830</v>
      </c>
      <c r="J32" s="617">
        <f>Settings_End_Date</f>
        <v>43921</v>
      </c>
      <c r="K32" s="40"/>
      <c r="L32" s="40"/>
      <c r="N32" s="39"/>
    </row>
    <row r="33" spans="2:14">
      <c r="B33" s="60" t="s">
        <v>2</v>
      </c>
      <c r="C33" s="136" t="s">
        <v>59</v>
      </c>
      <c r="D33" s="136"/>
      <c r="E33" s="139"/>
      <c r="F33" s="164">
        <v>22.210400936556759</v>
      </c>
      <c r="G33" s="164">
        <v>11.559444234893869</v>
      </c>
      <c r="H33" s="164">
        <v>4.2809865030056971</v>
      </c>
      <c r="I33" s="164">
        <v>23.056408121647753</v>
      </c>
      <c r="J33" s="140">
        <f ca="1">'II. Category'!$D$7</f>
        <v>-15.76426708255948</v>
      </c>
      <c r="K33" s="20"/>
      <c r="L33" s="41"/>
      <c r="N33" s="41"/>
    </row>
    <row r="34" spans="2:14">
      <c r="B34" s="60"/>
      <c r="C34" s="501" t="s">
        <v>60</v>
      </c>
      <c r="D34" s="501"/>
      <c r="E34" s="502">
        <v>100</v>
      </c>
      <c r="F34" s="503">
        <f t="shared" ref="F34" si="0">(1+(F33/100))*E34</f>
        <v>122.21040093655675</v>
      </c>
      <c r="G34" s="503">
        <f t="shared" ref="G34" si="1">(1+(G33/100))*F34</f>
        <v>136.33724408205825</v>
      </c>
      <c r="H34" s="503">
        <f t="shared" ref="H34" si="2">(1+(H33/100))*G34</f>
        <v>142.17382309978109</v>
      </c>
      <c r="I34" s="503">
        <f>(1+(I33/100))*H34</f>
        <v>174.95399999581613</v>
      </c>
      <c r="J34" s="503">
        <f ca="1">(1+(J33/100))*I34</f>
        <v>147.37378416485458</v>
      </c>
      <c r="K34" s="25"/>
      <c r="L34" s="42"/>
      <c r="N34" s="42"/>
    </row>
    <row r="35" spans="2:14">
      <c r="B35" s="60" t="s">
        <v>3</v>
      </c>
      <c r="C35" s="504" t="s">
        <v>67</v>
      </c>
      <c r="D35" s="504"/>
      <c r="E35" s="505"/>
      <c r="F35" s="506">
        <v>21.156729684444013</v>
      </c>
      <c r="G35" s="506">
        <v>11.661352805714333</v>
      </c>
      <c r="H35" s="506">
        <v>4.5466312213887941</v>
      </c>
      <c r="I35" s="506">
        <v>24.561618826895447</v>
      </c>
      <c r="J35" s="507">
        <f ca="1">'II. Category'!$D$8</f>
        <v>-15.024348928007255</v>
      </c>
      <c r="K35" s="20"/>
      <c r="L35" s="41"/>
      <c r="N35" s="41"/>
    </row>
    <row r="36" spans="2:14">
      <c r="B36" s="60"/>
      <c r="C36" s="501" t="s">
        <v>68</v>
      </c>
      <c r="D36" s="501"/>
      <c r="E36" s="502">
        <v>100</v>
      </c>
      <c r="F36" s="503">
        <f t="shared" ref="F36" si="3">(1+(F35/100))*E36</f>
        <v>121.15672968444402</v>
      </c>
      <c r="G36" s="503">
        <f t="shared" ref="G36" si="4">(1+(G35/100))*F36</f>
        <v>135.28524338081266</v>
      </c>
      <c r="H36" s="503">
        <f>(1+(H35/100))*G36</f>
        <v>141.43616449429649</v>
      </c>
      <c r="I36" s="503">
        <f t="shared" ref="I36:J36" si="5">(1+(I35/100))*H36</f>
        <v>176.17517610076644</v>
      </c>
      <c r="J36" s="503">
        <f t="shared" ca="1" si="5"/>
        <v>149.70600291885603</v>
      </c>
      <c r="K36" s="25"/>
      <c r="L36" s="42"/>
      <c r="N36" s="42"/>
    </row>
    <row r="37" spans="2:14">
      <c r="B37" s="60" t="s">
        <v>5</v>
      </c>
      <c r="C37" s="504" t="s">
        <v>69</v>
      </c>
      <c r="D37" s="504"/>
      <c r="E37" s="505"/>
      <c r="F37" s="506">
        <v>24.565673066086902</v>
      </c>
      <c r="G37" s="506">
        <v>11.324270609923568</v>
      </c>
      <c r="H37" s="506">
        <v>3.6168747070479554</v>
      </c>
      <c r="I37" s="506">
        <v>17.871793470239041</v>
      </c>
      <c r="J37" s="507">
        <f ca="1">'II. Category'!$D$9</f>
        <v>-18.312874059350492</v>
      </c>
      <c r="K37" s="20"/>
      <c r="L37" s="41"/>
      <c r="N37" s="41"/>
    </row>
    <row r="38" spans="2:14">
      <c r="B38" s="60"/>
      <c r="C38" s="501" t="s">
        <v>70</v>
      </c>
      <c r="D38" s="501"/>
      <c r="E38" s="502">
        <v>100</v>
      </c>
      <c r="F38" s="503">
        <f t="shared" ref="F38" si="6">(1+(F37/100))*E38</f>
        <v>124.5656730660869</v>
      </c>
      <c r="G38" s="503">
        <f t="shared" ref="G38" si="7">(1+(G37/100))*F38</f>
        <v>138.67182697116326</v>
      </c>
      <c r="H38" s="503">
        <f t="shared" ref="H38" si="8">(1+(H37/100))*G38</f>
        <v>143.68741320668454</v>
      </c>
      <c r="I38" s="503">
        <f t="shared" ref="I38" si="9">(1+(I37/100))*H38</f>
        <v>169.36693093771217</v>
      </c>
      <c r="J38" s="503">
        <f ca="1">(1+(J37/100))*I38</f>
        <v>138.3509781769018</v>
      </c>
      <c r="K38" s="25"/>
      <c r="L38" s="42"/>
      <c r="N38" s="42"/>
    </row>
    <row r="39" spans="2:14">
      <c r="B39" s="60"/>
      <c r="K39" s="20"/>
      <c r="L39" s="41"/>
      <c r="N39" s="41"/>
    </row>
    <row r="40" spans="2:14">
      <c r="K40" s="24"/>
      <c r="L40" s="19"/>
      <c r="N40" s="19"/>
    </row>
    <row r="41" spans="2:14">
      <c r="C41" s="208" t="s">
        <v>384</v>
      </c>
      <c r="E41" s="20"/>
      <c r="F41" s="20"/>
      <c r="G41" s="20"/>
      <c r="H41" s="20"/>
      <c r="I41" s="20"/>
      <c r="J41" s="20"/>
    </row>
    <row r="42" spans="2:14">
      <c r="C42" s="209" t="s">
        <v>445</v>
      </c>
      <c r="E42" s="20"/>
      <c r="F42" s="20"/>
      <c r="G42" s="20"/>
      <c r="H42" s="20"/>
      <c r="I42" s="20"/>
      <c r="J42" s="20"/>
    </row>
    <row r="43" spans="2:14">
      <c r="C43" s="209" t="s">
        <v>716</v>
      </c>
    </row>
    <row r="44" spans="2:14">
      <c r="C44" s="209"/>
    </row>
    <row r="45" spans="2:14">
      <c r="C45" s="15" t="s">
        <v>658</v>
      </c>
    </row>
  </sheetData>
  <mergeCells count="4">
    <mergeCell ref="A1:B1"/>
    <mergeCell ref="C5:J5"/>
    <mergeCell ref="C6:J6"/>
    <mergeCell ref="C7:J7"/>
  </mergeCells>
  <phoneticPr fontId="3" type="noConversion"/>
  <hyperlinks>
    <hyperlink ref="A1" location="Index!A1" display="Return to Index" xr:uid="{00000000-0004-0000-0D00-000000000000}"/>
    <hyperlink ref="A1:B1" location="Contents!A1" display="Go to Contents" xr:uid="{00000000-0004-0000-0D00-000001000000}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09375" defaultRowHeight="13.8" outlineLevelCol="1"/>
  <cols>
    <col min="1" max="1" width="3.33203125" style="109" customWidth="1"/>
    <col min="2" max="2" width="25.44140625" style="109" customWidth="1"/>
    <col min="3" max="3" width="14.88671875" style="109" customWidth="1"/>
    <col min="4" max="4" width="10.88671875" style="109" customWidth="1"/>
    <col min="5" max="5" width="9.109375" style="109" collapsed="1"/>
    <col min="6" max="7" width="9.109375" style="109" hidden="1" customWidth="1" outlineLevel="1"/>
    <col min="8" max="8" width="2.109375" style="109" hidden="1" customWidth="1" outlineLevel="1"/>
    <col min="9" max="9" width="7.33203125" style="312" hidden="1" customWidth="1" outlineLevel="1"/>
    <col min="10" max="10" width="29.5546875" style="111" hidden="1" customWidth="1" outlineLevel="1"/>
    <col min="11" max="11" width="7.6640625" style="111" hidden="1" customWidth="1" outlineLevel="1"/>
    <col min="12" max="12" width="3.5546875" style="111" hidden="1" customWidth="1" outlineLevel="1"/>
    <col min="13" max="13" width="17" style="396" hidden="1" customWidth="1" outlineLevel="1"/>
    <col min="14" max="14" width="3.109375" style="111" hidden="1" customWidth="1" outlineLevel="1"/>
    <col min="15" max="15" width="7.88671875" style="371" hidden="1" customWidth="1" outlineLevel="1"/>
    <col min="16" max="16" width="3.5546875" style="434" hidden="1" customWidth="1" outlineLevel="1"/>
    <col min="17" max="17" width="12.44140625" style="493" hidden="1" customWidth="1" outlineLevel="1"/>
    <col min="18" max="18" width="3.5546875" style="109" hidden="1" customWidth="1" outlineLevel="1"/>
    <col min="19" max="19" width="6.6640625" style="486" hidden="1" customWidth="1" outlineLevel="1"/>
    <col min="20" max="20" width="3.44140625" style="387" hidden="1" customWidth="1" outlineLevel="1" collapsed="1"/>
    <col min="21" max="21" width="9.109375" style="387" hidden="1" customWidth="1" outlineLevel="1"/>
    <col min="22" max="23" width="9.109375" style="109" hidden="1" customWidth="1" outlineLevel="1"/>
    <col min="24" max="24" width="9.109375" style="486" hidden="1" customWidth="1" outlineLevel="1"/>
    <col min="25" max="25" width="9.109375" style="109" hidden="1" customWidth="1" outlineLevel="1"/>
    <col min="26" max="26" width="9.109375" style="109" collapsed="1"/>
    <col min="27" max="16384" width="9.109375" style="109"/>
  </cols>
  <sheetData>
    <row r="1" spans="1:24">
      <c r="A1" s="852" t="s">
        <v>408</v>
      </c>
      <c r="B1" s="855"/>
      <c r="H1" s="595"/>
      <c r="I1" s="595" t="s">
        <v>525</v>
      </c>
      <c r="J1" s="688">
        <f>Settings_Period</f>
        <v>2020.1</v>
      </c>
      <c r="K1" s="239"/>
      <c r="L1" s="239"/>
      <c r="P1" s="425"/>
    </row>
    <row r="2" spans="1:24" ht="18">
      <c r="B2" s="162" t="s">
        <v>100</v>
      </c>
      <c r="C2" s="570"/>
      <c r="H2" s="316"/>
      <c r="I2" s="316"/>
      <c r="J2" s="362"/>
      <c r="K2" s="362"/>
      <c r="L2" s="362"/>
      <c r="M2" s="873" t="s">
        <v>440</v>
      </c>
      <c r="N2" s="875"/>
      <c r="O2" s="876"/>
      <c r="P2" s="426"/>
      <c r="Q2" s="873" t="s">
        <v>441</v>
      </c>
      <c r="R2" s="875"/>
      <c r="S2" s="876"/>
      <c r="T2" s="367"/>
      <c r="U2" s="873" t="s">
        <v>442</v>
      </c>
      <c r="V2" s="874"/>
      <c r="W2" s="875"/>
      <c r="X2" s="876"/>
    </row>
    <row r="3" spans="1:24">
      <c r="B3" s="197" t="str">
        <f>Settings_Ending_Period</f>
        <v>Period ending 3/31/2020</v>
      </c>
      <c r="H3" s="316"/>
      <c r="I3" s="316"/>
      <c r="J3" s="317" t="s">
        <v>395</v>
      </c>
      <c r="K3" s="317" t="s">
        <v>330</v>
      </c>
      <c r="L3" s="317"/>
      <c r="M3" s="401">
        <f>$J$1</f>
        <v>2020.1</v>
      </c>
      <c r="N3" s="318"/>
      <c r="O3" s="373" t="s">
        <v>383</v>
      </c>
      <c r="P3" s="427"/>
      <c r="Q3" s="479" t="s">
        <v>1</v>
      </c>
      <c r="R3" s="324"/>
      <c r="S3" s="419" t="s">
        <v>383</v>
      </c>
      <c r="T3" s="367"/>
      <c r="U3" s="365" t="s">
        <v>381</v>
      </c>
      <c r="V3" s="326" t="s">
        <v>382</v>
      </c>
      <c r="W3" s="326" t="s">
        <v>382</v>
      </c>
      <c r="X3" s="373" t="s">
        <v>443</v>
      </c>
    </row>
    <row r="4" spans="1:24">
      <c r="H4" s="316"/>
      <c r="I4" s="316"/>
      <c r="J4" s="317"/>
      <c r="K4" s="317"/>
      <c r="L4" s="317"/>
      <c r="M4" s="607" t="s">
        <v>410</v>
      </c>
      <c r="N4" s="318"/>
      <c r="O4" s="373"/>
      <c r="P4" s="427"/>
      <c r="Q4" s="479"/>
      <c r="R4" s="324"/>
      <c r="S4" s="419"/>
      <c r="T4" s="367"/>
      <c r="U4" s="367"/>
      <c r="V4" s="331"/>
      <c r="W4" s="331"/>
      <c r="X4" s="375"/>
    </row>
    <row r="5" spans="1:24" ht="15.6">
      <c r="B5" s="859" t="s">
        <v>75</v>
      </c>
      <c r="C5" s="859"/>
      <c r="D5" s="877"/>
      <c r="H5" s="328"/>
      <c r="I5" s="328"/>
      <c r="J5" s="327"/>
      <c r="K5" s="327"/>
      <c r="L5" s="327"/>
      <c r="M5" s="397" t="str">
        <f>M3 &amp; ":::" &amp; M4</f>
        <v>2020.1:::% Return</v>
      </c>
      <c r="N5" s="327"/>
      <c r="O5" s="404"/>
      <c r="P5" s="428"/>
      <c r="Q5" s="494"/>
      <c r="R5" s="330"/>
      <c r="S5" s="374"/>
      <c r="T5" s="367"/>
      <c r="U5" s="367"/>
      <c r="V5" s="331"/>
      <c r="W5" s="331"/>
      <c r="X5" s="375"/>
    </row>
    <row r="6" spans="1:24">
      <c r="B6" s="878" t="s">
        <v>545</v>
      </c>
      <c r="C6" s="856"/>
      <c r="D6" s="856"/>
      <c r="F6" s="468" t="s">
        <v>65</v>
      </c>
      <c r="G6" s="468" t="s">
        <v>383</v>
      </c>
      <c r="H6" s="332"/>
      <c r="I6" s="332"/>
      <c r="J6" s="305" t="s">
        <v>397</v>
      </c>
      <c r="K6" s="331"/>
      <c r="L6" s="333"/>
      <c r="M6" s="398" t="s">
        <v>413</v>
      </c>
      <c r="N6" s="305"/>
      <c r="O6" s="405" t="str">
        <f>M6</f>
        <v>'Calc_YTD'!</v>
      </c>
      <c r="P6" s="429"/>
      <c r="Q6" s="391" t="s">
        <v>415</v>
      </c>
      <c r="R6" s="331"/>
      <c r="S6" s="487"/>
      <c r="T6" s="367"/>
      <c r="U6" s="367"/>
      <c r="V6" s="331"/>
      <c r="W6" s="331"/>
      <c r="X6" s="375"/>
    </row>
    <row r="7" spans="1:24">
      <c r="B7" s="168" t="s">
        <v>466</v>
      </c>
      <c r="C7" s="580" t="s">
        <v>467</v>
      </c>
      <c r="D7" s="555" t="s">
        <v>1</v>
      </c>
      <c r="H7" s="332"/>
      <c r="I7" s="332"/>
      <c r="J7" s="306" t="str">
        <f>J6</f>
        <v>'CompanyList'!</v>
      </c>
      <c r="K7" s="306" t="str">
        <f>J7</f>
        <v>'CompanyList'!</v>
      </c>
      <c r="L7" s="306"/>
      <c r="M7" s="398" t="s">
        <v>402</v>
      </c>
      <c r="N7" s="305"/>
      <c r="O7" s="406" t="s">
        <v>414</v>
      </c>
      <c r="P7" s="430"/>
      <c r="Q7" s="498" t="str">
        <f>Q6</f>
        <v>'Reg_Percent'!</v>
      </c>
      <c r="R7" s="360"/>
      <c r="S7" s="499" t="str">
        <f>Q7</f>
        <v>'Reg_Percent'!</v>
      </c>
      <c r="T7" s="367"/>
      <c r="U7" s="367"/>
      <c r="V7" s="331"/>
      <c r="W7" s="331"/>
      <c r="X7" s="375"/>
    </row>
    <row r="8" spans="1:24">
      <c r="B8" s="577" t="str">
        <f t="shared" ref="B8:B17" ca="1" si="0">OFFSET( $J$11, $G8, 0 )</f>
        <v>El Paso Electric Company</v>
      </c>
      <c r="C8" s="574">
        <f t="shared" ref="C8:C17" ca="1" si="1">OFFSET( $M$11, $G8, 0 )</f>
        <v>0.67020179702461657</v>
      </c>
      <c r="D8" s="571" t="str">
        <f t="shared" ref="D8:D17" ca="1" si="2">OFFSET( $Q$11, $G8, 0 )</f>
        <v>R</v>
      </c>
      <c r="F8" s="205">
        <v>1</v>
      </c>
      <c r="G8" s="312">
        <f ca="1">MATCH( F8, $X$12:$X$71, 0 )</f>
        <v>15</v>
      </c>
      <c r="H8" s="332"/>
      <c r="I8" s="332"/>
      <c r="J8" s="307" t="s">
        <v>398</v>
      </c>
      <c r="K8" s="307" t="s">
        <v>399</v>
      </c>
      <c r="L8" s="307"/>
      <c r="M8" s="399" t="s">
        <v>310</v>
      </c>
      <c r="N8" s="333"/>
      <c r="O8" s="376"/>
      <c r="P8" s="431"/>
      <c r="Q8" s="496" t="s">
        <v>417</v>
      </c>
      <c r="R8" s="307"/>
      <c r="S8" s="487" t="s">
        <v>416</v>
      </c>
      <c r="T8" s="367"/>
      <c r="U8" s="367"/>
      <c r="V8" s="331"/>
      <c r="W8" s="331"/>
      <c r="X8" s="375"/>
    </row>
    <row r="9" spans="1:24">
      <c r="B9" s="578" t="str">
        <f t="shared" ca="1" si="0"/>
        <v>NextEra Energy, Inc.</v>
      </c>
      <c r="C9" s="575">
        <f t="shared" ca="1" si="1"/>
        <v>-5.7813016187624466E-2</v>
      </c>
      <c r="D9" s="572" t="str">
        <f t="shared" ca="1" si="2"/>
        <v>MR</v>
      </c>
      <c r="F9" s="312">
        <f>F8+1</f>
        <v>2</v>
      </c>
      <c r="G9" s="312">
        <f t="shared" ref="G9:G17" ca="1" si="3">MATCH( F9, $X$12:$X$71, 0 )</f>
        <v>25</v>
      </c>
      <c r="H9" s="332"/>
      <c r="I9" s="332"/>
      <c r="J9" s="333"/>
      <c r="K9" s="335"/>
      <c r="L9" s="335"/>
      <c r="M9" s="400">
        <f ca="1">MATCH( M$5, INDIRECT( M$6 &amp; M$7 ), 0 )</f>
        <v>6</v>
      </c>
      <c r="N9" s="333"/>
      <c r="O9" s="376"/>
      <c r="P9" s="432"/>
      <c r="Q9" s="480"/>
      <c r="R9" s="345"/>
      <c r="S9" s="375"/>
      <c r="T9" s="367"/>
      <c r="U9" s="367"/>
      <c r="V9" s="331"/>
      <c r="W9" s="331"/>
      <c r="X9" s="375"/>
    </row>
    <row r="10" spans="1:24">
      <c r="B10" s="578" t="str">
        <f t="shared" ca="1" si="0"/>
        <v>WEC Energy Group, Inc.</v>
      </c>
      <c r="C10" s="575">
        <f t="shared" ca="1" si="1"/>
        <v>-3.7596226824243795</v>
      </c>
      <c r="D10" s="572" t="str">
        <f t="shared" ca="1" si="2"/>
        <v>R</v>
      </c>
      <c r="F10" s="312">
        <f t="shared" ref="F10:F17" si="4">F9+1</f>
        <v>3</v>
      </c>
      <c r="G10" s="312">
        <f t="shared" ca="1" si="3"/>
        <v>39</v>
      </c>
      <c r="H10" s="335"/>
      <c r="I10" s="335"/>
      <c r="J10" s="335"/>
      <c r="K10" s="335"/>
      <c r="L10" s="335"/>
      <c r="M10" s="367"/>
      <c r="N10" s="337"/>
      <c r="O10" s="376"/>
      <c r="P10" s="432"/>
      <c r="Q10" s="495"/>
      <c r="R10" s="331"/>
      <c r="S10" s="375"/>
      <c r="T10" s="367"/>
      <c r="U10" s="367"/>
      <c r="V10" s="331"/>
      <c r="W10" s="331"/>
      <c r="X10" s="375"/>
    </row>
    <row r="11" spans="1:24">
      <c r="B11" s="578" t="str">
        <f t="shared" ca="1" si="0"/>
        <v>Xcel Energy Inc.</v>
      </c>
      <c r="C11" s="575">
        <f t="shared" ca="1" si="1"/>
        <v>-4.3471412820916715</v>
      </c>
      <c r="D11" s="572" t="str">
        <f t="shared" ca="1" si="2"/>
        <v>R</v>
      </c>
      <c r="F11" s="312">
        <f t="shared" si="4"/>
        <v>4</v>
      </c>
      <c r="G11" s="312">
        <f t="shared" ca="1" si="3"/>
        <v>40</v>
      </c>
      <c r="H11" s="335"/>
      <c r="I11" s="335"/>
      <c r="J11" s="335"/>
      <c r="K11" s="335"/>
      <c r="L11" s="335"/>
      <c r="M11" s="401"/>
      <c r="N11" s="337"/>
      <c r="O11" s="376"/>
      <c r="P11" s="432"/>
      <c r="Q11" s="495"/>
      <c r="R11" s="331"/>
      <c r="S11" s="375"/>
      <c r="T11" s="367"/>
      <c r="U11" s="367"/>
      <c r="V11" s="331"/>
      <c r="W11" s="331"/>
      <c r="X11" s="375"/>
    </row>
    <row r="12" spans="1:24">
      <c r="B12" s="578" t="str">
        <f t="shared" ca="1" si="0"/>
        <v>Ameren Corporation</v>
      </c>
      <c r="C12" s="575">
        <f t="shared" ca="1" si="1"/>
        <v>-4.5247395833333144</v>
      </c>
      <c r="D12" s="572" t="str">
        <f t="shared" ca="1" si="2"/>
        <v>R</v>
      </c>
      <c r="F12" s="312">
        <f t="shared" si="4"/>
        <v>5</v>
      </c>
      <c r="G12" s="312">
        <f t="shared" ca="1" si="3"/>
        <v>3</v>
      </c>
      <c r="H12" s="341"/>
      <c r="I12" s="341">
        <v>1</v>
      </c>
      <c r="J12" s="333" t="str">
        <f t="shared" ref="J12:J43" ca="1" si="5">OFFSET( INDIRECT( J$6 &amp; J$8 ), $I12 - 1, 0 )</f>
        <v>ALLETE, Inc.</v>
      </c>
      <c r="K12" s="333" t="str">
        <f t="shared" ref="K12:K43" ca="1" si="6">OFFSET( INDIRECT( K$7 &amp; K$8 ), $I12 - 1, 0 )</f>
        <v>ALE</v>
      </c>
      <c r="L12" s="333"/>
      <c r="M12" s="403">
        <f t="shared" ref="M12:M65" ca="1" si="7">IF( ISNA( $O12 ), "", OFFSET( INDIRECT( M$6 &amp; M$8 ), $O12 - 1, M$9 - 1 ) )</f>
        <v>-24.482567451028704</v>
      </c>
      <c r="N12" s="344"/>
      <c r="O12" s="407">
        <f t="shared" ref="O12:O71" ca="1" si="8">MATCH( $K12, INDIRECT( O$6 &amp; O$7 ), 0 )</f>
        <v>10</v>
      </c>
      <c r="P12" s="429"/>
      <c r="Q12" s="491" t="str">
        <f t="shared" ref="Q12:Q43" ca="1" si="9">OFFSET( INDIRECT( Q$7 &amp; Q$8 ), $S12 - 1, 0 )</f>
        <v>MR</v>
      </c>
      <c r="R12" s="335"/>
      <c r="S12" s="492">
        <f t="shared" ref="S12:S43" ca="1" si="10">MATCH( $K12, INDIRECT( S$7 &amp; S$8 ), 0 )</f>
        <v>16</v>
      </c>
      <c r="T12" s="367"/>
      <c r="U12" s="490">
        <f t="shared" ref="U12:U65" ca="1" si="11">IF( LEN( M12 ) = 0, 100, RANK( M12, M$12:M$71, 0 ) )</f>
        <v>33</v>
      </c>
      <c r="V12" s="345">
        <f ca="1">COUNTIF( U$12:U12, U12 ) - 1</f>
        <v>0</v>
      </c>
      <c r="W12" s="345">
        <f ca="1">U12 + V12 / 10</f>
        <v>33</v>
      </c>
      <c r="X12" s="488">
        <f t="shared" ref="X12:X43" ca="1" si="12">RANK( W12, $W$12:$W$71, 1 )</f>
        <v>33</v>
      </c>
    </row>
    <row r="13" spans="1:24">
      <c r="B13" s="578" t="str">
        <f t="shared" ca="1" si="0"/>
        <v>CMS Energy Corporation</v>
      </c>
      <c r="C13" s="575">
        <f t="shared" ca="1" si="1"/>
        <v>-5.8601209420751088</v>
      </c>
      <c r="D13" s="572" t="str">
        <f t="shared" ca="1" si="2"/>
        <v>R</v>
      </c>
      <c r="F13" s="312">
        <f t="shared" si="4"/>
        <v>6</v>
      </c>
      <c r="G13" s="312">
        <f t="shared" ca="1" si="3"/>
        <v>9</v>
      </c>
      <c r="H13" s="335"/>
      <c r="I13" s="335">
        <f>I12+1</f>
        <v>2</v>
      </c>
      <c r="J13" s="333" t="str">
        <f t="shared" ca="1" si="5"/>
        <v>Alliant Energy Corporation</v>
      </c>
      <c r="K13" s="333" t="str">
        <f t="shared" ca="1" si="6"/>
        <v>LNT</v>
      </c>
      <c r="L13" s="333"/>
      <c r="M13" s="403">
        <f t="shared" ca="1" si="7"/>
        <v>-11.056286549707595</v>
      </c>
      <c r="N13" s="344"/>
      <c r="O13" s="407">
        <f t="shared" ca="1" si="8"/>
        <v>11</v>
      </c>
      <c r="P13" s="429"/>
      <c r="Q13" s="491" t="str">
        <f t="shared" ca="1" si="9"/>
        <v>R</v>
      </c>
      <c r="R13" s="335"/>
      <c r="S13" s="492">
        <f t="shared" ca="1" si="10"/>
        <v>17</v>
      </c>
      <c r="T13" s="367"/>
      <c r="U13" s="490">
        <f t="shared" ca="1" si="11"/>
        <v>12</v>
      </c>
      <c r="V13" s="345">
        <f ca="1">COUNTIF( U$12:U13, U13 ) - 1</f>
        <v>0</v>
      </c>
      <c r="W13" s="345">
        <f t="shared" ref="W13:W63" ca="1" si="13">U13 + V13 / 10</f>
        <v>12</v>
      </c>
      <c r="X13" s="488">
        <f t="shared" ca="1" si="12"/>
        <v>12</v>
      </c>
    </row>
    <row r="14" spans="1:24">
      <c r="B14" s="578" t="str">
        <f t="shared" ca="1" si="0"/>
        <v>Eversource Energy</v>
      </c>
      <c r="C14" s="575">
        <f t="shared" ca="1" si="1"/>
        <v>-7.3968496532267558</v>
      </c>
      <c r="D14" s="572" t="str">
        <f t="shared" ca="1" si="2"/>
        <v>R</v>
      </c>
      <c r="F14" s="312">
        <f t="shared" si="4"/>
        <v>7</v>
      </c>
      <c r="G14" s="312">
        <f t="shared" ca="1" si="3"/>
        <v>18</v>
      </c>
      <c r="H14" s="335"/>
      <c r="I14" s="335">
        <f t="shared" ref="I14:I71" si="14">I13+1</f>
        <v>3</v>
      </c>
      <c r="J14" s="333" t="str">
        <f t="shared" ca="1" si="5"/>
        <v>Ameren Corporation</v>
      </c>
      <c r="K14" s="333" t="str">
        <f t="shared" ca="1" si="6"/>
        <v>AEE</v>
      </c>
      <c r="L14" s="333"/>
      <c r="M14" s="403">
        <f t="shared" ca="1" si="7"/>
        <v>-4.5247395833333144</v>
      </c>
      <c r="N14" s="344"/>
      <c r="O14" s="407">
        <f t="shared" ca="1" si="8"/>
        <v>12</v>
      </c>
      <c r="P14" s="429"/>
      <c r="Q14" s="491" t="str">
        <f t="shared" ca="1" si="9"/>
        <v>R</v>
      </c>
      <c r="R14" s="335"/>
      <c r="S14" s="492">
        <f t="shared" ca="1" si="10"/>
        <v>18</v>
      </c>
      <c r="T14" s="367"/>
      <c r="U14" s="490">
        <f t="shared" ca="1" si="11"/>
        <v>5</v>
      </c>
      <c r="V14" s="345">
        <f ca="1">COUNTIF( U$12:U14, U14 ) - 1</f>
        <v>0</v>
      </c>
      <c r="W14" s="345">
        <f t="shared" ca="1" si="13"/>
        <v>5</v>
      </c>
      <c r="X14" s="488">
        <f t="shared" ca="1" si="12"/>
        <v>5</v>
      </c>
    </row>
    <row r="15" spans="1:24">
      <c r="B15" s="578" t="str">
        <f t="shared" ca="1" si="0"/>
        <v>Hawaiian Electric Industries, Inc.</v>
      </c>
      <c r="C15" s="575">
        <f t="shared" ca="1" si="1"/>
        <v>-7.4263764404609685</v>
      </c>
      <c r="D15" s="572" t="str">
        <f t="shared" ca="1" si="2"/>
        <v>MR</v>
      </c>
      <c r="F15" s="312">
        <f t="shared" si="4"/>
        <v>8</v>
      </c>
      <c r="G15" s="312">
        <f t="shared" ca="1" si="3"/>
        <v>21</v>
      </c>
      <c r="H15" s="335"/>
      <c r="I15" s="335">
        <f t="shared" si="14"/>
        <v>4</v>
      </c>
      <c r="J15" s="333" t="str">
        <f t="shared" ca="1" si="5"/>
        <v>American Electric Power Company, Inc.</v>
      </c>
      <c r="K15" s="333" t="str">
        <f t="shared" ca="1" si="6"/>
        <v>AEP</v>
      </c>
      <c r="L15" s="333"/>
      <c r="M15" s="403">
        <f t="shared" ca="1" si="7"/>
        <v>-14.633372129933331</v>
      </c>
      <c r="N15" s="344"/>
      <c r="O15" s="407">
        <f t="shared" ca="1" si="8"/>
        <v>13</v>
      </c>
      <c r="P15" s="429"/>
      <c r="Q15" s="491" t="str">
        <f t="shared" ca="1" si="9"/>
        <v>R</v>
      </c>
      <c r="R15" s="335"/>
      <c r="S15" s="492">
        <f t="shared" ca="1" si="10"/>
        <v>19</v>
      </c>
      <c r="T15" s="367"/>
      <c r="U15" s="490">
        <f t="shared" ca="1" si="11"/>
        <v>19</v>
      </c>
      <c r="V15" s="345">
        <f ca="1">COUNTIF( U$12:U15, U15 ) - 1</f>
        <v>0</v>
      </c>
      <c r="W15" s="345">
        <f t="shared" ca="1" si="13"/>
        <v>19</v>
      </c>
      <c r="X15" s="488">
        <f t="shared" ca="1" si="12"/>
        <v>19</v>
      </c>
    </row>
    <row r="16" spans="1:24">
      <c r="B16" s="578" t="str">
        <f t="shared" ca="1" si="0"/>
        <v>NiSource Inc.</v>
      </c>
      <c r="C16" s="575">
        <f t="shared" ca="1" si="1"/>
        <v>-9.5545977011494365</v>
      </c>
      <c r="D16" s="572" t="str">
        <f t="shared" ca="1" si="2"/>
        <v>R</v>
      </c>
      <c r="F16" s="312">
        <f t="shared" si="4"/>
        <v>9</v>
      </c>
      <c r="G16" s="312">
        <f t="shared" ca="1" si="3"/>
        <v>26</v>
      </c>
      <c r="H16" s="335"/>
      <c r="I16" s="335">
        <f t="shared" si="14"/>
        <v>5</v>
      </c>
      <c r="J16" s="333" t="str">
        <f t="shared" ca="1" si="5"/>
        <v>AVANGRID, Inc.</v>
      </c>
      <c r="K16" s="333" t="str">
        <f t="shared" ca="1" si="6"/>
        <v>AGR</v>
      </c>
      <c r="L16" s="333"/>
      <c r="M16" s="403">
        <f t="shared" ca="1" si="7"/>
        <v>-13.565285379202496</v>
      </c>
      <c r="N16" s="344"/>
      <c r="O16" s="407">
        <f t="shared" ca="1" si="8"/>
        <v>14</v>
      </c>
      <c r="P16" s="429"/>
      <c r="Q16" s="491" t="str">
        <f t="shared" ca="1" si="9"/>
        <v>MR</v>
      </c>
      <c r="R16" s="335"/>
      <c r="S16" s="492">
        <f t="shared" ca="1" si="10"/>
        <v>20</v>
      </c>
      <c r="T16" s="367"/>
      <c r="U16" s="490">
        <f t="shared" ca="1" si="11"/>
        <v>17</v>
      </c>
      <c r="V16" s="345">
        <f ca="1">COUNTIF( U$12:U16, U16 ) - 1</f>
        <v>0</v>
      </c>
      <c r="W16" s="345">
        <f t="shared" ca="1" si="13"/>
        <v>17</v>
      </c>
      <c r="X16" s="488">
        <f t="shared" ca="1" si="12"/>
        <v>17</v>
      </c>
    </row>
    <row r="17" spans="2:24">
      <c r="B17" s="579" t="str">
        <f t="shared" ca="1" si="0"/>
        <v>Duke Energy Corporation</v>
      </c>
      <c r="C17" s="576">
        <f t="shared" ca="1" si="1"/>
        <v>-10.289441947154909</v>
      </c>
      <c r="D17" s="573" t="str">
        <f t="shared" ca="1" si="2"/>
        <v>R</v>
      </c>
      <c r="F17" s="312">
        <f t="shared" si="4"/>
        <v>10</v>
      </c>
      <c r="G17" s="312">
        <f t="shared" ca="1" si="3"/>
        <v>13</v>
      </c>
      <c r="H17" s="335"/>
      <c r="I17" s="335">
        <f t="shared" si="14"/>
        <v>6</v>
      </c>
      <c r="J17" s="333" t="str">
        <f t="shared" ca="1" si="5"/>
        <v>Avista Corporation</v>
      </c>
      <c r="K17" s="333" t="str">
        <f t="shared" ca="1" si="6"/>
        <v>AVA</v>
      </c>
      <c r="L17" s="333"/>
      <c r="M17" s="403">
        <f t="shared" ca="1" si="7"/>
        <v>-10.802661676024128</v>
      </c>
      <c r="N17" s="344"/>
      <c r="O17" s="407">
        <f t="shared" ca="1" si="8"/>
        <v>15</v>
      </c>
      <c r="P17" s="429"/>
      <c r="Q17" s="491" t="str">
        <f t="shared" ca="1" si="9"/>
        <v>R</v>
      </c>
      <c r="R17" s="335"/>
      <c r="S17" s="492">
        <f t="shared" ca="1" si="10"/>
        <v>21</v>
      </c>
      <c r="T17" s="367"/>
      <c r="U17" s="490">
        <f t="shared" ca="1" si="11"/>
        <v>11</v>
      </c>
      <c r="V17" s="345">
        <f ca="1">COUNTIF( U$12:U17, U17 ) - 1</f>
        <v>0</v>
      </c>
      <c r="W17" s="345">
        <f t="shared" ca="1" si="13"/>
        <v>11</v>
      </c>
      <c r="X17" s="488">
        <f t="shared" ca="1" si="12"/>
        <v>11</v>
      </c>
    </row>
    <row r="18" spans="2:24">
      <c r="H18" s="335"/>
      <c r="I18" s="335">
        <f t="shared" si="14"/>
        <v>7</v>
      </c>
      <c r="J18" s="333" t="str">
        <f t="shared" ca="1" si="5"/>
        <v>Black Hills Corporation</v>
      </c>
      <c r="K18" s="333" t="str">
        <f t="shared" ca="1" si="6"/>
        <v>BKH</v>
      </c>
      <c r="L18" s="333"/>
      <c r="M18" s="403">
        <f t="shared" ca="1" si="7"/>
        <v>-17.793481028775162</v>
      </c>
      <c r="N18" s="344"/>
      <c r="O18" s="407">
        <f t="shared" ca="1" si="8"/>
        <v>16</v>
      </c>
      <c r="P18" s="429"/>
      <c r="Q18" s="491" t="str">
        <f t="shared" ca="1" si="9"/>
        <v>R</v>
      </c>
      <c r="R18" s="335"/>
      <c r="S18" s="492">
        <f t="shared" ca="1" si="10"/>
        <v>22</v>
      </c>
      <c r="T18" s="367"/>
      <c r="U18" s="490">
        <f t="shared" ca="1" si="11"/>
        <v>28</v>
      </c>
      <c r="V18" s="345">
        <f ca="1">COUNTIF( U$12:U18, U18 ) - 1</f>
        <v>0</v>
      </c>
      <c r="W18" s="345">
        <f t="shared" ca="1" si="13"/>
        <v>28</v>
      </c>
      <c r="X18" s="488">
        <f t="shared" ca="1" si="12"/>
        <v>28</v>
      </c>
    </row>
    <row r="19" spans="2:24">
      <c r="B19" s="109" t="s">
        <v>105</v>
      </c>
      <c r="H19" s="335"/>
      <c r="I19" s="335">
        <f t="shared" si="14"/>
        <v>8</v>
      </c>
      <c r="J19" s="333" t="str">
        <f t="shared" ca="1" si="5"/>
        <v>CenterPoint Energy, Inc.</v>
      </c>
      <c r="K19" s="333" t="str">
        <f t="shared" ca="1" si="6"/>
        <v>CNP</v>
      </c>
      <c r="L19" s="333"/>
      <c r="M19" s="403">
        <f t="shared" ca="1" si="7"/>
        <v>-42.280894756142274</v>
      </c>
      <c r="N19" s="344"/>
      <c r="O19" s="407">
        <f t="shared" ca="1" si="8"/>
        <v>17</v>
      </c>
      <c r="P19" s="429"/>
      <c r="Q19" s="491" t="str">
        <f t="shared" ca="1" si="9"/>
        <v>R</v>
      </c>
      <c r="R19" s="335"/>
      <c r="S19" s="492">
        <f t="shared" ca="1" si="10"/>
        <v>23</v>
      </c>
      <c r="T19" s="367"/>
      <c r="U19" s="490">
        <f t="shared" ca="1" si="11"/>
        <v>40</v>
      </c>
      <c r="V19" s="345">
        <f ca="1">COUNTIF( U$12:U19, U19 ) - 1</f>
        <v>0</v>
      </c>
      <c r="W19" s="345">
        <f t="shared" ca="1" si="13"/>
        <v>40</v>
      </c>
      <c r="X19" s="488">
        <f t="shared" ca="1" si="12"/>
        <v>40</v>
      </c>
    </row>
    <row r="20" spans="2:24">
      <c r="B20" s="109" t="s">
        <v>611</v>
      </c>
      <c r="H20" s="335"/>
      <c r="I20" s="335">
        <f t="shared" si="14"/>
        <v>9</v>
      </c>
      <c r="J20" s="333" t="str">
        <f t="shared" ca="1" si="5"/>
        <v>CMS Energy Corporation</v>
      </c>
      <c r="K20" s="333" t="str">
        <f t="shared" ca="1" si="6"/>
        <v>CMS</v>
      </c>
      <c r="L20" s="333"/>
      <c r="M20" s="403">
        <f t="shared" ca="1" si="7"/>
        <v>-5.8601209420751088</v>
      </c>
      <c r="N20" s="344"/>
      <c r="O20" s="407">
        <f t="shared" ca="1" si="8"/>
        <v>18</v>
      </c>
      <c r="P20" s="429"/>
      <c r="Q20" s="491" t="str">
        <f t="shared" ca="1" si="9"/>
        <v>R</v>
      </c>
      <c r="R20" s="335"/>
      <c r="S20" s="492">
        <f t="shared" ca="1" si="10"/>
        <v>24</v>
      </c>
      <c r="T20" s="367"/>
      <c r="U20" s="490">
        <f t="shared" ca="1" si="11"/>
        <v>6</v>
      </c>
      <c r="V20" s="345">
        <f ca="1">COUNTIF( U$12:U20, U20 ) - 1</f>
        <v>0</v>
      </c>
      <c r="W20" s="345">
        <f t="shared" ca="1" si="13"/>
        <v>6</v>
      </c>
      <c r="X20" s="488">
        <f t="shared" ca="1" si="12"/>
        <v>6</v>
      </c>
    </row>
    <row r="21" spans="2:24">
      <c r="H21" s="335"/>
      <c r="I21" s="335">
        <f t="shared" si="14"/>
        <v>10</v>
      </c>
      <c r="J21" s="333" t="str">
        <f t="shared" ca="1" si="5"/>
        <v>Consolidated Edison, Inc.</v>
      </c>
      <c r="K21" s="333" t="str">
        <f t="shared" ca="1" si="6"/>
        <v>ED</v>
      </c>
      <c r="L21" s="333"/>
      <c r="M21" s="403">
        <f t="shared" ca="1" si="7"/>
        <v>-12.937990494086439</v>
      </c>
      <c r="N21" s="344"/>
      <c r="O21" s="407">
        <f t="shared" ca="1" si="8"/>
        <v>19</v>
      </c>
      <c r="P21" s="429"/>
      <c r="Q21" s="491" t="str">
        <f t="shared" ca="1" si="9"/>
        <v>R</v>
      </c>
      <c r="R21" s="335"/>
      <c r="S21" s="492">
        <f t="shared" ca="1" si="10"/>
        <v>25</v>
      </c>
      <c r="T21" s="367"/>
      <c r="U21" s="490">
        <f t="shared" ca="1" si="11"/>
        <v>15</v>
      </c>
      <c r="V21" s="345">
        <f ca="1">COUNTIF( U$12:U21, U21 ) - 1</f>
        <v>0</v>
      </c>
      <c r="W21" s="345">
        <f t="shared" ca="1" si="13"/>
        <v>15</v>
      </c>
      <c r="X21" s="488">
        <f t="shared" ca="1" si="12"/>
        <v>15</v>
      </c>
    </row>
    <row r="22" spans="2:24">
      <c r="H22" s="335"/>
      <c r="I22" s="335">
        <f t="shared" si="14"/>
        <v>11</v>
      </c>
      <c r="J22" s="333" t="str">
        <f t="shared" ca="1" si="5"/>
        <v>Dominion Energy, Inc.</v>
      </c>
      <c r="K22" s="333" t="str">
        <f t="shared" ca="1" si="6"/>
        <v>D</v>
      </c>
      <c r="L22" s="333"/>
      <c r="M22" s="403">
        <f t="shared" ca="1" si="7"/>
        <v>-11.700072446269017</v>
      </c>
      <c r="N22" s="344"/>
      <c r="O22" s="407">
        <f t="shared" ca="1" si="8"/>
        <v>20</v>
      </c>
      <c r="P22" s="429"/>
      <c r="Q22" s="491" t="str">
        <f t="shared" ca="1" si="9"/>
        <v>R</v>
      </c>
      <c r="R22" s="335"/>
      <c r="S22" s="492">
        <f t="shared" ca="1" si="10"/>
        <v>26</v>
      </c>
      <c r="T22" s="367"/>
      <c r="U22" s="490">
        <f t="shared" ca="1" si="11"/>
        <v>13</v>
      </c>
      <c r="V22" s="345">
        <f ca="1">COUNTIF( U$12:U22, U22 ) - 1</f>
        <v>0</v>
      </c>
      <c r="W22" s="345">
        <f t="shared" ca="1" si="13"/>
        <v>13</v>
      </c>
      <c r="X22" s="488">
        <f t="shared" ca="1" si="12"/>
        <v>13</v>
      </c>
    </row>
    <row r="23" spans="2:24">
      <c r="H23" s="335"/>
      <c r="I23" s="335">
        <f t="shared" si="14"/>
        <v>12</v>
      </c>
      <c r="J23" s="333" t="str">
        <f t="shared" ca="1" si="5"/>
        <v>DTE Energy Company</v>
      </c>
      <c r="K23" s="333" t="str">
        <f t="shared" ca="1" si="6"/>
        <v>DTE</v>
      </c>
      <c r="L23" s="333"/>
      <c r="M23" s="403">
        <f t="shared" ca="1" si="7"/>
        <v>-26.093401093401102</v>
      </c>
      <c r="N23" s="344"/>
      <c r="O23" s="407">
        <f t="shared" ca="1" si="8"/>
        <v>21</v>
      </c>
      <c r="P23" s="429"/>
      <c r="Q23" s="491" t="str">
        <f t="shared" ca="1" si="9"/>
        <v>MR</v>
      </c>
      <c r="R23" s="335"/>
      <c r="S23" s="492">
        <f t="shared" ca="1" si="10"/>
        <v>27</v>
      </c>
      <c r="T23" s="367"/>
      <c r="U23" s="490">
        <f t="shared" ca="1" si="11"/>
        <v>35</v>
      </c>
      <c r="V23" s="345">
        <f ca="1">COUNTIF( U$12:U23, U23 ) - 1</f>
        <v>0</v>
      </c>
      <c r="W23" s="345">
        <f t="shared" ca="1" si="13"/>
        <v>35</v>
      </c>
      <c r="X23" s="488">
        <f t="shared" ca="1" si="12"/>
        <v>35</v>
      </c>
    </row>
    <row r="24" spans="2:24">
      <c r="B24"/>
      <c r="C24"/>
      <c r="D24"/>
      <c r="H24" s="335"/>
      <c r="I24" s="335">
        <f t="shared" si="14"/>
        <v>13</v>
      </c>
      <c r="J24" s="333" t="str">
        <f t="shared" ca="1" si="5"/>
        <v>Duke Energy Corporation</v>
      </c>
      <c r="K24" s="333" t="str">
        <f t="shared" ca="1" si="6"/>
        <v>DUK</v>
      </c>
      <c r="L24" s="333"/>
      <c r="M24" s="403">
        <f t="shared" ca="1" si="7"/>
        <v>-10.289441947154909</v>
      </c>
      <c r="N24" s="344"/>
      <c r="O24" s="407">
        <f t="shared" ca="1" si="8"/>
        <v>22</v>
      </c>
      <c r="P24" s="429"/>
      <c r="Q24" s="491" t="str">
        <f t="shared" ca="1" si="9"/>
        <v>R</v>
      </c>
      <c r="R24" s="335"/>
      <c r="S24" s="492">
        <f t="shared" ca="1" si="10"/>
        <v>28</v>
      </c>
      <c r="T24" s="367"/>
      <c r="U24" s="490">
        <f t="shared" ca="1" si="11"/>
        <v>10</v>
      </c>
      <c r="V24" s="345">
        <f ca="1">COUNTIF( U$12:U24, U24 ) - 1</f>
        <v>0</v>
      </c>
      <c r="W24" s="345">
        <f t="shared" ca="1" si="13"/>
        <v>10</v>
      </c>
      <c r="X24" s="488">
        <f t="shared" ca="1" si="12"/>
        <v>10</v>
      </c>
    </row>
    <row r="25" spans="2:24">
      <c r="B25"/>
      <c r="C25"/>
      <c r="D25"/>
      <c r="H25" s="335"/>
      <c r="I25" s="335">
        <f t="shared" si="14"/>
        <v>14</v>
      </c>
      <c r="J25" s="333" t="str">
        <f t="shared" ca="1" si="5"/>
        <v>Edison International</v>
      </c>
      <c r="K25" s="333" t="str">
        <f t="shared" ca="1" si="6"/>
        <v>EIX</v>
      </c>
      <c r="L25" s="333"/>
      <c r="M25" s="403">
        <f t="shared" ca="1" si="7"/>
        <v>-26.498475003315214</v>
      </c>
      <c r="N25" s="344"/>
      <c r="O25" s="407">
        <f t="shared" ca="1" si="8"/>
        <v>23</v>
      </c>
      <c r="P25" s="429"/>
      <c r="Q25" s="491" t="str">
        <f t="shared" ca="1" si="9"/>
        <v>R</v>
      </c>
      <c r="R25" s="335"/>
      <c r="S25" s="492">
        <f t="shared" ca="1" si="10"/>
        <v>29</v>
      </c>
      <c r="T25" s="367"/>
      <c r="U25" s="490">
        <f t="shared" ca="1" si="11"/>
        <v>36</v>
      </c>
      <c r="V25" s="345">
        <f ca="1">COUNTIF( U$12:U25, U25 ) - 1</f>
        <v>0</v>
      </c>
      <c r="W25" s="345">
        <f t="shared" ca="1" si="13"/>
        <v>36</v>
      </c>
      <c r="X25" s="488">
        <f t="shared" ca="1" si="12"/>
        <v>36</v>
      </c>
    </row>
    <row r="26" spans="2:24">
      <c r="B26"/>
      <c r="C26"/>
      <c r="D26"/>
      <c r="H26" s="335"/>
      <c r="I26" s="335">
        <f t="shared" si="14"/>
        <v>15</v>
      </c>
      <c r="J26" s="333" t="str">
        <f t="shared" ca="1" si="5"/>
        <v>El Paso Electric Company</v>
      </c>
      <c r="K26" s="333" t="str">
        <f t="shared" ca="1" si="6"/>
        <v>EE</v>
      </c>
      <c r="L26" s="333"/>
      <c r="M26" s="403">
        <f t="shared" ca="1" si="7"/>
        <v>0.67020179702461657</v>
      </c>
      <c r="N26" s="344"/>
      <c r="O26" s="407">
        <f t="shared" ca="1" si="8"/>
        <v>24</v>
      </c>
      <c r="P26" s="429"/>
      <c r="Q26" s="491" t="str">
        <f t="shared" ca="1" si="9"/>
        <v>R</v>
      </c>
      <c r="R26" s="335"/>
      <c r="S26" s="492">
        <f t="shared" ca="1" si="10"/>
        <v>30</v>
      </c>
      <c r="T26" s="367"/>
      <c r="U26" s="490">
        <f t="shared" ca="1" si="11"/>
        <v>1</v>
      </c>
      <c r="V26" s="345">
        <f ca="1">COUNTIF( U$12:U26, U26 ) - 1</f>
        <v>0</v>
      </c>
      <c r="W26" s="345">
        <f t="shared" ca="1" si="13"/>
        <v>1</v>
      </c>
      <c r="X26" s="488">
        <f t="shared" ca="1" si="12"/>
        <v>1</v>
      </c>
    </row>
    <row r="27" spans="2:24">
      <c r="B27"/>
      <c r="C27"/>
      <c r="D27"/>
      <c r="H27" s="335"/>
      <c r="I27" s="335">
        <f t="shared" si="14"/>
        <v>16</v>
      </c>
      <c r="J27" s="333" t="str">
        <f t="shared" ca="1" si="5"/>
        <v>Entergy Corporation</v>
      </c>
      <c r="K27" s="333" t="str">
        <f t="shared" ca="1" si="6"/>
        <v>ETR</v>
      </c>
      <c r="L27" s="333"/>
      <c r="M27" s="403">
        <f t="shared" ca="1" si="7"/>
        <v>-20.784641068447407</v>
      </c>
      <c r="N27" s="344"/>
      <c r="O27" s="407">
        <f t="shared" ca="1" si="8"/>
        <v>25</v>
      </c>
      <c r="P27" s="429"/>
      <c r="Q27" s="491" t="str">
        <f t="shared" ca="1" si="9"/>
        <v>R</v>
      </c>
      <c r="R27" s="335"/>
      <c r="S27" s="492">
        <f t="shared" ca="1" si="10"/>
        <v>31</v>
      </c>
      <c r="T27" s="367"/>
      <c r="U27" s="490">
        <f t="shared" ca="1" si="11"/>
        <v>30</v>
      </c>
      <c r="V27" s="345">
        <f ca="1">COUNTIF( U$12:U27, U27 ) - 1</f>
        <v>0</v>
      </c>
      <c r="W27" s="345">
        <f t="shared" ca="1" si="13"/>
        <v>30</v>
      </c>
      <c r="X27" s="488">
        <f t="shared" ca="1" si="12"/>
        <v>30</v>
      </c>
    </row>
    <row r="28" spans="2:24">
      <c r="H28" s="335"/>
      <c r="I28" s="335">
        <f t="shared" si="14"/>
        <v>17</v>
      </c>
      <c r="J28" s="333" t="str">
        <f t="shared" ca="1" si="5"/>
        <v>Evergy, Inc.</v>
      </c>
      <c r="K28" s="333" t="str">
        <f t="shared" ca="1" si="6"/>
        <v>EVRG</v>
      </c>
      <c r="L28" s="333"/>
      <c r="M28" s="403">
        <f t="shared" ca="1" si="7"/>
        <v>-14.648947611000162</v>
      </c>
      <c r="N28" s="344"/>
      <c r="O28" s="407">
        <f t="shared" ca="1" si="8"/>
        <v>27</v>
      </c>
      <c r="P28" s="429"/>
      <c r="Q28" s="491" t="str">
        <f t="shared" ca="1" si="9"/>
        <v>R</v>
      </c>
      <c r="R28" s="335"/>
      <c r="S28" s="492">
        <f t="shared" ca="1" si="10"/>
        <v>32</v>
      </c>
      <c r="T28" s="367"/>
      <c r="U28" s="490">
        <f t="shared" ca="1" si="11"/>
        <v>20</v>
      </c>
      <c r="V28" s="345">
        <f ca="1">COUNTIF( U$12:U28, U28 ) - 1</f>
        <v>0</v>
      </c>
      <c r="W28" s="345">
        <f t="shared" ca="1" si="13"/>
        <v>20</v>
      </c>
      <c r="X28" s="488">
        <f t="shared" ca="1" si="12"/>
        <v>20</v>
      </c>
    </row>
    <row r="29" spans="2:24">
      <c r="C29"/>
      <c r="H29" s="335"/>
      <c r="I29" s="335">
        <f t="shared" si="14"/>
        <v>18</v>
      </c>
      <c r="J29" s="333" t="str">
        <f t="shared" ca="1" si="5"/>
        <v>Eversource Energy</v>
      </c>
      <c r="K29" s="333" t="str">
        <f t="shared" ca="1" si="6"/>
        <v>ES</v>
      </c>
      <c r="L29" s="333"/>
      <c r="M29" s="403">
        <f t="shared" ca="1" si="7"/>
        <v>-7.3968496532267558</v>
      </c>
      <c r="N29" s="344"/>
      <c r="O29" s="407">
        <f t="shared" ca="1" si="8"/>
        <v>26</v>
      </c>
      <c r="P29" s="429"/>
      <c r="Q29" s="491" t="str">
        <f t="shared" ca="1" si="9"/>
        <v>R</v>
      </c>
      <c r="R29" s="335"/>
      <c r="S29" s="492">
        <f t="shared" ca="1" si="10"/>
        <v>33</v>
      </c>
      <c r="T29" s="367"/>
      <c r="U29" s="490">
        <f t="shared" ca="1" si="11"/>
        <v>7</v>
      </c>
      <c r="V29" s="345">
        <f ca="1">COUNTIF( U$12:U29, U29 ) - 1</f>
        <v>0</v>
      </c>
      <c r="W29" s="345">
        <f t="shared" ca="1" si="13"/>
        <v>7</v>
      </c>
      <c r="X29" s="488">
        <f t="shared" ca="1" si="12"/>
        <v>7</v>
      </c>
    </row>
    <row r="30" spans="2:24">
      <c r="C30"/>
      <c r="H30" s="335"/>
      <c r="I30" s="335">
        <f t="shared" si="14"/>
        <v>19</v>
      </c>
      <c r="J30" s="333" t="str">
        <f t="shared" ca="1" si="5"/>
        <v>Exelon Corporation</v>
      </c>
      <c r="K30" s="333" t="str">
        <f t="shared" ca="1" si="6"/>
        <v>EXC</v>
      </c>
      <c r="L30" s="333"/>
      <c r="M30" s="403">
        <f t="shared" ca="1" si="7"/>
        <v>-18.419609563500781</v>
      </c>
      <c r="N30" s="344"/>
      <c r="O30" s="407">
        <f t="shared" ca="1" si="8"/>
        <v>28</v>
      </c>
      <c r="P30" s="429"/>
      <c r="Q30" s="491" t="str">
        <f t="shared" ca="1" si="9"/>
        <v>MR</v>
      </c>
      <c r="R30" s="335"/>
      <c r="S30" s="492">
        <f t="shared" ca="1" si="10"/>
        <v>34</v>
      </c>
      <c r="T30" s="367"/>
      <c r="U30" s="490">
        <f t="shared" ca="1" si="11"/>
        <v>29</v>
      </c>
      <c r="V30" s="345">
        <f ca="1">COUNTIF( U$12:U30, U30 ) - 1</f>
        <v>0</v>
      </c>
      <c r="W30" s="345">
        <f t="shared" ca="1" si="13"/>
        <v>29</v>
      </c>
      <c r="X30" s="488">
        <f t="shared" ca="1" si="12"/>
        <v>29</v>
      </c>
    </row>
    <row r="31" spans="2:24">
      <c r="C31"/>
      <c r="H31" s="335"/>
      <c r="I31" s="335">
        <f t="shared" si="14"/>
        <v>20</v>
      </c>
      <c r="J31" s="333" t="str">
        <f t="shared" ca="1" si="5"/>
        <v>FirstEnergy Corp.</v>
      </c>
      <c r="K31" s="333" t="str">
        <f t="shared" ca="1" si="6"/>
        <v>FE</v>
      </c>
      <c r="L31" s="333"/>
      <c r="M31" s="403">
        <f t="shared" ca="1" si="7"/>
        <v>-16.748971193415652</v>
      </c>
      <c r="N31" s="344"/>
      <c r="O31" s="407">
        <f t="shared" ca="1" si="8"/>
        <v>29</v>
      </c>
      <c r="P31" s="429"/>
      <c r="Q31" s="491" t="str">
        <f t="shared" ca="1" si="9"/>
        <v>R</v>
      </c>
      <c r="R31" s="335"/>
      <c r="S31" s="492">
        <f t="shared" ca="1" si="10"/>
        <v>35</v>
      </c>
      <c r="T31" s="367"/>
      <c r="U31" s="490">
        <f t="shared" ca="1" si="11"/>
        <v>25</v>
      </c>
      <c r="V31" s="345">
        <f ca="1">COUNTIF( U$12:U31, U31 ) - 1</f>
        <v>0</v>
      </c>
      <c r="W31" s="345">
        <f t="shared" ca="1" si="13"/>
        <v>25</v>
      </c>
      <c r="X31" s="488">
        <f t="shared" ca="1" si="12"/>
        <v>25</v>
      </c>
    </row>
    <row r="32" spans="2:24">
      <c r="C32"/>
      <c r="H32" s="335"/>
      <c r="I32" s="335">
        <f t="shared" si="14"/>
        <v>21</v>
      </c>
      <c r="J32" s="333" t="str">
        <f t="shared" ca="1" si="5"/>
        <v>Hawaiian Electric Industries, Inc.</v>
      </c>
      <c r="K32" s="333" t="str">
        <f t="shared" ca="1" si="6"/>
        <v>HE</v>
      </c>
      <c r="L32" s="333"/>
      <c r="M32" s="403">
        <f t="shared" ca="1" si="7"/>
        <v>-7.4263764404609685</v>
      </c>
      <c r="N32" s="344"/>
      <c r="O32" s="407">
        <f t="shared" ca="1" si="8"/>
        <v>30</v>
      </c>
      <c r="P32" s="429"/>
      <c r="Q32" s="491" t="str">
        <f t="shared" ca="1" si="9"/>
        <v>MR</v>
      </c>
      <c r="R32" s="335"/>
      <c r="S32" s="492">
        <f t="shared" ca="1" si="10"/>
        <v>36</v>
      </c>
      <c r="T32" s="367"/>
      <c r="U32" s="490">
        <f t="shared" ca="1" si="11"/>
        <v>8</v>
      </c>
      <c r="V32" s="345">
        <f ca="1">COUNTIF( U$12:U32, U32 ) - 1</f>
        <v>0</v>
      </c>
      <c r="W32" s="345">
        <f t="shared" ca="1" si="13"/>
        <v>8</v>
      </c>
      <c r="X32" s="488">
        <f t="shared" ca="1" si="12"/>
        <v>8</v>
      </c>
    </row>
    <row r="33" spans="3:24">
      <c r="C33"/>
      <c r="H33" s="335"/>
      <c r="I33" s="335">
        <f t="shared" si="14"/>
        <v>22</v>
      </c>
      <c r="J33" s="333" t="str">
        <f t="shared" ca="1" si="5"/>
        <v>IDACORP, Inc.</v>
      </c>
      <c r="K33" s="333" t="str">
        <f t="shared" ca="1" si="6"/>
        <v>IDA</v>
      </c>
      <c r="L33" s="333"/>
      <c r="M33" s="403">
        <f t="shared" ca="1" si="7"/>
        <v>-17.172284644194747</v>
      </c>
      <c r="N33" s="344"/>
      <c r="O33" s="407">
        <f t="shared" ca="1" si="8"/>
        <v>31</v>
      </c>
      <c r="P33" s="429"/>
      <c r="Q33" s="491" t="str">
        <f t="shared" ca="1" si="9"/>
        <v>R</v>
      </c>
      <c r="R33" s="335"/>
      <c r="S33" s="492">
        <f t="shared" ca="1" si="10"/>
        <v>37</v>
      </c>
      <c r="T33" s="367"/>
      <c r="U33" s="490">
        <f t="shared" ca="1" si="11"/>
        <v>26</v>
      </c>
      <c r="V33" s="345">
        <f ca="1">COUNTIF( U$12:U33, U33 ) - 1</f>
        <v>0</v>
      </c>
      <c r="W33" s="345">
        <f t="shared" ca="1" si="13"/>
        <v>26</v>
      </c>
      <c r="X33" s="488">
        <f t="shared" ca="1" si="12"/>
        <v>26</v>
      </c>
    </row>
    <row r="34" spans="3:24">
      <c r="C34"/>
      <c r="H34" s="335"/>
      <c r="I34" s="335">
        <f t="shared" si="14"/>
        <v>23</v>
      </c>
      <c r="J34" s="333" t="str">
        <f t="shared" ca="1" si="5"/>
        <v>MDU Resources Group, Inc.</v>
      </c>
      <c r="K34" s="333" t="str">
        <f t="shared" ca="1" si="6"/>
        <v>MDU</v>
      </c>
      <c r="L34" s="333"/>
      <c r="M34" s="403">
        <f t="shared" ca="1" si="7"/>
        <v>-26.935375294513641</v>
      </c>
      <c r="N34" s="344"/>
      <c r="O34" s="407">
        <f t="shared" ca="1" si="8"/>
        <v>32</v>
      </c>
      <c r="P34" s="429"/>
      <c r="Q34" s="491" t="str">
        <f t="shared" ca="1" si="9"/>
        <v>MR</v>
      </c>
      <c r="R34" s="335"/>
      <c r="S34" s="492">
        <f t="shared" ca="1" si="10"/>
        <v>38</v>
      </c>
      <c r="T34" s="367"/>
      <c r="U34" s="490">
        <f t="shared" ca="1" si="11"/>
        <v>37</v>
      </c>
      <c r="V34" s="345">
        <f ca="1">COUNTIF( U$12:U34, U34 ) - 1</f>
        <v>0</v>
      </c>
      <c r="W34" s="345">
        <f t="shared" ca="1" si="13"/>
        <v>37</v>
      </c>
      <c r="X34" s="488">
        <f t="shared" ca="1" si="12"/>
        <v>37</v>
      </c>
    </row>
    <row r="35" spans="3:24">
      <c r="C35"/>
      <c r="H35" s="335"/>
      <c r="I35" s="335">
        <f t="shared" si="14"/>
        <v>24</v>
      </c>
      <c r="J35" s="333" t="str">
        <f t="shared" ca="1" si="5"/>
        <v>MGE Energy, Inc.</v>
      </c>
      <c r="K35" s="333" t="str">
        <f t="shared" ca="1" si="6"/>
        <v>MGEE</v>
      </c>
      <c r="L35" s="333"/>
      <c r="M35" s="403">
        <f t="shared" ca="1" si="7"/>
        <v>-16.490104034509013</v>
      </c>
      <c r="N35" s="344"/>
      <c r="O35" s="407">
        <f t="shared" ca="1" si="8"/>
        <v>33</v>
      </c>
      <c r="P35" s="429"/>
      <c r="Q35" s="491" t="str">
        <f t="shared" ca="1" si="9"/>
        <v>R</v>
      </c>
      <c r="R35" s="335"/>
      <c r="S35" s="492">
        <f t="shared" ca="1" si="10"/>
        <v>39</v>
      </c>
      <c r="T35" s="367"/>
      <c r="U35" s="490">
        <f t="shared" ca="1" si="11"/>
        <v>24</v>
      </c>
      <c r="V35" s="345">
        <f ca="1">COUNTIF( U$12:U35, U35 ) - 1</f>
        <v>0</v>
      </c>
      <c r="W35" s="345">
        <f t="shared" ca="1" si="13"/>
        <v>24</v>
      </c>
      <c r="X35" s="488">
        <f t="shared" ca="1" si="12"/>
        <v>24</v>
      </c>
    </row>
    <row r="36" spans="3:24">
      <c r="C36"/>
      <c r="H36" s="335"/>
      <c r="I36" s="335">
        <f t="shared" si="14"/>
        <v>25</v>
      </c>
      <c r="J36" s="333" t="str">
        <f t="shared" ca="1" si="5"/>
        <v>NextEra Energy, Inc.</v>
      </c>
      <c r="K36" s="333" t="str">
        <f t="shared" ca="1" si="6"/>
        <v>NEE</v>
      </c>
      <c r="L36" s="333"/>
      <c r="M36" s="403">
        <f t="shared" ca="1" si="7"/>
        <v>-5.7813016187624466E-2</v>
      </c>
      <c r="N36" s="344"/>
      <c r="O36" s="407">
        <f t="shared" ca="1" si="8"/>
        <v>34</v>
      </c>
      <c r="P36" s="429"/>
      <c r="Q36" s="491" t="str">
        <f t="shared" ca="1" si="9"/>
        <v>MR</v>
      </c>
      <c r="R36" s="335"/>
      <c r="S36" s="492">
        <f t="shared" ca="1" si="10"/>
        <v>40</v>
      </c>
      <c r="T36" s="367"/>
      <c r="U36" s="490">
        <f t="shared" ca="1" si="11"/>
        <v>2</v>
      </c>
      <c r="V36" s="345">
        <f ca="1">COUNTIF( U$12:U36, U36 ) - 1</f>
        <v>0</v>
      </c>
      <c r="W36" s="345">
        <f t="shared" ca="1" si="13"/>
        <v>2</v>
      </c>
      <c r="X36" s="488">
        <f t="shared" ca="1" si="12"/>
        <v>2</v>
      </c>
    </row>
    <row r="37" spans="3:24">
      <c r="C37"/>
      <c r="H37" s="335"/>
      <c r="I37" s="335">
        <f t="shared" si="14"/>
        <v>26</v>
      </c>
      <c r="J37" s="333" t="str">
        <f t="shared" ca="1" si="5"/>
        <v>NiSource Inc.</v>
      </c>
      <c r="K37" s="333" t="str">
        <f t="shared" ca="1" si="6"/>
        <v>NI</v>
      </c>
      <c r="L37" s="333"/>
      <c r="M37" s="403">
        <f t="shared" ca="1" si="7"/>
        <v>-9.5545977011494365</v>
      </c>
      <c r="N37" s="344"/>
      <c r="O37" s="407">
        <f t="shared" ca="1" si="8"/>
        <v>35</v>
      </c>
      <c r="P37" s="429"/>
      <c r="Q37" s="491" t="str">
        <f t="shared" ca="1" si="9"/>
        <v>R</v>
      </c>
      <c r="R37" s="335"/>
      <c r="S37" s="492">
        <f t="shared" ca="1" si="10"/>
        <v>41</v>
      </c>
      <c r="T37" s="367"/>
      <c r="U37" s="490">
        <f t="shared" ca="1" si="11"/>
        <v>9</v>
      </c>
      <c r="V37" s="345">
        <f ca="1">COUNTIF( U$12:U37, U37 ) - 1</f>
        <v>0</v>
      </c>
      <c r="W37" s="345">
        <f t="shared" ca="1" si="13"/>
        <v>9</v>
      </c>
      <c r="X37" s="488">
        <f t="shared" ca="1" si="12"/>
        <v>9</v>
      </c>
    </row>
    <row r="38" spans="3:24">
      <c r="C38"/>
      <c r="H38" s="335"/>
      <c r="I38" s="335">
        <f t="shared" si="14"/>
        <v>27</v>
      </c>
      <c r="J38" s="333" t="str">
        <f t="shared" ca="1" si="5"/>
        <v>NorthWestern Corporation</v>
      </c>
      <c r="K38" s="333" t="str">
        <f t="shared" ca="1" si="6"/>
        <v>NWE</v>
      </c>
      <c r="L38" s="333"/>
      <c r="M38" s="403">
        <f t="shared" ca="1" si="7"/>
        <v>-15.682991488767961</v>
      </c>
      <c r="N38" s="344"/>
      <c r="O38" s="407">
        <f t="shared" ca="1" si="8"/>
        <v>36</v>
      </c>
      <c r="P38" s="429"/>
      <c r="Q38" s="491" t="str">
        <f t="shared" ca="1" si="9"/>
        <v>R</v>
      </c>
      <c r="R38" s="335"/>
      <c r="S38" s="492">
        <f t="shared" ca="1" si="10"/>
        <v>42</v>
      </c>
      <c r="T38" s="367"/>
      <c r="U38" s="490">
        <f t="shared" ca="1" si="11"/>
        <v>23</v>
      </c>
      <c r="V38" s="345">
        <f ca="1">COUNTIF( U$12:U38, U38 ) - 1</f>
        <v>0</v>
      </c>
      <c r="W38" s="345">
        <f t="shared" ca="1" si="13"/>
        <v>23</v>
      </c>
      <c r="X38" s="488">
        <f t="shared" ca="1" si="12"/>
        <v>23</v>
      </c>
    </row>
    <row r="39" spans="3:24">
      <c r="H39" s="335"/>
      <c r="I39" s="335">
        <f t="shared" si="14"/>
        <v>28</v>
      </c>
      <c r="J39" s="333" t="str">
        <f t="shared" ca="1" si="5"/>
        <v>OGE Energy Corp.</v>
      </c>
      <c r="K39" s="333" t="str">
        <f t="shared" ca="1" si="6"/>
        <v>OGE</v>
      </c>
      <c r="L39" s="333"/>
      <c r="M39" s="403">
        <f t="shared" ca="1" si="7"/>
        <v>-30.025860130425009</v>
      </c>
      <c r="N39" s="344"/>
      <c r="O39" s="407">
        <f t="shared" ca="1" si="8"/>
        <v>37</v>
      </c>
      <c r="P39" s="429"/>
      <c r="Q39" s="491" t="str">
        <f t="shared" ca="1" si="9"/>
        <v>R</v>
      </c>
      <c r="R39" s="335"/>
      <c r="S39" s="492">
        <f t="shared" ca="1" si="10"/>
        <v>43</v>
      </c>
      <c r="T39" s="367"/>
      <c r="U39" s="490">
        <f t="shared" ca="1" si="11"/>
        <v>38</v>
      </c>
      <c r="V39" s="345">
        <f ca="1">COUNTIF( U$12:U39, U39 ) - 1</f>
        <v>0</v>
      </c>
      <c r="W39" s="345">
        <f t="shared" ca="1" si="13"/>
        <v>38</v>
      </c>
      <c r="X39" s="488">
        <f t="shared" ca="1" si="12"/>
        <v>38</v>
      </c>
    </row>
    <row r="40" spans="3:24">
      <c r="H40" s="335"/>
      <c r="I40" s="335">
        <f t="shared" si="14"/>
        <v>29</v>
      </c>
      <c r="J40" s="333" t="str">
        <f t="shared" ca="1" si="5"/>
        <v>Otter Tail Corporation</v>
      </c>
      <c r="K40" s="333" t="str">
        <f t="shared" ca="1" si="6"/>
        <v>OTTR</v>
      </c>
      <c r="L40" s="333"/>
      <c r="M40" s="403">
        <f t="shared" ca="1" si="7"/>
        <v>-12.595047767596023</v>
      </c>
      <c r="N40" s="344"/>
      <c r="O40" s="407">
        <f t="shared" ca="1" si="8"/>
        <v>38</v>
      </c>
      <c r="P40" s="429"/>
      <c r="Q40" s="491" t="str">
        <f t="shared" ca="1" si="9"/>
        <v>R</v>
      </c>
      <c r="R40" s="335"/>
      <c r="S40" s="492">
        <f t="shared" ca="1" si="10"/>
        <v>44</v>
      </c>
      <c r="T40" s="367"/>
      <c r="U40" s="490">
        <f t="shared" ca="1" si="11"/>
        <v>14</v>
      </c>
      <c r="V40" s="345">
        <f ca="1">COUNTIF( U$12:U40, U40 ) - 1</f>
        <v>0</v>
      </c>
      <c r="W40" s="345">
        <f t="shared" ca="1" si="13"/>
        <v>14</v>
      </c>
      <c r="X40" s="488">
        <f t="shared" ca="1" si="12"/>
        <v>14</v>
      </c>
    </row>
    <row r="41" spans="3:24">
      <c r="H41" s="335"/>
      <c r="I41" s="335">
        <f t="shared" si="14"/>
        <v>30</v>
      </c>
      <c r="J41" s="333" t="str">
        <f t="shared" ca="1" si="5"/>
        <v>PG&amp;E Corporation</v>
      </c>
      <c r="K41" s="333" t="str">
        <f t="shared" ca="1" si="6"/>
        <v>PCG</v>
      </c>
      <c r="L41" s="333"/>
      <c r="M41" s="403">
        <f t="shared" ca="1" si="7"/>
        <v>-17.295308187672486</v>
      </c>
      <c r="N41" s="344"/>
      <c r="O41" s="407">
        <f t="shared" ca="1" si="8"/>
        <v>39</v>
      </c>
      <c r="P41" s="429"/>
      <c r="Q41" s="491" t="str">
        <f t="shared" ca="1" si="9"/>
        <v>R</v>
      </c>
      <c r="R41" s="335"/>
      <c r="S41" s="492">
        <f t="shared" ca="1" si="10"/>
        <v>45</v>
      </c>
      <c r="T41" s="367"/>
      <c r="U41" s="490">
        <f t="shared" ca="1" si="11"/>
        <v>27</v>
      </c>
      <c r="V41" s="345">
        <f ca="1">COUNTIF( U$12:U41, U41 ) - 1</f>
        <v>0</v>
      </c>
      <c r="W41" s="345">
        <f t="shared" ca="1" si="13"/>
        <v>27</v>
      </c>
      <c r="X41" s="488">
        <f t="shared" ca="1" si="12"/>
        <v>27</v>
      </c>
    </row>
    <row r="42" spans="3:24">
      <c r="H42" s="335"/>
      <c r="I42" s="335">
        <f t="shared" si="14"/>
        <v>31</v>
      </c>
      <c r="J42" s="333" t="str">
        <f t="shared" ca="1" si="5"/>
        <v>Pinnacle West Capital Corporation</v>
      </c>
      <c r="K42" s="333" t="str">
        <f t="shared" ca="1" si="6"/>
        <v>PNW</v>
      </c>
      <c r="L42" s="333"/>
      <c r="M42" s="403">
        <f t="shared" ca="1" si="7"/>
        <v>-14.853219170465904</v>
      </c>
      <c r="N42" s="344"/>
      <c r="O42" s="407">
        <f t="shared" ca="1" si="8"/>
        <v>40</v>
      </c>
      <c r="P42" s="429"/>
      <c r="Q42" s="491" t="str">
        <f t="shared" ca="1" si="9"/>
        <v>R</v>
      </c>
      <c r="R42" s="335"/>
      <c r="S42" s="492">
        <f t="shared" ca="1" si="10"/>
        <v>46</v>
      </c>
      <c r="T42" s="367"/>
      <c r="U42" s="490">
        <f t="shared" ca="1" si="11"/>
        <v>22</v>
      </c>
      <c r="V42" s="345">
        <f ca="1">COUNTIF( U$12:U42, U42 ) - 1</f>
        <v>0</v>
      </c>
      <c r="W42" s="345">
        <f t="shared" ca="1" si="13"/>
        <v>22</v>
      </c>
      <c r="X42" s="488">
        <f t="shared" ca="1" si="12"/>
        <v>22</v>
      </c>
    </row>
    <row r="43" spans="3:24">
      <c r="H43" s="335"/>
      <c r="I43" s="335">
        <f t="shared" si="14"/>
        <v>32</v>
      </c>
      <c r="J43" s="333" t="str">
        <f t="shared" ca="1" si="5"/>
        <v>PNM Resources, Inc.</v>
      </c>
      <c r="K43" s="333" t="str">
        <f t="shared" ca="1" si="6"/>
        <v>PNM</v>
      </c>
      <c r="L43" s="333"/>
      <c r="M43" s="403">
        <f t="shared" ca="1" si="7"/>
        <v>-24.457700650759207</v>
      </c>
      <c r="N43" s="344"/>
      <c r="O43" s="407">
        <f t="shared" ca="1" si="8"/>
        <v>41</v>
      </c>
      <c r="P43" s="429"/>
      <c r="Q43" s="491" t="str">
        <f t="shared" ca="1" si="9"/>
        <v>R</v>
      </c>
      <c r="R43" s="335"/>
      <c r="S43" s="492">
        <f t="shared" ca="1" si="10"/>
        <v>47</v>
      </c>
      <c r="T43" s="367"/>
      <c r="U43" s="490">
        <f t="shared" ca="1" si="11"/>
        <v>32</v>
      </c>
      <c r="V43" s="345">
        <f ca="1">COUNTIF( U$12:U43, U43 ) - 1</f>
        <v>0</v>
      </c>
      <c r="W43" s="345">
        <f t="shared" ca="1" si="13"/>
        <v>32</v>
      </c>
      <c r="X43" s="488">
        <f t="shared" ca="1" si="12"/>
        <v>32</v>
      </c>
    </row>
    <row r="44" spans="3:24">
      <c r="H44" s="335"/>
      <c r="I44" s="335">
        <f t="shared" si="14"/>
        <v>33</v>
      </c>
      <c r="J44" s="333" t="str">
        <f t="shared" ref="J44:J63" ca="1" si="15">OFFSET( INDIRECT( J$6 &amp; J$8 ), $I44 - 1, 0 )</f>
        <v>Portland General Electric Company</v>
      </c>
      <c r="K44" s="333" t="str">
        <f t="shared" ref="K44:K63" ca="1" si="16">OFFSET( INDIRECT( K$7 &amp; K$8 ), $I44 - 1, 0 )</f>
        <v>POR</v>
      </c>
      <c r="L44" s="333"/>
      <c r="M44" s="403">
        <f t="shared" ca="1" si="7"/>
        <v>-13.380534145904265</v>
      </c>
      <c r="N44" s="344"/>
      <c r="O44" s="407">
        <f t="shared" ca="1" si="8"/>
        <v>42</v>
      </c>
      <c r="P44" s="429"/>
      <c r="Q44" s="491" t="str">
        <f t="shared" ref="Q44:Q63" ca="1" si="17">OFFSET( INDIRECT( Q$7 &amp; Q$8 ), $S44 - 1, 0 )</f>
        <v>R</v>
      </c>
      <c r="R44" s="335"/>
      <c r="S44" s="492">
        <f t="shared" ref="S44:S63" ca="1" si="18">MATCH( $K44, INDIRECT( S$7 &amp; S$8 ), 0 )</f>
        <v>48</v>
      </c>
      <c r="T44" s="367"/>
      <c r="U44" s="490">
        <f t="shared" ca="1" si="11"/>
        <v>16</v>
      </c>
      <c r="V44" s="345">
        <f ca="1">COUNTIF( U$12:U44, U44 ) - 1</f>
        <v>0</v>
      </c>
      <c r="W44" s="345">
        <f t="shared" ca="1" si="13"/>
        <v>16</v>
      </c>
      <c r="X44" s="488">
        <f t="shared" ref="X44:X66" ca="1" si="19">RANK( W44, $W$12:$W$71, 1 )</f>
        <v>16</v>
      </c>
    </row>
    <row r="45" spans="3:24">
      <c r="H45" s="335"/>
      <c r="I45" s="335">
        <f t="shared" si="14"/>
        <v>34</v>
      </c>
      <c r="J45" s="333" t="str">
        <f t="shared" ca="1" si="15"/>
        <v>PPL Corporation</v>
      </c>
      <c r="K45" s="333" t="str">
        <f t="shared" ca="1" si="16"/>
        <v>PPL</v>
      </c>
      <c r="L45" s="333"/>
      <c r="M45" s="403">
        <f t="shared" ca="1" si="7"/>
        <v>-30.058528428093666</v>
      </c>
      <c r="N45" s="344"/>
      <c r="O45" s="407">
        <f t="shared" ca="1" si="8"/>
        <v>43</v>
      </c>
      <c r="P45" s="429"/>
      <c r="Q45" s="491" t="str">
        <f t="shared" ca="1" si="17"/>
        <v>R</v>
      </c>
      <c r="R45" s="335"/>
      <c r="S45" s="492">
        <f t="shared" ca="1" si="18"/>
        <v>49</v>
      </c>
      <c r="T45" s="367"/>
      <c r="U45" s="490">
        <f t="shared" ca="1" si="11"/>
        <v>39</v>
      </c>
      <c r="V45" s="345">
        <f ca="1">COUNTIF( U$12:U45, U45 ) - 1</f>
        <v>0</v>
      </c>
      <c r="W45" s="345">
        <f t="shared" ca="1" si="13"/>
        <v>39</v>
      </c>
      <c r="X45" s="488">
        <f t="shared" ca="1" si="19"/>
        <v>39</v>
      </c>
    </row>
    <row r="46" spans="3:24">
      <c r="H46" s="335"/>
      <c r="I46" s="335">
        <f t="shared" si="14"/>
        <v>35</v>
      </c>
      <c r="J46" s="333" t="str">
        <f t="shared" ca="1" si="15"/>
        <v>Public Service Enterprise Group Incorporated</v>
      </c>
      <c r="K46" s="333" t="str">
        <f t="shared" ca="1" si="16"/>
        <v>PEG</v>
      </c>
      <c r="L46" s="333"/>
      <c r="M46" s="403">
        <f t="shared" ca="1" si="7"/>
        <v>-23.116003386960205</v>
      </c>
      <c r="N46" s="344"/>
      <c r="O46" s="407">
        <f t="shared" ca="1" si="8"/>
        <v>44</v>
      </c>
      <c r="P46" s="429"/>
      <c r="Q46" s="491" t="str">
        <f t="shared" ca="1" si="17"/>
        <v>MR</v>
      </c>
      <c r="R46" s="335"/>
      <c r="S46" s="492">
        <f t="shared" ca="1" si="18"/>
        <v>50</v>
      </c>
      <c r="T46" s="367"/>
      <c r="U46" s="490">
        <f t="shared" ca="1" si="11"/>
        <v>31</v>
      </c>
      <c r="V46" s="345">
        <f ca="1">COUNTIF( U$12:U46, U46 ) - 1</f>
        <v>0</v>
      </c>
      <c r="W46" s="345">
        <f t="shared" ca="1" si="13"/>
        <v>31</v>
      </c>
      <c r="X46" s="488">
        <f t="shared" ca="1" si="19"/>
        <v>31</v>
      </c>
    </row>
    <row r="47" spans="3:24">
      <c r="H47" s="335"/>
      <c r="I47" s="335">
        <f t="shared" si="14"/>
        <v>36</v>
      </c>
      <c r="J47" s="333" t="str">
        <f t="shared" ca="1" si="15"/>
        <v>Sempra Energy</v>
      </c>
      <c r="K47" s="333" t="str">
        <f t="shared" ca="1" si="16"/>
        <v>SRE</v>
      </c>
      <c r="L47" s="333"/>
      <c r="M47" s="403">
        <f t="shared" ca="1" si="7"/>
        <v>-24.719434908898887</v>
      </c>
      <c r="N47" s="344"/>
      <c r="O47" s="407">
        <f t="shared" ca="1" si="8"/>
        <v>45</v>
      </c>
      <c r="P47" s="429"/>
      <c r="Q47" s="491" t="str">
        <f t="shared" ca="1" si="17"/>
        <v>MR</v>
      </c>
      <c r="R47" s="335"/>
      <c r="S47" s="492">
        <f t="shared" ca="1" si="18"/>
        <v>51</v>
      </c>
      <c r="T47" s="367"/>
      <c r="U47" s="490">
        <f t="shared" ca="1" si="11"/>
        <v>34</v>
      </c>
      <c r="V47" s="345">
        <f ca="1">COUNTIF( U$12:U47, U47 ) - 1</f>
        <v>0</v>
      </c>
      <c r="W47" s="345">
        <f t="shared" ca="1" si="13"/>
        <v>34</v>
      </c>
      <c r="X47" s="488">
        <f t="shared" ca="1" si="19"/>
        <v>34</v>
      </c>
    </row>
    <row r="48" spans="3:24">
      <c r="H48" s="335"/>
      <c r="I48" s="335">
        <f t="shared" si="14"/>
        <v>37</v>
      </c>
      <c r="J48" s="333" t="str">
        <f t="shared" ca="1" si="15"/>
        <v>Southern Company</v>
      </c>
      <c r="K48" s="333" t="str">
        <f t="shared" ca="1" si="16"/>
        <v>SO</v>
      </c>
      <c r="L48" s="333"/>
      <c r="M48" s="403">
        <f t="shared" ca="1" si="7"/>
        <v>-14.03453689167975</v>
      </c>
      <c r="N48" s="344"/>
      <c r="O48" s="407">
        <f t="shared" ca="1" si="8"/>
        <v>46</v>
      </c>
      <c r="P48" s="429"/>
      <c r="Q48" s="491" t="str">
        <f t="shared" ca="1" si="17"/>
        <v>R</v>
      </c>
      <c r="R48" s="335"/>
      <c r="S48" s="492">
        <f t="shared" ca="1" si="18"/>
        <v>52</v>
      </c>
      <c r="T48" s="367"/>
      <c r="U48" s="490">
        <f t="shared" ca="1" si="11"/>
        <v>18</v>
      </c>
      <c r="V48" s="345">
        <f ca="1">COUNTIF( U$12:U48, U48 ) - 1</f>
        <v>0</v>
      </c>
      <c r="W48" s="345">
        <f t="shared" ca="1" si="13"/>
        <v>18</v>
      </c>
      <c r="X48" s="488">
        <f t="shared" ca="1" si="19"/>
        <v>18</v>
      </c>
    </row>
    <row r="49" spans="8:24">
      <c r="H49" s="335"/>
      <c r="I49" s="335">
        <f t="shared" si="14"/>
        <v>38</v>
      </c>
      <c r="J49" s="333" t="str">
        <f t="shared" ca="1" si="15"/>
        <v>Unitil Corporation</v>
      </c>
      <c r="K49" s="333" t="str">
        <f t="shared" ca="1" si="16"/>
        <v>UTL</v>
      </c>
      <c r="L49" s="333"/>
      <c r="M49" s="403">
        <f t="shared" ca="1" si="7"/>
        <v>-14.760595276609511</v>
      </c>
      <c r="N49" s="344"/>
      <c r="O49" s="407">
        <f t="shared" ca="1" si="8"/>
        <v>47</v>
      </c>
      <c r="P49" s="429"/>
      <c r="Q49" s="491" t="str">
        <f t="shared" ca="1" si="17"/>
        <v>R</v>
      </c>
      <c r="R49" s="335"/>
      <c r="S49" s="492">
        <f t="shared" ca="1" si="18"/>
        <v>53</v>
      </c>
      <c r="T49" s="367"/>
      <c r="U49" s="490">
        <f t="shared" ca="1" si="11"/>
        <v>21</v>
      </c>
      <c r="V49" s="345">
        <f ca="1">COUNTIF( U$12:U49, U49 ) - 1</f>
        <v>0</v>
      </c>
      <c r="W49" s="345">
        <f t="shared" ca="1" si="13"/>
        <v>21</v>
      </c>
      <c r="X49" s="488">
        <f t="shared" ca="1" si="19"/>
        <v>21</v>
      </c>
    </row>
    <row r="50" spans="8:24">
      <c r="H50" s="335"/>
      <c r="I50" s="335">
        <f t="shared" si="14"/>
        <v>39</v>
      </c>
      <c r="J50" s="333" t="str">
        <f t="shared" ca="1" si="15"/>
        <v>WEC Energy Group, Inc.</v>
      </c>
      <c r="K50" s="333" t="str">
        <f t="shared" ca="1" si="16"/>
        <v>WEC</v>
      </c>
      <c r="L50" s="333"/>
      <c r="M50" s="403">
        <f t="shared" ca="1" si="7"/>
        <v>-3.7596226824243795</v>
      </c>
      <c r="N50" s="344"/>
      <c r="O50" s="407">
        <f t="shared" ca="1" si="8"/>
        <v>48</v>
      </c>
      <c r="P50" s="429"/>
      <c r="Q50" s="491" t="str">
        <f t="shared" ca="1" si="17"/>
        <v>R</v>
      </c>
      <c r="R50" s="335"/>
      <c r="S50" s="492">
        <f t="shared" ca="1" si="18"/>
        <v>54</v>
      </c>
      <c r="T50" s="367"/>
      <c r="U50" s="490">
        <f t="shared" ca="1" si="11"/>
        <v>3</v>
      </c>
      <c r="V50" s="345">
        <f ca="1">COUNTIF( U$12:U50, U50 ) - 1</f>
        <v>0</v>
      </c>
      <c r="W50" s="345">
        <f t="shared" ca="1" si="13"/>
        <v>3</v>
      </c>
      <c r="X50" s="488">
        <f t="shared" ca="1" si="19"/>
        <v>3</v>
      </c>
    </row>
    <row r="51" spans="8:24">
      <c r="H51" s="335"/>
      <c r="I51" s="335">
        <f t="shared" si="14"/>
        <v>40</v>
      </c>
      <c r="J51" s="333" t="str">
        <f t="shared" ca="1" si="15"/>
        <v>Xcel Energy Inc.</v>
      </c>
      <c r="K51" s="333" t="str">
        <f t="shared" ca="1" si="16"/>
        <v>XEL</v>
      </c>
      <c r="L51" s="333"/>
      <c r="M51" s="403">
        <f t="shared" ca="1" si="7"/>
        <v>-4.3471412820916715</v>
      </c>
      <c r="N51" s="344"/>
      <c r="O51" s="407">
        <f t="shared" ca="1" si="8"/>
        <v>49</v>
      </c>
      <c r="P51" s="429"/>
      <c r="Q51" s="491" t="str">
        <f t="shared" ca="1" si="17"/>
        <v>R</v>
      </c>
      <c r="R51" s="335"/>
      <c r="S51" s="492">
        <f t="shared" ca="1" si="18"/>
        <v>55</v>
      </c>
      <c r="T51" s="367"/>
      <c r="U51" s="490">
        <f t="shared" ca="1" si="11"/>
        <v>4</v>
      </c>
      <c r="V51" s="345">
        <f ca="1">COUNTIF( U$12:U51, U51 ) - 1</f>
        <v>0</v>
      </c>
      <c r="W51" s="345">
        <f t="shared" ca="1" si="13"/>
        <v>4</v>
      </c>
      <c r="X51" s="488">
        <f t="shared" ca="1" si="19"/>
        <v>4</v>
      </c>
    </row>
    <row r="52" spans="8:24">
      <c r="H52" s="335"/>
      <c r="I52" s="335">
        <f t="shared" si="14"/>
        <v>41</v>
      </c>
      <c r="J52" s="333">
        <f t="shared" ca="1" si="15"/>
        <v>0</v>
      </c>
      <c r="K52" s="333">
        <f t="shared" ca="1" si="16"/>
        <v>0</v>
      </c>
      <c r="L52" s="333"/>
      <c r="M52" s="403" t="str">
        <f t="shared" ca="1" si="7"/>
        <v/>
      </c>
      <c r="N52" s="344"/>
      <c r="O52" s="407" t="e">
        <f t="shared" ca="1" si="8"/>
        <v>#N/A</v>
      </c>
      <c r="P52" s="429"/>
      <c r="Q52" s="491" t="e">
        <f t="shared" ca="1" si="17"/>
        <v>#N/A</v>
      </c>
      <c r="R52" s="335"/>
      <c r="S52" s="492" t="e">
        <f t="shared" ca="1" si="18"/>
        <v>#N/A</v>
      </c>
      <c r="T52" s="367"/>
      <c r="U52" s="490">
        <f t="shared" ca="1" si="11"/>
        <v>100</v>
      </c>
      <c r="V52" s="345">
        <f ca="1">COUNTIF( U$12:U52, U52 ) - 1</f>
        <v>0</v>
      </c>
      <c r="W52" s="345">
        <f t="shared" ca="1" si="13"/>
        <v>100</v>
      </c>
      <c r="X52" s="488">
        <f t="shared" ca="1" si="19"/>
        <v>41</v>
      </c>
    </row>
    <row r="53" spans="8:24">
      <c r="H53" s="335"/>
      <c r="I53" s="335">
        <f t="shared" si="14"/>
        <v>42</v>
      </c>
      <c r="J53" s="333">
        <f t="shared" ca="1" si="15"/>
        <v>0</v>
      </c>
      <c r="K53" s="333">
        <f t="shared" ca="1" si="16"/>
        <v>0</v>
      </c>
      <c r="L53" s="333"/>
      <c r="M53" s="403" t="str">
        <f t="shared" ca="1" si="7"/>
        <v/>
      </c>
      <c r="N53" s="344"/>
      <c r="O53" s="407" t="e">
        <f t="shared" ca="1" si="8"/>
        <v>#N/A</v>
      </c>
      <c r="P53" s="429"/>
      <c r="Q53" s="491" t="e">
        <f t="shared" ca="1" si="17"/>
        <v>#N/A</v>
      </c>
      <c r="R53" s="335"/>
      <c r="S53" s="492" t="e">
        <f t="shared" ca="1" si="18"/>
        <v>#N/A</v>
      </c>
      <c r="T53" s="367"/>
      <c r="U53" s="490">
        <f t="shared" ca="1" si="11"/>
        <v>100</v>
      </c>
      <c r="V53" s="345">
        <f ca="1">COUNTIF( U$12:U53, U53 ) - 1</f>
        <v>1</v>
      </c>
      <c r="W53" s="345">
        <f t="shared" ca="1" si="13"/>
        <v>100.1</v>
      </c>
      <c r="X53" s="488">
        <f t="shared" ca="1" si="19"/>
        <v>42</v>
      </c>
    </row>
    <row r="54" spans="8:24">
      <c r="H54" s="335"/>
      <c r="I54" s="335">
        <f t="shared" si="14"/>
        <v>43</v>
      </c>
      <c r="J54" s="333">
        <f t="shared" ca="1" si="15"/>
        <v>0</v>
      </c>
      <c r="K54" s="333">
        <f t="shared" ca="1" si="16"/>
        <v>0</v>
      </c>
      <c r="L54" s="333"/>
      <c r="M54" s="403" t="str">
        <f t="shared" ca="1" si="7"/>
        <v/>
      </c>
      <c r="N54" s="344"/>
      <c r="O54" s="407" t="e">
        <f t="shared" ca="1" si="8"/>
        <v>#N/A</v>
      </c>
      <c r="P54" s="429"/>
      <c r="Q54" s="491" t="e">
        <f t="shared" ca="1" si="17"/>
        <v>#N/A</v>
      </c>
      <c r="R54" s="335"/>
      <c r="S54" s="492" t="e">
        <f t="shared" ca="1" si="18"/>
        <v>#N/A</v>
      </c>
      <c r="T54" s="367"/>
      <c r="U54" s="490">
        <f t="shared" ca="1" si="11"/>
        <v>100</v>
      </c>
      <c r="V54" s="345">
        <f ca="1">COUNTIF( U$12:U54, U54 ) - 1</f>
        <v>2</v>
      </c>
      <c r="W54" s="345">
        <f t="shared" ca="1" si="13"/>
        <v>100.2</v>
      </c>
      <c r="X54" s="488">
        <f t="shared" ca="1" si="19"/>
        <v>43</v>
      </c>
    </row>
    <row r="55" spans="8:24">
      <c r="H55" s="335"/>
      <c r="I55" s="335">
        <f t="shared" si="14"/>
        <v>44</v>
      </c>
      <c r="J55" s="333">
        <f t="shared" ca="1" si="15"/>
        <v>0</v>
      </c>
      <c r="K55" s="333">
        <f t="shared" ca="1" si="16"/>
        <v>0</v>
      </c>
      <c r="L55" s="333"/>
      <c r="M55" s="403" t="str">
        <f t="shared" ca="1" si="7"/>
        <v/>
      </c>
      <c r="N55" s="344"/>
      <c r="O55" s="407" t="e">
        <f t="shared" ca="1" si="8"/>
        <v>#N/A</v>
      </c>
      <c r="P55" s="429"/>
      <c r="Q55" s="491" t="e">
        <f t="shared" ca="1" si="17"/>
        <v>#N/A</v>
      </c>
      <c r="R55" s="335"/>
      <c r="S55" s="492" t="e">
        <f t="shared" ca="1" si="18"/>
        <v>#N/A</v>
      </c>
      <c r="T55" s="367"/>
      <c r="U55" s="490">
        <f t="shared" ca="1" si="11"/>
        <v>100</v>
      </c>
      <c r="V55" s="345">
        <f ca="1">COUNTIF( U$12:U55, U55 ) - 1</f>
        <v>3</v>
      </c>
      <c r="W55" s="345">
        <f t="shared" ca="1" si="13"/>
        <v>100.3</v>
      </c>
      <c r="X55" s="488">
        <f t="shared" ca="1" si="19"/>
        <v>44</v>
      </c>
    </row>
    <row r="56" spans="8:24">
      <c r="H56" s="335"/>
      <c r="I56" s="335">
        <f t="shared" si="14"/>
        <v>45</v>
      </c>
      <c r="J56" s="333">
        <f t="shared" ca="1" si="15"/>
        <v>0</v>
      </c>
      <c r="K56" s="333">
        <f t="shared" ca="1" si="16"/>
        <v>0</v>
      </c>
      <c r="L56" s="333"/>
      <c r="M56" s="403" t="str">
        <f t="shared" ca="1" si="7"/>
        <v/>
      </c>
      <c r="N56" s="344"/>
      <c r="O56" s="407" t="e">
        <f t="shared" ca="1" si="8"/>
        <v>#N/A</v>
      </c>
      <c r="P56" s="429"/>
      <c r="Q56" s="491" t="e">
        <f t="shared" ca="1" si="17"/>
        <v>#N/A</v>
      </c>
      <c r="R56" s="335"/>
      <c r="S56" s="492" t="e">
        <f t="shared" ca="1" si="18"/>
        <v>#N/A</v>
      </c>
      <c r="T56" s="367"/>
      <c r="U56" s="490">
        <f t="shared" ca="1" si="11"/>
        <v>100</v>
      </c>
      <c r="V56" s="345">
        <f ca="1">COUNTIF( U$12:U56, U56 ) - 1</f>
        <v>4</v>
      </c>
      <c r="W56" s="345">
        <f t="shared" ca="1" si="13"/>
        <v>100.4</v>
      </c>
      <c r="X56" s="488">
        <f t="shared" ca="1" si="19"/>
        <v>45</v>
      </c>
    </row>
    <row r="57" spans="8:24">
      <c r="H57" s="335"/>
      <c r="I57" s="335">
        <f t="shared" si="14"/>
        <v>46</v>
      </c>
      <c r="J57" s="333">
        <f t="shared" ca="1" si="15"/>
        <v>0</v>
      </c>
      <c r="K57" s="333">
        <f t="shared" ca="1" si="16"/>
        <v>0</v>
      </c>
      <c r="L57" s="333"/>
      <c r="M57" s="403" t="str">
        <f t="shared" ca="1" si="7"/>
        <v/>
      </c>
      <c r="N57" s="344"/>
      <c r="O57" s="407" t="e">
        <f t="shared" ca="1" si="8"/>
        <v>#N/A</v>
      </c>
      <c r="P57" s="429"/>
      <c r="Q57" s="491" t="e">
        <f t="shared" ca="1" si="17"/>
        <v>#N/A</v>
      </c>
      <c r="R57" s="335"/>
      <c r="S57" s="492" t="e">
        <f t="shared" ca="1" si="18"/>
        <v>#N/A</v>
      </c>
      <c r="T57" s="367"/>
      <c r="U57" s="490">
        <f t="shared" ca="1" si="11"/>
        <v>100</v>
      </c>
      <c r="V57" s="345">
        <f ca="1">COUNTIF( U$12:U57, U57 ) - 1</f>
        <v>5</v>
      </c>
      <c r="W57" s="345">
        <f t="shared" ca="1" si="13"/>
        <v>100.5</v>
      </c>
      <c r="X57" s="488">
        <f t="shared" ca="1" si="19"/>
        <v>46</v>
      </c>
    </row>
    <row r="58" spans="8:24">
      <c r="H58" s="335"/>
      <c r="I58" s="335">
        <f t="shared" si="14"/>
        <v>47</v>
      </c>
      <c r="J58" s="333">
        <f t="shared" ca="1" si="15"/>
        <v>0</v>
      </c>
      <c r="K58" s="333">
        <f t="shared" ca="1" si="16"/>
        <v>0</v>
      </c>
      <c r="L58" s="333"/>
      <c r="M58" s="403" t="str">
        <f t="shared" ca="1" si="7"/>
        <v/>
      </c>
      <c r="N58" s="344"/>
      <c r="O58" s="407" t="e">
        <f t="shared" ca="1" si="8"/>
        <v>#N/A</v>
      </c>
      <c r="P58" s="429"/>
      <c r="Q58" s="491" t="e">
        <f t="shared" ca="1" si="17"/>
        <v>#N/A</v>
      </c>
      <c r="R58" s="335"/>
      <c r="S58" s="492" t="e">
        <f t="shared" ca="1" si="18"/>
        <v>#N/A</v>
      </c>
      <c r="T58" s="367"/>
      <c r="U58" s="490">
        <f t="shared" ca="1" si="11"/>
        <v>100</v>
      </c>
      <c r="V58" s="345">
        <f ca="1">COUNTIF( U$12:U58, U58 ) - 1</f>
        <v>6</v>
      </c>
      <c r="W58" s="345">
        <f t="shared" ca="1" si="13"/>
        <v>100.6</v>
      </c>
      <c r="X58" s="488">
        <f t="shared" ca="1" si="19"/>
        <v>47</v>
      </c>
    </row>
    <row r="59" spans="8:24">
      <c r="H59" s="335"/>
      <c r="I59" s="335">
        <f t="shared" si="14"/>
        <v>48</v>
      </c>
      <c r="J59" s="333">
        <f t="shared" ca="1" si="15"/>
        <v>0</v>
      </c>
      <c r="K59" s="333">
        <f t="shared" ca="1" si="16"/>
        <v>0</v>
      </c>
      <c r="L59" s="333"/>
      <c r="M59" s="403" t="str">
        <f t="shared" ca="1" si="7"/>
        <v/>
      </c>
      <c r="N59" s="344"/>
      <c r="O59" s="407" t="e">
        <f t="shared" ca="1" si="8"/>
        <v>#N/A</v>
      </c>
      <c r="P59" s="429"/>
      <c r="Q59" s="491" t="e">
        <f t="shared" ca="1" si="17"/>
        <v>#N/A</v>
      </c>
      <c r="R59" s="335"/>
      <c r="S59" s="492" t="e">
        <f t="shared" ca="1" si="18"/>
        <v>#N/A</v>
      </c>
      <c r="T59" s="367"/>
      <c r="U59" s="490">
        <f t="shared" ca="1" si="11"/>
        <v>100</v>
      </c>
      <c r="V59" s="345">
        <f ca="1">COUNTIF( U$12:U59, U59 ) - 1</f>
        <v>7</v>
      </c>
      <c r="W59" s="345">
        <f t="shared" ca="1" si="13"/>
        <v>100.7</v>
      </c>
      <c r="X59" s="488">
        <f t="shared" ca="1" si="19"/>
        <v>48</v>
      </c>
    </row>
    <row r="60" spans="8:24">
      <c r="H60" s="335"/>
      <c r="I60" s="335">
        <f t="shared" si="14"/>
        <v>49</v>
      </c>
      <c r="J60" s="333">
        <f t="shared" ca="1" si="15"/>
        <v>0</v>
      </c>
      <c r="K60" s="333">
        <f t="shared" ca="1" si="16"/>
        <v>0</v>
      </c>
      <c r="L60" s="333"/>
      <c r="M60" s="403" t="str">
        <f t="shared" ca="1" si="7"/>
        <v/>
      </c>
      <c r="N60" s="344"/>
      <c r="O60" s="407" t="e">
        <f t="shared" ca="1" si="8"/>
        <v>#N/A</v>
      </c>
      <c r="P60" s="429"/>
      <c r="Q60" s="491" t="e">
        <f t="shared" ca="1" si="17"/>
        <v>#N/A</v>
      </c>
      <c r="R60" s="335"/>
      <c r="S60" s="492" t="e">
        <f t="shared" ca="1" si="18"/>
        <v>#N/A</v>
      </c>
      <c r="T60" s="367"/>
      <c r="U60" s="490">
        <f t="shared" ca="1" si="11"/>
        <v>100</v>
      </c>
      <c r="V60" s="345">
        <f ca="1">COUNTIF( U$12:U60, U60 ) - 1</f>
        <v>8</v>
      </c>
      <c r="W60" s="345">
        <f t="shared" ca="1" si="13"/>
        <v>100.8</v>
      </c>
      <c r="X60" s="488">
        <f t="shared" ca="1" si="19"/>
        <v>49</v>
      </c>
    </row>
    <row r="61" spans="8:24">
      <c r="H61" s="335"/>
      <c r="I61" s="335">
        <f t="shared" si="14"/>
        <v>50</v>
      </c>
      <c r="J61" s="333">
        <f t="shared" ca="1" si="15"/>
        <v>0</v>
      </c>
      <c r="K61" s="333">
        <f t="shared" ca="1" si="16"/>
        <v>0</v>
      </c>
      <c r="L61" s="333"/>
      <c r="M61" s="403" t="str">
        <f t="shared" ca="1" si="7"/>
        <v/>
      </c>
      <c r="N61" s="344"/>
      <c r="O61" s="407" t="e">
        <f t="shared" ca="1" si="8"/>
        <v>#N/A</v>
      </c>
      <c r="P61" s="429"/>
      <c r="Q61" s="491" t="e">
        <f t="shared" ca="1" si="17"/>
        <v>#N/A</v>
      </c>
      <c r="R61" s="335"/>
      <c r="S61" s="492" t="e">
        <f t="shared" ca="1" si="18"/>
        <v>#N/A</v>
      </c>
      <c r="T61" s="367"/>
      <c r="U61" s="490">
        <f t="shared" ca="1" si="11"/>
        <v>100</v>
      </c>
      <c r="V61" s="345">
        <f ca="1">COUNTIF( U$12:U61, U61 ) - 1</f>
        <v>9</v>
      </c>
      <c r="W61" s="345">
        <f t="shared" ca="1" si="13"/>
        <v>100.9</v>
      </c>
      <c r="X61" s="488">
        <f t="shared" ca="1" si="19"/>
        <v>50</v>
      </c>
    </row>
    <row r="62" spans="8:24">
      <c r="H62" s="335"/>
      <c r="I62" s="335">
        <f t="shared" si="14"/>
        <v>51</v>
      </c>
      <c r="J62" s="333">
        <f t="shared" ca="1" si="15"/>
        <v>0</v>
      </c>
      <c r="K62" s="333">
        <f t="shared" ca="1" si="16"/>
        <v>0</v>
      </c>
      <c r="L62" s="333"/>
      <c r="M62" s="403" t="str">
        <f t="shared" ca="1" si="7"/>
        <v/>
      </c>
      <c r="N62" s="344"/>
      <c r="O62" s="407" t="e">
        <f t="shared" ca="1" si="8"/>
        <v>#N/A</v>
      </c>
      <c r="P62" s="429"/>
      <c r="Q62" s="491" t="e">
        <f t="shared" ca="1" si="17"/>
        <v>#N/A</v>
      </c>
      <c r="R62" s="335"/>
      <c r="S62" s="492" t="e">
        <f t="shared" ca="1" si="18"/>
        <v>#N/A</v>
      </c>
      <c r="T62" s="367"/>
      <c r="U62" s="490">
        <f t="shared" ca="1" si="11"/>
        <v>100</v>
      </c>
      <c r="V62" s="345">
        <f ca="1">COUNTIF( U$12:U62, U62 ) - 1</f>
        <v>10</v>
      </c>
      <c r="W62" s="345">
        <f t="shared" ca="1" si="13"/>
        <v>101</v>
      </c>
      <c r="X62" s="488">
        <f t="shared" ca="1" si="19"/>
        <v>51</v>
      </c>
    </row>
    <row r="63" spans="8:24">
      <c r="H63" s="335"/>
      <c r="I63" s="335">
        <f t="shared" si="14"/>
        <v>52</v>
      </c>
      <c r="J63" s="333">
        <f t="shared" ca="1" si="15"/>
        <v>0</v>
      </c>
      <c r="K63" s="333">
        <f t="shared" ca="1" si="16"/>
        <v>0</v>
      </c>
      <c r="L63" s="333"/>
      <c r="M63" s="403" t="str">
        <f t="shared" ca="1" si="7"/>
        <v/>
      </c>
      <c r="N63" s="344"/>
      <c r="O63" s="407" t="e">
        <f t="shared" ca="1" si="8"/>
        <v>#N/A</v>
      </c>
      <c r="P63" s="429"/>
      <c r="Q63" s="491" t="e">
        <f t="shared" ca="1" si="17"/>
        <v>#N/A</v>
      </c>
      <c r="R63" s="335"/>
      <c r="S63" s="492" t="e">
        <f t="shared" ca="1" si="18"/>
        <v>#N/A</v>
      </c>
      <c r="T63" s="367"/>
      <c r="U63" s="490">
        <f t="shared" ca="1" si="11"/>
        <v>100</v>
      </c>
      <c r="V63" s="345">
        <f ca="1">COUNTIF( U$12:U63, U63 ) - 1</f>
        <v>11</v>
      </c>
      <c r="W63" s="345">
        <f t="shared" ca="1" si="13"/>
        <v>101.1</v>
      </c>
      <c r="X63" s="488">
        <f t="shared" ca="1" si="19"/>
        <v>52</v>
      </c>
    </row>
    <row r="64" spans="8:24">
      <c r="H64" s="335"/>
      <c r="I64" s="335">
        <f t="shared" si="14"/>
        <v>53</v>
      </c>
      <c r="J64" s="333">
        <f t="shared" ref="J64:J71" ca="1" si="20">OFFSET( INDIRECT( J$6 &amp; J$8 ), $I64 - 1, 0 )</f>
        <v>0</v>
      </c>
      <c r="K64" s="333">
        <f t="shared" ref="K64:K71" ca="1" si="21">OFFSET( INDIRECT( K$7 &amp; K$8 ), $I64 - 1, 0 )</f>
        <v>0</v>
      </c>
      <c r="L64" s="333"/>
      <c r="M64" s="403" t="str">
        <f t="shared" ca="1" si="7"/>
        <v/>
      </c>
      <c r="N64" s="344"/>
      <c r="O64" s="407" t="e">
        <f t="shared" ca="1" si="8"/>
        <v>#N/A</v>
      </c>
      <c r="P64" s="429"/>
      <c r="Q64" s="491" t="e">
        <f t="shared" ref="Q64:Q71" ca="1" si="22">OFFSET( INDIRECT( Q$7 &amp; Q$8 ), $S64 - 1, 0 )</f>
        <v>#N/A</v>
      </c>
      <c r="R64" s="335"/>
      <c r="S64" s="492" t="e">
        <f t="shared" ref="S64:S71" ca="1" si="23">MATCH( $K64, INDIRECT( S$7 &amp; S$8 ), 0 )</f>
        <v>#N/A</v>
      </c>
      <c r="T64" s="367"/>
      <c r="U64" s="490">
        <f t="shared" ca="1" si="11"/>
        <v>100</v>
      </c>
      <c r="V64" s="345">
        <f ca="1">COUNTIF( U$12:U64, U64 ) - 1</f>
        <v>12</v>
      </c>
      <c r="W64" s="345">
        <f t="shared" ref="W64:W66" ca="1" si="24">U64 + V64 / 10</f>
        <v>101.2</v>
      </c>
      <c r="X64" s="488">
        <f t="shared" ca="1" si="19"/>
        <v>53</v>
      </c>
    </row>
    <row r="65" spans="8:24">
      <c r="H65" s="335"/>
      <c r="I65" s="335">
        <f t="shared" si="14"/>
        <v>54</v>
      </c>
      <c r="J65" s="333">
        <f t="shared" ca="1" si="20"/>
        <v>0</v>
      </c>
      <c r="K65" s="333">
        <f t="shared" ca="1" si="21"/>
        <v>0</v>
      </c>
      <c r="L65" s="333"/>
      <c r="M65" s="403" t="str">
        <f t="shared" ca="1" si="7"/>
        <v/>
      </c>
      <c r="N65" s="344"/>
      <c r="O65" s="407" t="e">
        <f t="shared" ca="1" si="8"/>
        <v>#N/A</v>
      </c>
      <c r="P65" s="429"/>
      <c r="Q65" s="491" t="e">
        <f t="shared" ca="1" si="22"/>
        <v>#N/A</v>
      </c>
      <c r="R65" s="335"/>
      <c r="S65" s="492" t="e">
        <f t="shared" ca="1" si="23"/>
        <v>#N/A</v>
      </c>
      <c r="T65" s="367"/>
      <c r="U65" s="490">
        <f t="shared" ca="1" si="11"/>
        <v>100</v>
      </c>
      <c r="V65" s="345">
        <f ca="1">COUNTIF( U$12:U65, U65 ) - 1</f>
        <v>13</v>
      </c>
      <c r="W65" s="345">
        <f t="shared" ca="1" si="24"/>
        <v>101.3</v>
      </c>
      <c r="X65" s="488">
        <f t="shared" ca="1" si="19"/>
        <v>54</v>
      </c>
    </row>
    <row r="66" spans="8:24">
      <c r="H66" s="335"/>
      <c r="I66" s="335">
        <f t="shared" si="14"/>
        <v>55</v>
      </c>
      <c r="J66" s="333">
        <f t="shared" ca="1" si="20"/>
        <v>0</v>
      </c>
      <c r="K66" s="333">
        <f t="shared" ca="1" si="21"/>
        <v>0</v>
      </c>
      <c r="L66" s="333"/>
      <c r="M66" s="403" t="str">
        <f ca="1">IF( ISNA( $O66 ), "", OFFSET( INDIRECT( M$6 &amp; M$8 ), $O66 - 1, M$9 - 1 ) )</f>
        <v/>
      </c>
      <c r="N66" s="344"/>
      <c r="O66" s="407" t="e">
        <f t="shared" ca="1" si="8"/>
        <v>#N/A</v>
      </c>
      <c r="P66" s="429"/>
      <c r="Q66" s="491" t="e">
        <f t="shared" ca="1" si="22"/>
        <v>#N/A</v>
      </c>
      <c r="R66" s="335"/>
      <c r="S66" s="492" t="e">
        <f t="shared" ca="1" si="23"/>
        <v>#N/A</v>
      </c>
      <c r="T66" s="367"/>
      <c r="U66" s="490">
        <f ca="1">IF( LEN( M66 ) = 0, 100, RANK( M66, M$12:M$71, 0 ) )</f>
        <v>100</v>
      </c>
      <c r="V66" s="345">
        <f ca="1">COUNTIF( U$12:U66, U66 ) - 1</f>
        <v>14</v>
      </c>
      <c r="W66" s="345">
        <f t="shared" ca="1" si="24"/>
        <v>101.4</v>
      </c>
      <c r="X66" s="488">
        <f t="shared" ca="1" si="19"/>
        <v>55</v>
      </c>
    </row>
    <row r="67" spans="8:24">
      <c r="H67" s="335"/>
      <c r="I67" s="335">
        <f t="shared" si="14"/>
        <v>56</v>
      </c>
      <c r="J67" s="333">
        <f t="shared" ca="1" si="20"/>
        <v>0</v>
      </c>
      <c r="K67" s="333">
        <f t="shared" ca="1" si="21"/>
        <v>0</v>
      </c>
      <c r="L67" s="333"/>
      <c r="M67" s="403" t="str">
        <f t="shared" ref="M67:M71" ca="1" si="25">IF( ISNA( $O67 ), "", OFFSET( INDIRECT( M$6 &amp; M$8 ), $O67 - 1, M$9 - 1 ) )</f>
        <v/>
      </c>
      <c r="N67" s="344"/>
      <c r="O67" s="407" t="e">
        <f t="shared" ca="1" si="8"/>
        <v>#N/A</v>
      </c>
      <c r="P67" s="429"/>
      <c r="Q67" s="491" t="e">
        <f t="shared" ca="1" si="22"/>
        <v>#N/A</v>
      </c>
      <c r="R67" s="335"/>
      <c r="S67" s="492" t="e">
        <f t="shared" ca="1" si="23"/>
        <v>#N/A</v>
      </c>
      <c r="T67" s="367"/>
      <c r="U67" s="490">
        <f t="shared" ref="U67:U71" ca="1" si="26">IF( LEN( M67 ) = 0, 100, RANK( M67, M$12:M$71, 0 ) )</f>
        <v>100</v>
      </c>
      <c r="V67" s="345">
        <f ca="1">COUNTIF( U$12:U67, U67 ) - 1</f>
        <v>15</v>
      </c>
      <c r="W67" s="345">
        <f t="shared" ref="W67:W71" ca="1" si="27">U67 + V67 / 10</f>
        <v>101.5</v>
      </c>
      <c r="X67" s="488">
        <f t="shared" ref="X67:X71" ca="1" si="28">RANK( W67, $W$12:$W$71, 1 )</f>
        <v>56</v>
      </c>
    </row>
    <row r="68" spans="8:24">
      <c r="H68" s="335"/>
      <c r="I68" s="335">
        <f t="shared" si="14"/>
        <v>57</v>
      </c>
      <c r="J68" s="333">
        <f t="shared" ca="1" si="20"/>
        <v>0</v>
      </c>
      <c r="K68" s="333">
        <f t="shared" ca="1" si="21"/>
        <v>0</v>
      </c>
      <c r="L68" s="333"/>
      <c r="M68" s="403" t="str">
        <f t="shared" ca="1" si="25"/>
        <v/>
      </c>
      <c r="N68" s="344"/>
      <c r="O68" s="407" t="e">
        <f t="shared" ca="1" si="8"/>
        <v>#N/A</v>
      </c>
      <c r="P68" s="429"/>
      <c r="Q68" s="491" t="e">
        <f t="shared" ca="1" si="22"/>
        <v>#N/A</v>
      </c>
      <c r="R68" s="335"/>
      <c r="S68" s="492" t="e">
        <f t="shared" ca="1" si="23"/>
        <v>#N/A</v>
      </c>
      <c r="T68" s="367"/>
      <c r="U68" s="490">
        <f t="shared" ca="1" si="26"/>
        <v>100</v>
      </c>
      <c r="V68" s="345">
        <f ca="1">COUNTIF( U$12:U68, U68 ) - 1</f>
        <v>16</v>
      </c>
      <c r="W68" s="345">
        <f t="shared" ca="1" si="27"/>
        <v>101.6</v>
      </c>
      <c r="X68" s="488">
        <f t="shared" ca="1" si="28"/>
        <v>57</v>
      </c>
    </row>
    <row r="69" spans="8:24">
      <c r="H69" s="335"/>
      <c r="I69" s="335">
        <f t="shared" si="14"/>
        <v>58</v>
      </c>
      <c r="J69" s="333">
        <f t="shared" ca="1" si="20"/>
        <v>0</v>
      </c>
      <c r="K69" s="333">
        <f t="shared" ca="1" si="21"/>
        <v>0</v>
      </c>
      <c r="L69" s="333"/>
      <c r="M69" s="403" t="str">
        <f t="shared" ca="1" si="25"/>
        <v/>
      </c>
      <c r="N69" s="344"/>
      <c r="O69" s="407" t="e">
        <f t="shared" ca="1" si="8"/>
        <v>#N/A</v>
      </c>
      <c r="P69" s="429"/>
      <c r="Q69" s="491" t="e">
        <f t="shared" ca="1" si="22"/>
        <v>#N/A</v>
      </c>
      <c r="R69" s="335"/>
      <c r="S69" s="492" t="e">
        <f t="shared" ca="1" si="23"/>
        <v>#N/A</v>
      </c>
      <c r="T69" s="367"/>
      <c r="U69" s="490">
        <f t="shared" ca="1" si="26"/>
        <v>100</v>
      </c>
      <c r="V69" s="345">
        <f ca="1">COUNTIF( U$12:U69, U69 ) - 1</f>
        <v>17</v>
      </c>
      <c r="W69" s="345">
        <f t="shared" ca="1" si="27"/>
        <v>101.7</v>
      </c>
      <c r="X69" s="488">
        <f t="shared" ca="1" si="28"/>
        <v>58</v>
      </c>
    </row>
    <row r="70" spans="8:24">
      <c r="H70" s="335"/>
      <c r="I70" s="335">
        <f t="shared" si="14"/>
        <v>59</v>
      </c>
      <c r="J70" s="333">
        <f t="shared" ca="1" si="20"/>
        <v>0</v>
      </c>
      <c r="K70" s="333">
        <f t="shared" ca="1" si="21"/>
        <v>0</v>
      </c>
      <c r="L70" s="333"/>
      <c r="M70" s="403" t="str">
        <f t="shared" ca="1" si="25"/>
        <v/>
      </c>
      <c r="N70" s="344"/>
      <c r="O70" s="407" t="e">
        <f t="shared" ca="1" si="8"/>
        <v>#N/A</v>
      </c>
      <c r="P70" s="429"/>
      <c r="Q70" s="491" t="e">
        <f t="shared" ca="1" si="22"/>
        <v>#N/A</v>
      </c>
      <c r="R70" s="335"/>
      <c r="S70" s="492" t="e">
        <f t="shared" ca="1" si="23"/>
        <v>#N/A</v>
      </c>
      <c r="T70" s="367"/>
      <c r="U70" s="490">
        <f t="shared" ca="1" si="26"/>
        <v>100</v>
      </c>
      <c r="V70" s="345">
        <f ca="1">COUNTIF( U$12:U70, U70 ) - 1</f>
        <v>18</v>
      </c>
      <c r="W70" s="345">
        <f t="shared" ca="1" si="27"/>
        <v>101.8</v>
      </c>
      <c r="X70" s="488">
        <f t="shared" ca="1" si="28"/>
        <v>59</v>
      </c>
    </row>
    <row r="71" spans="8:24">
      <c r="H71" s="335"/>
      <c r="I71" s="335">
        <f t="shared" si="14"/>
        <v>60</v>
      </c>
      <c r="J71" s="333">
        <f t="shared" ca="1" si="20"/>
        <v>0</v>
      </c>
      <c r="K71" s="333">
        <f t="shared" ca="1" si="21"/>
        <v>0</v>
      </c>
      <c r="L71" s="333"/>
      <c r="M71" s="403" t="str">
        <f t="shared" ca="1" si="25"/>
        <v/>
      </c>
      <c r="N71" s="344"/>
      <c r="O71" s="407" t="e">
        <f t="shared" ca="1" si="8"/>
        <v>#N/A</v>
      </c>
      <c r="P71" s="429"/>
      <c r="Q71" s="491" t="e">
        <f t="shared" ca="1" si="22"/>
        <v>#N/A</v>
      </c>
      <c r="R71" s="335"/>
      <c r="S71" s="492" t="e">
        <f t="shared" ca="1" si="23"/>
        <v>#N/A</v>
      </c>
      <c r="T71" s="367"/>
      <c r="U71" s="490">
        <f t="shared" ca="1" si="26"/>
        <v>100</v>
      </c>
      <c r="V71" s="345">
        <f ca="1">COUNTIF( U$12:U71, U71 ) - 1</f>
        <v>19</v>
      </c>
      <c r="W71" s="345">
        <f t="shared" ca="1" si="27"/>
        <v>101.9</v>
      </c>
      <c r="X71" s="488">
        <f t="shared" ca="1" si="28"/>
        <v>60</v>
      </c>
    </row>
    <row r="72" spans="8:24">
      <c r="I72" s="332"/>
      <c r="J72" s="333"/>
      <c r="K72" s="333"/>
      <c r="L72" s="333"/>
      <c r="M72" s="485"/>
      <c r="N72" s="355"/>
      <c r="O72" s="407"/>
      <c r="P72" s="429"/>
      <c r="Q72" s="495"/>
      <c r="R72" s="331"/>
      <c r="S72" s="375"/>
      <c r="T72" s="367"/>
      <c r="U72" s="367"/>
      <c r="V72" s="331"/>
      <c r="W72" s="331"/>
      <c r="X72" s="375"/>
    </row>
    <row r="73" spans="8:24">
      <c r="I73" s="332"/>
      <c r="J73" s="333"/>
      <c r="K73" s="333"/>
      <c r="L73" s="333"/>
      <c r="M73" s="402"/>
      <c r="N73" s="355"/>
      <c r="O73" s="408"/>
      <c r="P73" s="429"/>
      <c r="Q73" s="495"/>
      <c r="R73" s="331"/>
      <c r="S73" s="375"/>
      <c r="T73" s="367"/>
      <c r="U73" s="367"/>
      <c r="V73" s="331"/>
      <c r="W73" s="331"/>
      <c r="X73" s="375"/>
    </row>
    <row r="74" spans="8:24">
      <c r="I74" s="332"/>
      <c r="J74" s="333"/>
      <c r="K74" s="333"/>
      <c r="L74" s="333"/>
      <c r="M74" s="402"/>
      <c r="N74" s="355"/>
      <c r="O74" s="408"/>
      <c r="P74" s="429"/>
      <c r="Q74" s="495"/>
      <c r="R74" s="331"/>
      <c r="S74" s="375"/>
      <c r="T74" s="367"/>
      <c r="U74" s="367"/>
      <c r="V74" s="331"/>
      <c r="W74" s="331"/>
      <c r="X74" s="375"/>
    </row>
    <row r="75" spans="8:24">
      <c r="I75" s="316"/>
      <c r="J75" s="324" t="s">
        <v>77</v>
      </c>
      <c r="K75" s="324"/>
      <c r="L75" s="324"/>
      <c r="M75" s="418"/>
      <c r="N75" s="324"/>
      <c r="O75" s="411"/>
      <c r="P75" s="433"/>
      <c r="Q75" s="497"/>
      <c r="R75" s="319"/>
      <c r="S75" s="489"/>
      <c r="T75" s="367"/>
      <c r="U75" s="367"/>
      <c r="V75" s="331"/>
      <c r="W75" s="331"/>
      <c r="X75" s="375"/>
    </row>
    <row r="76" spans="8:24">
      <c r="I76" s="316"/>
      <c r="J76" s="324" t="s">
        <v>420</v>
      </c>
      <c r="K76" s="324"/>
      <c r="L76" s="324"/>
      <c r="M76" s="418"/>
      <c r="N76" s="324"/>
      <c r="O76" s="373"/>
      <c r="P76" s="433"/>
      <c r="Q76" s="497"/>
      <c r="R76" s="319"/>
      <c r="S76" s="489"/>
      <c r="T76" s="367"/>
      <c r="U76" s="367"/>
      <c r="V76" s="331"/>
      <c r="W76" s="331"/>
      <c r="X76" s="375"/>
    </row>
    <row r="77" spans="8:24">
      <c r="I77" s="332"/>
      <c r="J77" s="333"/>
      <c r="K77" s="333"/>
      <c r="L77" s="333"/>
      <c r="M77" s="402"/>
      <c r="N77" s="333"/>
      <c r="O77" s="376"/>
      <c r="P77" s="429"/>
      <c r="Q77" s="495"/>
      <c r="R77" s="331"/>
      <c r="S77" s="375"/>
      <c r="T77" s="367"/>
      <c r="U77" s="367"/>
      <c r="V77" s="331"/>
      <c r="W77" s="331"/>
      <c r="X77" s="375"/>
    </row>
    <row r="78" spans="8:24">
      <c r="I78" s="332"/>
      <c r="J78" s="333"/>
      <c r="K78" s="333"/>
      <c r="L78" s="333"/>
      <c r="M78" s="402"/>
      <c r="N78" s="333"/>
      <c r="O78" s="376"/>
      <c r="P78" s="429"/>
      <c r="Q78" s="495"/>
      <c r="R78" s="331"/>
      <c r="S78" s="375"/>
      <c r="T78" s="367"/>
      <c r="U78" s="367"/>
      <c r="V78" s="331"/>
      <c r="W78" s="331"/>
      <c r="X78" s="375"/>
    </row>
    <row r="79" spans="8:24">
      <c r="I79" s="332"/>
      <c r="J79" s="333"/>
      <c r="K79" s="333"/>
      <c r="L79" s="333"/>
      <c r="M79" s="402"/>
      <c r="N79" s="333"/>
      <c r="O79" s="376"/>
      <c r="P79" s="429"/>
      <c r="Q79" s="495"/>
      <c r="R79" s="331"/>
      <c r="S79" s="375"/>
      <c r="T79" s="367"/>
      <c r="U79" s="367"/>
      <c r="V79" s="331"/>
      <c r="W79" s="331"/>
      <c r="X79" s="375"/>
    </row>
    <row r="80" spans="8:24">
      <c r="I80" s="332"/>
      <c r="J80" s="333"/>
      <c r="K80" s="333"/>
      <c r="L80" s="333"/>
      <c r="M80" s="402"/>
      <c r="N80" s="333"/>
      <c r="O80" s="376"/>
      <c r="P80" s="429"/>
      <c r="Q80" s="495"/>
      <c r="R80" s="331"/>
      <c r="S80" s="375"/>
      <c r="T80" s="367"/>
      <c r="U80" s="367"/>
      <c r="V80" s="331"/>
      <c r="W80" s="331"/>
      <c r="X80" s="375"/>
    </row>
    <row r="81" spans="9:24">
      <c r="I81" s="332"/>
      <c r="J81" s="333"/>
      <c r="K81" s="333"/>
      <c r="L81" s="333"/>
      <c r="M81" s="402"/>
      <c r="N81" s="333"/>
      <c r="O81" s="376"/>
      <c r="P81" s="429"/>
      <c r="Q81" s="495"/>
      <c r="R81" s="331"/>
      <c r="S81" s="375"/>
      <c r="T81" s="367"/>
      <c r="U81" s="367"/>
      <c r="V81" s="331"/>
      <c r="W81" s="331"/>
      <c r="X81" s="375"/>
    </row>
    <row r="124" spans="19:19">
      <c r="S124" s="486" t="s">
        <v>37</v>
      </c>
    </row>
    <row r="125" spans="19:19">
      <c r="S125" s="486" t="s">
        <v>51</v>
      </c>
    </row>
    <row r="126" spans="19:19">
      <c r="S126" s="486" t="s">
        <v>39</v>
      </c>
    </row>
    <row r="127" spans="19:19">
      <c r="S127" s="486" t="s">
        <v>25</v>
      </c>
    </row>
    <row r="128" spans="19:19">
      <c r="S128" s="486" t="s">
        <v>208</v>
      </c>
    </row>
    <row r="129" spans="19:19">
      <c r="S129" s="486" t="s">
        <v>36</v>
      </c>
    </row>
    <row r="130" spans="19:19">
      <c r="S130" s="486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3" type="noConversion"/>
  <hyperlinks>
    <hyperlink ref="A1" location="Index!A1" display="Return to Index" xr:uid="{00000000-0004-0000-0E00-000000000000}"/>
    <hyperlink ref="A1:B1" location="Contents!A1" display="Go to Contents" xr:uid="{00000000-0004-0000-0E00-000001000000}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F11" sqref="F11"/>
    </sheetView>
  </sheetViews>
  <sheetFormatPr defaultColWidth="9.109375" defaultRowHeight="13.8" outlineLevelRow="1"/>
  <cols>
    <col min="1" max="1" width="2.6640625" style="109" customWidth="1"/>
    <col min="2" max="2" width="4.33203125" style="312" customWidth="1"/>
    <col min="3" max="3" width="29.5546875" style="111" customWidth="1"/>
    <col min="4" max="4" width="7.6640625" style="111" customWidth="1"/>
    <col min="5" max="5" width="3.5546875" style="111" customWidth="1"/>
    <col min="6" max="6" width="10.88671875" style="313" customWidth="1"/>
    <col min="7" max="7" width="11.6640625" style="313" customWidth="1"/>
    <col min="8" max="8" width="3.109375" style="111" customWidth="1"/>
    <col min="9" max="9" width="7.88671875" style="371" customWidth="1"/>
    <col min="10" max="10" width="3.5546875" style="434" customWidth="1"/>
    <col min="11" max="11" width="10.88671875" style="313" customWidth="1"/>
    <col min="12" max="12" width="11.6640625" style="313" customWidth="1"/>
    <col min="13" max="13" width="9.88671875" style="111" customWidth="1"/>
    <col min="14" max="14" width="3.109375" style="111" customWidth="1"/>
    <col min="15" max="15" width="7.88671875" style="371" customWidth="1"/>
    <col min="16" max="16" width="4" style="109" customWidth="1"/>
    <col min="17" max="17" width="8.6640625" style="387" customWidth="1"/>
    <col min="18" max="19" width="8.6640625" style="109" customWidth="1"/>
    <col min="20" max="20" width="3" style="109" customWidth="1"/>
    <col min="21" max="21" width="9.6640625" style="111" customWidth="1"/>
    <col min="22" max="22" width="11.5546875" style="388" bestFit="1" customWidth="1"/>
    <col min="23" max="23" width="5.33203125" style="109" customWidth="1"/>
    <col min="24" max="24" width="12.33203125" style="363" customWidth="1"/>
    <col min="25" max="25" width="9.5546875" style="314" customWidth="1"/>
    <col min="26" max="26" width="8.6640625" style="314" customWidth="1"/>
    <col min="27" max="27" width="7.5546875" style="371" customWidth="1"/>
    <col min="28" max="28" width="7.5546875" style="314" customWidth="1"/>
    <col min="29" max="29" width="7.5546875" style="363" customWidth="1"/>
    <col min="30" max="31" width="7.5546875" style="314" customWidth="1"/>
    <col min="32" max="32" width="7.5546875" style="371" customWidth="1"/>
    <col min="33" max="33" width="7.5546875" style="314" customWidth="1"/>
    <col min="34" max="34" width="7.5546875" style="363" customWidth="1"/>
    <col min="35" max="36" width="7.5546875" style="314" customWidth="1"/>
    <col min="37" max="37" width="9.109375" style="371" customWidth="1"/>
    <col min="38" max="16384" width="9.109375" style="109"/>
  </cols>
  <sheetData>
    <row r="1" spans="1:37">
      <c r="B1" s="595" t="s">
        <v>525</v>
      </c>
      <c r="C1" s="688">
        <f>Settings_Period</f>
        <v>2020.1</v>
      </c>
      <c r="D1" s="239"/>
      <c r="E1" s="239"/>
      <c r="J1" s="425"/>
    </row>
    <row r="2" spans="1:37" s="319" customFormat="1">
      <c r="A2" s="320"/>
      <c r="B2" s="316"/>
      <c r="C2" s="362"/>
      <c r="D2" s="362"/>
      <c r="E2" s="362"/>
      <c r="F2" s="873" t="s">
        <v>418</v>
      </c>
      <c r="G2" s="875"/>
      <c r="H2" s="875"/>
      <c r="I2" s="876"/>
      <c r="J2" s="426"/>
      <c r="K2" s="873" t="s">
        <v>422</v>
      </c>
      <c r="L2" s="875"/>
      <c r="M2" s="875"/>
      <c r="N2" s="875"/>
      <c r="O2" s="876"/>
      <c r="P2" s="323"/>
      <c r="Q2" s="873" t="s">
        <v>419</v>
      </c>
      <c r="R2" s="875"/>
      <c r="S2" s="875"/>
      <c r="T2" s="875"/>
      <c r="U2" s="875"/>
      <c r="V2" s="875"/>
      <c r="W2" s="875"/>
      <c r="X2" s="875"/>
      <c r="Y2" s="875"/>
      <c r="Z2" s="875"/>
      <c r="AA2" s="875"/>
      <c r="AB2" s="875"/>
      <c r="AC2" s="875"/>
      <c r="AD2" s="875"/>
      <c r="AE2" s="875"/>
      <c r="AF2" s="875"/>
      <c r="AG2" s="875"/>
      <c r="AH2" s="875"/>
      <c r="AI2" s="875"/>
      <c r="AJ2" s="875"/>
      <c r="AK2" s="876"/>
    </row>
    <row r="3" spans="1:37" s="319" customFormat="1">
      <c r="A3" s="315"/>
      <c r="B3" s="316"/>
      <c r="C3" s="317" t="s">
        <v>395</v>
      </c>
      <c r="D3" s="317" t="s">
        <v>330</v>
      </c>
      <c r="E3" s="317"/>
      <c r="F3" s="339">
        <f>$C$1</f>
        <v>2020.1</v>
      </c>
      <c r="G3" s="339">
        <f>$C$1</f>
        <v>2020.1</v>
      </c>
      <c r="H3" s="318"/>
      <c r="I3" s="373" t="s">
        <v>383</v>
      </c>
      <c r="J3" s="427"/>
      <c r="K3" s="339">
        <f t="shared" ref="K3:L3" si="0">$C$1</f>
        <v>2020.1</v>
      </c>
      <c r="L3" s="339">
        <f t="shared" si="0"/>
        <v>2020.1</v>
      </c>
      <c r="M3" s="318"/>
      <c r="N3" s="318"/>
      <c r="O3" s="373" t="s">
        <v>383</v>
      </c>
      <c r="P3" s="320"/>
      <c r="Q3" s="389" t="s">
        <v>383</v>
      </c>
      <c r="R3" s="324" t="s">
        <v>1</v>
      </c>
      <c r="S3" s="324" t="s">
        <v>1</v>
      </c>
      <c r="T3" s="324"/>
      <c r="U3" s="325" t="s">
        <v>313</v>
      </c>
      <c r="V3" s="390" t="s">
        <v>312</v>
      </c>
      <c r="W3" s="320"/>
      <c r="X3" s="364" t="s">
        <v>315</v>
      </c>
      <c r="Y3" s="321"/>
      <c r="Z3" s="321"/>
      <c r="AA3" s="372"/>
      <c r="AB3" s="322"/>
      <c r="AC3" s="364" t="s">
        <v>117</v>
      </c>
      <c r="AD3" s="321"/>
      <c r="AE3" s="321"/>
      <c r="AF3" s="372"/>
      <c r="AG3" s="322"/>
      <c r="AH3" s="364" t="s">
        <v>316</v>
      </c>
      <c r="AI3" s="321"/>
      <c r="AJ3" s="321"/>
      <c r="AK3" s="372"/>
    </row>
    <row r="4" spans="1:37" s="319" customFormat="1">
      <c r="A4" s="320"/>
      <c r="B4" s="316"/>
      <c r="C4" s="317"/>
      <c r="D4" s="317"/>
      <c r="E4" s="317"/>
      <c r="F4" s="318" t="s">
        <v>410</v>
      </c>
      <c r="G4" s="318" t="s">
        <v>312</v>
      </c>
      <c r="H4" s="318"/>
      <c r="I4" s="373"/>
      <c r="J4" s="427"/>
      <c r="K4" s="318" t="s">
        <v>245</v>
      </c>
      <c r="L4" s="318" t="s">
        <v>244</v>
      </c>
      <c r="M4" s="318" t="s">
        <v>404</v>
      </c>
      <c r="N4" s="318"/>
      <c r="O4" s="373"/>
      <c r="P4" s="323"/>
      <c r="Q4" s="389"/>
      <c r="R4" s="324"/>
      <c r="S4" s="324"/>
      <c r="T4" s="324"/>
      <c r="U4" s="325"/>
      <c r="V4" s="390" t="s">
        <v>312</v>
      </c>
      <c r="W4" s="323"/>
      <c r="X4" s="365" t="s">
        <v>314</v>
      </c>
      <c r="Y4" s="326" t="s">
        <v>102</v>
      </c>
      <c r="Z4" s="326" t="s">
        <v>202</v>
      </c>
      <c r="AA4" s="373" t="s">
        <v>11</v>
      </c>
      <c r="AB4" s="326"/>
      <c r="AC4" s="365" t="s">
        <v>314</v>
      </c>
      <c r="AD4" s="326" t="s">
        <v>102</v>
      </c>
      <c r="AE4" s="326" t="s">
        <v>202</v>
      </c>
      <c r="AF4" s="373" t="s">
        <v>11</v>
      </c>
      <c r="AG4" s="326"/>
      <c r="AH4" s="365" t="s">
        <v>314</v>
      </c>
      <c r="AI4" s="326" t="s">
        <v>102</v>
      </c>
      <c r="AJ4" s="326" t="s">
        <v>202</v>
      </c>
      <c r="AK4" s="373" t="s">
        <v>11</v>
      </c>
    </row>
    <row r="5" spans="1:37" s="330" customFormat="1" ht="27.6" outlineLevel="1">
      <c r="A5" s="327"/>
      <c r="B5" s="328"/>
      <c r="C5" s="327"/>
      <c r="D5" s="327"/>
      <c r="E5" s="327"/>
      <c r="F5" s="329" t="str">
        <f>F3 &amp; ":::" &amp; F4</f>
        <v>2020.1:::% Return</v>
      </c>
      <c r="G5" s="329" t="str">
        <f>G3 &amp; ":::" &amp; G4</f>
        <v>2020.1:::Mkt Cap</v>
      </c>
      <c r="H5" s="327"/>
      <c r="I5" s="404"/>
      <c r="J5" s="428"/>
      <c r="K5" s="329" t="str">
        <f>K3 &amp; ":::" &amp; K4</f>
        <v>2020.1:::Price</v>
      </c>
      <c r="L5" s="329" t="str">
        <f>L3 &amp; ":::" &amp; L4</f>
        <v>2020.1:::Shares</v>
      </c>
      <c r="M5" s="327"/>
      <c r="N5" s="327"/>
      <c r="O5" s="404"/>
      <c r="Q5" s="366"/>
      <c r="U5" s="879"/>
      <c r="V5" s="880"/>
      <c r="X5" s="366"/>
      <c r="AA5" s="374"/>
      <c r="AC5" s="366"/>
      <c r="AF5" s="374"/>
      <c r="AH5" s="366"/>
      <c r="AK5" s="374"/>
    </row>
    <row r="6" spans="1:37" s="331" customFormat="1" outlineLevel="1">
      <c r="B6" s="332"/>
      <c r="C6" s="305" t="s">
        <v>397</v>
      </c>
      <c r="E6" s="333"/>
      <c r="F6" s="398" t="s">
        <v>413</v>
      </c>
      <c r="G6" s="304" t="str">
        <f t="shared" ref="G6:G8" si="1">F6</f>
        <v>'Calc_YTD'!</v>
      </c>
      <c r="H6" s="305"/>
      <c r="I6" s="405" t="str">
        <f>G6</f>
        <v>'Calc_YTD'!</v>
      </c>
      <c r="J6" s="429"/>
      <c r="K6" s="303" t="s">
        <v>401</v>
      </c>
      <c r="L6" s="304" t="str">
        <f t="shared" ref="L6:L8" si="2">K6</f>
        <v>'master'!</v>
      </c>
      <c r="M6" s="305"/>
      <c r="N6" s="305"/>
      <c r="O6" s="405" t="str">
        <f>L6</f>
        <v>'master'!</v>
      </c>
      <c r="Q6" s="391" t="s">
        <v>415</v>
      </c>
      <c r="U6" s="333"/>
      <c r="V6" s="392"/>
      <c r="X6" s="367"/>
      <c r="AA6" s="375"/>
      <c r="AC6" s="367"/>
      <c r="AF6" s="375"/>
      <c r="AH6" s="367"/>
      <c r="AK6" s="375"/>
    </row>
    <row r="7" spans="1:37" s="331" customFormat="1" outlineLevel="1">
      <c r="B7" s="332"/>
      <c r="C7" s="306" t="str">
        <f>C6</f>
        <v>'CompanyList'!</v>
      </c>
      <c r="D7" s="306" t="str">
        <f>C7</f>
        <v>'CompanyList'!</v>
      </c>
      <c r="E7" s="306"/>
      <c r="F7" s="398" t="s">
        <v>402</v>
      </c>
      <c r="G7" s="304" t="str">
        <f t="shared" si="1"/>
        <v>5:5</v>
      </c>
      <c r="H7" s="305"/>
      <c r="I7" s="406" t="s">
        <v>414</v>
      </c>
      <c r="J7" s="430"/>
      <c r="K7" s="303" t="s">
        <v>402</v>
      </c>
      <c r="L7" s="304" t="str">
        <f t="shared" si="2"/>
        <v>5:5</v>
      </c>
      <c r="M7" s="305"/>
      <c r="N7" s="305"/>
      <c r="O7" s="406" t="s">
        <v>403</v>
      </c>
      <c r="Q7" s="393" t="str">
        <f>Q6</f>
        <v>'Reg_Percent'!</v>
      </c>
      <c r="R7" s="360" t="str">
        <f>Q7</f>
        <v>'Reg_Percent'!</v>
      </c>
      <c r="S7" s="360" t="str">
        <f>R7</f>
        <v>'Reg_Percent'!</v>
      </c>
      <c r="U7" s="333"/>
      <c r="V7" s="392"/>
      <c r="X7" s="368"/>
      <c r="Y7" s="322"/>
      <c r="Z7" s="322"/>
      <c r="AA7" s="376"/>
      <c r="AB7" s="322"/>
      <c r="AC7" s="368"/>
      <c r="AD7" s="322"/>
      <c r="AE7" s="322"/>
      <c r="AF7" s="376"/>
      <c r="AG7" s="322"/>
      <c r="AH7" s="368"/>
      <c r="AI7" s="322"/>
      <c r="AJ7" s="322"/>
      <c r="AK7" s="376"/>
    </row>
    <row r="8" spans="1:37" s="331" customFormat="1" outlineLevel="1">
      <c r="B8" s="332"/>
      <c r="C8" s="307" t="s">
        <v>398</v>
      </c>
      <c r="D8" s="307" t="s">
        <v>399</v>
      </c>
      <c r="E8" s="307"/>
      <c r="F8" s="399" t="s">
        <v>310</v>
      </c>
      <c r="G8" s="304" t="str">
        <f t="shared" si="1"/>
        <v>a1</v>
      </c>
      <c r="H8" s="333"/>
      <c r="I8" s="376"/>
      <c r="J8" s="431"/>
      <c r="K8" s="308" t="s">
        <v>310</v>
      </c>
      <c r="L8" s="304" t="str">
        <f t="shared" si="2"/>
        <v>a1</v>
      </c>
      <c r="M8" s="333"/>
      <c r="N8" s="333"/>
      <c r="O8" s="376"/>
      <c r="Q8" s="391" t="s">
        <v>416</v>
      </c>
      <c r="R8" s="307" t="s">
        <v>417</v>
      </c>
      <c r="S8" s="307" t="s">
        <v>423</v>
      </c>
      <c r="U8" s="333"/>
      <c r="V8" s="392"/>
      <c r="X8" s="368"/>
      <c r="Y8" s="322"/>
      <c r="Z8" s="322"/>
      <c r="AA8" s="376"/>
      <c r="AB8" s="322"/>
      <c r="AC8" s="368"/>
      <c r="AD8" s="322"/>
      <c r="AE8" s="322"/>
      <c r="AF8" s="376"/>
      <c r="AG8" s="322"/>
      <c r="AH8" s="368"/>
      <c r="AI8" s="322"/>
      <c r="AJ8" s="322"/>
      <c r="AK8" s="376"/>
    </row>
    <row r="9" spans="1:37" s="331" customFormat="1" outlineLevel="1">
      <c r="A9" s="334"/>
      <c r="B9" s="332"/>
      <c r="C9" s="333"/>
      <c r="D9" s="335"/>
      <c r="E9" s="335"/>
      <c r="F9" s="336">
        <f ca="1">MATCH( F$5, INDIRECT( F$6 &amp; F$7 ), 0 )</f>
        <v>6</v>
      </c>
      <c r="G9" s="336">
        <f ca="1">MATCH( G$5, INDIRECT( G$6 &amp; G$7 ), 0 )</f>
        <v>9</v>
      </c>
      <c r="H9" s="333"/>
      <c r="I9" s="376"/>
      <c r="J9" s="432"/>
      <c r="K9" s="336">
        <f ca="1">MATCH( K$5, INDIRECT( K$6 &amp; K$7 ), 0 )</f>
        <v>4</v>
      </c>
      <c r="L9" s="336">
        <f ca="1">MATCH( L$5, INDIRECT( L$6 &amp; L$7 ), 0 )</f>
        <v>3</v>
      </c>
      <c r="M9" s="333"/>
      <c r="N9" s="333"/>
      <c r="O9" s="376"/>
      <c r="Q9" s="367"/>
      <c r="R9" s="345">
        <f ca="1">COUNTIF( R12:R65, "MR")</f>
        <v>9</v>
      </c>
      <c r="U9" s="333"/>
      <c r="V9" s="392"/>
      <c r="X9" s="368"/>
      <c r="Y9" s="322"/>
      <c r="Z9" s="322"/>
      <c r="AA9" s="376"/>
      <c r="AB9" s="322"/>
      <c r="AC9" s="368"/>
      <c r="AD9" s="322"/>
      <c r="AE9" s="322"/>
      <c r="AF9" s="376"/>
      <c r="AG9" s="322"/>
      <c r="AH9" s="368"/>
      <c r="AI9" s="322"/>
      <c r="AJ9" s="322"/>
      <c r="AK9" s="376"/>
    </row>
    <row r="10" spans="1:37" s="331" customFormat="1">
      <c r="A10" s="334"/>
      <c r="B10" s="335"/>
      <c r="C10" s="335"/>
      <c r="D10" s="335"/>
      <c r="E10" s="335"/>
      <c r="H10" s="337"/>
      <c r="I10" s="376"/>
      <c r="J10" s="432"/>
      <c r="M10" s="337"/>
      <c r="N10" s="337"/>
      <c r="O10" s="376"/>
      <c r="Q10" s="367"/>
      <c r="U10" s="333"/>
      <c r="V10" s="392"/>
      <c r="X10" s="369"/>
      <c r="Y10" s="322"/>
      <c r="Z10" s="322"/>
      <c r="AA10" s="376"/>
      <c r="AB10" s="322"/>
      <c r="AC10" s="368"/>
      <c r="AD10" s="322"/>
      <c r="AE10" s="322"/>
      <c r="AF10" s="376"/>
      <c r="AG10" s="322"/>
      <c r="AH10" s="368"/>
      <c r="AI10" s="322"/>
      <c r="AJ10" s="322"/>
      <c r="AK10" s="376"/>
    </row>
    <row r="11" spans="1:37" s="331" customFormat="1">
      <c r="A11" s="338"/>
      <c r="B11" s="335"/>
      <c r="C11" s="335"/>
      <c r="D11" s="335"/>
      <c r="E11" s="335"/>
      <c r="F11" s="339"/>
      <c r="G11" s="337"/>
      <c r="H11" s="337"/>
      <c r="I11" s="376"/>
      <c r="J11" s="432"/>
      <c r="K11" s="339"/>
      <c r="L11" s="337"/>
      <c r="M11" s="337"/>
      <c r="N11" s="337"/>
      <c r="O11" s="376"/>
      <c r="Q11" s="367"/>
      <c r="U11" s="333"/>
      <c r="V11" s="392"/>
      <c r="X11" s="368"/>
      <c r="Y11" s="322"/>
      <c r="Z11" s="322"/>
      <c r="AA11" s="376"/>
      <c r="AB11" s="322"/>
      <c r="AC11" s="368"/>
      <c r="AD11" s="322"/>
      <c r="AE11" s="322"/>
      <c r="AF11" s="376"/>
      <c r="AG11" s="322"/>
      <c r="AH11" s="368"/>
      <c r="AI11" s="322"/>
      <c r="AJ11" s="322"/>
      <c r="AK11" s="376"/>
    </row>
    <row r="12" spans="1:37" s="331" customFormat="1">
      <c r="A12" s="340"/>
      <c r="B12" s="341">
        <v>1</v>
      </c>
      <c r="C12" s="333" t="str">
        <f t="shared" ref="C12:C43" ca="1" si="3">OFFSET( INDIRECT( C$6 &amp; C$8 ), $B12 - 1, 0 )</f>
        <v>ALLETE, Inc.</v>
      </c>
      <c r="D12" s="333" t="str">
        <f t="shared" ref="D12:D43" ca="1" si="4">OFFSET( INDIRECT( D$7 &amp; D$8 ), $B12 - 1, 0 )</f>
        <v>ALE</v>
      </c>
      <c r="E12" s="333"/>
      <c r="F12" s="441">
        <f ca="1">IF( ISNA( $I12 ), "", OFFSET( INDIRECT( F$6 &amp; F$8 ), $I12 - 1, F$9 - 1 ) )</f>
        <v>-24.482567451028704</v>
      </c>
      <c r="G12" s="344">
        <f ca="1">IF( ISNA( $I12 ), "", OFFSET( INDIRECT( G$6 &amp; G$8 ), $I12 - 1, G$9 - 1 ) )</f>
        <v>3131.0880000000002</v>
      </c>
      <c r="H12" s="344"/>
      <c r="I12" s="407">
        <f t="shared" ref="I12:I43" ca="1" si="5">MATCH( $D12, INDIRECT( I$6 &amp; I$7 ), 0 )</f>
        <v>10</v>
      </c>
      <c r="J12" s="429"/>
      <c r="K12" s="441">
        <f ca="1">IF( ISNA( $O12 ), "", OFFSET( INDIRECT( K$6 &amp; K$8 ), $O12 - 1, K$9 - 1 ) )</f>
        <v>60.68</v>
      </c>
      <c r="L12" s="343">
        <f ca="1">IF( ISNA( $O12 ), "", OFFSET( INDIRECT( L$6 &amp; L$8 ), $O12 - 1, L$9 - 1 ) )</f>
        <v>51.6</v>
      </c>
      <c r="M12" s="344">
        <f ca="1">IF( ISNA( $O12 ), "", K12 * L12 )</f>
        <v>3131.0880000000002</v>
      </c>
      <c r="N12" s="344"/>
      <c r="O12" s="407">
        <f t="shared" ref="O12:O65" ca="1" si="6">MATCH( $D12, INDIRECT( O$6 &amp; O$7 ), 0 )</f>
        <v>87</v>
      </c>
      <c r="Q12" s="394">
        <f ca="1">MATCH( $D12, INDIRECT( Q$7 &amp; Q$8 ), 0 )</f>
        <v>16</v>
      </c>
      <c r="R12" s="335" t="str">
        <f t="shared" ref="R12:S63" ca="1" si="7">IF( ISNA( $Q12 ), "", OFFSET( INDIRECT( R$7 &amp; R$8 ), $Q12 - 1, 0 ) )</f>
        <v>MR</v>
      </c>
      <c r="S12" s="442">
        <f ca="1">IF( ISNA( $Q12 ), "", OFFSET( INDIRECT( S$7 &amp; S$8 ), $Q12 - 1, 0 ) )</f>
        <v>0</v>
      </c>
      <c r="T12" s="333"/>
      <c r="U12" s="842">
        <f ca="1">F12</f>
        <v>-24.482567451028704</v>
      </c>
      <c r="V12" s="395">
        <f ca="1">M12</f>
        <v>3131.0880000000002</v>
      </c>
      <c r="X12" s="369">
        <f t="shared" ref="X12:X65" ca="1" si="8">IF( LEN( $V12 ) = 0, "", $V12 / X$69 )</f>
        <v>4.0477618971945864E-3</v>
      </c>
      <c r="Y12" s="346" t="str">
        <f ca="1">IF( $R12 = Y$4, $V12 / Y$69, "" )</f>
        <v/>
      </c>
      <c r="Z12" s="346">
        <f t="shared" ref="Z12:AA31" ca="1" si="9">IF( $R12 = Z$4, $V12 / Z$69, "" )</f>
        <v>1.2572608034293751E-2</v>
      </c>
      <c r="AA12" s="377" t="str">
        <f t="shared" ca="1" si="9"/>
        <v/>
      </c>
      <c r="AB12" s="322"/>
      <c r="AC12" s="386">
        <f t="shared" ref="AC12:AC62" ca="1" si="10">IF( LEN( $U12 ) = 0, "", $U12 )</f>
        <v>-24.482567451028704</v>
      </c>
      <c r="AD12" s="347" t="str">
        <f ca="1">IF( $R12 = AD$4, $U12, "" )</f>
        <v/>
      </c>
      <c r="AE12" s="347">
        <f t="shared" ref="AE12:AF31" ca="1" si="11">IF( $R12 = AE$4, $U12, "" )</f>
        <v>-24.482567451028704</v>
      </c>
      <c r="AF12" s="379" t="str">
        <f t="shared" ca="1" si="11"/>
        <v/>
      </c>
      <c r="AG12" s="348"/>
      <c r="AH12" s="383">
        <f t="shared" ref="AH12:AH64" ca="1" si="12">IF( OR( LEN( X12 ) = 0, LEN( AC12 ) = 0 ), "", X12 * AC12 )</f>
        <v>-9.9099603673770381E-2</v>
      </c>
      <c r="AI12" s="349" t="str">
        <f ca="1">IF( $R12 = AI$4, Y12 * AD12, "" )</f>
        <v/>
      </c>
      <c r="AJ12" s="349">
        <f t="shared" ref="AJ12:AJ65" ca="1" si="13">IF( $R12 = AJ$4, Z12 * AE12, "" )</f>
        <v>-0.30780972423494218</v>
      </c>
      <c r="AK12" s="381" t="str">
        <f t="shared" ref="AK12:AK65" ca="1" si="14">IF( $R12 = AK$4, AA12 * AF12, "" )</f>
        <v/>
      </c>
    </row>
    <row r="13" spans="1:37" s="331" customFormat="1">
      <c r="A13" s="350"/>
      <c r="B13" s="335">
        <f>B12+1</f>
        <v>2</v>
      </c>
      <c r="C13" s="333" t="str">
        <f t="shared" ca="1" si="3"/>
        <v>Alliant Energy Corporation</v>
      </c>
      <c r="D13" s="333" t="str">
        <f t="shared" ca="1" si="4"/>
        <v>LNT</v>
      </c>
      <c r="E13" s="333"/>
      <c r="F13" s="441">
        <f t="shared" ref="F13:G63" ca="1" si="15">IF( ISNA( $I13 ), "", OFFSET( INDIRECT( F$6 &amp; F$8 ), $I13 - 1, F$9 - 1 ) )</f>
        <v>-11.056286549707595</v>
      </c>
      <c r="G13" s="344">
        <f t="shared" ca="1" si="15"/>
        <v>11517.164999999999</v>
      </c>
      <c r="H13" s="344"/>
      <c r="I13" s="407">
        <f t="shared" ca="1" si="5"/>
        <v>11</v>
      </c>
      <c r="J13" s="429"/>
      <c r="K13" s="441">
        <f t="shared" ref="K13:L65" ca="1" si="16">IF( ISNA( $O13 ), "", OFFSET( INDIRECT( K$6 &amp; K$8 ), $O13 - 1, K$9 - 1 ) )</f>
        <v>48.29</v>
      </c>
      <c r="L13" s="343">
        <f t="shared" ca="1" si="16"/>
        <v>238.5</v>
      </c>
      <c r="M13" s="344">
        <f t="shared" ref="M13:M65" ca="1" si="17">IF( ISNA( $O13 ), "", K13 * L13 )</f>
        <v>11517.164999999999</v>
      </c>
      <c r="N13" s="344"/>
      <c r="O13" s="407">
        <f t="shared" ca="1" si="6"/>
        <v>108</v>
      </c>
      <c r="Q13" s="394">
        <f t="shared" ref="Q13:Q65" ca="1" si="18">MATCH( $D13, INDIRECT( Q$7 &amp; Q$8 ), 0 )</f>
        <v>17</v>
      </c>
      <c r="R13" s="335" t="str">
        <f t="shared" ca="1" si="7"/>
        <v>R</v>
      </c>
      <c r="S13" s="442">
        <f t="shared" ca="1" si="7"/>
        <v>0</v>
      </c>
      <c r="T13" s="333"/>
      <c r="U13" s="842">
        <f t="shared" ref="U13:U65" ca="1" si="19">F13</f>
        <v>-11.056286549707595</v>
      </c>
      <c r="V13" s="395">
        <f t="shared" ref="V13:V65" ca="1" si="20">M13</f>
        <v>11517.164999999999</v>
      </c>
      <c r="X13" s="369">
        <f t="shared" ca="1" si="8"/>
        <v>1.4888991191146042E-2</v>
      </c>
      <c r="Y13" s="346">
        <f t="shared" ref="Y13:AA32" ca="1" si="21">IF( $R13 = Y$4, $V13 / Y$69, "" )</f>
        <v>2.1958572302869721E-2</v>
      </c>
      <c r="Z13" s="346" t="str">
        <f t="shared" ca="1" si="9"/>
        <v/>
      </c>
      <c r="AA13" s="377" t="str">
        <f t="shared" ca="1" si="9"/>
        <v/>
      </c>
      <c r="AB13" s="322"/>
      <c r="AC13" s="386">
        <f t="shared" ca="1" si="10"/>
        <v>-11.056286549707595</v>
      </c>
      <c r="AD13" s="347">
        <f t="shared" ref="AD13:AF32" ca="1" si="22">IF( $R13 = AD$4, $U13, "" )</f>
        <v>-11.056286549707595</v>
      </c>
      <c r="AE13" s="347" t="str">
        <f t="shared" ca="1" si="11"/>
        <v/>
      </c>
      <c r="AF13" s="379" t="str">
        <f t="shared" ca="1" si="11"/>
        <v/>
      </c>
      <c r="AG13" s="348"/>
      <c r="AH13" s="383">
        <f t="shared" ca="1" si="12"/>
        <v>-0.16461695304538285</v>
      </c>
      <c r="AI13" s="349">
        <f t="shared" ref="AI13:AI65" ca="1" si="23">IF( $R13 = AI$4, Y13 * AD13, "" )</f>
        <v>-0.24278026760300023</v>
      </c>
      <c r="AJ13" s="349" t="str">
        <f t="shared" ca="1" si="13"/>
        <v/>
      </c>
      <c r="AK13" s="381" t="str">
        <f t="shared" ca="1" si="14"/>
        <v/>
      </c>
    </row>
    <row r="14" spans="1:37" s="331" customFormat="1">
      <c r="A14" s="350"/>
      <c r="B14" s="335">
        <f t="shared" ref="B14:B65" si="24">B13+1</f>
        <v>3</v>
      </c>
      <c r="C14" s="333" t="str">
        <f t="shared" ca="1" si="3"/>
        <v>Ameren Corporation</v>
      </c>
      <c r="D14" s="333" t="str">
        <f t="shared" ca="1" si="4"/>
        <v>AEE</v>
      </c>
      <c r="E14" s="333"/>
      <c r="F14" s="441">
        <f t="shared" ca="1" si="15"/>
        <v>-4.5247395833333144</v>
      </c>
      <c r="G14" s="344">
        <f t="shared" ca="1" si="15"/>
        <v>17887.047999999999</v>
      </c>
      <c r="H14" s="344"/>
      <c r="I14" s="407">
        <f t="shared" ca="1" si="5"/>
        <v>12</v>
      </c>
      <c r="J14" s="429"/>
      <c r="K14" s="441">
        <f t="shared" ca="1" si="16"/>
        <v>72.83</v>
      </c>
      <c r="L14" s="343">
        <f t="shared" ca="1" si="16"/>
        <v>245.6</v>
      </c>
      <c r="M14" s="344">
        <f t="shared" ca="1" si="17"/>
        <v>17887.047999999999</v>
      </c>
      <c r="N14" s="344"/>
      <c r="O14" s="407">
        <f t="shared" ca="1" si="6"/>
        <v>65</v>
      </c>
      <c r="Q14" s="394">
        <f t="shared" ca="1" si="18"/>
        <v>18</v>
      </c>
      <c r="R14" s="335" t="str">
        <f t="shared" ca="1" si="7"/>
        <v>R</v>
      </c>
      <c r="S14" s="442">
        <f t="shared" ca="1" si="7"/>
        <v>0</v>
      </c>
      <c r="T14" s="333"/>
      <c r="U14" s="842">
        <f t="shared" ca="1" si="19"/>
        <v>-4.5247395833333144</v>
      </c>
      <c r="V14" s="395">
        <f t="shared" ca="1" si="20"/>
        <v>17887.047999999999</v>
      </c>
      <c r="X14" s="369">
        <f t="shared" ca="1" si="8"/>
        <v>2.3123754856998788E-2</v>
      </c>
      <c r="Y14" s="346">
        <f t="shared" ca="1" si="21"/>
        <v>3.4103361095625638E-2</v>
      </c>
      <c r="Z14" s="346" t="str">
        <f t="shared" ca="1" si="9"/>
        <v/>
      </c>
      <c r="AA14" s="377" t="str">
        <f t="shared" ca="1" si="9"/>
        <v/>
      </c>
      <c r="AB14" s="322"/>
      <c r="AC14" s="386">
        <f t="shared" ca="1" si="10"/>
        <v>-4.5247395833333144</v>
      </c>
      <c r="AD14" s="347">
        <f t="shared" ca="1" si="22"/>
        <v>-4.5247395833333144</v>
      </c>
      <c r="AE14" s="347" t="str">
        <f t="shared" ca="1" si="11"/>
        <v/>
      </c>
      <c r="AF14" s="379" t="str">
        <f t="shared" ca="1" si="11"/>
        <v/>
      </c>
      <c r="AG14" s="348"/>
      <c r="AH14" s="383">
        <f t="shared" ca="1" si="12"/>
        <v>-0.10462896891675839</v>
      </c>
      <c r="AI14" s="349">
        <f t="shared" ca="1" si="23"/>
        <v>-0.1543088278740867</v>
      </c>
      <c r="AJ14" s="349" t="str">
        <f t="shared" ca="1" si="13"/>
        <v/>
      </c>
      <c r="AK14" s="381" t="str">
        <f t="shared" ca="1" si="14"/>
        <v/>
      </c>
    </row>
    <row r="15" spans="1:37" s="331" customFormat="1">
      <c r="A15" s="350"/>
      <c r="B15" s="335">
        <f t="shared" si="24"/>
        <v>4</v>
      </c>
      <c r="C15" s="333" t="str">
        <f t="shared" ca="1" si="3"/>
        <v>American Electric Power Company, Inc.</v>
      </c>
      <c r="D15" s="333" t="str">
        <f t="shared" ca="1" si="4"/>
        <v>AEP</v>
      </c>
      <c r="E15" s="333"/>
      <c r="F15" s="441">
        <f t="shared" ca="1" si="15"/>
        <v>-14.633372129933331</v>
      </c>
      <c r="G15" s="344">
        <f t="shared" ca="1" si="15"/>
        <v>39485.673713100005</v>
      </c>
      <c r="H15" s="344"/>
      <c r="I15" s="407">
        <f t="shared" ca="1" si="5"/>
        <v>13</v>
      </c>
      <c r="J15" s="429"/>
      <c r="K15" s="441">
        <f t="shared" ca="1" si="16"/>
        <v>79.98</v>
      </c>
      <c r="L15" s="343">
        <f t="shared" ca="1" si="16"/>
        <v>493.694345</v>
      </c>
      <c r="M15" s="344">
        <f t="shared" ca="1" si="17"/>
        <v>39485.673713100005</v>
      </c>
      <c r="N15" s="344"/>
      <c r="O15" s="407">
        <f t="shared" ca="1" si="6"/>
        <v>11</v>
      </c>
      <c r="Q15" s="394">
        <f t="shared" ca="1" si="18"/>
        <v>19</v>
      </c>
      <c r="R15" s="335" t="str">
        <f t="shared" ca="1" si="7"/>
        <v>R</v>
      </c>
      <c r="S15" s="442">
        <f t="shared" ca="1" si="7"/>
        <v>0</v>
      </c>
      <c r="T15" s="333"/>
      <c r="U15" s="842">
        <f t="shared" ca="1" si="19"/>
        <v>-14.633372129933331</v>
      </c>
      <c r="V15" s="395">
        <f t="shared" ca="1" si="20"/>
        <v>39485.673713100005</v>
      </c>
      <c r="X15" s="369">
        <f t="shared" ca="1" si="8"/>
        <v>5.1045708565503126E-2</v>
      </c>
      <c r="Y15" s="346">
        <f t="shared" ca="1" si="21"/>
        <v>7.5283198700081905E-2</v>
      </c>
      <c r="Z15" s="346" t="str">
        <f t="shared" ca="1" si="9"/>
        <v/>
      </c>
      <c r="AA15" s="377" t="str">
        <f t="shared" ca="1" si="9"/>
        <v/>
      </c>
      <c r="AB15" s="322"/>
      <c r="AC15" s="386">
        <f t="shared" ca="1" si="10"/>
        <v>-14.633372129933331</v>
      </c>
      <c r="AD15" s="347">
        <f t="shared" ca="1" si="22"/>
        <v>-14.633372129933331</v>
      </c>
      <c r="AE15" s="347" t="str">
        <f t="shared" ca="1" si="11"/>
        <v/>
      </c>
      <c r="AF15" s="379" t="str">
        <f t="shared" ca="1" si="11"/>
        <v/>
      </c>
      <c r="AG15" s="348"/>
      <c r="AH15" s="383">
        <f t="shared" ca="1" si="12"/>
        <v>-0.74697084907513256</v>
      </c>
      <c r="AI15" s="349">
        <f t="shared" ca="1" si="23"/>
        <v>-1.1016470617100118</v>
      </c>
      <c r="AJ15" s="349" t="str">
        <f t="shared" ca="1" si="13"/>
        <v/>
      </c>
      <c r="AK15" s="381" t="str">
        <f t="shared" ca="1" si="14"/>
        <v/>
      </c>
    </row>
    <row r="16" spans="1:37" s="331" customFormat="1">
      <c r="B16" s="335">
        <f t="shared" si="24"/>
        <v>5</v>
      </c>
      <c r="C16" s="333" t="str">
        <f t="shared" ca="1" si="3"/>
        <v>AVANGRID, Inc.</v>
      </c>
      <c r="D16" s="333" t="str">
        <f t="shared" ca="1" si="4"/>
        <v>AGR</v>
      </c>
      <c r="E16" s="333"/>
      <c r="F16" s="441">
        <f t="shared" ca="1" si="15"/>
        <v>-13.565285379202496</v>
      </c>
      <c r="G16" s="344">
        <f t="shared" ca="1" si="15"/>
        <v>13549.519569960001</v>
      </c>
      <c r="H16" s="344"/>
      <c r="I16" s="407">
        <f t="shared" ca="1" si="5"/>
        <v>14</v>
      </c>
      <c r="J16" s="429"/>
      <c r="K16" s="441">
        <f t="shared" ca="1" si="16"/>
        <v>43.78</v>
      </c>
      <c r="L16" s="343">
        <f t="shared" ca="1" si="16"/>
        <v>309.49108200000001</v>
      </c>
      <c r="M16" s="344">
        <f t="shared" ca="1" si="17"/>
        <v>13549.519569960001</v>
      </c>
      <c r="N16" s="344"/>
      <c r="O16" s="407">
        <f t="shared" ca="1" si="6"/>
        <v>114</v>
      </c>
      <c r="Q16" s="394">
        <f t="shared" ca="1" si="18"/>
        <v>20</v>
      </c>
      <c r="R16" s="335" t="str">
        <f t="shared" ca="1" si="7"/>
        <v>MR</v>
      </c>
      <c r="S16" s="442">
        <f t="shared" ca="1" si="7"/>
        <v>0</v>
      </c>
      <c r="T16" s="333"/>
      <c r="U16" s="842">
        <f t="shared" ca="1" si="19"/>
        <v>-13.565285379202496</v>
      </c>
      <c r="V16" s="395">
        <f t="shared" ca="1" si="20"/>
        <v>13549.519569960001</v>
      </c>
      <c r="X16" s="369">
        <f t="shared" ca="1" si="8"/>
        <v>1.7516348643211707E-2</v>
      </c>
      <c r="Y16" s="346" t="str">
        <f t="shared" ca="1" si="21"/>
        <v/>
      </c>
      <c r="Z16" s="346">
        <f t="shared" ca="1" si="9"/>
        <v>5.4406902203355346E-2</v>
      </c>
      <c r="AA16" s="377" t="str">
        <f t="shared" ca="1" si="9"/>
        <v/>
      </c>
      <c r="AB16" s="322"/>
      <c r="AC16" s="386">
        <f t="shared" ca="1" si="10"/>
        <v>-13.565285379202496</v>
      </c>
      <c r="AD16" s="347" t="str">
        <f t="shared" ca="1" si="22"/>
        <v/>
      </c>
      <c r="AE16" s="347">
        <f t="shared" ca="1" si="11"/>
        <v>-13.565285379202496</v>
      </c>
      <c r="AF16" s="379" t="str">
        <f t="shared" ca="1" si="11"/>
        <v/>
      </c>
      <c r="AG16" s="348"/>
      <c r="AH16" s="383">
        <f t="shared" ca="1" si="12"/>
        <v>-0.23761426814677325</v>
      </c>
      <c r="AI16" s="349" t="str">
        <f t="shared" ca="1" si="23"/>
        <v/>
      </c>
      <c r="AJ16" s="349">
        <f t="shared" ca="1" si="13"/>
        <v>-0.73804515498687639</v>
      </c>
      <c r="AK16" s="381" t="str">
        <f t="shared" ca="1" si="14"/>
        <v/>
      </c>
    </row>
    <row r="17" spans="1:37" s="331" customFormat="1">
      <c r="B17" s="335">
        <f t="shared" si="24"/>
        <v>6</v>
      </c>
      <c r="C17" s="333" t="str">
        <f t="shared" ca="1" si="3"/>
        <v>Avista Corporation</v>
      </c>
      <c r="D17" s="333" t="str">
        <f t="shared" ca="1" si="4"/>
        <v>AVA</v>
      </c>
      <c r="E17" s="333"/>
      <c r="F17" s="441">
        <f t="shared" ca="1" si="15"/>
        <v>-10.802661676024128</v>
      </c>
      <c r="G17" s="344">
        <f t="shared" ca="1" si="15"/>
        <v>2813.0504500000002</v>
      </c>
      <c r="H17" s="344"/>
      <c r="I17" s="407">
        <f t="shared" ca="1" si="5"/>
        <v>15</v>
      </c>
      <c r="J17" s="429"/>
      <c r="K17" s="441">
        <f t="shared" ca="1" si="16"/>
        <v>42.49</v>
      </c>
      <c r="L17" s="343">
        <f t="shared" ca="1" si="16"/>
        <v>66.204999999999998</v>
      </c>
      <c r="M17" s="344">
        <f t="shared" ca="1" si="17"/>
        <v>2813.0504500000002</v>
      </c>
      <c r="N17" s="344"/>
      <c r="O17" s="407">
        <f t="shared" ca="1" si="6"/>
        <v>109</v>
      </c>
      <c r="Q17" s="394">
        <f t="shared" ca="1" si="18"/>
        <v>21</v>
      </c>
      <c r="R17" s="335" t="str">
        <f t="shared" ca="1" si="7"/>
        <v>R</v>
      </c>
      <c r="S17" s="442">
        <f t="shared" ca="1" si="7"/>
        <v>0</v>
      </c>
      <c r="T17" s="333"/>
      <c r="U17" s="842">
        <f t="shared" ca="1" si="19"/>
        <v>-10.802661676024128</v>
      </c>
      <c r="V17" s="395">
        <f t="shared" ca="1" si="20"/>
        <v>2813.0504500000002</v>
      </c>
      <c r="X17" s="369">
        <f t="shared" ca="1" si="8"/>
        <v>3.6366139905349461E-3</v>
      </c>
      <c r="Y17" s="346">
        <f t="shared" ca="1" si="21"/>
        <v>5.3633486798135835E-3</v>
      </c>
      <c r="Z17" s="346" t="str">
        <f t="shared" ca="1" si="9"/>
        <v/>
      </c>
      <c r="AA17" s="377" t="str">
        <f t="shared" ca="1" si="9"/>
        <v/>
      </c>
      <c r="AB17" s="322"/>
      <c r="AC17" s="386">
        <f t="shared" ca="1" si="10"/>
        <v>-10.802661676024128</v>
      </c>
      <c r="AD17" s="347">
        <f t="shared" ca="1" si="22"/>
        <v>-10.802661676024128</v>
      </c>
      <c r="AE17" s="347" t="str">
        <f t="shared" ca="1" si="11"/>
        <v/>
      </c>
      <c r="AF17" s="379" t="str">
        <f t="shared" ca="1" si="11"/>
        <v/>
      </c>
      <c r="AG17" s="348"/>
      <c r="AH17" s="383">
        <f t="shared" ca="1" si="12"/>
        <v>-3.928511058604503E-2</v>
      </c>
      <c r="AI17" s="349">
        <f t="shared" ca="1" si="23"/>
        <v>-5.7938441238576797E-2</v>
      </c>
      <c r="AJ17" s="349" t="str">
        <f t="shared" ca="1" si="13"/>
        <v/>
      </c>
      <c r="AK17" s="381" t="str">
        <f t="shared" ca="1" si="14"/>
        <v/>
      </c>
    </row>
    <row r="18" spans="1:37" s="331" customFormat="1">
      <c r="B18" s="335">
        <f t="shared" si="24"/>
        <v>7</v>
      </c>
      <c r="C18" s="333" t="str">
        <f t="shared" ca="1" si="3"/>
        <v>Black Hills Corporation</v>
      </c>
      <c r="D18" s="333" t="str">
        <f t="shared" ca="1" si="4"/>
        <v>BKH</v>
      </c>
      <c r="E18" s="333"/>
      <c r="F18" s="441">
        <f t="shared" ca="1" si="15"/>
        <v>-17.793481028775162</v>
      </c>
      <c r="G18" s="344">
        <f t="shared" ca="1" si="15"/>
        <v>3884.18786</v>
      </c>
      <c r="H18" s="344"/>
      <c r="I18" s="407">
        <f t="shared" ca="1" si="5"/>
        <v>16</v>
      </c>
      <c r="J18" s="429"/>
      <c r="K18" s="441">
        <f t="shared" ca="1" si="16"/>
        <v>64.03</v>
      </c>
      <c r="L18" s="343">
        <f t="shared" ca="1" si="16"/>
        <v>60.661999999999999</v>
      </c>
      <c r="M18" s="344">
        <f t="shared" ca="1" si="17"/>
        <v>3884.18786</v>
      </c>
      <c r="N18" s="344"/>
      <c r="O18" s="407">
        <f t="shared" ca="1" si="6"/>
        <v>14</v>
      </c>
      <c r="Q18" s="394">
        <f t="shared" ca="1" si="18"/>
        <v>22</v>
      </c>
      <c r="R18" s="335" t="str">
        <f t="shared" ca="1" si="7"/>
        <v>R</v>
      </c>
      <c r="S18" s="442">
        <f t="shared" ca="1" si="7"/>
        <v>0</v>
      </c>
      <c r="T18" s="333"/>
      <c r="U18" s="842">
        <f t="shared" ca="1" si="19"/>
        <v>-17.793481028775162</v>
      </c>
      <c r="V18" s="395">
        <f t="shared" ca="1" si="20"/>
        <v>3884.18786</v>
      </c>
      <c r="X18" s="369">
        <f t="shared" ca="1" si="8"/>
        <v>5.0213432587183039E-3</v>
      </c>
      <c r="Y18" s="346">
        <f t="shared" ca="1" si="21"/>
        <v>7.4055741983151948E-3</v>
      </c>
      <c r="Z18" s="346" t="str">
        <f t="shared" ca="1" si="9"/>
        <v/>
      </c>
      <c r="AA18" s="377" t="str">
        <f t="shared" ca="1" si="9"/>
        <v/>
      </c>
      <c r="AB18" s="322"/>
      <c r="AC18" s="386">
        <f t="shared" ca="1" si="10"/>
        <v>-17.793481028775162</v>
      </c>
      <c r="AD18" s="347">
        <f t="shared" ca="1" si="22"/>
        <v>-17.793481028775162</v>
      </c>
      <c r="AE18" s="347" t="str">
        <f t="shared" ca="1" si="11"/>
        <v/>
      </c>
      <c r="AF18" s="379" t="str">
        <f t="shared" ca="1" si="11"/>
        <v/>
      </c>
      <c r="AG18" s="348"/>
      <c r="AH18" s="383">
        <f t="shared" ca="1" si="12"/>
        <v>-8.9347176012972193E-2</v>
      </c>
      <c r="AI18" s="349">
        <f t="shared" ca="1" si="23"/>
        <v>-0.13177094400490824</v>
      </c>
      <c r="AJ18" s="349" t="str">
        <f t="shared" ca="1" si="13"/>
        <v/>
      </c>
      <c r="AK18" s="381" t="str">
        <f t="shared" ca="1" si="14"/>
        <v/>
      </c>
    </row>
    <row r="19" spans="1:37" s="331" customFormat="1">
      <c r="A19" s="351"/>
      <c r="B19" s="335">
        <f t="shared" si="24"/>
        <v>8</v>
      </c>
      <c r="C19" s="333" t="str">
        <f t="shared" ca="1" si="3"/>
        <v>CenterPoint Energy, Inc.</v>
      </c>
      <c r="D19" s="333" t="str">
        <f t="shared" ca="1" si="4"/>
        <v>CNP</v>
      </c>
      <c r="E19" s="333"/>
      <c r="F19" s="441">
        <f t="shared" ca="1" si="15"/>
        <v>-42.280894756142274</v>
      </c>
      <c r="G19" s="344">
        <f t="shared" ca="1" si="15"/>
        <v>7756.6724999999997</v>
      </c>
      <c r="H19" s="344"/>
      <c r="I19" s="407">
        <f t="shared" ca="1" si="5"/>
        <v>17</v>
      </c>
      <c r="J19" s="429"/>
      <c r="K19" s="441">
        <f t="shared" ca="1" si="16"/>
        <v>15.45</v>
      </c>
      <c r="L19" s="343">
        <f t="shared" ca="1" si="16"/>
        <v>502.05</v>
      </c>
      <c r="M19" s="344">
        <f t="shared" ca="1" si="17"/>
        <v>7756.6724999999997</v>
      </c>
      <c r="N19" s="344"/>
      <c r="O19" s="407">
        <f t="shared" ca="1" si="6"/>
        <v>38</v>
      </c>
      <c r="Q19" s="394">
        <f t="shared" ca="1" si="18"/>
        <v>23</v>
      </c>
      <c r="R19" s="335" t="str">
        <f t="shared" ca="1" si="7"/>
        <v>R</v>
      </c>
      <c r="S19" s="442">
        <f t="shared" ca="1" si="7"/>
        <v>0</v>
      </c>
      <c r="T19" s="333"/>
      <c r="U19" s="842">
        <f t="shared" ca="1" si="19"/>
        <v>-42.280894756142274</v>
      </c>
      <c r="V19" s="395">
        <f t="shared" ca="1" si="20"/>
        <v>7756.6724999999997</v>
      </c>
      <c r="X19" s="369">
        <f t="shared" ca="1" si="8"/>
        <v>1.0027557000798786E-2</v>
      </c>
      <c r="Y19" s="346">
        <f t="shared" ca="1" si="21"/>
        <v>1.478883509274472E-2</v>
      </c>
      <c r="Z19" s="346" t="str">
        <f t="shared" ca="1" si="9"/>
        <v/>
      </c>
      <c r="AA19" s="377" t="str">
        <f t="shared" ca="1" si="9"/>
        <v/>
      </c>
      <c r="AB19" s="322"/>
      <c r="AC19" s="386">
        <f t="shared" ca="1" si="10"/>
        <v>-42.280894756142274</v>
      </c>
      <c r="AD19" s="347">
        <f t="shared" ca="1" si="22"/>
        <v>-42.280894756142274</v>
      </c>
      <c r="AE19" s="347" t="str">
        <f t="shared" ca="1" si="11"/>
        <v/>
      </c>
      <c r="AF19" s="379" t="str">
        <f t="shared" ca="1" si="11"/>
        <v/>
      </c>
      <c r="AG19" s="348"/>
      <c r="AH19" s="383">
        <f t="shared" ca="1" si="12"/>
        <v>-0.42397408221199112</v>
      </c>
      <c r="AI19" s="349">
        <f t="shared" ca="1" si="23"/>
        <v>-0.62528518012228307</v>
      </c>
      <c r="AJ19" s="349" t="str">
        <f t="shared" ca="1" si="13"/>
        <v/>
      </c>
      <c r="AK19" s="381" t="str">
        <f t="shared" ca="1" si="14"/>
        <v/>
      </c>
    </row>
    <row r="20" spans="1:37" s="331" customFormat="1">
      <c r="A20" s="352"/>
      <c r="B20" s="335">
        <f t="shared" si="24"/>
        <v>9</v>
      </c>
      <c r="C20" s="333" t="str">
        <f t="shared" ca="1" si="3"/>
        <v>CMS Energy Corporation</v>
      </c>
      <c r="D20" s="333" t="str">
        <f t="shared" ca="1" si="4"/>
        <v>CMS</v>
      </c>
      <c r="E20" s="333"/>
      <c r="F20" s="441">
        <f t="shared" ca="1" si="15"/>
        <v>-5.8601209420751088</v>
      </c>
      <c r="G20" s="344">
        <f t="shared" ca="1" si="15"/>
        <v>16626.25</v>
      </c>
      <c r="H20" s="344"/>
      <c r="I20" s="407">
        <f t="shared" ca="1" si="5"/>
        <v>18</v>
      </c>
      <c r="J20" s="429"/>
      <c r="K20" s="441">
        <f t="shared" ca="1" si="16"/>
        <v>58.75</v>
      </c>
      <c r="L20" s="343">
        <f t="shared" ca="1" si="16"/>
        <v>283</v>
      </c>
      <c r="M20" s="344">
        <f t="shared" ca="1" si="17"/>
        <v>16626.25</v>
      </c>
      <c r="N20" s="344"/>
      <c r="O20" s="407">
        <f t="shared" ca="1" si="6"/>
        <v>71</v>
      </c>
      <c r="Q20" s="394">
        <f t="shared" ca="1" si="18"/>
        <v>24</v>
      </c>
      <c r="R20" s="335" t="str">
        <f t="shared" ca="1" si="7"/>
        <v>R</v>
      </c>
      <c r="S20" s="442">
        <f t="shared" ca="1" si="7"/>
        <v>0</v>
      </c>
      <c r="T20" s="333"/>
      <c r="U20" s="842">
        <f t="shared" ca="1" si="19"/>
        <v>-5.8601209420751088</v>
      </c>
      <c r="V20" s="395">
        <f t="shared" ca="1" si="20"/>
        <v>16626.25</v>
      </c>
      <c r="X20" s="369">
        <f t="shared" ca="1" si="8"/>
        <v>2.1493838960524737E-2</v>
      </c>
      <c r="Y20" s="346">
        <f t="shared" ca="1" si="21"/>
        <v>3.1699529593488304E-2</v>
      </c>
      <c r="Z20" s="346" t="str">
        <f t="shared" ca="1" si="9"/>
        <v/>
      </c>
      <c r="AA20" s="377" t="str">
        <f t="shared" ca="1" si="9"/>
        <v/>
      </c>
      <c r="AB20" s="322"/>
      <c r="AC20" s="386">
        <f t="shared" ca="1" si="10"/>
        <v>-5.8601209420751088</v>
      </c>
      <c r="AD20" s="347">
        <f t="shared" ca="1" si="22"/>
        <v>-5.8601209420751088</v>
      </c>
      <c r="AE20" s="347" t="str">
        <f t="shared" ca="1" si="11"/>
        <v/>
      </c>
      <c r="AF20" s="379" t="str">
        <f t="shared" ca="1" si="11"/>
        <v/>
      </c>
      <c r="AG20" s="348"/>
      <c r="AH20" s="383">
        <f t="shared" ca="1" si="12"/>
        <v>-0.1259564958181609</v>
      </c>
      <c r="AI20" s="349">
        <f t="shared" ca="1" si="23"/>
        <v>-0.18576307722473048</v>
      </c>
      <c r="AJ20" s="349" t="str">
        <f t="shared" ca="1" si="13"/>
        <v/>
      </c>
      <c r="AK20" s="381" t="str">
        <f t="shared" ca="1" si="14"/>
        <v/>
      </c>
    </row>
    <row r="21" spans="1:37" s="331" customFormat="1">
      <c r="A21" s="352"/>
      <c r="B21" s="335">
        <f t="shared" si="24"/>
        <v>10</v>
      </c>
      <c r="C21" s="333" t="str">
        <f t="shared" ca="1" si="3"/>
        <v>Consolidated Edison, Inc.</v>
      </c>
      <c r="D21" s="333" t="str">
        <f t="shared" ca="1" si="4"/>
        <v>ED</v>
      </c>
      <c r="E21" s="333"/>
      <c r="F21" s="441">
        <f t="shared" ca="1" si="15"/>
        <v>-12.937990494086439</v>
      </c>
      <c r="G21" s="344">
        <f t="shared" ca="1" si="15"/>
        <v>25623</v>
      </c>
      <c r="H21" s="344"/>
      <c r="I21" s="407">
        <f t="shared" ca="1" si="5"/>
        <v>19</v>
      </c>
      <c r="J21" s="429"/>
      <c r="K21" s="441">
        <f t="shared" ca="1" si="16"/>
        <v>78</v>
      </c>
      <c r="L21" s="343">
        <f t="shared" ca="1" si="16"/>
        <v>328.5</v>
      </c>
      <c r="M21" s="344">
        <f t="shared" ca="1" si="17"/>
        <v>25623</v>
      </c>
      <c r="N21" s="344"/>
      <c r="O21" s="407">
        <f t="shared" ca="1" si="6"/>
        <v>76</v>
      </c>
      <c r="Q21" s="394">
        <f t="shared" ca="1" si="18"/>
        <v>25</v>
      </c>
      <c r="R21" s="335" t="str">
        <f t="shared" ca="1" si="7"/>
        <v>R</v>
      </c>
      <c r="S21" s="442">
        <f t="shared" ca="1" si="7"/>
        <v>0</v>
      </c>
      <c r="T21" s="333"/>
      <c r="U21" s="842">
        <f t="shared" ca="1" si="19"/>
        <v>-12.937990494086439</v>
      </c>
      <c r="V21" s="395">
        <f t="shared" ca="1" si="20"/>
        <v>25623</v>
      </c>
      <c r="X21" s="369">
        <f t="shared" ca="1" si="8"/>
        <v>3.3124525114534266E-2</v>
      </c>
      <c r="Y21" s="346">
        <f t="shared" ca="1" si="21"/>
        <v>4.885269058109621E-2</v>
      </c>
      <c r="Z21" s="346" t="str">
        <f t="shared" ca="1" si="9"/>
        <v/>
      </c>
      <c r="AA21" s="377" t="str">
        <f t="shared" ca="1" si="9"/>
        <v/>
      </c>
      <c r="AB21" s="322"/>
      <c r="AC21" s="386">
        <f t="shared" ca="1" si="10"/>
        <v>-12.937990494086439</v>
      </c>
      <c r="AD21" s="347">
        <f t="shared" ca="1" si="22"/>
        <v>-12.937990494086439</v>
      </c>
      <c r="AE21" s="347" t="str">
        <f t="shared" ca="1" si="11"/>
        <v/>
      </c>
      <c r="AF21" s="379" t="str">
        <f t="shared" ca="1" si="11"/>
        <v/>
      </c>
      <c r="AG21" s="348"/>
      <c r="AH21" s="383">
        <f t="shared" ca="1" si="12"/>
        <v>-0.42856479105297185</v>
      </c>
      <c r="AI21" s="349">
        <f t="shared" ca="1" si="23"/>
        <v>-0.63205564634876887</v>
      </c>
      <c r="AJ21" s="349" t="str">
        <f t="shared" ca="1" si="13"/>
        <v/>
      </c>
      <c r="AK21" s="381" t="str">
        <f t="shared" ca="1" si="14"/>
        <v/>
      </c>
    </row>
    <row r="22" spans="1:37" s="331" customFormat="1">
      <c r="A22" s="352"/>
      <c r="B22" s="335">
        <f t="shared" si="24"/>
        <v>11</v>
      </c>
      <c r="C22" s="333" t="str">
        <f t="shared" ca="1" si="3"/>
        <v>Dominion Energy, Inc.</v>
      </c>
      <c r="D22" s="333" t="str">
        <f t="shared" ca="1" si="4"/>
        <v>D</v>
      </c>
      <c r="E22" s="333"/>
      <c r="F22" s="441">
        <f t="shared" ca="1" si="15"/>
        <v>-11.700072446269017</v>
      </c>
      <c r="G22" s="344">
        <f t="shared" ca="1" si="15"/>
        <v>58387.271999999997</v>
      </c>
      <c r="H22" s="344"/>
      <c r="I22" s="407">
        <f t="shared" ca="1" si="5"/>
        <v>20</v>
      </c>
      <c r="J22" s="429"/>
      <c r="K22" s="441">
        <f t="shared" ca="1" si="16"/>
        <v>72.19</v>
      </c>
      <c r="L22" s="343">
        <f t="shared" ca="1" si="16"/>
        <v>808.8</v>
      </c>
      <c r="M22" s="344">
        <f t="shared" ca="1" si="17"/>
        <v>58387.271999999997</v>
      </c>
      <c r="N22" s="344"/>
      <c r="O22" s="407">
        <f t="shared" ca="1" si="6"/>
        <v>25</v>
      </c>
      <c r="Q22" s="394">
        <f t="shared" ca="1" si="18"/>
        <v>26</v>
      </c>
      <c r="R22" s="335" t="str">
        <f t="shared" ca="1" si="7"/>
        <v>R</v>
      </c>
      <c r="S22" s="442">
        <f t="shared" ca="1" si="7"/>
        <v>0</v>
      </c>
      <c r="T22" s="333"/>
      <c r="U22" s="842">
        <f t="shared" ca="1" si="19"/>
        <v>-11.700072446269017</v>
      </c>
      <c r="V22" s="395">
        <f t="shared" ca="1" si="20"/>
        <v>58387.271999999997</v>
      </c>
      <c r="X22" s="369">
        <f t="shared" ca="1" si="8"/>
        <v>7.548103882188438E-2</v>
      </c>
      <c r="Y22" s="346">
        <f t="shared" ca="1" si="21"/>
        <v>0.11132089657301261</v>
      </c>
      <c r="Z22" s="346" t="str">
        <f t="shared" ca="1" si="9"/>
        <v/>
      </c>
      <c r="AA22" s="377" t="str">
        <f t="shared" ca="1" si="9"/>
        <v/>
      </c>
      <c r="AB22" s="322"/>
      <c r="AC22" s="386">
        <f t="shared" ca="1" si="10"/>
        <v>-11.700072446269017</v>
      </c>
      <c r="AD22" s="347">
        <f t="shared" ca="1" si="22"/>
        <v>-11.700072446269017</v>
      </c>
      <c r="AE22" s="347" t="str">
        <f t="shared" ca="1" si="11"/>
        <v/>
      </c>
      <c r="AF22" s="379" t="str">
        <f t="shared" ca="1" si="11"/>
        <v/>
      </c>
      <c r="AG22" s="348"/>
      <c r="AH22" s="383">
        <f t="shared" ca="1" si="12"/>
        <v>-0.88313362253569139</v>
      </c>
      <c r="AI22" s="349">
        <f t="shared" ca="1" si="23"/>
        <v>-1.3024625546878679</v>
      </c>
      <c r="AJ22" s="349" t="str">
        <f t="shared" ca="1" si="13"/>
        <v/>
      </c>
      <c r="AK22" s="381" t="str">
        <f t="shared" ca="1" si="14"/>
        <v/>
      </c>
    </row>
    <row r="23" spans="1:37" s="331" customFormat="1">
      <c r="A23" s="352"/>
      <c r="B23" s="335">
        <f t="shared" si="24"/>
        <v>12</v>
      </c>
      <c r="C23" s="333" t="str">
        <f t="shared" ca="1" si="3"/>
        <v>DTE Energy Company</v>
      </c>
      <c r="D23" s="333" t="str">
        <f t="shared" ca="1" si="4"/>
        <v>DTE</v>
      </c>
      <c r="E23" s="333"/>
      <c r="F23" s="441">
        <f t="shared" ca="1" si="15"/>
        <v>-26.093401093401102</v>
      </c>
      <c r="G23" s="344">
        <f t="shared" ca="1" si="15"/>
        <v>17569.45</v>
      </c>
      <c r="H23" s="344"/>
      <c r="I23" s="407">
        <f t="shared" ca="1" si="5"/>
        <v>21</v>
      </c>
      <c r="J23" s="429"/>
      <c r="K23" s="441">
        <f t="shared" ca="1" si="16"/>
        <v>94.97</v>
      </c>
      <c r="L23" s="343">
        <f t="shared" ca="1" si="16"/>
        <v>185</v>
      </c>
      <c r="M23" s="344">
        <f t="shared" ca="1" si="17"/>
        <v>17569.45</v>
      </c>
      <c r="N23" s="344"/>
      <c r="O23" s="407">
        <f t="shared" ca="1" si="6"/>
        <v>24</v>
      </c>
      <c r="Q23" s="394">
        <f t="shared" ca="1" si="18"/>
        <v>27</v>
      </c>
      <c r="R23" s="335" t="str">
        <f t="shared" ca="1" si="7"/>
        <v>MR</v>
      </c>
      <c r="S23" s="442">
        <f t="shared" ca="1" si="7"/>
        <v>0</v>
      </c>
      <c r="T23" s="333"/>
      <c r="U23" s="842">
        <f t="shared" ca="1" si="19"/>
        <v>-26.093401093401102</v>
      </c>
      <c r="V23" s="395">
        <f t="shared" ca="1" si="20"/>
        <v>17569.45</v>
      </c>
      <c r="X23" s="369">
        <f t="shared" ca="1" si="8"/>
        <v>2.2713175185323894E-2</v>
      </c>
      <c r="Y23" s="346" t="str">
        <f t="shared" ca="1" si="21"/>
        <v/>
      </c>
      <c r="Z23" s="346">
        <f t="shared" ca="1" si="9"/>
        <v>7.0548578713891891E-2</v>
      </c>
      <c r="AA23" s="377" t="str">
        <f t="shared" ca="1" si="9"/>
        <v/>
      </c>
      <c r="AB23" s="322"/>
      <c r="AC23" s="386">
        <f t="shared" ca="1" si="10"/>
        <v>-26.093401093401102</v>
      </c>
      <c r="AD23" s="347" t="str">
        <f t="shared" ca="1" si="22"/>
        <v/>
      </c>
      <c r="AE23" s="347">
        <f t="shared" ca="1" si="11"/>
        <v>-26.093401093401102</v>
      </c>
      <c r="AF23" s="379" t="str">
        <f t="shared" ca="1" si="11"/>
        <v/>
      </c>
      <c r="AG23" s="348"/>
      <c r="AH23" s="383">
        <f t="shared" ca="1" si="12"/>
        <v>-0.59266399021534122</v>
      </c>
      <c r="AI23" s="349" t="str">
        <f t="shared" ca="1" si="23"/>
        <v/>
      </c>
      <c r="AJ23" s="349">
        <f t="shared" ca="1" si="13"/>
        <v>-1.8408523609509604</v>
      </c>
      <c r="AK23" s="381" t="str">
        <f t="shared" ca="1" si="14"/>
        <v/>
      </c>
    </row>
    <row r="24" spans="1:37" s="331" customFormat="1">
      <c r="A24" s="352"/>
      <c r="B24" s="335">
        <f t="shared" si="24"/>
        <v>13</v>
      </c>
      <c r="C24" s="333" t="str">
        <f t="shared" ca="1" si="3"/>
        <v>Duke Energy Corporation</v>
      </c>
      <c r="D24" s="333" t="str">
        <f t="shared" ca="1" si="4"/>
        <v>DUK</v>
      </c>
      <c r="E24" s="333"/>
      <c r="F24" s="441">
        <f t="shared" ca="1" si="15"/>
        <v>-10.289441947154909</v>
      </c>
      <c r="G24" s="344">
        <f t="shared" ca="1" si="15"/>
        <v>58961.52</v>
      </c>
      <c r="H24" s="344"/>
      <c r="I24" s="407">
        <f t="shared" ca="1" si="5"/>
        <v>22</v>
      </c>
      <c r="J24" s="429"/>
      <c r="K24" s="441">
        <f t="shared" ca="1" si="16"/>
        <v>80.88</v>
      </c>
      <c r="L24" s="343">
        <f t="shared" ca="1" si="16"/>
        <v>729</v>
      </c>
      <c r="M24" s="344">
        <f t="shared" ca="1" si="17"/>
        <v>58961.52</v>
      </c>
      <c r="N24" s="344"/>
      <c r="O24" s="407">
        <f t="shared" ca="1" si="6"/>
        <v>26</v>
      </c>
      <c r="Q24" s="394">
        <f t="shared" ca="1" si="18"/>
        <v>28</v>
      </c>
      <c r="R24" s="335" t="str">
        <f t="shared" ca="1" si="7"/>
        <v>R</v>
      </c>
      <c r="S24" s="442">
        <f t="shared" ca="1" si="7"/>
        <v>0</v>
      </c>
      <c r="T24" s="333"/>
      <c r="U24" s="842">
        <f t="shared" ca="1" si="19"/>
        <v>-10.289441947154909</v>
      </c>
      <c r="V24" s="395">
        <f t="shared" ca="1" si="20"/>
        <v>58961.52</v>
      </c>
      <c r="X24" s="369">
        <f t="shared" ca="1" si="8"/>
        <v>7.6223406706127872E-2</v>
      </c>
      <c r="Y24" s="346">
        <f t="shared" ca="1" si="21"/>
        <v>0.11241575509312397</v>
      </c>
      <c r="Z24" s="346" t="str">
        <f t="shared" ca="1" si="9"/>
        <v/>
      </c>
      <c r="AA24" s="377" t="str">
        <f t="shared" ca="1" si="9"/>
        <v/>
      </c>
      <c r="AB24" s="322"/>
      <c r="AC24" s="386">
        <f t="shared" ca="1" si="10"/>
        <v>-10.289441947154909</v>
      </c>
      <c r="AD24" s="347">
        <f t="shared" ca="1" si="22"/>
        <v>-10.289441947154909</v>
      </c>
      <c r="AE24" s="347" t="str">
        <f t="shared" ca="1" si="11"/>
        <v/>
      </c>
      <c r="AF24" s="379" t="str">
        <f t="shared" ca="1" si="11"/>
        <v/>
      </c>
      <c r="AG24" s="348"/>
      <c r="AH24" s="383">
        <f t="shared" ca="1" si="12"/>
        <v>-0.78429631831708091</v>
      </c>
      <c r="AI24" s="349">
        <f t="shared" ca="1" si="23"/>
        <v>-1.156695385976283</v>
      </c>
      <c r="AJ24" s="349" t="str">
        <f t="shared" ca="1" si="13"/>
        <v/>
      </c>
      <c r="AK24" s="381" t="str">
        <f t="shared" ca="1" si="14"/>
        <v/>
      </c>
    </row>
    <row r="25" spans="1:37" s="331" customFormat="1">
      <c r="A25" s="352"/>
      <c r="B25" s="335">
        <f t="shared" si="24"/>
        <v>14</v>
      </c>
      <c r="C25" s="333" t="str">
        <f t="shared" ca="1" si="3"/>
        <v>Edison International</v>
      </c>
      <c r="D25" s="333" t="str">
        <f t="shared" ca="1" si="4"/>
        <v>EIX</v>
      </c>
      <c r="E25" s="333"/>
      <c r="F25" s="441">
        <f t="shared" ca="1" si="15"/>
        <v>-26.498475003315214</v>
      </c>
      <c r="G25" s="344">
        <f t="shared" ca="1" si="15"/>
        <v>18628.599999999999</v>
      </c>
      <c r="H25" s="344"/>
      <c r="I25" s="407">
        <f t="shared" ca="1" si="5"/>
        <v>23</v>
      </c>
      <c r="J25" s="429"/>
      <c r="K25" s="441">
        <f t="shared" ca="1" si="16"/>
        <v>54.79</v>
      </c>
      <c r="L25" s="343">
        <f t="shared" ca="1" si="16"/>
        <v>340</v>
      </c>
      <c r="M25" s="344">
        <f t="shared" ca="1" si="17"/>
        <v>18628.599999999999</v>
      </c>
      <c r="N25" s="344"/>
      <c r="O25" s="407">
        <f t="shared" ca="1" si="6"/>
        <v>58</v>
      </c>
      <c r="Q25" s="394">
        <f t="shared" ca="1" si="18"/>
        <v>29</v>
      </c>
      <c r="R25" s="335" t="str">
        <f t="shared" ca="1" si="7"/>
        <v>R</v>
      </c>
      <c r="S25" s="442">
        <f t="shared" ca="1" si="7"/>
        <v>0</v>
      </c>
      <c r="T25" s="333"/>
      <c r="U25" s="842">
        <f t="shared" ca="1" si="19"/>
        <v>-26.498475003315214</v>
      </c>
      <c r="V25" s="395">
        <f t="shared" ca="1" si="20"/>
        <v>18628.599999999999</v>
      </c>
      <c r="X25" s="369">
        <f t="shared" ca="1" si="8"/>
        <v>2.4082407545900675E-2</v>
      </c>
      <c r="Y25" s="346">
        <f t="shared" ca="1" si="21"/>
        <v>3.5517200630644681E-2</v>
      </c>
      <c r="Z25" s="346" t="str">
        <f t="shared" ca="1" si="9"/>
        <v/>
      </c>
      <c r="AA25" s="377" t="str">
        <f t="shared" ca="1" si="9"/>
        <v/>
      </c>
      <c r="AB25" s="322"/>
      <c r="AC25" s="386">
        <f t="shared" ca="1" si="10"/>
        <v>-26.498475003315214</v>
      </c>
      <c r="AD25" s="347">
        <f t="shared" ca="1" si="22"/>
        <v>-26.498475003315214</v>
      </c>
      <c r="AE25" s="347" t="str">
        <f t="shared" ca="1" si="11"/>
        <v/>
      </c>
      <c r="AF25" s="379" t="str">
        <f t="shared" ca="1" si="11"/>
        <v/>
      </c>
      <c r="AG25" s="348"/>
      <c r="AH25" s="383">
        <f t="shared" ca="1" si="12"/>
        <v>-0.63814707437469875</v>
      </c>
      <c r="AI25" s="349">
        <f t="shared" ca="1" si="23"/>
        <v>-0.94115165309886939</v>
      </c>
      <c r="AJ25" s="349" t="str">
        <f t="shared" ca="1" si="13"/>
        <v/>
      </c>
      <c r="AK25" s="381" t="str">
        <f t="shared" ca="1" si="14"/>
        <v/>
      </c>
    </row>
    <row r="26" spans="1:37" s="331" customFormat="1">
      <c r="A26" s="352"/>
      <c r="B26" s="335">
        <f t="shared" si="24"/>
        <v>15</v>
      </c>
      <c r="C26" s="333" t="str">
        <f t="shared" ca="1" si="3"/>
        <v>El Paso Electric Company</v>
      </c>
      <c r="D26" s="333" t="str">
        <f t="shared" ca="1" si="4"/>
        <v>EE</v>
      </c>
      <c r="E26" s="333"/>
      <c r="F26" s="441">
        <f t="shared" ca="1" si="15"/>
        <v>0.67020179702461657</v>
      </c>
      <c r="G26" s="344">
        <f t="shared" ca="1" si="15"/>
        <v>2759.5563721200001</v>
      </c>
      <c r="H26" s="344"/>
      <c r="I26" s="407">
        <f t="shared" ca="1" si="5"/>
        <v>24</v>
      </c>
      <c r="J26" s="429"/>
      <c r="K26" s="441">
        <f t="shared" ca="1" si="16"/>
        <v>67.959999999999994</v>
      </c>
      <c r="L26" s="343">
        <f t="shared" ca="1" si="16"/>
        <v>40.605597000000003</v>
      </c>
      <c r="M26" s="344">
        <f t="shared" ca="1" si="17"/>
        <v>2759.5563721200001</v>
      </c>
      <c r="N26" s="344"/>
      <c r="O26" s="407">
        <f t="shared" ca="1" si="6"/>
        <v>29</v>
      </c>
      <c r="Q26" s="394">
        <f t="shared" ca="1" si="18"/>
        <v>30</v>
      </c>
      <c r="R26" s="335" t="str">
        <f t="shared" ca="1" si="7"/>
        <v>R</v>
      </c>
      <c r="S26" s="442">
        <f t="shared" ca="1" si="7"/>
        <v>0</v>
      </c>
      <c r="T26" s="333"/>
      <c r="U26" s="842">
        <f t="shared" ca="1" si="19"/>
        <v>0.67020179702461657</v>
      </c>
      <c r="V26" s="395">
        <f t="shared" ca="1" si="20"/>
        <v>2759.5563721200001</v>
      </c>
      <c r="X26" s="369">
        <f t="shared" ca="1" si="8"/>
        <v>3.5674587032456001E-3</v>
      </c>
      <c r="Y26" s="346">
        <f t="shared" ca="1" si="21"/>
        <v>5.2613571240007319E-3</v>
      </c>
      <c r="Z26" s="346" t="str">
        <f t="shared" ca="1" si="9"/>
        <v/>
      </c>
      <c r="AA26" s="377" t="str">
        <f t="shared" ca="1" si="9"/>
        <v/>
      </c>
      <c r="AB26" s="322"/>
      <c r="AC26" s="386">
        <f t="shared" ca="1" si="10"/>
        <v>0.67020179702461657</v>
      </c>
      <c r="AD26" s="347">
        <f t="shared" ca="1" si="22"/>
        <v>0.67020179702461657</v>
      </c>
      <c r="AE26" s="347" t="str">
        <f t="shared" ca="1" si="11"/>
        <v/>
      </c>
      <c r="AF26" s="379" t="str">
        <f t="shared" ca="1" si="11"/>
        <v/>
      </c>
      <c r="AG26" s="348"/>
      <c r="AH26" s="383">
        <f t="shared" ca="1" si="12"/>
        <v>2.3909172337263094E-3</v>
      </c>
      <c r="AI26" s="349">
        <f t="shared" ca="1" si="23"/>
        <v>3.5261709992935588E-3</v>
      </c>
      <c r="AJ26" s="349" t="str">
        <f t="shared" ca="1" si="13"/>
        <v/>
      </c>
      <c r="AK26" s="381" t="str">
        <f t="shared" ca="1" si="14"/>
        <v/>
      </c>
    </row>
    <row r="27" spans="1:37" s="331" customFormat="1">
      <c r="A27" s="352"/>
      <c r="B27" s="335">
        <f t="shared" si="24"/>
        <v>16</v>
      </c>
      <c r="C27" s="333" t="str">
        <f t="shared" ca="1" si="3"/>
        <v>Entergy Corporation</v>
      </c>
      <c r="D27" s="333" t="str">
        <f t="shared" ca="1" si="4"/>
        <v>ETR</v>
      </c>
      <c r="E27" s="333"/>
      <c r="F27" s="441">
        <f t="shared" ca="1" si="15"/>
        <v>-20.784641068447407</v>
      </c>
      <c r="G27" s="344">
        <f t="shared" ca="1" si="15"/>
        <v>18342.55477626</v>
      </c>
      <c r="H27" s="344"/>
      <c r="I27" s="407">
        <f t="shared" ca="1" si="5"/>
        <v>25</v>
      </c>
      <c r="J27" s="429"/>
      <c r="K27" s="441">
        <f t="shared" ca="1" si="16"/>
        <v>93.97</v>
      </c>
      <c r="L27" s="343">
        <f t="shared" ca="1" si="16"/>
        <v>195.19585799999999</v>
      </c>
      <c r="M27" s="344">
        <f t="shared" ca="1" si="17"/>
        <v>18342.55477626</v>
      </c>
      <c r="N27" s="344"/>
      <c r="O27" s="407">
        <f t="shared" ca="1" si="6"/>
        <v>31</v>
      </c>
      <c r="Q27" s="394">
        <f t="shared" ca="1" si="18"/>
        <v>31</v>
      </c>
      <c r="R27" s="335" t="str">
        <f t="shared" ca="1" si="7"/>
        <v>R</v>
      </c>
      <c r="S27" s="442">
        <f t="shared" ca="1" si="7"/>
        <v>0</v>
      </c>
      <c r="T27" s="333"/>
      <c r="U27" s="842">
        <f t="shared" ca="1" si="19"/>
        <v>-20.784641068447407</v>
      </c>
      <c r="V27" s="395">
        <f t="shared" ca="1" si="20"/>
        <v>18342.55477626</v>
      </c>
      <c r="X27" s="369">
        <f t="shared" ca="1" si="8"/>
        <v>2.3712618208287274E-2</v>
      </c>
      <c r="Y27" s="346">
        <f t="shared" ca="1" si="21"/>
        <v>3.4971828160302781E-2</v>
      </c>
      <c r="Z27" s="346" t="str">
        <f t="shared" ca="1" si="9"/>
        <v/>
      </c>
      <c r="AA27" s="377" t="str">
        <f t="shared" ca="1" si="9"/>
        <v/>
      </c>
      <c r="AB27" s="322"/>
      <c r="AC27" s="386">
        <f t="shared" ca="1" si="10"/>
        <v>-20.784641068447407</v>
      </c>
      <c r="AD27" s="347">
        <f t="shared" ca="1" si="22"/>
        <v>-20.784641068447407</v>
      </c>
      <c r="AE27" s="347" t="str">
        <f t="shared" ca="1" si="11"/>
        <v/>
      </c>
      <c r="AF27" s="379" t="str">
        <f t="shared" ca="1" si="11"/>
        <v/>
      </c>
      <c r="AG27" s="348"/>
      <c r="AH27" s="383">
        <f t="shared" ca="1" si="12"/>
        <v>-0.49285825825238144</v>
      </c>
      <c r="AI27" s="349">
        <f t="shared" ca="1" si="23"/>
        <v>-0.72687689581931469</v>
      </c>
      <c r="AJ27" s="349" t="str">
        <f t="shared" ca="1" si="13"/>
        <v/>
      </c>
      <c r="AK27" s="381" t="str">
        <f t="shared" ca="1" si="14"/>
        <v/>
      </c>
    </row>
    <row r="28" spans="1:37" s="331" customFormat="1">
      <c r="A28" s="352"/>
      <c r="B28" s="335">
        <f t="shared" si="24"/>
        <v>17</v>
      </c>
      <c r="C28" s="333" t="str">
        <f t="shared" ca="1" si="3"/>
        <v>Evergy, Inc.</v>
      </c>
      <c r="D28" s="333" t="str">
        <f t="shared" ca="1" si="4"/>
        <v>EVRG</v>
      </c>
      <c r="E28" s="333"/>
      <c r="F28" s="441">
        <f t="shared" ca="1" si="15"/>
        <v>-14.648947611000162</v>
      </c>
      <c r="G28" s="344">
        <f t="shared" ca="1" si="15"/>
        <v>13184.474999999999</v>
      </c>
      <c r="H28" s="344"/>
      <c r="I28" s="407">
        <f t="shared" ca="1" si="5"/>
        <v>27</v>
      </c>
      <c r="J28" s="429"/>
      <c r="K28" s="441">
        <f t="shared" ca="1" si="16"/>
        <v>55.05</v>
      </c>
      <c r="L28" s="343">
        <f t="shared" ca="1" si="16"/>
        <v>239.5</v>
      </c>
      <c r="M28" s="344">
        <f t="shared" ca="1" si="17"/>
        <v>13184.474999999999</v>
      </c>
      <c r="N28" s="344"/>
      <c r="O28" s="407">
        <f t="shared" ca="1" si="6"/>
        <v>42</v>
      </c>
      <c r="Q28" s="394">
        <f t="shared" ca="1" si="18"/>
        <v>32</v>
      </c>
      <c r="R28" s="335" t="str">
        <f t="shared" ca="1" si="7"/>
        <v>R</v>
      </c>
      <c r="S28" s="442">
        <f t="shared" ca="1" si="7"/>
        <v>0</v>
      </c>
      <c r="T28" s="333"/>
      <c r="U28" s="842">
        <f t="shared" ca="1" si="19"/>
        <v>-14.648947611000162</v>
      </c>
      <c r="V28" s="395">
        <f t="shared" ca="1" si="20"/>
        <v>13184.474999999999</v>
      </c>
      <c r="X28" s="369">
        <f t="shared" ca="1" si="8"/>
        <v>1.7044431692598411E-2</v>
      </c>
      <c r="Y28" s="346">
        <f t="shared" ca="1" si="21"/>
        <v>2.5137457661054456E-2</v>
      </c>
      <c r="Z28" s="346" t="str">
        <f t="shared" ca="1" si="9"/>
        <v/>
      </c>
      <c r="AA28" s="377" t="str">
        <f t="shared" ca="1" si="9"/>
        <v/>
      </c>
      <c r="AB28" s="322"/>
      <c r="AC28" s="386">
        <f t="shared" ca="1" si="10"/>
        <v>-14.648947611000162</v>
      </c>
      <c r="AD28" s="347">
        <f t="shared" ca="1" si="22"/>
        <v>-14.648947611000162</v>
      </c>
      <c r="AE28" s="347" t="str">
        <f t="shared" ca="1" si="11"/>
        <v/>
      </c>
      <c r="AF28" s="379" t="str">
        <f t="shared" ca="1" si="11"/>
        <v/>
      </c>
      <c r="AG28" s="348"/>
      <c r="AH28" s="383">
        <f t="shared" ca="1" si="12"/>
        <v>-0.24968298692414495</v>
      </c>
      <c r="AI28" s="349">
        <f t="shared" ca="1" si="23"/>
        <v>-0.36823730035052138</v>
      </c>
      <c r="AJ28" s="349" t="str">
        <f t="shared" ca="1" si="13"/>
        <v/>
      </c>
      <c r="AK28" s="381" t="str">
        <f t="shared" ca="1" si="14"/>
        <v/>
      </c>
    </row>
    <row r="29" spans="1:37" s="331" customFormat="1">
      <c r="A29" s="352"/>
      <c r="B29" s="335">
        <f t="shared" si="24"/>
        <v>18</v>
      </c>
      <c r="C29" s="333" t="str">
        <f t="shared" ca="1" si="3"/>
        <v>Eversource Energy</v>
      </c>
      <c r="D29" s="333" t="str">
        <f t="shared" ca="1" si="4"/>
        <v>ES</v>
      </c>
      <c r="E29" s="333"/>
      <c r="F29" s="441">
        <f t="shared" ca="1" si="15"/>
        <v>-7.3968496532267558</v>
      </c>
      <c r="G29" s="344">
        <f t="shared" ca="1" si="15"/>
        <v>25137.952086059999</v>
      </c>
      <c r="H29" s="344"/>
      <c r="I29" s="407">
        <f t="shared" ca="1" si="5"/>
        <v>26</v>
      </c>
      <c r="J29" s="429"/>
      <c r="K29" s="441">
        <f t="shared" ca="1" si="16"/>
        <v>78.209999999999994</v>
      </c>
      <c r="L29" s="343">
        <f t="shared" ca="1" si="16"/>
        <v>321.41608600000001</v>
      </c>
      <c r="M29" s="344">
        <f t="shared" ca="1" si="17"/>
        <v>25137.952086059999</v>
      </c>
      <c r="N29" s="344"/>
      <c r="O29" s="407">
        <f t="shared" ca="1" si="6"/>
        <v>48</v>
      </c>
      <c r="Q29" s="394">
        <f t="shared" ca="1" si="18"/>
        <v>33</v>
      </c>
      <c r="R29" s="335" t="str">
        <f t="shared" ca="1" si="7"/>
        <v>R</v>
      </c>
      <c r="S29" s="442">
        <f t="shared" ca="1" si="7"/>
        <v>0</v>
      </c>
      <c r="T29" s="333"/>
      <c r="U29" s="842">
        <f t="shared" ca="1" si="19"/>
        <v>-7.3968496532267558</v>
      </c>
      <c r="V29" s="395">
        <f t="shared" ca="1" si="20"/>
        <v>25137.952086059999</v>
      </c>
      <c r="X29" s="369">
        <f t="shared" ca="1" si="8"/>
        <v>3.2497472005723511E-2</v>
      </c>
      <c r="Y29" s="346">
        <f t="shared" ca="1" si="21"/>
        <v>4.7927900523073455E-2</v>
      </c>
      <c r="Z29" s="346" t="str">
        <f t="shared" ca="1" si="9"/>
        <v/>
      </c>
      <c r="AA29" s="377" t="str">
        <f t="shared" ca="1" si="9"/>
        <v/>
      </c>
      <c r="AB29" s="322"/>
      <c r="AC29" s="386">
        <f t="shared" ca="1" si="10"/>
        <v>-7.3968496532267558</v>
      </c>
      <c r="AD29" s="347">
        <f t="shared" ca="1" si="22"/>
        <v>-7.3968496532267558</v>
      </c>
      <c r="AE29" s="347" t="str">
        <f t="shared" ca="1" si="11"/>
        <v/>
      </c>
      <c r="AF29" s="379" t="str">
        <f t="shared" ca="1" si="11"/>
        <v/>
      </c>
      <c r="AG29" s="348"/>
      <c r="AH29" s="383">
        <f t="shared" ca="1" si="12"/>
        <v>-0.24037891453628216</v>
      </c>
      <c r="AI29" s="349">
        <f t="shared" ca="1" si="23"/>
        <v>-0.35451547436398234</v>
      </c>
      <c r="AJ29" s="349" t="str">
        <f t="shared" ca="1" si="13"/>
        <v/>
      </c>
      <c r="AK29" s="381" t="str">
        <f t="shared" ca="1" si="14"/>
        <v/>
      </c>
    </row>
    <row r="30" spans="1:37" s="331" customFormat="1">
      <c r="A30" s="352"/>
      <c r="B30" s="335">
        <f t="shared" si="24"/>
        <v>19</v>
      </c>
      <c r="C30" s="333" t="str">
        <f t="shared" ca="1" si="3"/>
        <v>Exelon Corporation</v>
      </c>
      <c r="D30" s="333" t="str">
        <f t="shared" ca="1" si="4"/>
        <v>EXC</v>
      </c>
      <c r="E30" s="333"/>
      <c r="F30" s="441">
        <f t="shared" ca="1" si="15"/>
        <v>-18.419609563500781</v>
      </c>
      <c r="G30" s="344">
        <f t="shared" ca="1" si="15"/>
        <v>35816.130000000005</v>
      </c>
      <c r="H30" s="344"/>
      <c r="I30" s="407">
        <f t="shared" ca="1" si="5"/>
        <v>28</v>
      </c>
      <c r="J30" s="429"/>
      <c r="K30" s="441">
        <f t="shared" ca="1" si="16"/>
        <v>36.81</v>
      </c>
      <c r="L30" s="343">
        <f t="shared" ca="1" si="16"/>
        <v>973</v>
      </c>
      <c r="M30" s="344">
        <f t="shared" ca="1" si="17"/>
        <v>35816.130000000005</v>
      </c>
      <c r="N30" s="344"/>
      <c r="O30" s="407">
        <f t="shared" ca="1" si="6"/>
        <v>97</v>
      </c>
      <c r="Q30" s="394">
        <f t="shared" ca="1" si="18"/>
        <v>34</v>
      </c>
      <c r="R30" s="335" t="str">
        <f t="shared" ca="1" si="7"/>
        <v>MR</v>
      </c>
      <c r="S30" s="442">
        <f t="shared" ca="1" si="7"/>
        <v>0</v>
      </c>
      <c r="T30" s="333"/>
      <c r="U30" s="842">
        <f t="shared" ca="1" si="19"/>
        <v>-18.419609563500781</v>
      </c>
      <c r="V30" s="395">
        <f t="shared" ca="1" si="20"/>
        <v>35816.130000000005</v>
      </c>
      <c r="X30" s="369">
        <f t="shared" ca="1" si="8"/>
        <v>4.6301849810343222E-2</v>
      </c>
      <c r="Y30" s="346" t="str">
        <f t="shared" ca="1" si="21"/>
        <v/>
      </c>
      <c r="Z30" s="346">
        <f t="shared" ca="1" si="9"/>
        <v>0.14381651483296204</v>
      </c>
      <c r="AA30" s="377" t="str">
        <f t="shared" ca="1" si="9"/>
        <v/>
      </c>
      <c r="AB30" s="322"/>
      <c r="AC30" s="386">
        <f t="shared" ca="1" si="10"/>
        <v>-18.419609563500781</v>
      </c>
      <c r="AD30" s="347" t="str">
        <f t="shared" ca="1" si="22"/>
        <v/>
      </c>
      <c r="AE30" s="347">
        <f t="shared" ca="1" si="11"/>
        <v>-18.419609563500781</v>
      </c>
      <c r="AF30" s="379" t="str">
        <f t="shared" ca="1" si="11"/>
        <v/>
      </c>
      <c r="AG30" s="348"/>
      <c r="AH30" s="383">
        <f t="shared" ca="1" si="12"/>
        <v>-0.85286199557437481</v>
      </c>
      <c r="AI30" s="349" t="str">
        <f t="shared" ca="1" si="23"/>
        <v/>
      </c>
      <c r="AJ30" s="349">
        <f t="shared" ca="1" si="13"/>
        <v>-2.6490440520065794</v>
      </c>
      <c r="AK30" s="381" t="str">
        <f t="shared" ca="1" si="14"/>
        <v/>
      </c>
    </row>
    <row r="31" spans="1:37" s="331" customFormat="1">
      <c r="A31" s="352"/>
      <c r="B31" s="335">
        <f t="shared" si="24"/>
        <v>20</v>
      </c>
      <c r="C31" s="333" t="str">
        <f t="shared" ca="1" si="3"/>
        <v>FirstEnergy Corp.</v>
      </c>
      <c r="D31" s="333" t="str">
        <f t="shared" ca="1" si="4"/>
        <v>FE</v>
      </c>
      <c r="E31" s="333"/>
      <c r="F31" s="441">
        <f t="shared" ca="1" si="15"/>
        <v>-16.748971193415652</v>
      </c>
      <c r="G31" s="344">
        <f t="shared" ca="1" si="15"/>
        <v>21437.45</v>
      </c>
      <c r="H31" s="344"/>
      <c r="I31" s="407">
        <f t="shared" ca="1" si="5"/>
        <v>29</v>
      </c>
      <c r="J31" s="429"/>
      <c r="K31" s="441">
        <f t="shared" ca="1" si="16"/>
        <v>40.07</v>
      </c>
      <c r="L31" s="343">
        <f t="shared" ca="1" si="16"/>
        <v>535</v>
      </c>
      <c r="M31" s="344">
        <f t="shared" ca="1" si="17"/>
        <v>21437.45</v>
      </c>
      <c r="N31" s="344"/>
      <c r="O31" s="407">
        <f t="shared" ca="1" si="6"/>
        <v>49</v>
      </c>
      <c r="Q31" s="394">
        <f t="shared" ca="1" si="18"/>
        <v>35</v>
      </c>
      <c r="R31" s="335" t="str">
        <f t="shared" ca="1" si="7"/>
        <v>R</v>
      </c>
      <c r="S31" s="442">
        <f t="shared" ca="1" si="7"/>
        <v>0</v>
      </c>
      <c r="T31" s="333"/>
      <c r="U31" s="842">
        <f t="shared" ca="1" si="19"/>
        <v>-16.748971193415652</v>
      </c>
      <c r="V31" s="395">
        <f t="shared" ca="1" si="20"/>
        <v>21437.45</v>
      </c>
      <c r="X31" s="369">
        <f t="shared" ca="1" si="8"/>
        <v>2.7713591340458674E-2</v>
      </c>
      <c r="Y31" s="346">
        <f t="shared" ca="1" si="21"/>
        <v>4.0872540752360027E-2</v>
      </c>
      <c r="Z31" s="346" t="str">
        <f t="shared" ca="1" si="9"/>
        <v/>
      </c>
      <c r="AA31" s="377" t="str">
        <f t="shared" ca="1" si="9"/>
        <v/>
      </c>
      <c r="AB31" s="322"/>
      <c r="AC31" s="386">
        <f t="shared" ca="1" si="10"/>
        <v>-16.748971193415652</v>
      </c>
      <c r="AD31" s="347">
        <f t="shared" ca="1" si="22"/>
        <v>-16.748971193415652</v>
      </c>
      <c r="AE31" s="347" t="str">
        <f t="shared" ca="1" si="11"/>
        <v/>
      </c>
      <c r="AF31" s="379" t="str">
        <f t="shared" ca="1" si="11"/>
        <v/>
      </c>
      <c r="AG31" s="348"/>
      <c r="AH31" s="383">
        <f t="shared" ca="1" si="12"/>
        <v>-0.46417414302743581</v>
      </c>
      <c r="AI31" s="349">
        <f t="shared" ca="1" si="23"/>
        <v>-0.68457300766298546</v>
      </c>
      <c r="AJ31" s="349" t="str">
        <f t="shared" ca="1" si="13"/>
        <v/>
      </c>
      <c r="AK31" s="381" t="str">
        <f t="shared" ca="1" si="14"/>
        <v/>
      </c>
    </row>
    <row r="32" spans="1:37" s="331" customFormat="1">
      <c r="A32" s="352"/>
      <c r="B32" s="335">
        <f t="shared" si="24"/>
        <v>21</v>
      </c>
      <c r="C32" s="333" t="str">
        <f t="shared" ca="1" si="3"/>
        <v>Hawaiian Electric Industries, Inc.</v>
      </c>
      <c r="D32" s="333" t="str">
        <f t="shared" ca="1" si="4"/>
        <v>HE</v>
      </c>
      <c r="E32" s="333"/>
      <c r="F32" s="441">
        <f t="shared" ca="1" si="15"/>
        <v>-7.4263764404609685</v>
      </c>
      <c r="G32" s="344">
        <f t="shared" ca="1" si="15"/>
        <v>4690.2544499999995</v>
      </c>
      <c r="H32" s="344"/>
      <c r="I32" s="407">
        <f t="shared" ca="1" si="5"/>
        <v>30</v>
      </c>
      <c r="J32" s="429"/>
      <c r="K32" s="441">
        <f t="shared" ca="1" si="16"/>
        <v>43.05</v>
      </c>
      <c r="L32" s="343">
        <f t="shared" ca="1" si="16"/>
        <v>108.949</v>
      </c>
      <c r="M32" s="344">
        <f t="shared" ca="1" si="17"/>
        <v>4690.2544499999995</v>
      </c>
      <c r="N32" s="344"/>
      <c r="O32" s="407">
        <f t="shared" ca="1" si="6"/>
        <v>37</v>
      </c>
      <c r="Q32" s="394">
        <f t="shared" ca="1" si="18"/>
        <v>36</v>
      </c>
      <c r="R32" s="335" t="str">
        <f t="shared" ca="1" si="7"/>
        <v>MR</v>
      </c>
      <c r="S32" s="442">
        <f t="shared" ca="1" si="7"/>
        <v>0</v>
      </c>
      <c r="T32" s="333"/>
      <c r="U32" s="842">
        <f t="shared" ca="1" si="19"/>
        <v>-7.4263764404609685</v>
      </c>
      <c r="V32" s="395">
        <f t="shared" ca="1" si="20"/>
        <v>4690.2544499999995</v>
      </c>
      <c r="X32" s="369">
        <f t="shared" ca="1" si="8"/>
        <v>6.0633981704945198E-3</v>
      </c>
      <c r="Y32" s="346" t="str">
        <f t="shared" ca="1" si="21"/>
        <v/>
      </c>
      <c r="Z32" s="346">
        <f t="shared" ca="1" si="21"/>
        <v>1.8833303561238777E-2</v>
      </c>
      <c r="AA32" s="377" t="str">
        <f t="shared" ca="1" si="21"/>
        <v/>
      </c>
      <c r="AB32" s="322"/>
      <c r="AC32" s="386">
        <f t="shared" ca="1" si="10"/>
        <v>-7.4263764404609685</v>
      </c>
      <c r="AD32" s="347" t="str">
        <f t="shared" ca="1" si="22"/>
        <v/>
      </c>
      <c r="AE32" s="347">
        <f t="shared" ca="1" si="22"/>
        <v>-7.4263764404609685</v>
      </c>
      <c r="AF32" s="379" t="str">
        <f t="shared" ca="1" si="22"/>
        <v/>
      </c>
      <c r="AG32" s="348"/>
      <c r="AH32" s="383">
        <f t="shared" ca="1" si="12"/>
        <v>-4.5029077322494643E-2</v>
      </c>
      <c r="AI32" s="349" t="str">
        <f t="shared" ca="1" si="23"/>
        <v/>
      </c>
      <c r="AJ32" s="349">
        <f t="shared" ca="1" si="13"/>
        <v>-0.13986320186323331</v>
      </c>
      <c r="AK32" s="381" t="str">
        <f t="shared" ca="1" si="14"/>
        <v/>
      </c>
    </row>
    <row r="33" spans="1:37" s="331" customFormat="1">
      <c r="A33" s="352"/>
      <c r="B33" s="335">
        <f t="shared" si="24"/>
        <v>22</v>
      </c>
      <c r="C33" s="333" t="str">
        <f t="shared" ca="1" si="3"/>
        <v>IDACORP, Inc.</v>
      </c>
      <c r="D33" s="333" t="str">
        <f t="shared" ca="1" si="4"/>
        <v>IDA</v>
      </c>
      <c r="E33" s="333"/>
      <c r="F33" s="441">
        <f t="shared" ca="1" si="15"/>
        <v>-17.172284644194747</v>
      </c>
      <c r="G33" s="344">
        <f t="shared" ca="1" si="15"/>
        <v>4433.5705800000005</v>
      </c>
      <c r="H33" s="344"/>
      <c r="I33" s="407">
        <f t="shared" ca="1" si="5"/>
        <v>31</v>
      </c>
      <c r="J33" s="429"/>
      <c r="K33" s="441">
        <f t="shared" ca="1" si="16"/>
        <v>87.79</v>
      </c>
      <c r="L33" s="343">
        <f t="shared" ca="1" si="16"/>
        <v>50.502000000000002</v>
      </c>
      <c r="M33" s="344">
        <f t="shared" ca="1" si="17"/>
        <v>4433.5705800000005</v>
      </c>
      <c r="N33" s="344"/>
      <c r="O33" s="407">
        <f t="shared" ca="1" si="6"/>
        <v>39</v>
      </c>
      <c r="Q33" s="394">
        <f t="shared" ca="1" si="18"/>
        <v>37</v>
      </c>
      <c r="R33" s="335" t="str">
        <f t="shared" ca="1" si="7"/>
        <v>R</v>
      </c>
      <c r="S33" s="442">
        <f t="shared" ca="1" si="7"/>
        <v>0</v>
      </c>
      <c r="T33" s="333"/>
      <c r="U33" s="842">
        <f t="shared" ca="1" si="19"/>
        <v>-17.172284644194747</v>
      </c>
      <c r="V33" s="395">
        <f t="shared" ca="1" si="20"/>
        <v>4433.5705800000005</v>
      </c>
      <c r="X33" s="369">
        <f t="shared" ca="1" si="8"/>
        <v>5.7315661719654328E-3</v>
      </c>
      <c r="Y33" s="346">
        <f t="shared" ref="Y33:AA52" ca="1" si="25">IF( $R33 = Y$4, $V33 / Y$69, "" )</f>
        <v>8.4530246932127875E-3</v>
      </c>
      <c r="Z33" s="346" t="str">
        <f t="shared" ca="1" si="25"/>
        <v/>
      </c>
      <c r="AA33" s="377" t="str">
        <f t="shared" ca="1" si="25"/>
        <v/>
      </c>
      <c r="AB33" s="322"/>
      <c r="AC33" s="386">
        <f t="shared" ca="1" si="10"/>
        <v>-17.172284644194747</v>
      </c>
      <c r="AD33" s="347">
        <f t="shared" ref="AD33:AF52" ca="1" si="26">IF( $R33 = AD$4, $U33, "" )</f>
        <v>-17.172284644194747</v>
      </c>
      <c r="AE33" s="347" t="str">
        <f t="shared" ca="1" si="26"/>
        <v/>
      </c>
      <c r="AF33" s="379" t="str">
        <f t="shared" ca="1" si="26"/>
        <v/>
      </c>
      <c r="AG33" s="348"/>
      <c r="AH33" s="383">
        <f t="shared" ca="1" si="12"/>
        <v>-9.8424085762028074E-2</v>
      </c>
      <c r="AI33" s="349">
        <f t="shared" ca="1" si="23"/>
        <v>-0.14515774613625695</v>
      </c>
      <c r="AJ33" s="349" t="str">
        <f t="shared" ca="1" si="13"/>
        <v/>
      </c>
      <c r="AK33" s="381" t="str">
        <f t="shared" ca="1" si="14"/>
        <v/>
      </c>
    </row>
    <row r="34" spans="1:37" s="331" customFormat="1">
      <c r="A34" s="352"/>
      <c r="B34" s="335">
        <f t="shared" si="24"/>
        <v>23</v>
      </c>
      <c r="C34" s="333" t="str">
        <f t="shared" ca="1" si="3"/>
        <v>MDU Resources Group, Inc.</v>
      </c>
      <c r="D34" s="333" t="str">
        <f t="shared" ca="1" si="4"/>
        <v>MDU</v>
      </c>
      <c r="E34" s="333"/>
      <c r="F34" s="441">
        <f t="shared" ca="1" si="15"/>
        <v>-26.935375294513641</v>
      </c>
      <c r="G34" s="344">
        <f t="shared" ca="1" si="15"/>
        <v>4270.1579999999994</v>
      </c>
      <c r="H34" s="344"/>
      <c r="I34" s="407">
        <f t="shared" ca="1" si="5"/>
        <v>32</v>
      </c>
      <c r="J34" s="429"/>
      <c r="K34" s="441">
        <f t="shared" ca="1" si="16"/>
        <v>21.5</v>
      </c>
      <c r="L34" s="343">
        <f t="shared" ca="1" si="16"/>
        <v>198.61199999999999</v>
      </c>
      <c r="M34" s="344">
        <f t="shared" ca="1" si="17"/>
        <v>4270.1579999999994</v>
      </c>
      <c r="N34" s="344"/>
      <c r="O34" s="407">
        <f t="shared" ca="1" si="6"/>
        <v>112</v>
      </c>
      <c r="Q34" s="394">
        <f t="shared" ca="1" si="18"/>
        <v>38</v>
      </c>
      <c r="R34" s="335" t="str">
        <f t="shared" ca="1" si="7"/>
        <v>MR</v>
      </c>
      <c r="S34" s="442">
        <f t="shared" ca="1" si="7"/>
        <v>0</v>
      </c>
      <c r="T34" s="333"/>
      <c r="U34" s="842">
        <f t="shared" ca="1" si="19"/>
        <v>-26.935375294513641</v>
      </c>
      <c r="V34" s="395">
        <f t="shared" ca="1" si="20"/>
        <v>4270.1579999999994</v>
      </c>
      <c r="X34" s="369">
        <f t="shared" ca="1" si="8"/>
        <v>5.5203120600253444E-3</v>
      </c>
      <c r="Y34" s="346" t="str">
        <f t="shared" ca="1" si="25"/>
        <v/>
      </c>
      <c r="Z34" s="346">
        <f t="shared" ca="1" si="25"/>
        <v>1.7146443274192142E-2</v>
      </c>
      <c r="AA34" s="377" t="str">
        <f t="shared" ca="1" si="25"/>
        <v/>
      </c>
      <c r="AB34" s="322"/>
      <c r="AC34" s="386">
        <f t="shared" ca="1" si="10"/>
        <v>-26.935375294513641</v>
      </c>
      <c r="AD34" s="347" t="str">
        <f t="shared" ca="1" si="26"/>
        <v/>
      </c>
      <c r="AE34" s="347">
        <f t="shared" ca="1" si="26"/>
        <v>-26.935375294513641</v>
      </c>
      <c r="AF34" s="379" t="str">
        <f t="shared" ca="1" si="26"/>
        <v/>
      </c>
      <c r="AG34" s="348"/>
      <c r="AH34" s="383">
        <f t="shared" ca="1" si="12"/>
        <v>-0.14869167707961237</v>
      </c>
      <c r="AI34" s="349" t="str">
        <f t="shared" ca="1" si="23"/>
        <v/>
      </c>
      <c r="AJ34" s="349">
        <f t="shared" ca="1" si="13"/>
        <v>-0.46184588455645459</v>
      </c>
      <c r="AK34" s="381" t="str">
        <f t="shared" ca="1" si="14"/>
        <v/>
      </c>
    </row>
    <row r="35" spans="1:37" s="331" customFormat="1">
      <c r="A35" s="352"/>
      <c r="B35" s="335">
        <f t="shared" si="24"/>
        <v>24</v>
      </c>
      <c r="C35" s="333" t="str">
        <f t="shared" ca="1" si="3"/>
        <v>MGE Energy, Inc.</v>
      </c>
      <c r="D35" s="333" t="str">
        <f t="shared" ca="1" si="4"/>
        <v>MGEE</v>
      </c>
      <c r="E35" s="333"/>
      <c r="F35" s="441">
        <f t="shared" ca="1" si="15"/>
        <v>-16.490104034509013</v>
      </c>
      <c r="G35" s="344">
        <f t="shared" ca="1" si="15"/>
        <v>2269.71396</v>
      </c>
      <c r="H35" s="344"/>
      <c r="I35" s="407">
        <f t="shared" ca="1" si="5"/>
        <v>33</v>
      </c>
      <c r="J35" s="429"/>
      <c r="K35" s="441">
        <f t="shared" ca="1" si="16"/>
        <v>65.47</v>
      </c>
      <c r="L35" s="343">
        <f t="shared" ca="1" si="16"/>
        <v>34.667999999999999</v>
      </c>
      <c r="M35" s="344">
        <f t="shared" ca="1" si="17"/>
        <v>2269.71396</v>
      </c>
      <c r="N35" s="344"/>
      <c r="O35" s="407">
        <f t="shared" ca="1" si="6"/>
        <v>85</v>
      </c>
      <c r="Q35" s="394">
        <f t="shared" ca="1" si="18"/>
        <v>39</v>
      </c>
      <c r="R35" s="335" t="str">
        <f t="shared" ca="1" si="7"/>
        <v>R</v>
      </c>
      <c r="S35" s="442">
        <f t="shared" ca="1" si="7"/>
        <v>0</v>
      </c>
      <c r="T35" s="333"/>
      <c r="U35" s="842">
        <f t="shared" ca="1" si="19"/>
        <v>-16.490104034509013</v>
      </c>
      <c r="V35" s="395">
        <f t="shared" ca="1" si="20"/>
        <v>2269.71396</v>
      </c>
      <c r="X35" s="369">
        <f t="shared" ca="1" si="8"/>
        <v>2.9342074335881444E-3</v>
      </c>
      <c r="Y35" s="346">
        <f t="shared" ca="1" si="25"/>
        <v>4.3274258984301048E-3</v>
      </c>
      <c r="Z35" s="346" t="str">
        <f t="shared" ca="1" si="25"/>
        <v/>
      </c>
      <c r="AA35" s="377" t="str">
        <f t="shared" ca="1" si="25"/>
        <v/>
      </c>
      <c r="AB35" s="322"/>
      <c r="AC35" s="386">
        <f t="shared" ca="1" si="10"/>
        <v>-16.490104034509013</v>
      </c>
      <c r="AD35" s="347">
        <f t="shared" ca="1" si="26"/>
        <v>-16.490104034509013</v>
      </c>
      <c r="AE35" s="347" t="str">
        <f t="shared" ca="1" si="26"/>
        <v/>
      </c>
      <c r="AF35" s="379" t="str">
        <f t="shared" ca="1" si="26"/>
        <v/>
      </c>
      <c r="AG35" s="348"/>
      <c r="AH35" s="383">
        <f t="shared" ca="1" si="12"/>
        <v>-4.8385385838698197E-2</v>
      </c>
      <c r="AI35" s="349">
        <f t="shared" ca="1" si="23"/>
        <v>-7.1359703266741056E-2</v>
      </c>
      <c r="AJ35" s="349" t="str">
        <f t="shared" ca="1" si="13"/>
        <v/>
      </c>
      <c r="AK35" s="381" t="str">
        <f t="shared" ca="1" si="14"/>
        <v/>
      </c>
    </row>
    <row r="36" spans="1:37" s="331" customFormat="1">
      <c r="A36" s="353"/>
      <c r="B36" s="335">
        <f t="shared" si="24"/>
        <v>25</v>
      </c>
      <c r="C36" s="333" t="str">
        <f t="shared" ca="1" si="3"/>
        <v>NextEra Energy, Inc.</v>
      </c>
      <c r="D36" s="333" t="str">
        <f t="shared" ca="1" si="4"/>
        <v>NEE</v>
      </c>
      <c r="E36" s="333"/>
      <c r="F36" s="441">
        <f t="shared" ca="1" si="15"/>
        <v>-5.7813016187624466E-2</v>
      </c>
      <c r="G36" s="344">
        <f t="shared" ca="1" si="15"/>
        <v>115978.84</v>
      </c>
      <c r="H36" s="344"/>
      <c r="I36" s="407">
        <f t="shared" ca="1" si="5"/>
        <v>34</v>
      </c>
      <c r="J36" s="429"/>
      <c r="K36" s="441">
        <f t="shared" ca="1" si="16"/>
        <v>240.62</v>
      </c>
      <c r="L36" s="343">
        <f t="shared" ca="1" si="16"/>
        <v>482</v>
      </c>
      <c r="M36" s="344">
        <f t="shared" ca="1" si="17"/>
        <v>115978.84</v>
      </c>
      <c r="N36" s="344"/>
      <c r="O36" s="407">
        <f t="shared" ca="1" si="6"/>
        <v>32</v>
      </c>
      <c r="Q36" s="394">
        <f t="shared" ca="1" si="18"/>
        <v>40</v>
      </c>
      <c r="R36" s="335" t="str">
        <f t="shared" ca="1" si="7"/>
        <v>MR</v>
      </c>
      <c r="S36" s="442">
        <f t="shared" ca="1" si="7"/>
        <v>0</v>
      </c>
      <c r="T36" s="333"/>
      <c r="U36" s="842">
        <f t="shared" ca="1" si="19"/>
        <v>-5.7813016187624466E-2</v>
      </c>
      <c r="V36" s="395">
        <f t="shared" ca="1" si="20"/>
        <v>115978.84</v>
      </c>
      <c r="X36" s="369">
        <f t="shared" ca="1" si="8"/>
        <v>0.14993341912869498</v>
      </c>
      <c r="Y36" s="346" t="str">
        <f t="shared" ca="1" si="25"/>
        <v/>
      </c>
      <c r="Z36" s="346">
        <f t="shared" ca="1" si="25"/>
        <v>0.4657028149934046</v>
      </c>
      <c r="AA36" s="377" t="str">
        <f t="shared" ca="1" si="25"/>
        <v/>
      </c>
      <c r="AB36" s="322"/>
      <c r="AC36" s="386">
        <f t="shared" ca="1" si="10"/>
        <v>-5.7813016187624466E-2</v>
      </c>
      <c r="AD36" s="347" t="str">
        <f t="shared" ca="1" si="26"/>
        <v/>
      </c>
      <c r="AE36" s="347">
        <f t="shared" ca="1" si="26"/>
        <v>-5.7813016187624466E-2</v>
      </c>
      <c r="AF36" s="379" t="str">
        <f t="shared" ca="1" si="26"/>
        <v/>
      </c>
      <c r="AG36" s="348"/>
      <c r="AH36" s="383">
        <f t="shared" ca="1" si="12"/>
        <v>-8.6681031871531262E-3</v>
      </c>
      <c r="AI36" s="349" t="str">
        <f t="shared" ca="1" si="23"/>
        <v/>
      </c>
      <c r="AJ36" s="349">
        <f t="shared" ca="1" si="13"/>
        <v>-2.6923684381835983E-2</v>
      </c>
      <c r="AK36" s="381" t="str">
        <f t="shared" ca="1" si="14"/>
        <v/>
      </c>
    </row>
    <row r="37" spans="1:37" s="331" customFormat="1">
      <c r="A37" s="352"/>
      <c r="B37" s="335">
        <f t="shared" si="24"/>
        <v>26</v>
      </c>
      <c r="C37" s="333" t="str">
        <f t="shared" ca="1" si="3"/>
        <v>NiSource Inc.</v>
      </c>
      <c r="D37" s="333" t="str">
        <f t="shared" ca="1" si="4"/>
        <v>NI</v>
      </c>
      <c r="E37" s="333"/>
      <c r="F37" s="441">
        <f t="shared" ca="1" si="15"/>
        <v>-9.5545977011494365</v>
      </c>
      <c r="G37" s="344">
        <f t="shared" ca="1" si="15"/>
        <v>9355.0104999999985</v>
      </c>
      <c r="H37" s="344"/>
      <c r="I37" s="407">
        <f t="shared" ca="1" si="5"/>
        <v>35</v>
      </c>
      <c r="J37" s="429"/>
      <c r="K37" s="441">
        <f t="shared" ca="1" si="16"/>
        <v>24.97</v>
      </c>
      <c r="L37" s="343">
        <f t="shared" ca="1" si="16"/>
        <v>374.65</v>
      </c>
      <c r="M37" s="344">
        <f t="shared" ca="1" si="17"/>
        <v>9355.0104999999985</v>
      </c>
      <c r="N37" s="344"/>
      <c r="O37" s="407">
        <f t="shared" ca="1" si="6"/>
        <v>89</v>
      </c>
      <c r="Q37" s="394">
        <f t="shared" ca="1" si="18"/>
        <v>41</v>
      </c>
      <c r="R37" s="335" t="str">
        <f t="shared" ca="1" si="7"/>
        <v>R</v>
      </c>
      <c r="S37" s="442">
        <f t="shared" ca="1" si="7"/>
        <v>0</v>
      </c>
      <c r="T37" s="333"/>
      <c r="U37" s="842">
        <f t="shared" ca="1" si="19"/>
        <v>-9.5545977011494365</v>
      </c>
      <c r="V37" s="395">
        <f t="shared" ca="1" si="20"/>
        <v>9355.0104999999985</v>
      </c>
      <c r="X37" s="369">
        <f t="shared" ca="1" si="8"/>
        <v>1.2093832894430072E-2</v>
      </c>
      <c r="Y37" s="346">
        <f t="shared" ca="1" si="25"/>
        <v>1.783621876202654E-2</v>
      </c>
      <c r="Z37" s="346" t="str">
        <f t="shared" ca="1" si="25"/>
        <v/>
      </c>
      <c r="AA37" s="377" t="str">
        <f t="shared" ca="1" si="25"/>
        <v/>
      </c>
      <c r="AB37" s="322"/>
      <c r="AC37" s="386">
        <f t="shared" ca="1" si="10"/>
        <v>-9.5545977011494365</v>
      </c>
      <c r="AD37" s="347">
        <f t="shared" ca="1" si="26"/>
        <v>-9.5545977011494365</v>
      </c>
      <c r="AE37" s="347" t="str">
        <f t="shared" ca="1" si="26"/>
        <v/>
      </c>
      <c r="AF37" s="379" t="str">
        <f t="shared" ca="1" si="26"/>
        <v/>
      </c>
      <c r="AG37" s="348"/>
      <c r="AH37" s="383">
        <f t="shared" ca="1" si="12"/>
        <v>-0.11555170797120701</v>
      </c>
      <c r="AI37" s="349">
        <f t="shared" ca="1" si="23"/>
        <v>-0.17041789478085723</v>
      </c>
      <c r="AJ37" s="349" t="str">
        <f t="shared" ca="1" si="13"/>
        <v/>
      </c>
      <c r="AK37" s="381" t="str">
        <f t="shared" ca="1" si="14"/>
        <v/>
      </c>
    </row>
    <row r="38" spans="1:37" s="331" customFormat="1">
      <c r="A38" s="352"/>
      <c r="B38" s="335">
        <f t="shared" si="24"/>
        <v>27</v>
      </c>
      <c r="C38" s="333" t="str">
        <f t="shared" ca="1" si="3"/>
        <v>NorthWestern Corporation</v>
      </c>
      <c r="D38" s="333" t="str">
        <f t="shared" ca="1" si="4"/>
        <v>NWE</v>
      </c>
      <c r="E38" s="333"/>
      <c r="F38" s="441">
        <f t="shared" ca="1" si="15"/>
        <v>-15.682991488767961</v>
      </c>
      <c r="G38" s="344">
        <f t="shared" ca="1" si="15"/>
        <v>3017.1407447999995</v>
      </c>
      <c r="H38" s="344"/>
      <c r="I38" s="407">
        <f t="shared" ca="1" si="5"/>
        <v>36</v>
      </c>
      <c r="J38" s="429"/>
      <c r="K38" s="441">
        <f t="shared" ca="1" si="16"/>
        <v>59.83</v>
      </c>
      <c r="L38" s="343">
        <f t="shared" ca="1" si="16"/>
        <v>50.428559999999997</v>
      </c>
      <c r="M38" s="344">
        <f t="shared" ca="1" si="17"/>
        <v>3017.1407447999995</v>
      </c>
      <c r="N38" s="344"/>
      <c r="O38" s="407">
        <f t="shared" ca="1" si="6"/>
        <v>93</v>
      </c>
      <c r="Q38" s="394">
        <f t="shared" ca="1" si="18"/>
        <v>42</v>
      </c>
      <c r="R38" s="335" t="str">
        <f t="shared" ca="1" si="7"/>
        <v>R</v>
      </c>
      <c r="S38" s="442">
        <f t="shared" ca="1" si="7"/>
        <v>0</v>
      </c>
      <c r="T38" s="333"/>
      <c r="U38" s="842">
        <f t="shared" ca="1" si="19"/>
        <v>-15.682991488767961</v>
      </c>
      <c r="V38" s="395">
        <f t="shared" ca="1" si="20"/>
        <v>3017.1407447999995</v>
      </c>
      <c r="X38" s="369">
        <f t="shared" ca="1" si="8"/>
        <v>3.9004548403860674E-3</v>
      </c>
      <c r="Y38" s="346">
        <f t="shared" ca="1" si="25"/>
        <v>5.7524662703560287E-3</v>
      </c>
      <c r="Z38" s="346" t="str">
        <f t="shared" ca="1" si="25"/>
        <v/>
      </c>
      <c r="AA38" s="377" t="str">
        <f t="shared" ca="1" si="25"/>
        <v/>
      </c>
      <c r="AB38" s="322"/>
      <c r="AC38" s="386">
        <f t="shared" ca="1" si="10"/>
        <v>-15.682991488767961</v>
      </c>
      <c r="AD38" s="347">
        <f t="shared" ca="1" si="26"/>
        <v>-15.682991488767961</v>
      </c>
      <c r="AE38" s="347" t="str">
        <f t="shared" ca="1" si="26"/>
        <v/>
      </c>
      <c r="AF38" s="379" t="str">
        <f t="shared" ca="1" si="26"/>
        <v/>
      </c>
      <c r="AG38" s="348"/>
      <c r="AH38" s="383">
        <f t="shared" ca="1" si="12"/>
        <v>-6.1170800064098488E-2</v>
      </c>
      <c r="AI38" s="349">
        <f t="shared" ca="1" si="23"/>
        <v>-9.0215879557418374E-2</v>
      </c>
      <c r="AJ38" s="349" t="str">
        <f t="shared" ca="1" si="13"/>
        <v/>
      </c>
      <c r="AK38" s="381" t="str">
        <f t="shared" ca="1" si="14"/>
        <v/>
      </c>
    </row>
    <row r="39" spans="1:37" s="331" customFormat="1">
      <c r="A39" s="352"/>
      <c r="B39" s="335">
        <f t="shared" si="24"/>
        <v>28</v>
      </c>
      <c r="C39" s="333" t="str">
        <f t="shared" ca="1" si="3"/>
        <v>OGE Energy Corp.</v>
      </c>
      <c r="D39" s="333" t="str">
        <f t="shared" ca="1" si="4"/>
        <v>OGE</v>
      </c>
      <c r="E39" s="333"/>
      <c r="F39" s="441">
        <f t="shared" ca="1" si="15"/>
        <v>-30.025860130425009</v>
      </c>
      <c r="G39" s="344">
        <f t="shared" ca="1" si="15"/>
        <v>6149.0730000000003</v>
      </c>
      <c r="H39" s="344"/>
      <c r="I39" s="407">
        <f t="shared" ca="1" si="5"/>
        <v>37</v>
      </c>
      <c r="J39" s="429"/>
      <c r="K39" s="441">
        <f t="shared" ca="1" si="16"/>
        <v>30.73</v>
      </c>
      <c r="L39" s="343">
        <f t="shared" ca="1" si="16"/>
        <v>200.1</v>
      </c>
      <c r="M39" s="344">
        <f t="shared" ca="1" si="17"/>
        <v>6149.0730000000003</v>
      </c>
      <c r="N39" s="344"/>
      <c r="O39" s="407">
        <f t="shared" ca="1" si="6"/>
        <v>50</v>
      </c>
      <c r="Q39" s="394">
        <f t="shared" ca="1" si="18"/>
        <v>43</v>
      </c>
      <c r="R39" s="335" t="str">
        <f t="shared" ca="1" si="7"/>
        <v>R</v>
      </c>
      <c r="S39" s="442">
        <f t="shared" ca="1" si="7"/>
        <v>0</v>
      </c>
      <c r="T39" s="333"/>
      <c r="U39" s="842">
        <f t="shared" ca="1" si="19"/>
        <v>-30.025860130425009</v>
      </c>
      <c r="V39" s="395">
        <f t="shared" ca="1" si="20"/>
        <v>6149.0730000000003</v>
      </c>
      <c r="X39" s="369">
        <f t="shared" ca="1" si="8"/>
        <v>7.9493081614020449E-3</v>
      </c>
      <c r="Y39" s="346">
        <f t="shared" ca="1" si="25"/>
        <v>1.1723793491377785E-2</v>
      </c>
      <c r="Z39" s="346" t="str">
        <f t="shared" ca="1" si="25"/>
        <v/>
      </c>
      <c r="AA39" s="377" t="str">
        <f t="shared" ca="1" si="25"/>
        <v/>
      </c>
      <c r="AB39" s="322"/>
      <c r="AC39" s="386">
        <f t="shared" ca="1" si="10"/>
        <v>-30.025860130425009</v>
      </c>
      <c r="AD39" s="347">
        <f t="shared" ca="1" si="26"/>
        <v>-30.025860130425009</v>
      </c>
      <c r="AE39" s="347" t="str">
        <f t="shared" ca="1" si="26"/>
        <v/>
      </c>
      <c r="AF39" s="379" t="str">
        <f t="shared" ca="1" si="26"/>
        <v/>
      </c>
      <c r="AG39" s="348"/>
      <c r="AH39" s="383">
        <f t="shared" ca="1" si="12"/>
        <v>-0.23868481498790378</v>
      </c>
      <c r="AI39" s="349">
        <f t="shared" ca="1" si="23"/>
        <v>-0.35201698357009648</v>
      </c>
      <c r="AJ39" s="349" t="str">
        <f t="shared" ca="1" si="13"/>
        <v/>
      </c>
      <c r="AK39" s="381" t="str">
        <f t="shared" ca="1" si="14"/>
        <v/>
      </c>
    </row>
    <row r="40" spans="1:37" s="331" customFormat="1">
      <c r="A40" s="352"/>
      <c r="B40" s="335">
        <f t="shared" si="24"/>
        <v>29</v>
      </c>
      <c r="C40" s="333" t="str">
        <f t="shared" ca="1" si="3"/>
        <v>Otter Tail Corporation</v>
      </c>
      <c r="D40" s="333" t="str">
        <f t="shared" ca="1" si="4"/>
        <v>OTTR</v>
      </c>
      <c r="E40" s="333"/>
      <c r="F40" s="441">
        <f t="shared" ca="1" si="15"/>
        <v>-12.595047767596023</v>
      </c>
      <c r="G40" s="344">
        <f t="shared" ca="1" si="15"/>
        <v>1765.9888576200001</v>
      </c>
      <c r="H40" s="344"/>
      <c r="I40" s="407">
        <f t="shared" ca="1" si="5"/>
        <v>38</v>
      </c>
      <c r="J40" s="429"/>
      <c r="K40" s="441">
        <f t="shared" ca="1" si="16"/>
        <v>44.46</v>
      </c>
      <c r="L40" s="343">
        <f t="shared" ca="1" si="16"/>
        <v>39.720846999999999</v>
      </c>
      <c r="M40" s="344">
        <f t="shared" ca="1" si="17"/>
        <v>1765.9888576200001</v>
      </c>
      <c r="N40" s="344"/>
      <c r="O40" s="407">
        <f t="shared" ca="1" si="6"/>
        <v>51</v>
      </c>
      <c r="Q40" s="394">
        <f t="shared" ca="1" si="18"/>
        <v>44</v>
      </c>
      <c r="R40" s="335" t="str">
        <f t="shared" ca="1" si="7"/>
        <v>R</v>
      </c>
      <c r="S40" s="442">
        <f t="shared" ca="1" si="7"/>
        <v>0</v>
      </c>
      <c r="T40" s="333"/>
      <c r="U40" s="842">
        <f t="shared" ca="1" si="19"/>
        <v>-12.595047767596023</v>
      </c>
      <c r="V40" s="395">
        <f t="shared" ca="1" si="20"/>
        <v>1765.9888576200001</v>
      </c>
      <c r="X40" s="369">
        <f t="shared" ca="1" si="8"/>
        <v>2.2830091037825927E-3</v>
      </c>
      <c r="Y40" s="346">
        <f t="shared" ca="1" si="25"/>
        <v>3.3670260012868686E-3</v>
      </c>
      <c r="Z40" s="346" t="str">
        <f t="shared" ca="1" si="25"/>
        <v/>
      </c>
      <c r="AA40" s="377" t="str">
        <f t="shared" ca="1" si="25"/>
        <v/>
      </c>
      <c r="AB40" s="322"/>
      <c r="AC40" s="386">
        <f t="shared" ca="1" si="10"/>
        <v>-12.595047767596023</v>
      </c>
      <c r="AD40" s="347">
        <f t="shared" ca="1" si="26"/>
        <v>-12.595047767596023</v>
      </c>
      <c r="AE40" s="347" t="str">
        <f t="shared" ca="1" si="26"/>
        <v/>
      </c>
      <c r="AF40" s="379" t="str">
        <f t="shared" ca="1" si="26"/>
        <v/>
      </c>
      <c r="AG40" s="348"/>
      <c r="AH40" s="383">
        <f t="shared" ca="1" si="12"/>
        <v>-2.8754608715998341E-2</v>
      </c>
      <c r="AI40" s="349">
        <f t="shared" ca="1" si="23"/>
        <v>-4.2407853320945939E-2</v>
      </c>
      <c r="AJ40" s="349" t="str">
        <f t="shared" ca="1" si="13"/>
        <v/>
      </c>
      <c r="AK40" s="381" t="str">
        <f t="shared" ca="1" si="14"/>
        <v/>
      </c>
    </row>
    <row r="41" spans="1:37" s="331" customFormat="1">
      <c r="A41" s="352"/>
      <c r="B41" s="335">
        <f t="shared" si="24"/>
        <v>30</v>
      </c>
      <c r="C41" s="333" t="str">
        <f t="shared" ca="1" si="3"/>
        <v>PG&amp;E Corporation</v>
      </c>
      <c r="D41" s="333" t="str">
        <f t="shared" ca="1" si="4"/>
        <v>PCG</v>
      </c>
      <c r="E41" s="333"/>
      <c r="F41" s="441">
        <f t="shared" ca="1" si="15"/>
        <v>-17.295308187672486</v>
      </c>
      <c r="G41" s="344">
        <f t="shared" ca="1" si="15"/>
        <v>4746.72</v>
      </c>
      <c r="H41" s="344"/>
      <c r="I41" s="407">
        <f t="shared" ca="1" si="5"/>
        <v>39</v>
      </c>
      <c r="J41" s="429"/>
      <c r="K41" s="441">
        <f t="shared" ca="1" si="16"/>
        <v>8.99</v>
      </c>
      <c r="L41" s="343">
        <f t="shared" ca="1" si="16"/>
        <v>528</v>
      </c>
      <c r="M41" s="344">
        <f t="shared" ca="1" si="17"/>
        <v>4746.72</v>
      </c>
      <c r="N41" s="344"/>
      <c r="O41" s="407">
        <f t="shared" ca="1" si="6"/>
        <v>95</v>
      </c>
      <c r="Q41" s="394">
        <f t="shared" ca="1" si="18"/>
        <v>45</v>
      </c>
      <c r="R41" s="335" t="str">
        <f t="shared" ca="1" si="7"/>
        <v>R</v>
      </c>
      <c r="S41" s="442">
        <f t="shared" ca="1" si="7"/>
        <v>0</v>
      </c>
      <c r="T41" s="333"/>
      <c r="U41" s="842">
        <f t="shared" ca="1" si="19"/>
        <v>-17.295308187672486</v>
      </c>
      <c r="V41" s="395">
        <f t="shared" ca="1" si="20"/>
        <v>4746.72</v>
      </c>
      <c r="X41" s="369">
        <f t="shared" ca="1" si="8"/>
        <v>6.136394873811111E-3</v>
      </c>
      <c r="Y41" s="346">
        <f t="shared" ca="1" si="25"/>
        <v>9.0500738959177693E-3</v>
      </c>
      <c r="Z41" s="346" t="str">
        <f t="shared" ca="1" si="25"/>
        <v/>
      </c>
      <c r="AA41" s="377" t="str">
        <f t="shared" ca="1" si="25"/>
        <v/>
      </c>
      <c r="AB41" s="322"/>
      <c r="AC41" s="386">
        <f t="shared" ca="1" si="10"/>
        <v>-17.295308187672486</v>
      </c>
      <c r="AD41" s="347">
        <f t="shared" ca="1" si="26"/>
        <v>-17.295308187672486</v>
      </c>
      <c r="AE41" s="347" t="str">
        <f t="shared" ca="1" si="26"/>
        <v/>
      </c>
      <c r="AF41" s="379" t="str">
        <f t="shared" ca="1" si="26"/>
        <v/>
      </c>
      <c r="AG41" s="348"/>
      <c r="AH41" s="383">
        <f t="shared" ca="1" si="12"/>
        <v>-0.10613084050381678</v>
      </c>
      <c r="AI41" s="349">
        <f t="shared" ca="1" si="23"/>
        <v>-0.15652381715110764</v>
      </c>
      <c r="AJ41" s="349" t="str">
        <f t="shared" ca="1" si="13"/>
        <v/>
      </c>
      <c r="AK41" s="381" t="str">
        <f t="shared" ca="1" si="14"/>
        <v/>
      </c>
    </row>
    <row r="42" spans="1:37" s="331" customFormat="1">
      <c r="A42" s="352"/>
      <c r="B42" s="335">
        <f t="shared" si="24"/>
        <v>31</v>
      </c>
      <c r="C42" s="333" t="str">
        <f t="shared" ca="1" si="3"/>
        <v>Pinnacle West Capital Corporation</v>
      </c>
      <c r="D42" s="333" t="str">
        <f t="shared" ca="1" si="4"/>
        <v>PNW</v>
      </c>
      <c r="E42" s="333"/>
      <c r="F42" s="441">
        <f t="shared" ca="1" si="15"/>
        <v>-14.853219170465904</v>
      </c>
      <c r="G42" s="344">
        <f t="shared" ca="1" si="15"/>
        <v>8522.0411762200001</v>
      </c>
      <c r="H42" s="344"/>
      <c r="I42" s="407">
        <f t="shared" ca="1" si="5"/>
        <v>40</v>
      </c>
      <c r="J42" s="429"/>
      <c r="K42" s="441">
        <f t="shared" ca="1" si="16"/>
        <v>75.790000000000006</v>
      </c>
      <c r="L42" s="343">
        <f t="shared" ca="1" si="16"/>
        <v>112.442818</v>
      </c>
      <c r="M42" s="344">
        <f t="shared" ca="1" si="17"/>
        <v>8522.0411762200001</v>
      </c>
      <c r="N42" s="344"/>
      <c r="O42" s="407">
        <f t="shared" ca="1" si="6"/>
        <v>54</v>
      </c>
      <c r="Q42" s="394">
        <f t="shared" ca="1" si="18"/>
        <v>46</v>
      </c>
      <c r="R42" s="335" t="str">
        <f t="shared" ca="1" si="7"/>
        <v>R</v>
      </c>
      <c r="S42" s="442">
        <f t="shared" ca="1" si="7"/>
        <v>0</v>
      </c>
      <c r="T42" s="333"/>
      <c r="U42" s="842">
        <f t="shared" ca="1" si="19"/>
        <v>-14.853219170465904</v>
      </c>
      <c r="V42" s="395">
        <f t="shared" ca="1" si="20"/>
        <v>8522.0411762200001</v>
      </c>
      <c r="X42" s="369">
        <f t="shared" ca="1" si="8"/>
        <v>1.101699906212366E-2</v>
      </c>
      <c r="Y42" s="346">
        <f t="shared" ca="1" si="25"/>
        <v>1.6248083389971388E-2</v>
      </c>
      <c r="Z42" s="346" t="str">
        <f t="shared" ca="1" si="25"/>
        <v/>
      </c>
      <c r="AA42" s="377" t="str">
        <f t="shared" ca="1" si="25"/>
        <v/>
      </c>
      <c r="AB42" s="322"/>
      <c r="AC42" s="386">
        <f t="shared" ca="1" si="10"/>
        <v>-14.853219170465904</v>
      </c>
      <c r="AD42" s="347">
        <f t="shared" ca="1" si="26"/>
        <v>-14.853219170465904</v>
      </c>
      <c r="AE42" s="347" t="str">
        <f t="shared" ca="1" si="26"/>
        <v/>
      </c>
      <c r="AF42" s="379" t="str">
        <f t="shared" ca="1" si="26"/>
        <v/>
      </c>
      <c r="AG42" s="348"/>
      <c r="AH42" s="383">
        <f t="shared" ca="1" si="12"/>
        <v>-0.16363790167054001</v>
      </c>
      <c r="AI42" s="349">
        <f t="shared" ca="1" si="23"/>
        <v>-0.24133634369125165</v>
      </c>
      <c r="AJ42" s="349" t="str">
        <f t="shared" ca="1" si="13"/>
        <v/>
      </c>
      <c r="AK42" s="381" t="str">
        <f t="shared" ca="1" si="14"/>
        <v/>
      </c>
    </row>
    <row r="43" spans="1:37" s="331" customFormat="1">
      <c r="A43" s="352"/>
      <c r="B43" s="335">
        <f t="shared" si="24"/>
        <v>32</v>
      </c>
      <c r="C43" s="333" t="str">
        <f t="shared" ca="1" si="3"/>
        <v>PNM Resources, Inc.</v>
      </c>
      <c r="D43" s="333" t="str">
        <f t="shared" ca="1" si="4"/>
        <v>PNM</v>
      </c>
      <c r="E43" s="333"/>
      <c r="F43" s="441">
        <f t="shared" ca="1" si="15"/>
        <v>-24.457700650759207</v>
      </c>
      <c r="G43" s="344">
        <f t="shared" ca="1" si="15"/>
        <v>3037.3779999999997</v>
      </c>
      <c r="H43" s="344"/>
      <c r="I43" s="407">
        <f t="shared" ca="1" si="5"/>
        <v>41</v>
      </c>
      <c r="J43" s="429"/>
      <c r="K43" s="441">
        <f t="shared" ca="1" si="16"/>
        <v>38</v>
      </c>
      <c r="L43" s="343">
        <f t="shared" ca="1" si="16"/>
        <v>79.930999999999997</v>
      </c>
      <c r="M43" s="344">
        <f t="shared" ca="1" si="17"/>
        <v>3037.3779999999997</v>
      </c>
      <c r="N43" s="344"/>
      <c r="O43" s="407">
        <f t="shared" ca="1" si="6"/>
        <v>99</v>
      </c>
      <c r="Q43" s="394">
        <f t="shared" ca="1" si="18"/>
        <v>47</v>
      </c>
      <c r="R43" s="335" t="str">
        <f t="shared" ca="1" si="7"/>
        <v>R</v>
      </c>
      <c r="S43" s="442">
        <f t="shared" ca="1" si="7"/>
        <v>0</v>
      </c>
      <c r="T43" s="333"/>
      <c r="U43" s="842">
        <f t="shared" ca="1" si="19"/>
        <v>-24.457700650759207</v>
      </c>
      <c r="V43" s="395">
        <f t="shared" ca="1" si="20"/>
        <v>3037.3779999999997</v>
      </c>
      <c r="X43" s="369">
        <f t="shared" ca="1" si="8"/>
        <v>3.9266168615436853E-3</v>
      </c>
      <c r="Y43" s="346">
        <f t="shared" ca="1" si="25"/>
        <v>5.7910505253806668E-3</v>
      </c>
      <c r="Z43" s="346" t="str">
        <f t="shared" ca="1" si="25"/>
        <v/>
      </c>
      <c r="AA43" s="377" t="str">
        <f t="shared" ca="1" si="25"/>
        <v/>
      </c>
      <c r="AB43" s="322"/>
      <c r="AC43" s="386">
        <f t="shared" ca="1" si="10"/>
        <v>-24.457700650759207</v>
      </c>
      <c r="AD43" s="347">
        <f t="shared" ca="1" si="26"/>
        <v>-24.457700650759207</v>
      </c>
      <c r="AE43" s="347" t="str">
        <f t="shared" ca="1" si="26"/>
        <v/>
      </c>
      <c r="AF43" s="379" t="str">
        <f t="shared" ca="1" si="26"/>
        <v/>
      </c>
      <c r="AG43" s="348"/>
      <c r="AH43" s="383">
        <f t="shared" ca="1" si="12"/>
        <v>-9.6036019769859066E-2</v>
      </c>
      <c r="AI43" s="349">
        <f t="shared" ca="1" si="23"/>
        <v>-0.14163578020318218</v>
      </c>
      <c r="AJ43" s="349" t="str">
        <f t="shared" ca="1" si="13"/>
        <v/>
      </c>
      <c r="AK43" s="381" t="str">
        <f t="shared" ca="1" si="14"/>
        <v/>
      </c>
    </row>
    <row r="44" spans="1:37" s="331" customFormat="1">
      <c r="A44" s="352"/>
      <c r="B44" s="335">
        <f t="shared" si="24"/>
        <v>33</v>
      </c>
      <c r="C44" s="333" t="str">
        <f t="shared" ref="C44:C65" ca="1" si="27">OFFSET( INDIRECT( C$6 &amp; C$8 ), $B44 - 1, 0 )</f>
        <v>Portland General Electric Company</v>
      </c>
      <c r="D44" s="333" t="str">
        <f t="shared" ref="D44:D65" ca="1" si="28">OFFSET( INDIRECT( D$7 &amp; D$8 ), $B44 - 1, 0 )</f>
        <v>POR</v>
      </c>
      <c r="E44" s="333"/>
      <c r="F44" s="441">
        <f t="shared" ca="1" si="15"/>
        <v>-13.380534145904265</v>
      </c>
      <c r="G44" s="344">
        <f t="shared" ca="1" si="15"/>
        <v>4283.5828199999996</v>
      </c>
      <c r="H44" s="344"/>
      <c r="I44" s="407">
        <f t="shared" ref="I44:I65" ca="1" si="29">MATCH( $D44, INDIRECT( I$6 &amp; I$7 ), 0 )</f>
        <v>42</v>
      </c>
      <c r="J44" s="429"/>
      <c r="K44" s="441">
        <f t="shared" ca="1" si="16"/>
        <v>47.94</v>
      </c>
      <c r="L44" s="343">
        <f t="shared" ca="1" si="16"/>
        <v>89.352999999999994</v>
      </c>
      <c r="M44" s="344">
        <f t="shared" ca="1" si="17"/>
        <v>4283.5828199999996</v>
      </c>
      <c r="N44" s="344"/>
      <c r="O44" s="407">
        <f t="shared" ca="1" si="6"/>
        <v>113</v>
      </c>
      <c r="Q44" s="394">
        <f t="shared" ca="1" si="18"/>
        <v>48</v>
      </c>
      <c r="R44" s="335" t="str">
        <f t="shared" ca="1" si="7"/>
        <v>R</v>
      </c>
      <c r="S44" s="442">
        <f t="shared" ca="1" si="7"/>
        <v>0</v>
      </c>
      <c r="T44" s="333"/>
      <c r="U44" s="842">
        <f t="shared" ca="1" si="19"/>
        <v>-13.380534145904265</v>
      </c>
      <c r="V44" s="395">
        <f t="shared" ca="1" si="20"/>
        <v>4283.5828199999996</v>
      </c>
      <c r="X44" s="369">
        <f t="shared" ca="1" si="8"/>
        <v>5.5376672013924015E-3</v>
      </c>
      <c r="Y44" s="346">
        <f t="shared" ca="1" si="25"/>
        <v>8.1670587395683367E-3</v>
      </c>
      <c r="Z44" s="346" t="str">
        <f t="shared" ca="1" si="25"/>
        <v/>
      </c>
      <c r="AA44" s="377" t="str">
        <f t="shared" ca="1" si="25"/>
        <v/>
      </c>
      <c r="AB44" s="322"/>
      <c r="AC44" s="386">
        <f t="shared" ca="1" si="10"/>
        <v>-13.380534145904265</v>
      </c>
      <c r="AD44" s="347">
        <f t="shared" ca="1" si="26"/>
        <v>-13.380534145904265</v>
      </c>
      <c r="AE44" s="347" t="str">
        <f t="shared" ca="1" si="26"/>
        <v/>
      </c>
      <c r="AF44" s="379" t="str">
        <f t="shared" ca="1" si="26"/>
        <v/>
      </c>
      <c r="AG44" s="348"/>
      <c r="AH44" s="383">
        <f t="shared" ca="1" si="12"/>
        <v>-7.4096945076885135E-2</v>
      </c>
      <c r="AI44" s="349">
        <f t="shared" ca="1" si="23"/>
        <v>-0.10927960833639998</v>
      </c>
      <c r="AJ44" s="349" t="str">
        <f t="shared" ca="1" si="13"/>
        <v/>
      </c>
      <c r="AK44" s="381" t="str">
        <f t="shared" ca="1" si="14"/>
        <v/>
      </c>
    </row>
    <row r="45" spans="1:37" s="331" customFormat="1">
      <c r="A45" s="352"/>
      <c r="B45" s="335">
        <f t="shared" si="24"/>
        <v>34</v>
      </c>
      <c r="C45" s="333" t="str">
        <f t="shared" ca="1" si="27"/>
        <v>PPL Corporation</v>
      </c>
      <c r="D45" s="333" t="str">
        <f t="shared" ca="1" si="28"/>
        <v>PPL</v>
      </c>
      <c r="E45" s="333"/>
      <c r="F45" s="441">
        <f t="shared" ca="1" si="15"/>
        <v>-30.058528428093666</v>
      </c>
      <c r="G45" s="344">
        <f t="shared" ca="1" si="15"/>
        <v>17979.676159999999</v>
      </c>
      <c r="H45" s="344"/>
      <c r="I45" s="407">
        <f t="shared" ca="1" si="29"/>
        <v>43</v>
      </c>
      <c r="J45" s="429"/>
      <c r="K45" s="441">
        <f t="shared" ca="1" si="16"/>
        <v>24.68</v>
      </c>
      <c r="L45" s="343">
        <f t="shared" ca="1" si="16"/>
        <v>728.51199999999994</v>
      </c>
      <c r="M45" s="344">
        <f t="shared" ca="1" si="17"/>
        <v>17979.676159999999</v>
      </c>
      <c r="N45" s="344"/>
      <c r="O45" s="407">
        <f t="shared" ca="1" si="6"/>
        <v>53</v>
      </c>
      <c r="Q45" s="394">
        <f t="shared" ca="1" si="18"/>
        <v>49</v>
      </c>
      <c r="R45" s="335" t="str">
        <f t="shared" ca="1" si="7"/>
        <v>R</v>
      </c>
      <c r="S45" s="442">
        <f t="shared" ca="1" si="7"/>
        <v>0</v>
      </c>
      <c r="T45" s="333"/>
      <c r="U45" s="842">
        <f t="shared" ca="1" si="19"/>
        <v>-30.058528428093666</v>
      </c>
      <c r="V45" s="395">
        <f t="shared" ca="1" si="20"/>
        <v>17979.676159999999</v>
      </c>
      <c r="X45" s="369">
        <f t="shared" ca="1" si="8"/>
        <v>2.3243501327444602E-2</v>
      </c>
      <c r="Y45" s="346">
        <f t="shared" ca="1" si="25"/>
        <v>3.4279965507270499E-2</v>
      </c>
      <c r="Z45" s="346" t="str">
        <f t="shared" ca="1" si="25"/>
        <v/>
      </c>
      <c r="AA45" s="377" t="str">
        <f t="shared" ca="1" si="25"/>
        <v/>
      </c>
      <c r="AB45" s="322"/>
      <c r="AC45" s="386">
        <f t="shared" ca="1" si="10"/>
        <v>-30.058528428093666</v>
      </c>
      <c r="AD45" s="347">
        <f t="shared" ca="1" si="26"/>
        <v>-30.058528428093666</v>
      </c>
      <c r="AE45" s="347" t="str">
        <f t="shared" ca="1" si="26"/>
        <v/>
      </c>
      <c r="AF45" s="379" t="str">
        <f t="shared" ca="1" si="26"/>
        <v/>
      </c>
      <c r="AG45" s="348"/>
      <c r="AH45" s="383">
        <f t="shared" ca="1" si="12"/>
        <v>-0.69866544541942643</v>
      </c>
      <c r="AI45" s="349">
        <f t="shared" ca="1" si="23"/>
        <v>-1.0304053177143606</v>
      </c>
      <c r="AJ45" s="349" t="str">
        <f t="shared" ca="1" si="13"/>
        <v/>
      </c>
      <c r="AK45" s="381" t="str">
        <f t="shared" ca="1" si="14"/>
        <v/>
      </c>
    </row>
    <row r="46" spans="1:37" s="331" customFormat="1">
      <c r="A46" s="352"/>
      <c r="B46" s="335">
        <f t="shared" si="24"/>
        <v>35</v>
      </c>
      <c r="C46" s="333" t="str">
        <f t="shared" ca="1" si="27"/>
        <v>Public Service Enterprise Group Incorporated</v>
      </c>
      <c r="D46" s="333" t="str">
        <f t="shared" ca="1" si="28"/>
        <v>PEG</v>
      </c>
      <c r="E46" s="333"/>
      <c r="F46" s="441">
        <f t="shared" ca="1" si="15"/>
        <v>-23.116003386960205</v>
      </c>
      <c r="G46" s="344">
        <f t="shared" ca="1" si="15"/>
        <v>22634.639999999999</v>
      </c>
      <c r="H46" s="344"/>
      <c r="I46" s="407">
        <f t="shared" ca="1" si="29"/>
        <v>44</v>
      </c>
      <c r="J46" s="429"/>
      <c r="K46" s="441">
        <f t="shared" ca="1" si="16"/>
        <v>44.91</v>
      </c>
      <c r="L46" s="343">
        <f t="shared" ca="1" si="16"/>
        <v>504</v>
      </c>
      <c r="M46" s="344">
        <f t="shared" ca="1" si="17"/>
        <v>22634.639999999999</v>
      </c>
      <c r="N46" s="344"/>
      <c r="O46" s="407">
        <f t="shared" ca="1" si="6"/>
        <v>100</v>
      </c>
      <c r="Q46" s="394">
        <f t="shared" ca="1" si="18"/>
        <v>50</v>
      </c>
      <c r="R46" s="335" t="str">
        <f t="shared" ca="1" si="7"/>
        <v>MR</v>
      </c>
      <c r="S46" s="442">
        <f t="shared" ca="1" si="7"/>
        <v>0</v>
      </c>
      <c r="T46" s="333"/>
      <c r="U46" s="842">
        <f t="shared" ca="1" si="19"/>
        <v>-23.116003386960205</v>
      </c>
      <c r="V46" s="395">
        <f t="shared" ca="1" si="20"/>
        <v>22634.639999999999</v>
      </c>
      <c r="X46" s="369">
        <f t="shared" ca="1" si="8"/>
        <v>2.9261277022145801E-2</v>
      </c>
      <c r="Y46" s="346" t="str">
        <f t="shared" ca="1" si="25"/>
        <v/>
      </c>
      <c r="Z46" s="346">
        <f t="shared" ca="1" si="25"/>
        <v>9.0887402946626436E-2</v>
      </c>
      <c r="AA46" s="377" t="str">
        <f t="shared" ca="1" si="25"/>
        <v/>
      </c>
      <c r="AB46" s="322"/>
      <c r="AC46" s="386">
        <f t="shared" ca="1" si="10"/>
        <v>-23.116003386960205</v>
      </c>
      <c r="AD46" s="347" t="str">
        <f t="shared" ca="1" si="26"/>
        <v/>
      </c>
      <c r="AE46" s="347">
        <f t="shared" ca="1" si="26"/>
        <v>-23.116003386960205</v>
      </c>
      <c r="AF46" s="379" t="str">
        <f t="shared" ca="1" si="26"/>
        <v/>
      </c>
      <c r="AG46" s="348"/>
      <c r="AH46" s="383">
        <f t="shared" ca="1" si="12"/>
        <v>-0.67640377875070312</v>
      </c>
      <c r="AI46" s="349" t="str">
        <f t="shared" ca="1" si="23"/>
        <v/>
      </c>
      <c r="AJ46" s="349">
        <f t="shared" ca="1" si="13"/>
        <v>-2.1009535143462337</v>
      </c>
      <c r="AK46" s="381" t="str">
        <f t="shared" ca="1" si="14"/>
        <v/>
      </c>
    </row>
    <row r="47" spans="1:37" s="331" customFormat="1">
      <c r="A47" s="352"/>
      <c r="B47" s="335">
        <f t="shared" si="24"/>
        <v>36</v>
      </c>
      <c r="C47" s="333" t="str">
        <f t="shared" ca="1" si="27"/>
        <v>Sempra Energy</v>
      </c>
      <c r="D47" s="333" t="str">
        <f t="shared" ca="1" si="28"/>
        <v>SRE</v>
      </c>
      <c r="E47" s="333"/>
      <c r="F47" s="441">
        <f t="shared" ca="1" si="15"/>
        <v>-24.719434908898887</v>
      </c>
      <c r="G47" s="344">
        <f t="shared" ca="1" si="15"/>
        <v>31400.372959999997</v>
      </c>
      <c r="H47" s="344"/>
      <c r="I47" s="407">
        <f t="shared" ca="1" si="29"/>
        <v>45</v>
      </c>
      <c r="J47" s="429"/>
      <c r="K47" s="441">
        <f t="shared" ca="1" si="16"/>
        <v>112.99</v>
      </c>
      <c r="L47" s="343">
        <f t="shared" ca="1" si="16"/>
        <v>277.904</v>
      </c>
      <c r="M47" s="344">
        <f t="shared" ca="1" si="17"/>
        <v>31400.372959999997</v>
      </c>
      <c r="N47" s="344"/>
      <c r="O47" s="407">
        <f t="shared" ca="1" si="6"/>
        <v>103</v>
      </c>
      <c r="Q47" s="394">
        <f t="shared" ca="1" si="18"/>
        <v>51</v>
      </c>
      <c r="R47" s="335" t="str">
        <f t="shared" ca="1" si="7"/>
        <v>MR</v>
      </c>
      <c r="S47" s="442">
        <f t="shared" ca="1" si="7"/>
        <v>0</v>
      </c>
      <c r="T47" s="333"/>
      <c r="U47" s="842">
        <f t="shared" ca="1" si="19"/>
        <v>-24.719434908898887</v>
      </c>
      <c r="V47" s="395">
        <f t="shared" ca="1" si="20"/>
        <v>31400.372959999997</v>
      </c>
      <c r="X47" s="369">
        <f t="shared" ca="1" si="8"/>
        <v>4.0593312364643586E-2</v>
      </c>
      <c r="Y47" s="346" t="str">
        <f t="shared" ca="1" si="25"/>
        <v/>
      </c>
      <c r="Z47" s="346">
        <f t="shared" ca="1" si="25"/>
        <v>0.12608543144003495</v>
      </c>
      <c r="AA47" s="377" t="str">
        <f t="shared" ca="1" si="25"/>
        <v/>
      </c>
      <c r="AB47" s="322"/>
      <c r="AC47" s="386">
        <f t="shared" ca="1" si="10"/>
        <v>-24.719434908898887</v>
      </c>
      <c r="AD47" s="347" t="str">
        <f t="shared" ca="1" si="26"/>
        <v/>
      </c>
      <c r="AE47" s="347">
        <f t="shared" ca="1" si="26"/>
        <v>-24.719434908898887</v>
      </c>
      <c r="AF47" s="379" t="str">
        <f t="shared" ca="1" si="26"/>
        <v/>
      </c>
      <c r="AG47" s="348"/>
      <c r="AH47" s="383">
        <f t="shared" ca="1" si="12"/>
        <v>-1.0034437427344074</v>
      </c>
      <c r="AI47" s="349" t="str">
        <f t="shared" ca="1" si="23"/>
        <v/>
      </c>
      <c r="AJ47" s="349">
        <f t="shared" ca="1" si="13"/>
        <v>-3.1167606154423773</v>
      </c>
      <c r="AK47" s="381" t="str">
        <f t="shared" ca="1" si="14"/>
        <v/>
      </c>
    </row>
    <row r="48" spans="1:37" s="331" customFormat="1">
      <c r="A48" s="352"/>
      <c r="B48" s="335">
        <f t="shared" si="24"/>
        <v>37</v>
      </c>
      <c r="C48" s="333" t="str">
        <f t="shared" ca="1" si="27"/>
        <v>Southern Company</v>
      </c>
      <c r="D48" s="333" t="str">
        <f t="shared" ca="1" si="28"/>
        <v>SO</v>
      </c>
      <c r="E48" s="333"/>
      <c r="F48" s="441">
        <f t="shared" ca="1" si="15"/>
        <v>-14.03453689167975</v>
      </c>
      <c r="G48" s="344">
        <f t="shared" ca="1" si="15"/>
        <v>56631.685219999999</v>
      </c>
      <c r="H48" s="344"/>
      <c r="I48" s="407">
        <f t="shared" ca="1" si="29"/>
        <v>46</v>
      </c>
      <c r="J48" s="429"/>
      <c r="K48" s="441">
        <f t="shared" ca="1" si="16"/>
        <v>54.14</v>
      </c>
      <c r="L48" s="343">
        <f t="shared" ca="1" si="16"/>
        <v>1046.0229999999999</v>
      </c>
      <c r="M48" s="344">
        <f t="shared" ca="1" si="17"/>
        <v>56631.685219999999</v>
      </c>
      <c r="N48" s="344"/>
      <c r="O48" s="407">
        <f t="shared" ca="1" si="6"/>
        <v>59</v>
      </c>
      <c r="Q48" s="394">
        <f t="shared" ca="1" si="18"/>
        <v>52</v>
      </c>
      <c r="R48" s="335" t="str">
        <f t="shared" ca="1" si="7"/>
        <v>R</v>
      </c>
      <c r="S48" s="442">
        <f t="shared" ca="1" si="7"/>
        <v>0</v>
      </c>
      <c r="T48" s="333"/>
      <c r="U48" s="842">
        <f t="shared" ca="1" si="19"/>
        <v>-14.03453689167975</v>
      </c>
      <c r="V48" s="395">
        <f t="shared" ca="1" si="20"/>
        <v>56631.685219999999</v>
      </c>
      <c r="X48" s="369">
        <f t="shared" ca="1" si="8"/>
        <v>7.3211477163028879E-2</v>
      </c>
      <c r="Y48" s="346">
        <f t="shared" ca="1" si="25"/>
        <v>0.10797370312370523</v>
      </c>
      <c r="Z48" s="346" t="str">
        <f t="shared" ca="1" si="25"/>
        <v/>
      </c>
      <c r="AA48" s="377" t="str">
        <f t="shared" ca="1" si="25"/>
        <v/>
      </c>
      <c r="AB48" s="322"/>
      <c r="AC48" s="386">
        <f t="shared" ca="1" si="10"/>
        <v>-14.03453689167975</v>
      </c>
      <c r="AD48" s="347">
        <f t="shared" ca="1" si="26"/>
        <v>-14.03453689167975</v>
      </c>
      <c r="AE48" s="347" t="str">
        <f t="shared" ca="1" si="26"/>
        <v/>
      </c>
      <c r="AF48" s="379" t="str">
        <f t="shared" ca="1" si="26"/>
        <v/>
      </c>
      <c r="AG48" s="348"/>
      <c r="AH48" s="383">
        <f t="shared" ca="1" si="12"/>
        <v>-1.0274891771388983</v>
      </c>
      <c r="AI48" s="349">
        <f t="shared" ca="1" si="23"/>
        <v>-1.5153609198209181</v>
      </c>
      <c r="AJ48" s="349" t="str">
        <f t="shared" ca="1" si="13"/>
        <v/>
      </c>
      <c r="AK48" s="381" t="str">
        <f t="shared" ca="1" si="14"/>
        <v/>
      </c>
    </row>
    <row r="49" spans="1:37" s="331" customFormat="1">
      <c r="A49" s="352"/>
      <c r="B49" s="335">
        <f t="shared" si="24"/>
        <v>38</v>
      </c>
      <c r="C49" s="333" t="str">
        <f t="shared" ca="1" si="27"/>
        <v>Unitil Corporation</v>
      </c>
      <c r="D49" s="333" t="str">
        <f t="shared" ca="1" si="28"/>
        <v>UTL</v>
      </c>
      <c r="E49" s="333"/>
      <c r="F49" s="441">
        <f t="shared" ca="1" si="15"/>
        <v>-14.760595276609511</v>
      </c>
      <c r="G49" s="344">
        <f t="shared" ca="1" si="15"/>
        <v>779.25408000000004</v>
      </c>
      <c r="H49" s="344"/>
      <c r="I49" s="407">
        <f t="shared" ca="1" si="29"/>
        <v>47</v>
      </c>
      <c r="J49" s="429"/>
      <c r="K49" s="441">
        <f t="shared" ca="1" si="16"/>
        <v>52.32</v>
      </c>
      <c r="L49" s="343">
        <f t="shared" ca="1" si="16"/>
        <v>14.894</v>
      </c>
      <c r="M49" s="344">
        <f t="shared" ca="1" si="17"/>
        <v>779.25408000000004</v>
      </c>
      <c r="N49" s="344"/>
      <c r="O49" s="407">
        <f t="shared" ca="1" si="6"/>
        <v>67</v>
      </c>
      <c r="Q49" s="394">
        <f t="shared" ca="1" si="18"/>
        <v>53</v>
      </c>
      <c r="R49" s="335" t="str">
        <f t="shared" ca="1" si="7"/>
        <v>R</v>
      </c>
      <c r="S49" s="442">
        <f t="shared" ca="1" si="7"/>
        <v>0</v>
      </c>
      <c r="T49" s="333"/>
      <c r="U49" s="842">
        <f t="shared" ca="1" si="19"/>
        <v>-14.760595276609511</v>
      </c>
      <c r="V49" s="395">
        <f t="shared" ca="1" si="20"/>
        <v>779.25408000000004</v>
      </c>
      <c r="X49" s="369">
        <f t="shared" ca="1" si="8"/>
        <v>1.0073926294174491E-3</v>
      </c>
      <c r="Y49" s="346">
        <f t="shared" ca="1" si="25"/>
        <v>1.4857221423836707E-3</v>
      </c>
      <c r="Z49" s="346" t="str">
        <f t="shared" ca="1" si="25"/>
        <v/>
      </c>
      <c r="AA49" s="377" t="str">
        <f t="shared" ca="1" si="25"/>
        <v/>
      </c>
      <c r="AB49" s="322"/>
      <c r="AC49" s="386">
        <f t="shared" ca="1" si="10"/>
        <v>-14.760595276609511</v>
      </c>
      <c r="AD49" s="347">
        <f t="shared" ca="1" si="26"/>
        <v>-14.760595276609511</v>
      </c>
      <c r="AE49" s="347" t="str">
        <f t="shared" ca="1" si="26"/>
        <v/>
      </c>
      <c r="AF49" s="379" t="str">
        <f t="shared" ca="1" si="26"/>
        <v/>
      </c>
      <c r="AG49" s="348"/>
      <c r="AH49" s="383">
        <f t="shared" ca="1" si="12"/>
        <v>-1.4869714887470435E-2</v>
      </c>
      <c r="AI49" s="349">
        <f t="shared" ca="1" si="23"/>
        <v>-2.1930143237222574E-2</v>
      </c>
      <c r="AJ49" s="349" t="str">
        <f t="shared" ca="1" si="13"/>
        <v/>
      </c>
      <c r="AK49" s="381" t="str">
        <f t="shared" ca="1" si="14"/>
        <v/>
      </c>
    </row>
    <row r="50" spans="1:37" s="331" customFormat="1">
      <c r="A50" s="352"/>
      <c r="B50" s="335">
        <f t="shared" si="24"/>
        <v>39</v>
      </c>
      <c r="C50" s="333" t="str">
        <f t="shared" ca="1" si="27"/>
        <v>WEC Energy Group, Inc.</v>
      </c>
      <c r="D50" s="333" t="str">
        <f t="shared" ca="1" si="28"/>
        <v>WEC</v>
      </c>
      <c r="E50" s="333"/>
      <c r="F50" s="441">
        <f t="shared" ca="1" si="15"/>
        <v>-3.7596226824243795</v>
      </c>
      <c r="G50" s="344">
        <f t="shared" ca="1" si="15"/>
        <v>27796.201999999997</v>
      </c>
      <c r="H50" s="344"/>
      <c r="I50" s="407">
        <f t="shared" ca="1" si="29"/>
        <v>48</v>
      </c>
      <c r="J50" s="429"/>
      <c r="K50" s="441">
        <f t="shared" ca="1" si="16"/>
        <v>88.13</v>
      </c>
      <c r="L50" s="343">
        <f t="shared" ca="1" si="16"/>
        <v>315.39999999999998</v>
      </c>
      <c r="M50" s="344">
        <f t="shared" ca="1" si="17"/>
        <v>27796.201999999997</v>
      </c>
      <c r="N50" s="344"/>
      <c r="O50" s="407">
        <f t="shared" ca="1" si="6"/>
        <v>110</v>
      </c>
      <c r="Q50" s="394">
        <f t="shared" ca="1" si="18"/>
        <v>54</v>
      </c>
      <c r="R50" s="335" t="str">
        <f t="shared" ca="1" si="7"/>
        <v>R</v>
      </c>
      <c r="S50" s="442">
        <f t="shared" ca="1" si="7"/>
        <v>0</v>
      </c>
      <c r="T50" s="333"/>
      <c r="U50" s="842">
        <f t="shared" ca="1" si="19"/>
        <v>-3.7596226824243795</v>
      </c>
      <c r="V50" s="395">
        <f t="shared" ca="1" si="20"/>
        <v>27796.201999999997</v>
      </c>
      <c r="X50" s="369">
        <f t="shared" ca="1" si="8"/>
        <v>3.5933965235829826E-2</v>
      </c>
      <c r="Y50" s="346">
        <f t="shared" ca="1" si="25"/>
        <v>5.2996107233175174E-2</v>
      </c>
      <c r="Z50" s="346" t="str">
        <f t="shared" ca="1" si="25"/>
        <v/>
      </c>
      <c r="AA50" s="377" t="str">
        <f t="shared" ca="1" si="25"/>
        <v/>
      </c>
      <c r="AB50" s="322"/>
      <c r="AC50" s="386">
        <f t="shared" ca="1" si="10"/>
        <v>-3.7596226824243795</v>
      </c>
      <c r="AD50" s="347">
        <f t="shared" ca="1" si="26"/>
        <v>-3.7596226824243795</v>
      </c>
      <c r="AE50" s="347" t="str">
        <f t="shared" ca="1" si="26"/>
        <v/>
      </c>
      <c r="AF50" s="379" t="str">
        <f t="shared" ca="1" si="26"/>
        <v/>
      </c>
      <c r="AG50" s="348"/>
      <c r="AH50" s="383">
        <f t="shared" ca="1" si="12"/>
        <v>-0.13509815077007492</v>
      </c>
      <c r="AI50" s="349">
        <f t="shared" ca="1" si="23"/>
        <v>-0.19924536683404009</v>
      </c>
      <c r="AJ50" s="349" t="str">
        <f t="shared" ca="1" si="13"/>
        <v/>
      </c>
      <c r="AK50" s="381" t="str">
        <f t="shared" ca="1" si="14"/>
        <v/>
      </c>
    </row>
    <row r="51" spans="1:37" s="331" customFormat="1">
      <c r="A51" s="352"/>
      <c r="B51" s="335">
        <f t="shared" si="24"/>
        <v>40</v>
      </c>
      <c r="C51" s="333" t="str">
        <f t="shared" ca="1" si="27"/>
        <v>Xcel Energy Inc.</v>
      </c>
      <c r="D51" s="333" t="str">
        <f t="shared" ca="1" si="28"/>
        <v>XEL</v>
      </c>
      <c r="E51" s="333"/>
      <c r="F51" s="441">
        <f t="shared" ca="1" si="15"/>
        <v>-4.3471412820916715</v>
      </c>
      <c r="G51" s="344">
        <f t="shared" ca="1" si="15"/>
        <v>31295.699999999997</v>
      </c>
      <c r="H51" s="344"/>
      <c r="I51" s="407">
        <f t="shared" ca="1" si="29"/>
        <v>49</v>
      </c>
      <c r="J51" s="429"/>
      <c r="K51" s="441">
        <f t="shared" ca="1" si="16"/>
        <v>60.3</v>
      </c>
      <c r="L51" s="343">
        <f t="shared" ca="1" si="16"/>
        <v>519</v>
      </c>
      <c r="M51" s="344">
        <f t="shared" ca="1" si="17"/>
        <v>31295.699999999997</v>
      </c>
      <c r="N51" s="344"/>
      <c r="O51" s="407">
        <f t="shared" ca="1" si="6"/>
        <v>92</v>
      </c>
      <c r="Q51" s="394">
        <f t="shared" ca="1" si="18"/>
        <v>55</v>
      </c>
      <c r="R51" s="335" t="str">
        <f t="shared" ca="1" si="7"/>
        <v>R</v>
      </c>
      <c r="S51" s="442">
        <f t="shared" ca="1" si="7"/>
        <v>0</v>
      </c>
      <c r="T51" s="333"/>
      <c r="U51" s="842">
        <f t="shared" ca="1" si="19"/>
        <v>-4.3471412820916715</v>
      </c>
      <c r="V51" s="395">
        <f t="shared" ca="1" si="20"/>
        <v>31295.699999999997</v>
      </c>
      <c r="X51" s="369">
        <f t="shared" ca="1" si="8"/>
        <v>4.0457994794791008E-2</v>
      </c>
      <c r="Y51" s="346">
        <f t="shared" ca="1" si="25"/>
        <v>5.9668233564329411E-2</v>
      </c>
      <c r="Z51" s="346" t="str">
        <f t="shared" ca="1" si="25"/>
        <v/>
      </c>
      <c r="AA51" s="377" t="str">
        <f t="shared" ca="1" si="25"/>
        <v/>
      </c>
      <c r="AB51" s="322"/>
      <c r="AC51" s="386">
        <f t="shared" ca="1" si="10"/>
        <v>-4.3471412820916715</v>
      </c>
      <c r="AD51" s="347">
        <f t="shared" ca="1" si="26"/>
        <v>-4.3471412820916715</v>
      </c>
      <c r="AE51" s="347" t="str">
        <f t="shared" ca="1" si="26"/>
        <v/>
      </c>
      <c r="AF51" s="379" t="str">
        <f t="shared" ca="1" si="26"/>
        <v/>
      </c>
      <c r="AG51" s="348"/>
      <c r="AH51" s="383">
        <f t="shared" ca="1" si="12"/>
        <v>-0.17587661936308596</v>
      </c>
      <c r="AI51" s="349">
        <f t="shared" ca="1" si="23"/>
        <v>-0.25938624135698424</v>
      </c>
      <c r="AJ51" s="349" t="str">
        <f t="shared" ca="1" si="13"/>
        <v/>
      </c>
      <c r="AK51" s="381" t="str">
        <f t="shared" ca="1" si="14"/>
        <v/>
      </c>
    </row>
    <row r="52" spans="1:37" s="331" customFormat="1">
      <c r="A52" s="352"/>
      <c r="B52" s="335">
        <f t="shared" si="24"/>
        <v>41</v>
      </c>
      <c r="C52" s="333">
        <f t="shared" ca="1" si="27"/>
        <v>0</v>
      </c>
      <c r="D52" s="333">
        <f t="shared" ca="1" si="28"/>
        <v>0</v>
      </c>
      <c r="E52" s="333"/>
      <c r="F52" s="441" t="str">
        <f t="shared" ca="1" si="15"/>
        <v/>
      </c>
      <c r="G52" s="344" t="str">
        <f t="shared" ca="1" si="15"/>
        <v/>
      </c>
      <c r="H52" s="344"/>
      <c r="I52" s="407" t="e">
        <f t="shared" ca="1" si="29"/>
        <v>#N/A</v>
      </c>
      <c r="J52" s="429"/>
      <c r="K52" s="441" t="str">
        <f t="shared" ca="1" si="16"/>
        <v/>
      </c>
      <c r="L52" s="343" t="str">
        <f t="shared" ca="1" si="16"/>
        <v/>
      </c>
      <c r="M52" s="344" t="str">
        <f t="shared" ca="1" si="17"/>
        <v/>
      </c>
      <c r="N52" s="344"/>
      <c r="O52" s="407" t="e">
        <f t="shared" ca="1" si="6"/>
        <v>#N/A</v>
      </c>
      <c r="Q52" s="394" t="e">
        <f t="shared" ca="1" si="18"/>
        <v>#N/A</v>
      </c>
      <c r="R52" s="335" t="str">
        <f t="shared" ca="1" si="7"/>
        <v/>
      </c>
      <c r="S52" s="442" t="str">
        <f t="shared" ca="1" si="7"/>
        <v/>
      </c>
      <c r="T52" s="333"/>
      <c r="U52" s="842" t="str">
        <f t="shared" ca="1" si="19"/>
        <v/>
      </c>
      <c r="V52" s="395" t="str">
        <f t="shared" ca="1" si="20"/>
        <v/>
      </c>
      <c r="X52" s="369" t="str">
        <f t="shared" ca="1" si="8"/>
        <v/>
      </c>
      <c r="Y52" s="346" t="str">
        <f t="shared" ca="1" si="25"/>
        <v/>
      </c>
      <c r="Z52" s="346" t="str">
        <f t="shared" ca="1" si="25"/>
        <v/>
      </c>
      <c r="AA52" s="377" t="str">
        <f t="shared" ca="1" si="25"/>
        <v/>
      </c>
      <c r="AB52" s="322"/>
      <c r="AC52" s="386" t="str">
        <f t="shared" ca="1" si="10"/>
        <v/>
      </c>
      <c r="AD52" s="347" t="str">
        <f t="shared" ca="1" si="26"/>
        <v/>
      </c>
      <c r="AE52" s="347" t="str">
        <f t="shared" ca="1" si="26"/>
        <v/>
      </c>
      <c r="AF52" s="379" t="str">
        <f t="shared" ca="1" si="26"/>
        <v/>
      </c>
      <c r="AG52" s="348"/>
      <c r="AH52" s="383" t="str">
        <f t="shared" ca="1" si="12"/>
        <v/>
      </c>
      <c r="AI52" s="349" t="str">
        <f t="shared" ca="1" si="23"/>
        <v/>
      </c>
      <c r="AJ52" s="349" t="str">
        <f t="shared" ca="1" si="13"/>
        <v/>
      </c>
      <c r="AK52" s="381" t="str">
        <f t="shared" ca="1" si="14"/>
        <v/>
      </c>
    </row>
    <row r="53" spans="1:37" s="331" customFormat="1">
      <c r="A53" s="352"/>
      <c r="B53" s="335">
        <f t="shared" si="24"/>
        <v>42</v>
      </c>
      <c r="C53" s="333">
        <f t="shared" ca="1" si="27"/>
        <v>0</v>
      </c>
      <c r="D53" s="333">
        <f t="shared" ca="1" si="28"/>
        <v>0</v>
      </c>
      <c r="E53" s="333"/>
      <c r="F53" s="441" t="str">
        <f t="shared" ca="1" si="15"/>
        <v/>
      </c>
      <c r="G53" s="344" t="str">
        <f t="shared" ca="1" si="15"/>
        <v/>
      </c>
      <c r="H53" s="344"/>
      <c r="I53" s="407" t="e">
        <f t="shared" ca="1" si="29"/>
        <v>#N/A</v>
      </c>
      <c r="J53" s="429"/>
      <c r="K53" s="441" t="str">
        <f t="shared" ca="1" si="16"/>
        <v/>
      </c>
      <c r="L53" s="343" t="str">
        <f t="shared" ca="1" si="16"/>
        <v/>
      </c>
      <c r="M53" s="344" t="str">
        <f t="shared" ca="1" si="17"/>
        <v/>
      </c>
      <c r="N53" s="344"/>
      <c r="O53" s="407" t="e">
        <f t="shared" ca="1" si="6"/>
        <v>#N/A</v>
      </c>
      <c r="Q53" s="394" t="e">
        <f t="shared" ca="1" si="18"/>
        <v>#N/A</v>
      </c>
      <c r="R53" s="335" t="str">
        <f t="shared" ca="1" si="7"/>
        <v/>
      </c>
      <c r="S53" s="442" t="str">
        <f t="shared" ca="1" si="7"/>
        <v/>
      </c>
      <c r="T53" s="333"/>
      <c r="U53" s="842" t="str">
        <f t="shared" ca="1" si="19"/>
        <v/>
      </c>
      <c r="V53" s="395" t="str">
        <f t="shared" ca="1" si="20"/>
        <v/>
      </c>
      <c r="X53" s="369" t="str">
        <f t="shared" ca="1" si="8"/>
        <v/>
      </c>
      <c r="Y53" s="346" t="str">
        <f t="shared" ref="Y53:AA65" ca="1" si="30">IF( $R53 = Y$4, $V53 / Y$69, "" )</f>
        <v/>
      </c>
      <c r="Z53" s="346" t="str">
        <f t="shared" ca="1" si="30"/>
        <v/>
      </c>
      <c r="AA53" s="377" t="str">
        <f t="shared" ca="1" si="30"/>
        <v/>
      </c>
      <c r="AB53" s="322"/>
      <c r="AC53" s="386" t="str">
        <f t="shared" ca="1" si="10"/>
        <v/>
      </c>
      <c r="AD53" s="347" t="str">
        <f t="shared" ref="AD53:AF65" ca="1" si="31">IF( $R53 = AD$4, $U53, "" )</f>
        <v/>
      </c>
      <c r="AE53" s="347" t="str">
        <f t="shared" ca="1" si="31"/>
        <v/>
      </c>
      <c r="AF53" s="379" t="str">
        <f t="shared" ca="1" si="31"/>
        <v/>
      </c>
      <c r="AG53" s="348"/>
      <c r="AH53" s="383" t="str">
        <f t="shared" ca="1" si="12"/>
        <v/>
      </c>
      <c r="AI53" s="349" t="str">
        <f t="shared" ca="1" si="23"/>
        <v/>
      </c>
      <c r="AJ53" s="349" t="str">
        <f t="shared" ca="1" si="13"/>
        <v/>
      </c>
      <c r="AK53" s="381" t="str">
        <f t="shared" ca="1" si="14"/>
        <v/>
      </c>
    </row>
    <row r="54" spans="1:37" s="331" customFormat="1">
      <c r="A54" s="352"/>
      <c r="B54" s="335">
        <f t="shared" si="24"/>
        <v>43</v>
      </c>
      <c r="C54" s="333">
        <f t="shared" ca="1" si="27"/>
        <v>0</v>
      </c>
      <c r="D54" s="333">
        <f t="shared" ca="1" si="28"/>
        <v>0</v>
      </c>
      <c r="E54" s="333"/>
      <c r="F54" s="441" t="str">
        <f t="shared" ca="1" si="15"/>
        <v/>
      </c>
      <c r="G54" s="344" t="str">
        <f t="shared" ca="1" si="15"/>
        <v/>
      </c>
      <c r="H54" s="344"/>
      <c r="I54" s="407" t="e">
        <f t="shared" ca="1" si="29"/>
        <v>#N/A</v>
      </c>
      <c r="J54" s="429"/>
      <c r="K54" s="441" t="str">
        <f t="shared" ca="1" si="16"/>
        <v/>
      </c>
      <c r="L54" s="343" t="str">
        <f t="shared" ca="1" si="16"/>
        <v/>
      </c>
      <c r="M54" s="344" t="str">
        <f t="shared" ca="1" si="17"/>
        <v/>
      </c>
      <c r="N54" s="344"/>
      <c r="O54" s="407" t="e">
        <f t="shared" ca="1" si="6"/>
        <v>#N/A</v>
      </c>
      <c r="Q54" s="394" t="e">
        <f t="shared" ca="1" si="18"/>
        <v>#N/A</v>
      </c>
      <c r="R54" s="335" t="str">
        <f t="shared" ca="1" si="7"/>
        <v/>
      </c>
      <c r="S54" s="442" t="str">
        <f t="shared" ca="1" si="7"/>
        <v/>
      </c>
      <c r="T54" s="333"/>
      <c r="U54" s="842" t="str">
        <f t="shared" ca="1" si="19"/>
        <v/>
      </c>
      <c r="V54" s="395" t="str">
        <f t="shared" ca="1" si="20"/>
        <v/>
      </c>
      <c r="X54" s="369" t="str">
        <f t="shared" ca="1" si="8"/>
        <v/>
      </c>
      <c r="Y54" s="346" t="str">
        <f t="shared" ca="1" si="30"/>
        <v/>
      </c>
      <c r="Z54" s="346" t="str">
        <f t="shared" ca="1" si="30"/>
        <v/>
      </c>
      <c r="AA54" s="377" t="str">
        <f t="shared" ca="1" si="30"/>
        <v/>
      </c>
      <c r="AB54" s="322"/>
      <c r="AC54" s="386" t="str">
        <f t="shared" ca="1" si="10"/>
        <v/>
      </c>
      <c r="AD54" s="347" t="str">
        <f t="shared" ca="1" si="31"/>
        <v/>
      </c>
      <c r="AE54" s="347" t="str">
        <f t="shared" ca="1" si="31"/>
        <v/>
      </c>
      <c r="AF54" s="379" t="str">
        <f t="shared" ca="1" si="31"/>
        <v/>
      </c>
      <c r="AG54" s="348"/>
      <c r="AH54" s="383" t="str">
        <f t="shared" ca="1" si="12"/>
        <v/>
      </c>
      <c r="AI54" s="349" t="str">
        <f t="shared" ca="1" si="23"/>
        <v/>
      </c>
      <c r="AJ54" s="349" t="str">
        <f t="shared" ca="1" si="13"/>
        <v/>
      </c>
      <c r="AK54" s="381" t="str">
        <f t="shared" ca="1" si="14"/>
        <v/>
      </c>
    </row>
    <row r="55" spans="1:37" s="331" customFormat="1">
      <c r="A55" s="352"/>
      <c r="B55" s="335">
        <f t="shared" si="24"/>
        <v>44</v>
      </c>
      <c r="C55" s="333">
        <f t="shared" ca="1" si="27"/>
        <v>0</v>
      </c>
      <c r="D55" s="333">
        <f t="shared" ca="1" si="28"/>
        <v>0</v>
      </c>
      <c r="E55" s="333"/>
      <c r="F55" s="441" t="str">
        <f t="shared" ca="1" si="15"/>
        <v/>
      </c>
      <c r="G55" s="344" t="str">
        <f t="shared" ca="1" si="15"/>
        <v/>
      </c>
      <c r="H55" s="344"/>
      <c r="I55" s="407" t="e">
        <f t="shared" ca="1" si="29"/>
        <v>#N/A</v>
      </c>
      <c r="J55" s="429"/>
      <c r="K55" s="441" t="str">
        <f t="shared" ca="1" si="16"/>
        <v/>
      </c>
      <c r="L55" s="343" t="str">
        <f t="shared" ca="1" si="16"/>
        <v/>
      </c>
      <c r="M55" s="344" t="str">
        <f t="shared" ca="1" si="17"/>
        <v/>
      </c>
      <c r="N55" s="344"/>
      <c r="O55" s="407" t="e">
        <f t="shared" ca="1" si="6"/>
        <v>#N/A</v>
      </c>
      <c r="Q55" s="394" t="e">
        <f t="shared" ca="1" si="18"/>
        <v>#N/A</v>
      </c>
      <c r="R55" s="335" t="str">
        <f t="shared" ca="1" si="7"/>
        <v/>
      </c>
      <c r="S55" s="442" t="str">
        <f t="shared" ca="1" si="7"/>
        <v/>
      </c>
      <c r="T55" s="333"/>
      <c r="U55" s="842" t="str">
        <f t="shared" ca="1" si="19"/>
        <v/>
      </c>
      <c r="V55" s="395" t="str">
        <f t="shared" ca="1" si="20"/>
        <v/>
      </c>
      <c r="X55" s="369" t="str">
        <f t="shared" ca="1" si="8"/>
        <v/>
      </c>
      <c r="Y55" s="346" t="str">
        <f t="shared" ca="1" si="30"/>
        <v/>
      </c>
      <c r="Z55" s="346" t="str">
        <f t="shared" ca="1" si="30"/>
        <v/>
      </c>
      <c r="AA55" s="377" t="str">
        <f t="shared" ca="1" si="30"/>
        <v/>
      </c>
      <c r="AB55" s="322"/>
      <c r="AC55" s="386" t="str">
        <f t="shared" ca="1" si="10"/>
        <v/>
      </c>
      <c r="AD55" s="347" t="str">
        <f t="shared" ca="1" si="31"/>
        <v/>
      </c>
      <c r="AE55" s="347" t="str">
        <f t="shared" ca="1" si="31"/>
        <v/>
      </c>
      <c r="AF55" s="379" t="str">
        <f t="shared" ca="1" si="31"/>
        <v/>
      </c>
      <c r="AG55" s="348"/>
      <c r="AH55" s="383" t="str">
        <f t="shared" ca="1" si="12"/>
        <v/>
      </c>
      <c r="AI55" s="349" t="str">
        <f t="shared" ca="1" si="23"/>
        <v/>
      </c>
      <c r="AJ55" s="349" t="str">
        <f t="shared" ca="1" si="13"/>
        <v/>
      </c>
      <c r="AK55" s="381" t="str">
        <f t="shared" ca="1" si="14"/>
        <v/>
      </c>
    </row>
    <row r="56" spans="1:37" s="331" customFormat="1">
      <c r="A56" s="352"/>
      <c r="B56" s="335">
        <f t="shared" si="24"/>
        <v>45</v>
      </c>
      <c r="C56" s="333">
        <f t="shared" ca="1" si="27"/>
        <v>0</v>
      </c>
      <c r="D56" s="333">
        <f t="shared" ca="1" si="28"/>
        <v>0</v>
      </c>
      <c r="E56" s="333"/>
      <c r="F56" s="441" t="str">
        <f t="shared" ca="1" si="15"/>
        <v/>
      </c>
      <c r="G56" s="344" t="str">
        <f t="shared" ca="1" si="15"/>
        <v/>
      </c>
      <c r="H56" s="344"/>
      <c r="I56" s="407" t="e">
        <f t="shared" ca="1" si="29"/>
        <v>#N/A</v>
      </c>
      <c r="J56" s="429"/>
      <c r="K56" s="441" t="str">
        <f t="shared" ca="1" si="16"/>
        <v/>
      </c>
      <c r="L56" s="343" t="str">
        <f t="shared" ca="1" si="16"/>
        <v/>
      </c>
      <c r="M56" s="344" t="str">
        <f t="shared" ca="1" si="17"/>
        <v/>
      </c>
      <c r="N56" s="344"/>
      <c r="O56" s="407" t="e">
        <f t="shared" ca="1" si="6"/>
        <v>#N/A</v>
      </c>
      <c r="Q56" s="394" t="e">
        <f t="shared" ca="1" si="18"/>
        <v>#N/A</v>
      </c>
      <c r="R56" s="335" t="str">
        <f t="shared" ca="1" si="7"/>
        <v/>
      </c>
      <c r="S56" s="442" t="str">
        <f t="shared" ca="1" si="7"/>
        <v/>
      </c>
      <c r="T56" s="333"/>
      <c r="U56" s="842" t="str">
        <f t="shared" ca="1" si="19"/>
        <v/>
      </c>
      <c r="V56" s="395" t="str">
        <f t="shared" ca="1" si="20"/>
        <v/>
      </c>
      <c r="X56" s="369" t="str">
        <f t="shared" ca="1" si="8"/>
        <v/>
      </c>
      <c r="Y56" s="346" t="str">
        <f t="shared" ca="1" si="30"/>
        <v/>
      </c>
      <c r="Z56" s="346" t="str">
        <f t="shared" ca="1" si="30"/>
        <v/>
      </c>
      <c r="AA56" s="377" t="str">
        <f t="shared" ca="1" si="30"/>
        <v/>
      </c>
      <c r="AB56" s="322"/>
      <c r="AC56" s="386" t="str">
        <f t="shared" ca="1" si="10"/>
        <v/>
      </c>
      <c r="AD56" s="347" t="str">
        <f t="shared" ca="1" si="31"/>
        <v/>
      </c>
      <c r="AE56" s="347" t="str">
        <f t="shared" ca="1" si="31"/>
        <v/>
      </c>
      <c r="AF56" s="379" t="str">
        <f t="shared" ca="1" si="31"/>
        <v/>
      </c>
      <c r="AG56" s="348"/>
      <c r="AH56" s="383" t="str">
        <f t="shared" ca="1" si="12"/>
        <v/>
      </c>
      <c r="AI56" s="349" t="str">
        <f t="shared" ca="1" si="23"/>
        <v/>
      </c>
      <c r="AJ56" s="349" t="str">
        <f t="shared" ca="1" si="13"/>
        <v/>
      </c>
      <c r="AK56" s="381" t="str">
        <f t="shared" ca="1" si="14"/>
        <v/>
      </c>
    </row>
    <row r="57" spans="1:37" s="331" customFormat="1">
      <c r="A57" s="352"/>
      <c r="B57" s="335">
        <f t="shared" si="24"/>
        <v>46</v>
      </c>
      <c r="C57" s="333">
        <f t="shared" ca="1" si="27"/>
        <v>0</v>
      </c>
      <c r="D57" s="333">
        <f t="shared" ca="1" si="28"/>
        <v>0</v>
      </c>
      <c r="E57" s="333"/>
      <c r="F57" s="441" t="str">
        <f t="shared" ca="1" si="15"/>
        <v/>
      </c>
      <c r="G57" s="344" t="str">
        <f t="shared" ca="1" si="15"/>
        <v/>
      </c>
      <c r="H57" s="344"/>
      <c r="I57" s="407" t="e">
        <f t="shared" ca="1" si="29"/>
        <v>#N/A</v>
      </c>
      <c r="J57" s="429"/>
      <c r="K57" s="441" t="str">
        <f t="shared" ca="1" si="16"/>
        <v/>
      </c>
      <c r="L57" s="343" t="str">
        <f t="shared" ca="1" si="16"/>
        <v/>
      </c>
      <c r="M57" s="344" t="str">
        <f t="shared" ca="1" si="17"/>
        <v/>
      </c>
      <c r="N57" s="344"/>
      <c r="O57" s="407" t="e">
        <f t="shared" ca="1" si="6"/>
        <v>#N/A</v>
      </c>
      <c r="Q57" s="394" t="e">
        <f t="shared" ca="1" si="18"/>
        <v>#N/A</v>
      </c>
      <c r="R57" s="335" t="str">
        <f t="shared" ca="1" si="7"/>
        <v/>
      </c>
      <c r="S57" s="442" t="str">
        <f t="shared" ca="1" si="7"/>
        <v/>
      </c>
      <c r="T57" s="333"/>
      <c r="U57" s="842" t="str">
        <f t="shared" ca="1" si="19"/>
        <v/>
      </c>
      <c r="V57" s="395" t="str">
        <f t="shared" ca="1" si="20"/>
        <v/>
      </c>
      <c r="X57" s="369" t="str">
        <f t="shared" ca="1" si="8"/>
        <v/>
      </c>
      <c r="Y57" s="346" t="str">
        <f t="shared" ca="1" si="30"/>
        <v/>
      </c>
      <c r="Z57" s="346" t="str">
        <f t="shared" ca="1" si="30"/>
        <v/>
      </c>
      <c r="AA57" s="377" t="str">
        <f t="shared" ca="1" si="30"/>
        <v/>
      </c>
      <c r="AB57" s="322"/>
      <c r="AC57" s="386" t="str">
        <f t="shared" ca="1" si="10"/>
        <v/>
      </c>
      <c r="AD57" s="347" t="str">
        <f t="shared" ca="1" si="31"/>
        <v/>
      </c>
      <c r="AE57" s="347" t="str">
        <f t="shared" ca="1" si="31"/>
        <v/>
      </c>
      <c r="AF57" s="379" t="str">
        <f t="shared" ca="1" si="31"/>
        <v/>
      </c>
      <c r="AG57" s="348"/>
      <c r="AH57" s="383" t="str">
        <f t="shared" ca="1" si="12"/>
        <v/>
      </c>
      <c r="AI57" s="349" t="str">
        <f t="shared" ca="1" si="23"/>
        <v/>
      </c>
      <c r="AJ57" s="349" t="str">
        <f t="shared" ca="1" si="13"/>
        <v/>
      </c>
      <c r="AK57" s="381" t="str">
        <f t="shared" ca="1" si="14"/>
        <v/>
      </c>
    </row>
    <row r="58" spans="1:37" s="331" customFormat="1">
      <c r="A58" s="352"/>
      <c r="B58" s="335">
        <f t="shared" si="24"/>
        <v>47</v>
      </c>
      <c r="C58" s="333">
        <f t="shared" ca="1" si="27"/>
        <v>0</v>
      </c>
      <c r="D58" s="333">
        <f t="shared" ca="1" si="28"/>
        <v>0</v>
      </c>
      <c r="E58" s="333"/>
      <c r="F58" s="441" t="str">
        <f t="shared" ca="1" si="15"/>
        <v/>
      </c>
      <c r="G58" s="344" t="str">
        <f t="shared" ca="1" si="15"/>
        <v/>
      </c>
      <c r="H58" s="344"/>
      <c r="I58" s="407" t="e">
        <f t="shared" ca="1" si="29"/>
        <v>#N/A</v>
      </c>
      <c r="J58" s="429"/>
      <c r="K58" s="441" t="str">
        <f t="shared" ca="1" si="16"/>
        <v/>
      </c>
      <c r="L58" s="343" t="str">
        <f t="shared" ca="1" si="16"/>
        <v/>
      </c>
      <c r="M58" s="344" t="str">
        <f t="shared" ca="1" si="17"/>
        <v/>
      </c>
      <c r="N58" s="344"/>
      <c r="O58" s="407" t="e">
        <f t="shared" ca="1" si="6"/>
        <v>#N/A</v>
      </c>
      <c r="Q58" s="394" t="e">
        <f t="shared" ca="1" si="18"/>
        <v>#N/A</v>
      </c>
      <c r="R58" s="335" t="str">
        <f t="shared" ca="1" si="7"/>
        <v/>
      </c>
      <c r="S58" s="442" t="str">
        <f t="shared" ca="1" si="7"/>
        <v/>
      </c>
      <c r="T58" s="333"/>
      <c r="U58" s="842" t="str">
        <f t="shared" ca="1" si="19"/>
        <v/>
      </c>
      <c r="V58" s="395" t="str">
        <f t="shared" ca="1" si="20"/>
        <v/>
      </c>
      <c r="X58" s="369" t="str">
        <f t="shared" ca="1" si="8"/>
        <v/>
      </c>
      <c r="Y58" s="346" t="str">
        <f t="shared" ca="1" si="30"/>
        <v/>
      </c>
      <c r="Z58" s="346" t="str">
        <f t="shared" ca="1" si="30"/>
        <v/>
      </c>
      <c r="AA58" s="377" t="str">
        <f t="shared" ca="1" si="30"/>
        <v/>
      </c>
      <c r="AB58" s="322"/>
      <c r="AC58" s="386" t="str">
        <f t="shared" ca="1" si="10"/>
        <v/>
      </c>
      <c r="AD58" s="347" t="str">
        <f t="shared" ca="1" si="31"/>
        <v/>
      </c>
      <c r="AE58" s="347" t="str">
        <f t="shared" ca="1" si="31"/>
        <v/>
      </c>
      <c r="AF58" s="379" t="str">
        <f t="shared" ca="1" si="31"/>
        <v/>
      </c>
      <c r="AG58" s="348"/>
      <c r="AH58" s="383" t="str">
        <f t="shared" ca="1" si="12"/>
        <v/>
      </c>
      <c r="AI58" s="349" t="str">
        <f t="shared" ca="1" si="23"/>
        <v/>
      </c>
      <c r="AJ58" s="349" t="str">
        <f t="shared" ca="1" si="13"/>
        <v/>
      </c>
      <c r="AK58" s="381" t="str">
        <f t="shared" ca="1" si="14"/>
        <v/>
      </c>
    </row>
    <row r="59" spans="1:37" s="331" customFormat="1">
      <c r="A59" s="352"/>
      <c r="B59" s="335">
        <f t="shared" si="24"/>
        <v>48</v>
      </c>
      <c r="C59" s="333">
        <f t="shared" ca="1" si="27"/>
        <v>0</v>
      </c>
      <c r="D59" s="333">
        <f t="shared" ca="1" si="28"/>
        <v>0</v>
      </c>
      <c r="E59" s="333"/>
      <c r="F59" s="441" t="str">
        <f t="shared" ca="1" si="15"/>
        <v/>
      </c>
      <c r="G59" s="344" t="str">
        <f t="shared" ca="1" si="15"/>
        <v/>
      </c>
      <c r="H59" s="344"/>
      <c r="I59" s="407" t="e">
        <f t="shared" ca="1" si="29"/>
        <v>#N/A</v>
      </c>
      <c r="J59" s="429"/>
      <c r="K59" s="441" t="str">
        <f t="shared" ca="1" si="16"/>
        <v/>
      </c>
      <c r="L59" s="343" t="str">
        <f t="shared" ca="1" si="16"/>
        <v/>
      </c>
      <c r="M59" s="344" t="str">
        <f t="shared" ca="1" si="17"/>
        <v/>
      </c>
      <c r="N59" s="344"/>
      <c r="O59" s="407" t="e">
        <f t="shared" ca="1" si="6"/>
        <v>#N/A</v>
      </c>
      <c r="Q59" s="394" t="e">
        <f t="shared" ca="1" si="18"/>
        <v>#N/A</v>
      </c>
      <c r="R59" s="335" t="str">
        <f t="shared" ca="1" si="7"/>
        <v/>
      </c>
      <c r="S59" s="442" t="str">
        <f t="shared" ca="1" si="7"/>
        <v/>
      </c>
      <c r="T59" s="333"/>
      <c r="U59" s="842" t="str">
        <f t="shared" ca="1" si="19"/>
        <v/>
      </c>
      <c r="V59" s="395" t="str">
        <f t="shared" ca="1" si="20"/>
        <v/>
      </c>
      <c r="X59" s="369" t="str">
        <f t="shared" ca="1" si="8"/>
        <v/>
      </c>
      <c r="Y59" s="346" t="str">
        <f t="shared" ca="1" si="30"/>
        <v/>
      </c>
      <c r="Z59" s="346" t="str">
        <f t="shared" ca="1" si="30"/>
        <v/>
      </c>
      <c r="AA59" s="377" t="str">
        <f t="shared" ca="1" si="30"/>
        <v/>
      </c>
      <c r="AB59" s="322"/>
      <c r="AC59" s="386" t="str">
        <f t="shared" ca="1" si="10"/>
        <v/>
      </c>
      <c r="AD59" s="347" t="str">
        <f t="shared" ca="1" si="31"/>
        <v/>
      </c>
      <c r="AE59" s="347" t="str">
        <f t="shared" ca="1" si="31"/>
        <v/>
      </c>
      <c r="AF59" s="379" t="str">
        <f t="shared" ca="1" si="31"/>
        <v/>
      </c>
      <c r="AG59" s="348"/>
      <c r="AH59" s="383" t="str">
        <f t="shared" ca="1" si="12"/>
        <v/>
      </c>
      <c r="AI59" s="349" t="str">
        <f t="shared" ca="1" si="23"/>
        <v/>
      </c>
      <c r="AJ59" s="349" t="str">
        <f t="shared" ca="1" si="13"/>
        <v/>
      </c>
      <c r="AK59" s="381" t="str">
        <f t="shared" ca="1" si="14"/>
        <v/>
      </c>
    </row>
    <row r="60" spans="1:37" s="331" customFormat="1">
      <c r="A60" s="352"/>
      <c r="B60" s="335">
        <f t="shared" si="24"/>
        <v>49</v>
      </c>
      <c r="C60" s="333">
        <f t="shared" ca="1" si="27"/>
        <v>0</v>
      </c>
      <c r="D60" s="333">
        <f t="shared" ca="1" si="28"/>
        <v>0</v>
      </c>
      <c r="E60" s="333"/>
      <c r="F60" s="441" t="str">
        <f t="shared" ca="1" si="15"/>
        <v/>
      </c>
      <c r="G60" s="344" t="str">
        <f t="shared" ca="1" si="15"/>
        <v/>
      </c>
      <c r="H60" s="344"/>
      <c r="I60" s="407" t="e">
        <f t="shared" ca="1" si="29"/>
        <v>#N/A</v>
      </c>
      <c r="J60" s="429"/>
      <c r="K60" s="441" t="str">
        <f t="shared" ca="1" si="16"/>
        <v/>
      </c>
      <c r="L60" s="343" t="str">
        <f t="shared" ca="1" si="16"/>
        <v/>
      </c>
      <c r="M60" s="344" t="str">
        <f t="shared" ca="1" si="17"/>
        <v/>
      </c>
      <c r="N60" s="344"/>
      <c r="O60" s="407" t="e">
        <f t="shared" ca="1" si="6"/>
        <v>#N/A</v>
      </c>
      <c r="Q60" s="394" t="e">
        <f t="shared" ca="1" si="18"/>
        <v>#N/A</v>
      </c>
      <c r="R60" s="335" t="str">
        <f t="shared" ca="1" si="7"/>
        <v/>
      </c>
      <c r="S60" s="442" t="str">
        <f t="shared" ca="1" si="7"/>
        <v/>
      </c>
      <c r="T60" s="333"/>
      <c r="U60" s="842" t="str">
        <f t="shared" ca="1" si="19"/>
        <v/>
      </c>
      <c r="V60" s="395" t="str">
        <f t="shared" ca="1" si="20"/>
        <v/>
      </c>
      <c r="X60" s="369" t="str">
        <f t="shared" ca="1" si="8"/>
        <v/>
      </c>
      <c r="Y60" s="346" t="str">
        <f t="shared" ca="1" si="30"/>
        <v/>
      </c>
      <c r="Z60" s="346" t="str">
        <f t="shared" ca="1" si="30"/>
        <v/>
      </c>
      <c r="AA60" s="377" t="str">
        <f t="shared" ca="1" si="30"/>
        <v/>
      </c>
      <c r="AB60" s="322"/>
      <c r="AC60" s="386" t="str">
        <f t="shared" ca="1" si="10"/>
        <v/>
      </c>
      <c r="AD60" s="347" t="str">
        <f t="shared" ca="1" si="31"/>
        <v/>
      </c>
      <c r="AE60" s="347" t="str">
        <f t="shared" ca="1" si="31"/>
        <v/>
      </c>
      <c r="AF60" s="379" t="str">
        <f t="shared" ca="1" si="31"/>
        <v/>
      </c>
      <c r="AG60" s="348"/>
      <c r="AH60" s="383" t="str">
        <f t="shared" ca="1" si="12"/>
        <v/>
      </c>
      <c r="AI60" s="349" t="str">
        <f t="shared" ca="1" si="23"/>
        <v/>
      </c>
      <c r="AJ60" s="349" t="str">
        <f t="shared" ca="1" si="13"/>
        <v/>
      </c>
      <c r="AK60" s="381" t="str">
        <f t="shared" ca="1" si="14"/>
        <v/>
      </c>
    </row>
    <row r="61" spans="1:37" s="331" customFormat="1">
      <c r="A61" s="352"/>
      <c r="B61" s="335">
        <f t="shared" si="24"/>
        <v>50</v>
      </c>
      <c r="C61" s="333">
        <f t="shared" ca="1" si="27"/>
        <v>0</v>
      </c>
      <c r="D61" s="333">
        <f t="shared" ca="1" si="28"/>
        <v>0</v>
      </c>
      <c r="E61" s="333"/>
      <c r="F61" s="441" t="str">
        <f t="shared" ca="1" si="15"/>
        <v/>
      </c>
      <c r="G61" s="344" t="str">
        <f t="shared" ca="1" si="15"/>
        <v/>
      </c>
      <c r="H61" s="344"/>
      <c r="I61" s="407" t="e">
        <f t="shared" ca="1" si="29"/>
        <v>#N/A</v>
      </c>
      <c r="J61" s="429"/>
      <c r="K61" s="441" t="str">
        <f t="shared" ca="1" si="16"/>
        <v/>
      </c>
      <c r="L61" s="343" t="str">
        <f t="shared" ca="1" si="16"/>
        <v/>
      </c>
      <c r="M61" s="344" t="str">
        <f t="shared" ca="1" si="17"/>
        <v/>
      </c>
      <c r="N61" s="344"/>
      <c r="O61" s="407" t="e">
        <f t="shared" ca="1" si="6"/>
        <v>#N/A</v>
      </c>
      <c r="Q61" s="394" t="e">
        <f t="shared" ca="1" si="18"/>
        <v>#N/A</v>
      </c>
      <c r="R61" s="335" t="str">
        <f t="shared" ca="1" si="7"/>
        <v/>
      </c>
      <c r="S61" s="442" t="str">
        <f t="shared" ca="1" si="7"/>
        <v/>
      </c>
      <c r="T61" s="333"/>
      <c r="U61" s="842" t="str">
        <f t="shared" ca="1" si="19"/>
        <v/>
      </c>
      <c r="V61" s="395" t="str">
        <f t="shared" ca="1" si="20"/>
        <v/>
      </c>
      <c r="X61" s="369" t="str">
        <f t="shared" ca="1" si="8"/>
        <v/>
      </c>
      <c r="Y61" s="346" t="str">
        <f t="shared" ca="1" si="30"/>
        <v/>
      </c>
      <c r="Z61" s="346" t="str">
        <f t="shared" ca="1" si="30"/>
        <v/>
      </c>
      <c r="AA61" s="377" t="str">
        <f t="shared" ca="1" si="30"/>
        <v/>
      </c>
      <c r="AB61" s="322"/>
      <c r="AC61" s="386" t="str">
        <f t="shared" ca="1" si="10"/>
        <v/>
      </c>
      <c r="AD61" s="347" t="str">
        <f t="shared" ca="1" si="31"/>
        <v/>
      </c>
      <c r="AE61" s="347" t="str">
        <f t="shared" ca="1" si="31"/>
        <v/>
      </c>
      <c r="AF61" s="379" t="str">
        <f t="shared" ca="1" si="31"/>
        <v/>
      </c>
      <c r="AG61" s="348"/>
      <c r="AH61" s="383" t="str">
        <f t="shared" ca="1" si="12"/>
        <v/>
      </c>
      <c r="AI61" s="349" t="str">
        <f t="shared" ca="1" si="23"/>
        <v/>
      </c>
      <c r="AJ61" s="349" t="str">
        <f t="shared" ca="1" si="13"/>
        <v/>
      </c>
      <c r="AK61" s="381" t="str">
        <f t="shared" ca="1" si="14"/>
        <v/>
      </c>
    </row>
    <row r="62" spans="1:37" s="331" customFormat="1">
      <c r="A62" s="352"/>
      <c r="B62" s="335">
        <f t="shared" si="24"/>
        <v>51</v>
      </c>
      <c r="C62" s="333">
        <f t="shared" ca="1" si="27"/>
        <v>0</v>
      </c>
      <c r="D62" s="333">
        <f t="shared" ca="1" si="28"/>
        <v>0</v>
      </c>
      <c r="E62" s="333"/>
      <c r="F62" s="441" t="str">
        <f t="shared" ca="1" si="15"/>
        <v/>
      </c>
      <c r="G62" s="344" t="str">
        <f t="shared" ca="1" si="15"/>
        <v/>
      </c>
      <c r="H62" s="344"/>
      <c r="I62" s="407" t="e">
        <f t="shared" ca="1" si="29"/>
        <v>#N/A</v>
      </c>
      <c r="J62" s="429"/>
      <c r="K62" s="441" t="str">
        <f t="shared" ca="1" si="16"/>
        <v/>
      </c>
      <c r="L62" s="343" t="str">
        <f t="shared" ca="1" si="16"/>
        <v/>
      </c>
      <c r="M62" s="344" t="str">
        <f t="shared" ca="1" si="17"/>
        <v/>
      </c>
      <c r="N62" s="344"/>
      <c r="O62" s="407" t="e">
        <f t="shared" ca="1" si="6"/>
        <v>#N/A</v>
      </c>
      <c r="Q62" s="394" t="e">
        <f t="shared" ca="1" si="18"/>
        <v>#N/A</v>
      </c>
      <c r="R62" s="335" t="str">
        <f t="shared" ca="1" si="7"/>
        <v/>
      </c>
      <c r="S62" s="442" t="str">
        <f t="shared" ca="1" si="7"/>
        <v/>
      </c>
      <c r="T62" s="333"/>
      <c r="U62" s="842" t="str">
        <f t="shared" ca="1" si="19"/>
        <v/>
      </c>
      <c r="V62" s="395" t="str">
        <f t="shared" ca="1" si="20"/>
        <v/>
      </c>
      <c r="X62" s="369" t="str">
        <f t="shared" ca="1" si="8"/>
        <v/>
      </c>
      <c r="Y62" s="346" t="str">
        <f t="shared" ca="1" si="30"/>
        <v/>
      </c>
      <c r="Z62" s="346" t="str">
        <f t="shared" ca="1" si="30"/>
        <v/>
      </c>
      <c r="AA62" s="377" t="str">
        <f t="shared" ca="1" si="30"/>
        <v/>
      </c>
      <c r="AB62" s="322"/>
      <c r="AC62" s="386" t="str">
        <f t="shared" ca="1" si="10"/>
        <v/>
      </c>
      <c r="AD62" s="347" t="str">
        <f t="shared" ca="1" si="31"/>
        <v/>
      </c>
      <c r="AE62" s="347" t="str">
        <f t="shared" ca="1" si="31"/>
        <v/>
      </c>
      <c r="AF62" s="379" t="str">
        <f t="shared" ca="1" si="31"/>
        <v/>
      </c>
      <c r="AG62" s="348"/>
      <c r="AH62" s="383" t="str">
        <f t="shared" ca="1" si="12"/>
        <v/>
      </c>
      <c r="AI62" s="349" t="str">
        <f t="shared" ca="1" si="23"/>
        <v/>
      </c>
      <c r="AJ62" s="349" t="str">
        <f t="shared" ca="1" si="13"/>
        <v/>
      </c>
      <c r="AK62" s="381" t="str">
        <f t="shared" ca="1" si="14"/>
        <v/>
      </c>
    </row>
    <row r="63" spans="1:37" s="331" customFormat="1">
      <c r="A63" s="352"/>
      <c r="B63" s="335">
        <f t="shared" si="24"/>
        <v>52</v>
      </c>
      <c r="C63" s="333">
        <f t="shared" ca="1" si="27"/>
        <v>0</v>
      </c>
      <c r="D63" s="333">
        <f t="shared" ca="1" si="28"/>
        <v>0</v>
      </c>
      <c r="E63" s="333"/>
      <c r="F63" s="441" t="str">
        <f t="shared" ca="1" si="15"/>
        <v/>
      </c>
      <c r="G63" s="344" t="str">
        <f t="shared" ca="1" si="15"/>
        <v/>
      </c>
      <c r="H63" s="344"/>
      <c r="I63" s="407" t="e">
        <f t="shared" ca="1" si="29"/>
        <v>#N/A</v>
      </c>
      <c r="J63" s="429"/>
      <c r="K63" s="441" t="str">
        <f t="shared" ca="1" si="16"/>
        <v/>
      </c>
      <c r="L63" s="343" t="str">
        <f t="shared" ca="1" si="16"/>
        <v/>
      </c>
      <c r="M63" s="344" t="str">
        <f t="shared" ca="1" si="17"/>
        <v/>
      </c>
      <c r="N63" s="344"/>
      <c r="O63" s="407" t="e">
        <f t="shared" ca="1" si="6"/>
        <v>#N/A</v>
      </c>
      <c r="Q63" s="394" t="e">
        <f t="shared" ca="1" si="18"/>
        <v>#N/A</v>
      </c>
      <c r="R63" s="335" t="str">
        <f t="shared" ca="1" si="7"/>
        <v/>
      </c>
      <c r="S63" s="442" t="str">
        <f t="shared" ca="1" si="7"/>
        <v/>
      </c>
      <c r="T63" s="333"/>
      <c r="U63" s="842" t="str">
        <f t="shared" ca="1" si="19"/>
        <v/>
      </c>
      <c r="V63" s="395" t="str">
        <f t="shared" ca="1" si="20"/>
        <v/>
      </c>
      <c r="X63" s="369" t="str">
        <f t="shared" ca="1" si="8"/>
        <v/>
      </c>
      <c r="Y63" s="346" t="str">
        <f t="shared" ca="1" si="30"/>
        <v/>
      </c>
      <c r="Z63" s="346" t="str">
        <f t="shared" ca="1" si="30"/>
        <v/>
      </c>
      <c r="AA63" s="377" t="str">
        <f t="shared" ca="1" si="30"/>
        <v/>
      </c>
      <c r="AB63" s="322"/>
      <c r="AC63" s="386" t="str">
        <f ca="1">IF( LEN( $U63 ) = 0, "", $U63 )</f>
        <v/>
      </c>
      <c r="AD63" s="347" t="str">
        <f t="shared" ca="1" si="31"/>
        <v/>
      </c>
      <c r="AE63" s="347" t="str">
        <f t="shared" ca="1" si="31"/>
        <v/>
      </c>
      <c r="AF63" s="379" t="str">
        <f t="shared" ca="1" si="31"/>
        <v/>
      </c>
      <c r="AG63" s="348"/>
      <c r="AH63" s="383" t="str">
        <f t="shared" ca="1" si="12"/>
        <v/>
      </c>
      <c r="AI63" s="349" t="str">
        <f t="shared" ca="1" si="23"/>
        <v/>
      </c>
      <c r="AJ63" s="349" t="str">
        <f t="shared" ca="1" si="13"/>
        <v/>
      </c>
      <c r="AK63" s="381" t="str">
        <f t="shared" ca="1" si="14"/>
        <v/>
      </c>
    </row>
    <row r="64" spans="1:37" s="331" customFormat="1">
      <c r="A64" s="352"/>
      <c r="B64" s="335">
        <f t="shared" si="24"/>
        <v>53</v>
      </c>
      <c r="C64" s="333">
        <f t="shared" ca="1" si="27"/>
        <v>0</v>
      </c>
      <c r="D64" s="333">
        <f t="shared" ca="1" si="28"/>
        <v>0</v>
      </c>
      <c r="E64" s="333"/>
      <c r="F64" s="441" t="str">
        <f ca="1">IF( ISNA( $I64 ), "", OFFSET( INDIRECT( F$6 &amp; F$8 ), $I64 - 1, F$9 - 1 ) )</f>
        <v/>
      </c>
      <c r="G64" s="344" t="str">
        <f t="shared" ref="G64:G65" ca="1" si="32">IF( ISNA( $I64 ), "", OFFSET( INDIRECT( G$6 &amp; G$8 ), $I64 - 1, G$9 - 1 ) )</f>
        <v/>
      </c>
      <c r="H64" s="344"/>
      <c r="I64" s="407" t="e">
        <f t="shared" ca="1" si="29"/>
        <v>#N/A</v>
      </c>
      <c r="J64" s="429"/>
      <c r="K64" s="441" t="str">
        <f t="shared" ca="1" si="16"/>
        <v/>
      </c>
      <c r="L64" s="343" t="str">
        <f t="shared" ca="1" si="16"/>
        <v/>
      </c>
      <c r="M64" s="344" t="str">
        <f t="shared" ca="1" si="17"/>
        <v/>
      </c>
      <c r="N64" s="344"/>
      <c r="O64" s="407" t="e">
        <f t="shared" ca="1" si="6"/>
        <v>#N/A</v>
      </c>
      <c r="Q64" s="394" t="e">
        <f t="shared" ca="1" si="18"/>
        <v>#N/A</v>
      </c>
      <c r="R64" s="335" t="str">
        <f ca="1">IF( ISNA( $Q64 ), "", OFFSET( INDIRECT( R$7 &amp; R$8 ), $Q64 - 1, 0 ) )</f>
        <v/>
      </c>
      <c r="S64" s="442" t="str">
        <f t="shared" ref="S64:S65" ca="1" si="33">IF( ISNA( $Q64 ), "", OFFSET( INDIRECT( S$7 &amp; S$8 ), $Q64 - 1, 0 ) )</f>
        <v/>
      </c>
      <c r="T64" s="333"/>
      <c r="U64" s="842" t="str">
        <f t="shared" ca="1" si="19"/>
        <v/>
      </c>
      <c r="V64" s="395" t="str">
        <f t="shared" ca="1" si="20"/>
        <v/>
      </c>
      <c r="X64" s="369" t="str">
        <f t="shared" ca="1" si="8"/>
        <v/>
      </c>
      <c r="Y64" s="346" t="str">
        <f t="shared" ca="1" si="30"/>
        <v/>
      </c>
      <c r="Z64" s="346" t="str">
        <f t="shared" ca="1" si="30"/>
        <v/>
      </c>
      <c r="AA64" s="377" t="str">
        <f t="shared" ca="1" si="30"/>
        <v/>
      </c>
      <c r="AB64" s="322"/>
      <c r="AC64" s="386" t="str">
        <f t="shared" ref="AC64:AC65" ca="1" si="34">IF( LEN( $U64 ) = 0, "", $U64 )</f>
        <v/>
      </c>
      <c r="AD64" s="347" t="str">
        <f t="shared" ca="1" si="31"/>
        <v/>
      </c>
      <c r="AE64" s="347" t="str">
        <f t="shared" ca="1" si="31"/>
        <v/>
      </c>
      <c r="AF64" s="379" t="str">
        <f t="shared" ca="1" si="31"/>
        <v/>
      </c>
      <c r="AG64" s="348"/>
      <c r="AH64" s="383" t="str">
        <f t="shared" ca="1" si="12"/>
        <v/>
      </c>
      <c r="AI64" s="349" t="str">
        <f t="shared" ca="1" si="23"/>
        <v/>
      </c>
      <c r="AJ64" s="349" t="str">
        <f t="shared" ca="1" si="13"/>
        <v/>
      </c>
      <c r="AK64" s="381" t="str">
        <f t="shared" ca="1" si="14"/>
        <v/>
      </c>
    </row>
    <row r="65" spans="1:37" s="331" customFormat="1">
      <c r="A65" s="352"/>
      <c r="B65" s="335">
        <f t="shared" si="24"/>
        <v>54</v>
      </c>
      <c r="C65" s="333">
        <f t="shared" ca="1" si="27"/>
        <v>0</v>
      </c>
      <c r="D65" s="333">
        <f t="shared" ca="1" si="28"/>
        <v>0</v>
      </c>
      <c r="E65" s="333"/>
      <c r="F65" s="441" t="str">
        <f t="shared" ref="F65" ca="1" si="35">IF( ISNA( $I65 ), "", OFFSET( INDIRECT( F$6 &amp; F$8 ), $I65 - 1, F$9 - 1 ) )</f>
        <v/>
      </c>
      <c r="G65" s="344" t="str">
        <f t="shared" ca="1" si="32"/>
        <v/>
      </c>
      <c r="H65" s="344"/>
      <c r="I65" s="407" t="e">
        <f t="shared" ca="1" si="29"/>
        <v>#N/A</v>
      </c>
      <c r="J65" s="429"/>
      <c r="K65" s="441" t="str">
        <f t="shared" ca="1" si="16"/>
        <v/>
      </c>
      <c r="L65" s="343" t="str">
        <f t="shared" ca="1" si="16"/>
        <v/>
      </c>
      <c r="M65" s="344" t="str">
        <f t="shared" ca="1" si="17"/>
        <v/>
      </c>
      <c r="N65" s="344"/>
      <c r="O65" s="407" t="e">
        <f t="shared" ca="1" si="6"/>
        <v>#N/A</v>
      </c>
      <c r="Q65" s="394" t="e">
        <f t="shared" ca="1" si="18"/>
        <v>#N/A</v>
      </c>
      <c r="R65" s="335" t="str">
        <f t="shared" ref="R65" ca="1" si="36">IF( ISNA( $Q65 ), "", OFFSET( INDIRECT( R$7 &amp; R$8 ), $Q65 - 1, 0 ) )</f>
        <v/>
      </c>
      <c r="S65" s="442" t="str">
        <f t="shared" ca="1" si="33"/>
        <v/>
      </c>
      <c r="T65" s="333"/>
      <c r="U65" s="842" t="str">
        <f t="shared" ca="1" si="19"/>
        <v/>
      </c>
      <c r="V65" s="395" t="str">
        <f t="shared" ca="1" si="20"/>
        <v/>
      </c>
      <c r="X65" s="369" t="str">
        <f t="shared" ca="1" si="8"/>
        <v/>
      </c>
      <c r="Y65" s="346" t="str">
        <f t="shared" ca="1" si="30"/>
        <v/>
      </c>
      <c r="Z65" s="346" t="str">
        <f t="shared" ca="1" si="30"/>
        <v/>
      </c>
      <c r="AA65" s="377" t="str">
        <f t="shared" ca="1" si="30"/>
        <v/>
      </c>
      <c r="AB65" s="322"/>
      <c r="AC65" s="386" t="str">
        <f t="shared" ca="1" si="34"/>
        <v/>
      </c>
      <c r="AD65" s="347" t="str">
        <f t="shared" ca="1" si="31"/>
        <v/>
      </c>
      <c r="AE65" s="347" t="str">
        <f t="shared" ca="1" si="31"/>
        <v/>
      </c>
      <c r="AF65" s="379" t="str">
        <f t="shared" ca="1" si="31"/>
        <v/>
      </c>
      <c r="AG65" s="348"/>
      <c r="AH65" s="383" t="str">
        <f ca="1">IF( OR( LEN( X65 ) = 0, LEN( AC65 ) = 0 ), "", X65 * AC65 )</f>
        <v/>
      </c>
      <c r="AI65" s="349" t="str">
        <f t="shared" ca="1" si="23"/>
        <v/>
      </c>
      <c r="AJ65" s="349" t="str">
        <f t="shared" ca="1" si="13"/>
        <v/>
      </c>
      <c r="AK65" s="381" t="str">
        <f t="shared" ca="1" si="14"/>
        <v/>
      </c>
    </row>
    <row r="66" spans="1:37" s="331" customFormat="1">
      <c r="A66" s="352"/>
      <c r="B66" s="332"/>
      <c r="C66" s="333"/>
      <c r="D66" s="333"/>
      <c r="E66" s="333"/>
      <c r="F66" s="354"/>
      <c r="G66" s="343"/>
      <c r="H66" s="355"/>
      <c r="I66" s="407"/>
      <c r="J66" s="429"/>
      <c r="K66" s="354"/>
      <c r="L66" s="343"/>
      <c r="M66" s="355"/>
      <c r="N66" s="355"/>
      <c r="O66" s="407"/>
      <c r="P66" s="356"/>
      <c r="Q66" s="367"/>
      <c r="U66" s="333"/>
      <c r="V66" s="395"/>
      <c r="W66" s="356"/>
      <c r="X66" s="368"/>
      <c r="Y66" s="322"/>
      <c r="Z66" s="322"/>
      <c r="AA66" s="376"/>
      <c r="AB66" s="322"/>
      <c r="AC66" s="384"/>
      <c r="AD66" s="348"/>
      <c r="AE66" s="348"/>
      <c r="AF66" s="380"/>
      <c r="AG66" s="348"/>
      <c r="AH66" s="384"/>
      <c r="AI66" s="348"/>
      <c r="AJ66" s="348"/>
      <c r="AK66" s="380"/>
    </row>
    <row r="67" spans="1:37" s="331" customFormat="1">
      <c r="A67" s="352"/>
      <c r="B67" s="332"/>
      <c r="C67" s="333"/>
      <c r="D67" s="333"/>
      <c r="E67" s="333"/>
      <c r="F67" s="357"/>
      <c r="G67" s="357"/>
      <c r="H67" s="355"/>
      <c r="I67" s="408"/>
      <c r="J67" s="429"/>
      <c r="K67" s="357"/>
      <c r="L67" s="357"/>
      <c r="M67" s="355"/>
      <c r="N67" s="355"/>
      <c r="O67" s="408"/>
      <c r="P67" s="356"/>
      <c r="Q67" s="367"/>
      <c r="U67" s="333"/>
      <c r="V67" s="392"/>
      <c r="W67" s="356"/>
      <c r="X67" s="368"/>
      <c r="Y67" s="322"/>
      <c r="Z67" s="322"/>
      <c r="AA67" s="376"/>
      <c r="AB67" s="322"/>
      <c r="AC67" s="384"/>
      <c r="AD67" s="348"/>
      <c r="AE67" s="348"/>
      <c r="AF67" s="380"/>
      <c r="AG67" s="348"/>
      <c r="AH67" s="384"/>
      <c r="AI67" s="348"/>
      <c r="AJ67" s="348"/>
      <c r="AK67" s="380"/>
    </row>
    <row r="68" spans="1:37" s="331" customFormat="1">
      <c r="A68" s="351"/>
      <c r="B68" s="332"/>
      <c r="C68" s="333"/>
      <c r="D68" s="333"/>
      <c r="E68" s="333"/>
      <c r="F68" s="357"/>
      <c r="H68" s="355"/>
      <c r="I68" s="408"/>
      <c r="J68" s="429"/>
      <c r="K68" s="357"/>
      <c r="M68" s="355"/>
      <c r="N68" s="355"/>
      <c r="O68" s="408"/>
      <c r="P68" s="356"/>
      <c r="Q68" s="367"/>
      <c r="U68" s="342"/>
      <c r="V68" s="392"/>
      <c r="W68" s="356"/>
      <c r="X68" s="370"/>
      <c r="Y68" s="358"/>
      <c r="Z68" s="322"/>
      <c r="AA68" s="378"/>
      <c r="AB68" s="322"/>
      <c r="AC68" s="384"/>
      <c r="AD68" s="348"/>
      <c r="AE68" s="348"/>
      <c r="AF68" s="380"/>
      <c r="AG68" s="348"/>
      <c r="AH68" s="384"/>
      <c r="AI68" s="348"/>
      <c r="AJ68" s="348"/>
      <c r="AK68" s="380"/>
    </row>
    <row r="69" spans="1:37" s="319" customFormat="1">
      <c r="A69" s="352"/>
      <c r="B69" s="316"/>
      <c r="C69" s="324" t="s">
        <v>77</v>
      </c>
      <c r="D69" s="324"/>
      <c r="E69" s="324"/>
      <c r="F69" s="325"/>
      <c r="G69" s="410">
        <f ca="1">SUM(G12:G66)</f>
        <v>773535.61783613998</v>
      </c>
      <c r="H69" s="324"/>
      <c r="I69" s="411"/>
      <c r="J69" s="433"/>
      <c r="K69" s="325"/>
      <c r="L69" s="410"/>
      <c r="M69" s="410">
        <f ca="1">SUM(M12:M66)</f>
        <v>773535.61783613998</v>
      </c>
      <c r="N69" s="324"/>
      <c r="O69" s="411"/>
      <c r="Q69" s="412"/>
      <c r="U69" s="324"/>
      <c r="V69" s="413">
        <f ca="1">SUM(V12:V66)</f>
        <v>773535.61783613998</v>
      </c>
      <c r="X69" s="414">
        <f ca="1">V69</f>
        <v>773535.61783613998</v>
      </c>
      <c r="Y69" s="415">
        <f ca="1">SUMIF( $R$12:$R$65, Y$4, $V$12:$V$65 )</f>
        <v>524495.16485617985</v>
      </c>
      <c r="Z69" s="415">
        <f ca="1">SUMIF( $R$12:$R$65, Z$4, $V$12:$V$65 )</f>
        <v>249040.45297996001</v>
      </c>
      <c r="AA69" s="416">
        <f ca="1">SUMIF( $R$12:$R$65, AA$4, $V$12:$V$65 )</f>
        <v>0</v>
      </c>
      <c r="AB69" s="326"/>
      <c r="AC69" s="385"/>
      <c r="AD69" s="359"/>
      <c r="AE69" s="359"/>
      <c r="AF69" s="382"/>
      <c r="AG69" s="417"/>
      <c r="AH69" s="385"/>
      <c r="AI69" s="359"/>
      <c r="AJ69" s="359"/>
      <c r="AK69" s="382"/>
    </row>
    <row r="70" spans="1:37" s="319" customFormat="1">
      <c r="B70" s="316"/>
      <c r="C70" s="324" t="s">
        <v>420</v>
      </c>
      <c r="D70" s="324"/>
      <c r="E70" s="324"/>
      <c r="F70" s="325"/>
      <c r="G70" s="325"/>
      <c r="H70" s="324"/>
      <c r="I70" s="373"/>
      <c r="J70" s="433"/>
      <c r="K70" s="325"/>
      <c r="L70" s="325"/>
      <c r="M70" s="324"/>
      <c r="N70" s="324"/>
      <c r="O70" s="373"/>
      <c r="Q70" s="412"/>
      <c r="U70" s="324"/>
      <c r="V70" s="419"/>
      <c r="X70" s="409">
        <f ca="1">AVERAGE( X$12:X$66 )</f>
        <v>2.4999999999999994E-2</v>
      </c>
      <c r="Y70" s="420">
        <f ca="1">AVERAGE( Y$12:Y$66 )</f>
        <v>3.2258064516129045E-2</v>
      </c>
      <c r="Z70" s="420">
        <f ca="1">AVERAGE( Z$12:Z$66 )</f>
        <v>0.1111111111111111</v>
      </c>
      <c r="AA70" s="421" t="e">
        <f ca="1">AVERAGE( AA$12:AA$66 )</f>
        <v>#DIV/0!</v>
      </c>
      <c r="AB70" s="326"/>
      <c r="AC70" s="385">
        <f ca="1">AVERAGE( AC$12:AC$66 )</f>
        <v>-15.76426708255948</v>
      </c>
      <c r="AD70" s="359">
        <f ca="1">AVERAGE( AD$12:AD$66 )</f>
        <v>-15.024348928007255</v>
      </c>
      <c r="AE70" s="359">
        <f ca="1">AVERAGE( AE$12:AE$66 )</f>
        <v>-18.312874059350492</v>
      </c>
      <c r="AF70" s="382" t="e">
        <f ca="1">AVERAGE( AF$12:AF$66 )</f>
        <v>#DIV/0!</v>
      </c>
      <c r="AG70" s="326"/>
      <c r="AH70" s="385">
        <f ca="1">SUM( AH$12:AH$66 )</f>
        <v>-12.620973282078024</v>
      </c>
      <c r="AI70" s="359">
        <f t="shared" ref="AI70:AK70" ca="1" si="37">SUM( AI$12:AI$66 )</f>
        <v>-13.209215146064681</v>
      </c>
      <c r="AJ70" s="359">
        <f t="shared" ca="1" si="37"/>
        <v>-11.382098192769494</v>
      </c>
      <c r="AK70" s="382">
        <f t="shared" ca="1" si="37"/>
        <v>0</v>
      </c>
    </row>
    <row r="71" spans="1:37" s="331" customFormat="1">
      <c r="B71" s="332"/>
      <c r="C71" s="333"/>
      <c r="D71" s="333"/>
      <c r="E71" s="333"/>
      <c r="F71" s="357"/>
      <c r="G71" s="357"/>
      <c r="H71" s="333"/>
      <c r="I71" s="376"/>
      <c r="J71" s="429"/>
      <c r="K71" s="357"/>
      <c r="L71" s="357"/>
      <c r="M71" s="333"/>
      <c r="N71" s="333"/>
      <c r="O71" s="376"/>
      <c r="Q71" s="367"/>
      <c r="U71" s="333"/>
      <c r="V71" s="392"/>
      <c r="X71" s="409">
        <f ca="1">SUM(X12:X65)</f>
        <v>0.99999999999999978</v>
      </c>
      <c r="Y71" s="322"/>
      <c r="Z71" s="322"/>
      <c r="AA71" s="376"/>
      <c r="AB71" s="322"/>
      <c r="AC71" s="368"/>
      <c r="AD71" s="322"/>
      <c r="AE71" s="322"/>
      <c r="AF71" s="376"/>
      <c r="AG71" s="322"/>
      <c r="AH71" s="368"/>
      <c r="AI71" s="322"/>
      <c r="AJ71" s="322"/>
      <c r="AK71" s="376"/>
    </row>
    <row r="72" spans="1:37" s="331" customFormat="1">
      <c r="B72" s="332"/>
      <c r="C72" s="333"/>
      <c r="D72" s="333"/>
      <c r="E72" s="333"/>
      <c r="F72" s="357"/>
      <c r="G72" s="357"/>
      <c r="H72" s="333"/>
      <c r="I72" s="376"/>
      <c r="J72" s="429"/>
      <c r="K72" s="357"/>
      <c r="L72" s="357"/>
      <c r="M72" s="333"/>
      <c r="N72" s="333"/>
      <c r="O72" s="376"/>
      <c r="Q72" s="367"/>
      <c r="U72" s="333"/>
      <c r="V72" s="392"/>
      <c r="X72" s="368"/>
      <c r="Y72" s="322"/>
      <c r="Z72" s="322"/>
      <c r="AA72" s="376"/>
      <c r="AB72" s="322"/>
      <c r="AC72" s="368"/>
      <c r="AD72" s="322"/>
      <c r="AE72" s="322"/>
      <c r="AF72" s="376"/>
      <c r="AG72" s="322"/>
      <c r="AH72" s="368"/>
      <c r="AI72" s="322"/>
      <c r="AJ72" s="322"/>
      <c r="AK72" s="376"/>
    </row>
    <row r="73" spans="1:37" s="331" customFormat="1">
      <c r="B73" s="332"/>
      <c r="C73" s="333"/>
      <c r="D73" s="333"/>
      <c r="E73" s="333"/>
      <c r="F73" s="357"/>
      <c r="G73" s="357"/>
      <c r="H73" s="333"/>
      <c r="I73" s="376"/>
      <c r="J73" s="429"/>
      <c r="K73" s="357"/>
      <c r="L73" s="357"/>
      <c r="M73" s="333"/>
      <c r="N73" s="333"/>
      <c r="O73" s="376"/>
      <c r="Q73" s="367"/>
      <c r="U73" s="333"/>
      <c r="V73" s="392"/>
      <c r="X73" s="368"/>
      <c r="Y73" s="322"/>
      <c r="Z73" s="322"/>
      <c r="AA73" s="376"/>
      <c r="AB73" s="322"/>
      <c r="AC73" s="368"/>
      <c r="AD73" s="322"/>
      <c r="AE73" s="322"/>
      <c r="AF73" s="376"/>
      <c r="AG73" s="322"/>
      <c r="AH73" s="368"/>
      <c r="AI73" s="322"/>
      <c r="AJ73" s="322"/>
      <c r="AK73" s="376"/>
    </row>
    <row r="74" spans="1:37" s="331" customFormat="1">
      <c r="B74" s="332"/>
      <c r="C74" s="333"/>
      <c r="D74" s="333"/>
      <c r="E74" s="333"/>
      <c r="F74" s="357"/>
      <c r="G74" s="357"/>
      <c r="H74" s="333"/>
      <c r="I74" s="376"/>
      <c r="J74" s="429"/>
      <c r="K74" s="357"/>
      <c r="L74" s="357"/>
      <c r="M74" s="333"/>
      <c r="N74" s="333"/>
      <c r="O74" s="376"/>
      <c r="Q74" s="367"/>
      <c r="U74" s="333"/>
      <c r="V74" s="392"/>
      <c r="X74" s="368"/>
      <c r="Y74" s="322"/>
      <c r="Z74" s="322"/>
      <c r="AA74" s="376"/>
      <c r="AB74" s="322"/>
      <c r="AC74" s="368"/>
      <c r="AD74" s="322"/>
      <c r="AE74" s="322"/>
      <c r="AF74" s="376"/>
      <c r="AG74" s="322"/>
      <c r="AH74" s="368"/>
      <c r="AI74" s="322"/>
      <c r="AJ74" s="322"/>
      <c r="AK74" s="376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6" customWidth="1"/>
    <col min="2" max="2" width="9.33203125" style="245" customWidth="1"/>
    <col min="3" max="3" width="37.109375" style="229" customWidth="1"/>
    <col min="4" max="4" width="9" style="230" customWidth="1"/>
    <col min="5" max="5" width="13.6640625" style="263" customWidth="1"/>
    <col min="6" max="6" width="3.5546875" style="229" customWidth="1"/>
    <col min="7" max="16384" width="9.109375" style="246"/>
  </cols>
  <sheetData>
    <row r="1" spans="2:6" collapsed="1"/>
    <row r="2" spans="2:6" s="243" customFormat="1" hidden="1" outlineLevel="1">
      <c r="B2" s="239"/>
      <c r="C2" s="240"/>
      <c r="D2" s="241"/>
      <c r="E2" s="261"/>
      <c r="F2" s="242"/>
    </row>
    <row r="3" spans="2:6" s="243" customFormat="1" hidden="1" outlineLevel="1">
      <c r="B3" s="239"/>
      <c r="C3" s="240"/>
      <c r="D3" s="241"/>
      <c r="E3" s="262"/>
      <c r="F3" s="241"/>
    </row>
    <row r="4" spans="2:6" s="243" customFormat="1" hidden="1" outlineLevel="1">
      <c r="B4" s="239"/>
      <c r="C4" s="240"/>
      <c r="D4" s="241"/>
      <c r="E4" s="262"/>
      <c r="F4" s="241"/>
    </row>
    <row r="5" spans="2:6" s="285" customFormat="1" collapsed="1">
      <c r="B5" s="286" t="s">
        <v>65</v>
      </c>
      <c r="C5" s="285" t="s">
        <v>395</v>
      </c>
      <c r="D5" s="286" t="s">
        <v>330</v>
      </c>
      <c r="E5" s="287" t="s">
        <v>396</v>
      </c>
      <c r="F5" s="286"/>
    </row>
    <row r="6" spans="2:6" s="243" customFormat="1" collapsed="1">
      <c r="B6" s="239"/>
      <c r="C6" s="240"/>
      <c r="D6" s="241"/>
      <c r="E6" s="261"/>
      <c r="F6" s="241"/>
    </row>
    <row r="7" spans="2:6" s="243" customFormat="1" hidden="1" outlineLevel="1">
      <c r="B7" s="239"/>
      <c r="C7" s="240"/>
      <c r="D7" s="241"/>
      <c r="E7" s="261"/>
      <c r="F7" s="241"/>
    </row>
    <row r="8" spans="2:6" s="243" customFormat="1" hidden="1" outlineLevel="1">
      <c r="B8" s="239"/>
      <c r="C8" s="240"/>
      <c r="D8" s="241"/>
      <c r="E8" s="261"/>
      <c r="F8" s="241"/>
    </row>
    <row r="9" spans="2:6" hidden="1" outlineLevel="1"/>
    <row r="10" spans="2:6" s="234" customFormat="1" collapsed="1">
      <c r="B10" s="237">
        <v>1</v>
      </c>
      <c r="C10" s="259" t="s">
        <v>180</v>
      </c>
      <c r="D10" s="237" t="s">
        <v>43</v>
      </c>
      <c r="E10" s="260">
        <v>4022309</v>
      </c>
      <c r="F10" s="250"/>
    </row>
    <row r="11" spans="2:6" s="234" customFormat="1">
      <c r="B11" s="258">
        <f ca="1">OFFSET( B11, -1, 0 ) + 1</f>
        <v>2</v>
      </c>
      <c r="C11" s="259" t="s">
        <v>181</v>
      </c>
      <c r="D11" s="237" t="s">
        <v>33</v>
      </c>
      <c r="E11" s="260">
        <v>4057038</v>
      </c>
      <c r="F11" s="250"/>
    </row>
    <row r="12" spans="2:6" s="234" customFormat="1">
      <c r="B12" s="258">
        <f t="shared" ref="B12:B49" ca="1" si="0">OFFSET( B12, -1, 0 ) + 1</f>
        <v>3</v>
      </c>
      <c r="C12" s="259" t="s">
        <v>194</v>
      </c>
      <c r="D12" s="237" t="s">
        <v>22</v>
      </c>
      <c r="E12" s="260">
        <v>4007308</v>
      </c>
      <c r="F12" s="250"/>
    </row>
    <row r="13" spans="2:6" s="234" customFormat="1">
      <c r="B13" s="258">
        <f t="shared" ca="1" si="0"/>
        <v>4</v>
      </c>
      <c r="C13" s="259" t="s">
        <v>184</v>
      </c>
      <c r="D13" s="237" t="s">
        <v>18</v>
      </c>
      <c r="E13" s="260">
        <v>4006321</v>
      </c>
      <c r="F13" s="250"/>
    </row>
    <row r="14" spans="2:6" s="234" customFormat="1">
      <c r="B14" s="258">
        <f t="shared" ca="1" si="0"/>
        <v>5</v>
      </c>
      <c r="C14" s="259" t="s">
        <v>642</v>
      </c>
      <c r="D14" s="237" t="s">
        <v>644</v>
      </c>
      <c r="E14" s="260">
        <v>4057045</v>
      </c>
      <c r="F14" s="250"/>
    </row>
    <row r="15" spans="2:6" s="234" customFormat="1">
      <c r="B15" s="258">
        <f t="shared" ca="1" si="0"/>
        <v>6</v>
      </c>
      <c r="C15" s="259" t="s">
        <v>175</v>
      </c>
      <c r="D15" s="237" t="s">
        <v>47</v>
      </c>
      <c r="E15" s="260">
        <v>4057075</v>
      </c>
      <c r="F15" s="250"/>
    </row>
    <row r="16" spans="2:6" s="234" customFormat="1">
      <c r="B16" s="258">
        <f t="shared" ca="1" si="0"/>
        <v>7</v>
      </c>
      <c r="C16" s="259" t="s">
        <v>195</v>
      </c>
      <c r="D16" s="237" t="s">
        <v>41</v>
      </c>
      <c r="E16" s="260">
        <v>4010420</v>
      </c>
      <c r="F16" s="250"/>
    </row>
    <row r="17" spans="2:6" s="234" customFormat="1">
      <c r="B17" s="258">
        <f t="shared" ca="1" si="0"/>
        <v>8</v>
      </c>
      <c r="C17" s="259" t="s">
        <v>185</v>
      </c>
      <c r="D17" s="237" t="s">
        <v>28</v>
      </c>
      <c r="E17" s="260">
        <v>4074390</v>
      </c>
      <c r="F17" s="250"/>
    </row>
    <row r="18" spans="2:6" s="234" customFormat="1">
      <c r="B18" s="258">
        <f t="shared" ca="1" si="0"/>
        <v>9</v>
      </c>
      <c r="C18" s="259" t="s">
        <v>196</v>
      </c>
      <c r="D18" s="237" t="s">
        <v>80</v>
      </c>
      <c r="E18" s="260">
        <v>4004172</v>
      </c>
      <c r="F18" s="250"/>
    </row>
    <row r="19" spans="2:6" s="234" customFormat="1">
      <c r="B19" s="258">
        <f t="shared" ca="1" si="0"/>
        <v>10</v>
      </c>
      <c r="C19" s="259" t="s">
        <v>178</v>
      </c>
      <c r="D19" s="237" t="s">
        <v>108</v>
      </c>
      <c r="E19" s="260">
        <v>4057041</v>
      </c>
      <c r="F19" s="250"/>
    </row>
    <row r="20" spans="2:6" s="234" customFormat="1">
      <c r="B20" s="258">
        <f t="shared" ca="1" si="0"/>
        <v>11</v>
      </c>
      <c r="C20" s="259" t="s">
        <v>683</v>
      </c>
      <c r="D20" s="237" t="s">
        <v>11</v>
      </c>
      <c r="E20" s="260">
        <v>4001616</v>
      </c>
      <c r="F20" s="250"/>
    </row>
    <row r="21" spans="2:6" s="234" customFormat="1">
      <c r="B21" s="258">
        <f t="shared" ca="1" si="0"/>
        <v>12</v>
      </c>
      <c r="C21" s="259" t="s">
        <v>186</v>
      </c>
      <c r="D21" s="237" t="s">
        <v>23</v>
      </c>
      <c r="E21" s="260">
        <v>4057044</v>
      </c>
      <c r="F21" s="250"/>
    </row>
    <row r="22" spans="2:6" s="234" customFormat="1">
      <c r="B22" s="258">
        <f t="shared" ca="1" si="0"/>
        <v>13</v>
      </c>
      <c r="C22" s="259" t="s">
        <v>179</v>
      </c>
      <c r="D22" s="237" t="s">
        <v>12</v>
      </c>
      <c r="E22" s="260">
        <v>4121470</v>
      </c>
      <c r="F22" s="250"/>
    </row>
    <row r="23" spans="2:6" s="234" customFormat="1">
      <c r="B23" s="258">
        <f t="shared" ca="1" si="0"/>
        <v>14</v>
      </c>
      <c r="C23" s="259" t="s">
        <v>78</v>
      </c>
      <c r="D23" s="237" t="s">
        <v>16</v>
      </c>
      <c r="E23" s="260">
        <v>4056943</v>
      </c>
      <c r="F23" s="250"/>
    </row>
    <row r="24" spans="2:6" s="234" customFormat="1">
      <c r="B24" s="258">
        <f t="shared" ca="1" si="0"/>
        <v>15</v>
      </c>
      <c r="C24" s="259" t="s">
        <v>187</v>
      </c>
      <c r="D24" s="237" t="s">
        <v>46</v>
      </c>
      <c r="E24" s="260">
        <v>4056994</v>
      </c>
      <c r="F24" s="250"/>
    </row>
    <row r="25" spans="2:6" s="234" customFormat="1">
      <c r="B25" s="258">
        <f t="shared" ca="1" si="0"/>
        <v>16</v>
      </c>
      <c r="C25" s="259" t="s">
        <v>188</v>
      </c>
      <c r="D25" s="237" t="s">
        <v>15</v>
      </c>
      <c r="E25" s="260">
        <v>4007889</v>
      </c>
      <c r="F25" s="250"/>
    </row>
    <row r="26" spans="2:6" s="234" customFormat="1">
      <c r="B26" s="258">
        <f t="shared" ca="1" si="0"/>
        <v>17</v>
      </c>
      <c r="C26" s="259" t="s">
        <v>681</v>
      </c>
      <c r="D26" s="237" t="s">
        <v>680</v>
      </c>
      <c r="E26" s="260">
        <v>8603803</v>
      </c>
      <c r="F26" s="250"/>
    </row>
    <row r="27" spans="2:6" s="234" customFormat="1">
      <c r="B27" s="258">
        <f t="shared" ca="1" si="0"/>
        <v>18</v>
      </c>
      <c r="C27" s="259" t="s">
        <v>623</v>
      </c>
      <c r="D27" s="237" t="s">
        <v>624</v>
      </c>
      <c r="E27" s="260">
        <v>4057052</v>
      </c>
      <c r="F27" s="250"/>
    </row>
    <row r="28" spans="2:6" s="234" customFormat="1">
      <c r="B28" s="258">
        <f t="shared" ca="1" si="0"/>
        <v>19</v>
      </c>
      <c r="C28" s="259" t="s">
        <v>189</v>
      </c>
      <c r="D28" s="237" t="s">
        <v>10</v>
      </c>
      <c r="E28" s="260">
        <v>4057056</v>
      </c>
      <c r="F28" s="250"/>
    </row>
    <row r="29" spans="2:6" s="234" customFormat="1">
      <c r="B29" s="258">
        <f t="shared" ca="1" si="0"/>
        <v>20</v>
      </c>
      <c r="C29" s="259" t="s">
        <v>81</v>
      </c>
      <c r="D29" s="237" t="s">
        <v>14</v>
      </c>
      <c r="E29" s="260">
        <v>4056944</v>
      </c>
      <c r="F29" s="250"/>
    </row>
    <row r="30" spans="2:6" s="234" customFormat="1">
      <c r="B30" s="258">
        <f t="shared" ca="1" si="0"/>
        <v>21</v>
      </c>
      <c r="C30" s="259" t="s">
        <v>171</v>
      </c>
      <c r="D30" s="237" t="s">
        <v>36</v>
      </c>
      <c r="E30" s="260">
        <v>1031123</v>
      </c>
      <c r="F30" s="250"/>
    </row>
    <row r="31" spans="2:6" s="234" customFormat="1">
      <c r="B31" s="258">
        <f t="shared" ca="1" si="0"/>
        <v>22</v>
      </c>
      <c r="C31" s="259" t="s">
        <v>190</v>
      </c>
      <c r="D31" s="237" t="s">
        <v>42</v>
      </c>
      <c r="E31" s="260">
        <v>4056949</v>
      </c>
      <c r="F31" s="250"/>
    </row>
    <row r="32" spans="2:6" s="234" customFormat="1">
      <c r="B32" s="258">
        <f t="shared" ca="1" si="0"/>
        <v>23</v>
      </c>
      <c r="C32" s="259" t="s">
        <v>182</v>
      </c>
      <c r="D32" s="237" t="s">
        <v>31</v>
      </c>
      <c r="E32" s="260">
        <v>4010692</v>
      </c>
      <c r="F32" s="250"/>
    </row>
    <row r="33" spans="2:6" s="234" customFormat="1">
      <c r="B33" s="258">
        <f t="shared" ca="1" si="0"/>
        <v>24</v>
      </c>
      <c r="C33" s="259" t="s">
        <v>173</v>
      </c>
      <c r="D33" s="237" t="s">
        <v>50</v>
      </c>
      <c r="E33" s="260">
        <v>4072883</v>
      </c>
      <c r="F33" s="250"/>
    </row>
    <row r="34" spans="2:6" s="234" customFormat="1">
      <c r="B34" s="258">
        <f t="shared" ca="1" si="0"/>
        <v>25</v>
      </c>
      <c r="C34" s="259" t="s">
        <v>209</v>
      </c>
      <c r="D34" s="237" t="s">
        <v>208</v>
      </c>
      <c r="E34" s="260">
        <v>3010401</v>
      </c>
      <c r="F34" s="250"/>
    </row>
    <row r="35" spans="2:6" s="234" customFormat="1">
      <c r="B35" s="258">
        <f t="shared" ca="1" si="0"/>
        <v>26</v>
      </c>
      <c r="C35" s="259" t="s">
        <v>197</v>
      </c>
      <c r="D35" s="237" t="s">
        <v>25</v>
      </c>
      <c r="E35" s="260">
        <v>4057051</v>
      </c>
      <c r="F35" s="250"/>
    </row>
    <row r="36" spans="2:6" s="234" customFormat="1">
      <c r="B36" s="258">
        <f t="shared" ca="1" si="0"/>
        <v>27</v>
      </c>
      <c r="C36" s="259" t="s">
        <v>191</v>
      </c>
      <c r="D36" s="237" t="s">
        <v>170</v>
      </c>
      <c r="E36" s="260">
        <v>4057053</v>
      </c>
      <c r="F36" s="250"/>
    </row>
    <row r="37" spans="2:6" s="234" customFormat="1">
      <c r="B37" s="258">
        <f t="shared" ca="1" si="0"/>
        <v>28</v>
      </c>
      <c r="C37" s="259" t="s">
        <v>83</v>
      </c>
      <c r="D37" s="237" t="s">
        <v>35</v>
      </c>
      <c r="E37" s="260">
        <v>4057055</v>
      </c>
      <c r="F37" s="250"/>
    </row>
    <row r="38" spans="2:6" s="234" customFormat="1">
      <c r="B38" s="258">
        <f t="shared" ca="1" si="0"/>
        <v>29</v>
      </c>
      <c r="C38" s="259" t="s">
        <v>198</v>
      </c>
      <c r="D38" s="237" t="s">
        <v>48</v>
      </c>
      <c r="E38" s="260">
        <v>4057017</v>
      </c>
      <c r="F38" s="250"/>
    </row>
    <row r="39" spans="2:6" s="234" customFormat="1">
      <c r="B39" s="258">
        <f t="shared" ca="1" si="0"/>
        <v>30</v>
      </c>
      <c r="C39" s="259" t="s">
        <v>174</v>
      </c>
      <c r="D39" s="237" t="s">
        <v>109</v>
      </c>
      <c r="E39" s="260">
        <v>4057057</v>
      </c>
      <c r="F39" s="250"/>
    </row>
    <row r="40" spans="2:6" s="234" customFormat="1">
      <c r="B40" s="258">
        <f t="shared" ca="1" si="0"/>
        <v>31</v>
      </c>
      <c r="C40" s="259" t="s">
        <v>199</v>
      </c>
      <c r="D40" s="237" t="s">
        <v>30</v>
      </c>
      <c r="E40" s="260">
        <v>4056951</v>
      </c>
      <c r="F40" s="250"/>
    </row>
    <row r="41" spans="2:6" s="234" customFormat="1">
      <c r="B41" s="258">
        <f t="shared" ca="1" si="0"/>
        <v>32</v>
      </c>
      <c r="C41" s="259" t="s">
        <v>200</v>
      </c>
      <c r="D41" s="237" t="s">
        <v>40</v>
      </c>
      <c r="E41" s="260">
        <v>4006880</v>
      </c>
      <c r="F41" s="250"/>
    </row>
    <row r="42" spans="2:6" s="234" customFormat="1">
      <c r="B42" s="258">
        <f t="shared" ca="1" si="0"/>
        <v>33</v>
      </c>
      <c r="C42" s="259" t="s">
        <v>183</v>
      </c>
      <c r="D42" s="237" t="s">
        <v>84</v>
      </c>
      <c r="E42" s="260">
        <v>4057019</v>
      </c>
      <c r="F42" s="250"/>
    </row>
    <row r="43" spans="2:6" s="234" customFormat="1">
      <c r="B43" s="258">
        <f t="shared" ca="1" si="0"/>
        <v>34</v>
      </c>
      <c r="C43" s="259" t="s">
        <v>192</v>
      </c>
      <c r="D43" s="237" t="s">
        <v>74</v>
      </c>
      <c r="E43" s="260">
        <v>4057058</v>
      </c>
      <c r="F43" s="250"/>
    </row>
    <row r="44" spans="2:6" s="234" customFormat="1">
      <c r="B44" s="258">
        <f t="shared" ca="1" si="0"/>
        <v>35</v>
      </c>
      <c r="C44" s="259" t="s">
        <v>193</v>
      </c>
      <c r="D44" s="237" t="s">
        <v>17</v>
      </c>
      <c r="E44" s="260">
        <v>4050911</v>
      </c>
      <c r="F44" s="250"/>
    </row>
    <row r="45" spans="2:6" s="234" customFormat="1">
      <c r="B45" s="258">
        <f t="shared" ca="1" si="0"/>
        <v>36</v>
      </c>
      <c r="C45" s="259" t="s">
        <v>79</v>
      </c>
      <c r="D45" s="237" t="s">
        <v>19</v>
      </c>
      <c r="E45" s="260">
        <v>4057062</v>
      </c>
      <c r="F45" s="250"/>
    </row>
    <row r="46" spans="2:6" s="234" customFormat="1">
      <c r="B46" s="258">
        <f t="shared" ca="1" si="0"/>
        <v>37</v>
      </c>
      <c r="C46" s="259" t="s">
        <v>172</v>
      </c>
      <c r="D46" s="237" t="s">
        <v>13</v>
      </c>
      <c r="E46" s="260">
        <v>4004298</v>
      </c>
      <c r="F46" s="250"/>
    </row>
    <row r="47" spans="2:6" s="234" customFormat="1">
      <c r="B47" s="258">
        <f t="shared" ca="1" si="0"/>
        <v>38</v>
      </c>
      <c r="C47" s="259" t="s">
        <v>201</v>
      </c>
      <c r="D47" s="237" t="s">
        <v>52</v>
      </c>
      <c r="E47" s="260">
        <v>4056953</v>
      </c>
      <c r="F47" s="250"/>
    </row>
    <row r="48" spans="2:6" s="234" customFormat="1">
      <c r="B48" s="258">
        <f t="shared" ca="1" si="0"/>
        <v>39</v>
      </c>
      <c r="C48" s="259" t="s">
        <v>631</v>
      </c>
      <c r="D48" s="237" t="s">
        <v>27</v>
      </c>
      <c r="E48" s="260">
        <v>4009725</v>
      </c>
      <c r="F48" s="250"/>
    </row>
    <row r="49" spans="2:6" s="234" customFormat="1">
      <c r="B49" s="258">
        <f t="shared" ca="1" si="0"/>
        <v>40</v>
      </c>
      <c r="C49" s="259" t="s">
        <v>82</v>
      </c>
      <c r="D49" s="237" t="s">
        <v>24</v>
      </c>
      <c r="E49" s="260">
        <v>4025308</v>
      </c>
      <c r="F49" s="250"/>
    </row>
    <row r="50" spans="2:6" s="234" customFormat="1">
      <c r="B50" s="258"/>
      <c r="C50" s="258"/>
      <c r="D50" s="258"/>
      <c r="E50" s="258"/>
      <c r="F50" s="250"/>
    </row>
    <row r="51" spans="2:6" s="234" customFormat="1">
      <c r="B51" s="258"/>
      <c r="C51" s="258"/>
      <c r="D51" s="258"/>
      <c r="E51" s="258"/>
      <c r="F51" s="250"/>
    </row>
    <row r="52" spans="2:6" s="234" customFormat="1">
      <c r="B52" s="258"/>
      <c r="C52" s="259"/>
      <c r="D52" s="237"/>
      <c r="E52" s="260"/>
      <c r="F52" s="250"/>
    </row>
    <row r="53" spans="2:6" s="234" customFormat="1">
      <c r="B53" s="258"/>
      <c r="C53" s="259"/>
      <c r="D53" s="237"/>
      <c r="E53" s="260"/>
      <c r="F53" s="250"/>
    </row>
    <row r="54" spans="2:6">
      <c r="C54" s="245"/>
      <c r="D54" s="245"/>
      <c r="E54" s="245"/>
      <c r="F54" s="254"/>
    </row>
    <row r="55" spans="2:6">
      <c r="C55" s="253"/>
      <c r="E55" s="254"/>
      <c r="F55" s="254"/>
    </row>
    <row r="56" spans="2:6">
      <c r="C56" s="253"/>
      <c r="E56" s="254"/>
      <c r="F56" s="254"/>
    </row>
    <row r="57" spans="2:6">
      <c r="C57" s="253"/>
      <c r="E57" s="254"/>
      <c r="F57" s="255"/>
    </row>
    <row r="58" spans="2:6">
      <c r="C58" s="253"/>
      <c r="E58" s="254"/>
      <c r="F58" s="255"/>
    </row>
    <row r="59" spans="2:6">
      <c r="C59" s="253"/>
      <c r="E59" s="254"/>
      <c r="F59" s="254"/>
    </row>
    <row r="60" spans="2:6">
      <c r="C60" s="253"/>
      <c r="E60" s="254"/>
      <c r="F60" s="255"/>
    </row>
    <row r="61" spans="2:6">
      <c r="C61" s="253"/>
      <c r="E61" s="254"/>
      <c r="F61" s="255"/>
    </row>
    <row r="62" spans="2:6">
      <c r="C62" s="253"/>
      <c r="E62" s="254"/>
      <c r="F62" s="255"/>
    </row>
    <row r="63" spans="2:6">
      <c r="C63" s="253"/>
      <c r="E63" s="254"/>
      <c r="F63" s="255"/>
    </row>
    <row r="64" spans="2:6">
      <c r="C64" s="253"/>
      <c r="E64" s="254"/>
      <c r="F64" s="255"/>
    </row>
    <row r="65" spans="3:6">
      <c r="C65" s="253"/>
      <c r="E65" s="254"/>
      <c r="F65" s="254"/>
    </row>
    <row r="66" spans="3:6">
      <c r="C66" s="253"/>
      <c r="E66" s="254"/>
      <c r="F66" s="254"/>
    </row>
    <row r="67" spans="3:6">
      <c r="C67" s="253"/>
      <c r="E67" s="254"/>
      <c r="F67" s="254"/>
    </row>
    <row r="68" spans="3:6">
      <c r="C68" s="253"/>
      <c r="E68" s="254"/>
      <c r="F68" s="254"/>
    </row>
    <row r="69" spans="3:6">
      <c r="C69" s="253"/>
      <c r="E69" s="254"/>
      <c r="F69" s="254"/>
    </row>
    <row r="70" spans="3:6">
      <c r="C70" s="253"/>
      <c r="E70" s="254"/>
      <c r="F70" s="254"/>
    </row>
    <row r="71" spans="3:6">
      <c r="C71" s="253"/>
      <c r="E71" s="254"/>
      <c r="F71" s="254"/>
    </row>
    <row r="72" spans="3:6">
      <c r="C72" s="253"/>
      <c r="E72" s="254"/>
      <c r="F72" s="254"/>
    </row>
    <row r="73" spans="3:6">
      <c r="C73" s="253"/>
      <c r="E73" s="254"/>
      <c r="F73" s="254"/>
    </row>
    <row r="74" spans="3:6">
      <c r="C74" s="253"/>
      <c r="E74" s="254"/>
      <c r="F74" s="254"/>
    </row>
    <row r="75" spans="3:6">
      <c r="C75" s="253"/>
      <c r="E75" s="254"/>
      <c r="F75" s="254"/>
    </row>
    <row r="76" spans="3:6">
      <c r="C76" s="253"/>
      <c r="E76" s="254"/>
      <c r="F76" s="254"/>
    </row>
    <row r="77" spans="3:6">
      <c r="C77" s="253"/>
      <c r="E77" s="254"/>
      <c r="F77" s="254"/>
    </row>
    <row r="78" spans="3:6">
      <c r="C78" s="253"/>
      <c r="E78" s="254"/>
      <c r="F78" s="254"/>
    </row>
    <row r="79" spans="3:6">
      <c r="C79" s="253"/>
      <c r="E79" s="254"/>
      <c r="F79" s="254"/>
    </row>
    <row r="80" spans="3:6">
      <c r="C80" s="253"/>
      <c r="E80" s="254"/>
      <c r="F80" s="254"/>
    </row>
    <row r="81" spans="3:6">
      <c r="C81" s="253"/>
      <c r="E81" s="254"/>
      <c r="F81" s="254"/>
    </row>
    <row r="82" spans="3:6">
      <c r="C82" s="253"/>
      <c r="E82" s="254"/>
      <c r="F82" s="254"/>
    </row>
    <row r="83" spans="3:6">
      <c r="C83" s="253"/>
      <c r="E83" s="254"/>
      <c r="F83" s="254"/>
    </row>
    <row r="84" spans="3:6">
      <c r="C84" s="253"/>
      <c r="E84" s="254"/>
      <c r="F84" s="254"/>
    </row>
    <row r="85" spans="3:6">
      <c r="C85" s="253"/>
      <c r="E85" s="254"/>
      <c r="F85" s="254"/>
    </row>
    <row r="86" spans="3:6">
      <c r="C86" s="253"/>
      <c r="E86" s="254"/>
      <c r="F86" s="254"/>
    </row>
    <row r="87" spans="3:6">
      <c r="C87" s="253"/>
      <c r="E87" s="254"/>
      <c r="F87" s="254"/>
    </row>
    <row r="88" spans="3:6">
      <c r="C88" s="253"/>
      <c r="E88" s="254"/>
      <c r="F88" s="254"/>
    </row>
    <row r="89" spans="3:6">
      <c r="C89" s="253"/>
      <c r="E89" s="254"/>
      <c r="F89" s="254"/>
    </row>
    <row r="90" spans="3:6">
      <c r="C90" s="253"/>
      <c r="E90" s="254"/>
      <c r="F90" s="254"/>
    </row>
    <row r="91" spans="3:6">
      <c r="C91" s="253"/>
      <c r="E91" s="254"/>
      <c r="F91" s="254"/>
    </row>
    <row r="92" spans="3:6">
      <c r="C92" s="253"/>
      <c r="E92" s="254"/>
      <c r="F92" s="254"/>
    </row>
    <row r="93" spans="3:6">
      <c r="C93" s="253"/>
      <c r="E93" s="254"/>
      <c r="F93" s="254"/>
    </row>
    <row r="94" spans="3:6">
      <c r="C94" s="253"/>
      <c r="E94" s="254"/>
      <c r="F94" s="254"/>
    </row>
    <row r="95" spans="3:6">
      <c r="C95" s="253"/>
      <c r="E95" s="254"/>
      <c r="F95" s="254"/>
    </row>
    <row r="96" spans="3:6">
      <c r="C96" s="253"/>
      <c r="E96" s="254"/>
      <c r="F96" s="254"/>
    </row>
    <row r="97" spans="3:6">
      <c r="C97" s="253"/>
      <c r="E97" s="254"/>
      <c r="F97" s="254"/>
    </row>
    <row r="98" spans="3:6">
      <c r="C98" s="253"/>
      <c r="E98" s="254"/>
      <c r="F98" s="254"/>
    </row>
    <row r="99" spans="3:6">
      <c r="C99" s="253"/>
      <c r="E99" s="254"/>
      <c r="F99" s="254"/>
    </row>
    <row r="100" spans="3:6">
      <c r="C100" s="253"/>
      <c r="E100" s="254"/>
      <c r="F100" s="254"/>
    </row>
    <row r="101" spans="3:6">
      <c r="C101" s="253"/>
      <c r="E101" s="254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tabColor rgb="FFFFC000"/>
    <outlinePr summaryBelow="0" summaryRight="0"/>
  </sheetPr>
  <dimension ref="A2:GJ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6" customWidth="1"/>
    <col min="2" max="2" width="5.44140625" style="245" customWidth="1"/>
    <col min="3" max="3" width="36.6640625" style="229" customWidth="1"/>
    <col min="4" max="4" width="9" style="230" customWidth="1"/>
    <col min="5" max="5" width="9.88671875" style="229" customWidth="1"/>
    <col min="6" max="6" width="3.5546875" style="229" customWidth="1"/>
    <col min="7" max="7" width="9.88671875" style="271" customWidth="1"/>
    <col min="8" max="8" width="9.5546875" style="246" customWidth="1"/>
    <col min="9" max="9" width="10.5546875" style="246" customWidth="1"/>
    <col min="10" max="10" width="11" style="246" customWidth="1"/>
    <col min="11" max="11" width="9.88671875" style="271" customWidth="1"/>
    <col min="12" max="12" width="9.5546875" style="246" customWidth="1"/>
    <col min="13" max="13" width="10.5546875" style="246" customWidth="1"/>
    <col min="14" max="14" width="11" style="246" customWidth="1"/>
    <col min="15" max="15" width="9.88671875" style="271" customWidth="1"/>
    <col min="16" max="16" width="9.5546875" style="246" customWidth="1"/>
    <col min="17" max="17" width="10.5546875" style="246" customWidth="1"/>
    <col min="18" max="18" width="11" style="246" customWidth="1"/>
    <col min="19" max="19" width="9.88671875" style="271" customWidth="1"/>
    <col min="20" max="20" width="9.5546875" style="246" customWidth="1"/>
    <col min="21" max="21" width="10.5546875" style="246" customWidth="1"/>
    <col min="22" max="22" width="11" style="246" customWidth="1"/>
    <col min="23" max="23" width="9.88671875" style="271" customWidth="1"/>
    <col min="24" max="24" width="9.5546875" style="246" customWidth="1"/>
    <col min="25" max="25" width="10.5546875" style="246" customWidth="1"/>
    <col min="26" max="26" width="11" style="246" customWidth="1"/>
    <col min="27" max="27" width="9.88671875" style="271" customWidth="1"/>
    <col min="28" max="28" width="9.5546875" style="246" customWidth="1"/>
    <col min="29" max="29" width="10.5546875" style="246" customWidth="1"/>
    <col min="30" max="30" width="11" style="246" customWidth="1"/>
    <col min="31" max="31" width="9.88671875" style="271" customWidth="1"/>
    <col min="32" max="32" width="9.5546875" style="246" customWidth="1"/>
    <col min="33" max="33" width="10.5546875" style="246" customWidth="1"/>
    <col min="34" max="34" width="11" style="246" customWidth="1"/>
    <col min="35" max="35" width="9.88671875" style="271" customWidth="1"/>
    <col min="36" max="36" width="9.5546875" style="246" customWidth="1"/>
    <col min="37" max="37" width="10.5546875" style="246" customWidth="1"/>
    <col min="38" max="38" width="11" style="246" customWidth="1"/>
    <col min="39" max="39" width="9.88671875" style="271" customWidth="1"/>
    <col min="40" max="40" width="9.5546875" style="246" customWidth="1"/>
    <col min="41" max="41" width="10.5546875" style="246" customWidth="1"/>
    <col min="42" max="42" width="11" style="246" customWidth="1"/>
    <col min="43" max="43" width="9.88671875" style="271" customWidth="1"/>
    <col min="44" max="44" width="9.5546875" style="246" customWidth="1"/>
    <col min="45" max="45" width="10.5546875" style="246" customWidth="1"/>
    <col min="46" max="46" width="11" style="246" customWidth="1"/>
    <col min="47" max="47" width="9.88671875" style="271" customWidth="1"/>
    <col min="48" max="48" width="9.5546875" style="246" customWidth="1"/>
    <col min="49" max="49" width="10.5546875" style="246" customWidth="1"/>
    <col min="50" max="50" width="11" style="246" customWidth="1"/>
    <col min="51" max="51" width="9.88671875" style="271" customWidth="1"/>
    <col min="52" max="52" width="9.5546875" style="246" customWidth="1"/>
    <col min="53" max="53" width="10.5546875" style="246" customWidth="1"/>
    <col min="54" max="54" width="11" style="246" customWidth="1"/>
    <col min="55" max="55" width="9.88671875" style="271" customWidth="1"/>
    <col min="56" max="56" width="9.5546875" style="246" customWidth="1"/>
    <col min="57" max="57" width="10.5546875" style="246" customWidth="1"/>
    <col min="58" max="58" width="11" style="246" customWidth="1"/>
    <col min="59" max="59" width="9.88671875" style="271" customWidth="1"/>
    <col min="60" max="60" width="9.5546875" style="246" customWidth="1"/>
    <col min="61" max="61" width="10.5546875" style="246" customWidth="1"/>
    <col min="62" max="62" width="11" style="246" customWidth="1"/>
    <col min="63" max="63" width="9.88671875" style="271" customWidth="1"/>
    <col min="64" max="64" width="9.5546875" style="246" customWidth="1"/>
    <col min="65" max="65" width="10.5546875" style="246" customWidth="1"/>
    <col min="66" max="66" width="11" style="246" customWidth="1"/>
    <col min="67" max="67" width="9.88671875" style="271" customWidth="1"/>
    <col min="68" max="68" width="9.5546875" style="246" customWidth="1"/>
    <col min="69" max="69" width="10.5546875" style="246" customWidth="1"/>
    <col min="70" max="70" width="11" style="246" customWidth="1"/>
    <col min="71" max="71" width="9.88671875" style="271" customWidth="1"/>
    <col min="72" max="72" width="9.5546875" style="246" customWidth="1"/>
    <col min="73" max="73" width="10.5546875" style="246" customWidth="1"/>
    <col min="74" max="74" width="11" style="246" customWidth="1"/>
    <col min="75" max="75" width="9.88671875" style="271" customWidth="1"/>
    <col min="76" max="76" width="9.5546875" style="246" customWidth="1"/>
    <col min="77" max="77" width="10.5546875" style="246" customWidth="1"/>
    <col min="78" max="78" width="11" style="246" customWidth="1"/>
    <col min="79" max="79" width="9.88671875" style="271" customWidth="1"/>
    <col min="80" max="80" width="9.5546875" style="246" customWidth="1"/>
    <col min="81" max="81" width="10.5546875" style="246" customWidth="1"/>
    <col min="82" max="82" width="11" style="246" customWidth="1"/>
    <col min="83" max="83" width="9.88671875" style="271" customWidth="1"/>
    <col min="84" max="84" width="9.5546875" style="246" customWidth="1"/>
    <col min="85" max="85" width="10.5546875" style="246" customWidth="1"/>
    <col min="86" max="86" width="11" style="246" customWidth="1"/>
    <col min="87" max="87" width="9.88671875" style="271" customWidth="1"/>
    <col min="88" max="88" width="9.5546875" style="246" customWidth="1"/>
    <col min="89" max="89" width="10.5546875" style="246" customWidth="1"/>
    <col min="90" max="90" width="11" style="246" customWidth="1"/>
    <col min="91" max="91" width="9.109375" style="246"/>
    <col min="92" max="92" width="9.5546875" style="246" customWidth="1"/>
    <col min="93" max="93" width="10.5546875" style="246" customWidth="1"/>
    <col min="94" max="94" width="11" style="246" customWidth="1"/>
    <col min="95" max="95" width="9.109375" style="246"/>
    <col min="96" max="96" width="9.5546875" style="246" customWidth="1"/>
    <col min="97" max="97" width="10.5546875" style="246" customWidth="1"/>
    <col min="98" max="98" width="11" style="246" customWidth="1"/>
    <col min="99" max="99" width="9.109375" style="246"/>
    <col min="100" max="100" width="9.5546875" style="246" customWidth="1"/>
    <col min="101" max="101" width="10.5546875" style="246" customWidth="1"/>
    <col min="102" max="102" width="11" style="246" customWidth="1"/>
    <col min="103" max="103" width="9.109375" style="246"/>
    <col min="104" max="104" width="9.5546875" style="246" customWidth="1"/>
    <col min="105" max="105" width="10.5546875" style="246" customWidth="1"/>
    <col min="106" max="106" width="11" style="246" customWidth="1"/>
    <col min="107" max="107" width="9.109375" style="246"/>
    <col min="108" max="108" width="9.5546875" style="246" customWidth="1"/>
    <col min="109" max="109" width="10.5546875" style="246" customWidth="1"/>
    <col min="110" max="110" width="11" style="246" customWidth="1"/>
    <col min="111" max="111" width="9.109375" style="246"/>
    <col min="112" max="112" width="9.5546875" style="246" customWidth="1"/>
    <col min="113" max="113" width="10.5546875" style="246" customWidth="1"/>
    <col min="114" max="114" width="11" style="246" customWidth="1"/>
    <col min="115" max="115" width="9.109375" style="246"/>
    <col min="116" max="116" width="9.5546875" style="246" customWidth="1"/>
    <col min="117" max="117" width="10.5546875" style="246" customWidth="1"/>
    <col min="118" max="118" width="11" style="246" customWidth="1"/>
    <col min="119" max="119" width="9.109375" style="246"/>
    <col min="120" max="120" width="9.5546875" style="246" customWidth="1"/>
    <col min="121" max="121" width="10.5546875" style="246" customWidth="1"/>
    <col min="122" max="122" width="11" style="246" customWidth="1"/>
    <col min="123" max="123" width="9.109375" style="246"/>
    <col min="124" max="124" width="9.5546875" style="246" customWidth="1"/>
    <col min="125" max="125" width="10.5546875" style="246" customWidth="1"/>
    <col min="126" max="126" width="11" style="246" customWidth="1"/>
    <col min="127" max="127" width="9.109375" style="246"/>
    <col min="128" max="128" width="9.5546875" style="246" customWidth="1"/>
    <col min="129" max="129" width="10.5546875" style="246" customWidth="1"/>
    <col min="130" max="130" width="11" style="246" customWidth="1"/>
    <col min="131" max="131" width="9.109375" style="246"/>
    <col min="132" max="132" width="9.5546875" style="246" customWidth="1"/>
    <col min="133" max="133" width="10.5546875" style="246" customWidth="1"/>
    <col min="134" max="134" width="11" style="246" customWidth="1"/>
    <col min="135" max="135" width="9.109375" style="246"/>
    <col min="136" max="136" width="9.5546875" style="246" customWidth="1"/>
    <col min="137" max="137" width="10.5546875" style="246" customWidth="1"/>
    <col min="138" max="138" width="11" style="246" customWidth="1"/>
    <col min="139" max="139" width="9.109375" style="246"/>
    <col min="140" max="140" width="9.5546875" style="246" customWidth="1"/>
    <col min="141" max="141" width="10.5546875" style="246" customWidth="1"/>
    <col min="142" max="142" width="11" style="246" customWidth="1"/>
    <col min="143" max="144" width="4" style="246" customWidth="1"/>
    <col min="145" max="145" width="9.109375" style="248"/>
    <col min="146" max="16384" width="9.109375" style="246"/>
  </cols>
  <sheetData>
    <row r="2" spans="2:145" s="225" customFormat="1">
      <c r="B2" s="226"/>
      <c r="C2" s="225" t="s">
        <v>9</v>
      </c>
      <c r="D2" s="226" t="s">
        <v>330</v>
      </c>
      <c r="E2" s="279" t="s">
        <v>387</v>
      </c>
      <c r="F2" s="279"/>
      <c r="G2" s="280" t="s">
        <v>53</v>
      </c>
      <c r="H2" s="608">
        <v>2020</v>
      </c>
      <c r="I2" s="280">
        <f>H2</f>
        <v>2020</v>
      </c>
      <c r="J2" s="280">
        <f>I2</f>
        <v>2020</v>
      </c>
      <c r="K2" s="280" t="s">
        <v>53</v>
      </c>
      <c r="L2" s="608">
        <v>2019</v>
      </c>
      <c r="M2" s="280">
        <f>L2</f>
        <v>2019</v>
      </c>
      <c r="N2" s="280">
        <f>M2</f>
        <v>2019</v>
      </c>
      <c r="O2" s="280" t="s">
        <v>53</v>
      </c>
      <c r="P2" s="608">
        <v>2019</v>
      </c>
      <c r="Q2" s="280">
        <f>P2</f>
        <v>2019</v>
      </c>
      <c r="R2" s="280">
        <f>Q2</f>
        <v>2019</v>
      </c>
      <c r="S2" s="280" t="s">
        <v>53</v>
      </c>
      <c r="T2" s="608">
        <v>2019</v>
      </c>
      <c r="U2" s="280">
        <f>T2</f>
        <v>2019</v>
      </c>
      <c r="V2" s="280">
        <f>U2</f>
        <v>2019</v>
      </c>
      <c r="W2" s="280" t="s">
        <v>53</v>
      </c>
      <c r="X2" s="608">
        <v>2019</v>
      </c>
      <c r="Y2" s="280">
        <f>X2</f>
        <v>2019</v>
      </c>
      <c r="Z2" s="280">
        <f>Y2</f>
        <v>2019</v>
      </c>
      <c r="AA2" s="280" t="s">
        <v>53</v>
      </c>
      <c r="AB2" s="608">
        <v>2018</v>
      </c>
      <c r="AC2" s="280">
        <f>AB2</f>
        <v>2018</v>
      </c>
      <c r="AD2" s="280">
        <f>AC2</f>
        <v>2018</v>
      </c>
      <c r="AE2" s="280" t="s">
        <v>53</v>
      </c>
      <c r="AF2" s="608">
        <v>2018</v>
      </c>
      <c r="AG2" s="280">
        <f>AF2</f>
        <v>2018</v>
      </c>
      <c r="AH2" s="280">
        <f>AG2</f>
        <v>2018</v>
      </c>
      <c r="AI2" s="280" t="s">
        <v>53</v>
      </c>
      <c r="AJ2" s="608">
        <v>2018</v>
      </c>
      <c r="AK2" s="280">
        <f>AJ2</f>
        <v>2018</v>
      </c>
      <c r="AL2" s="280">
        <f>AK2</f>
        <v>2018</v>
      </c>
      <c r="AM2" s="280" t="s">
        <v>53</v>
      </c>
      <c r="AN2" s="608">
        <v>2018</v>
      </c>
      <c r="AO2" s="280">
        <f>AN2</f>
        <v>2018</v>
      </c>
      <c r="AP2" s="280">
        <f>AO2</f>
        <v>2018</v>
      </c>
      <c r="AQ2" s="280" t="s">
        <v>53</v>
      </c>
      <c r="AR2" s="608">
        <v>2017</v>
      </c>
      <c r="AS2" s="280">
        <f>AR2</f>
        <v>2017</v>
      </c>
      <c r="AT2" s="280">
        <f>AS2</f>
        <v>2017</v>
      </c>
      <c r="AU2" s="280" t="s">
        <v>53</v>
      </c>
      <c r="AV2" s="608">
        <v>2017</v>
      </c>
      <c r="AW2" s="280">
        <f>AV2</f>
        <v>2017</v>
      </c>
      <c r="AX2" s="280">
        <f>AW2</f>
        <v>2017</v>
      </c>
      <c r="AY2" s="280" t="s">
        <v>53</v>
      </c>
      <c r="AZ2" s="608">
        <v>2017</v>
      </c>
      <c r="BA2" s="280">
        <f>AZ2</f>
        <v>2017</v>
      </c>
      <c r="BB2" s="280">
        <f>BA2</f>
        <v>2017</v>
      </c>
      <c r="BC2" s="280" t="s">
        <v>53</v>
      </c>
      <c r="BD2" s="608">
        <v>2017</v>
      </c>
      <c r="BE2" s="280">
        <f>BD2</f>
        <v>2017</v>
      </c>
      <c r="BF2" s="280">
        <f>BE2</f>
        <v>2017</v>
      </c>
      <c r="BG2" s="280" t="s">
        <v>53</v>
      </c>
      <c r="BH2" s="608">
        <v>2016</v>
      </c>
      <c r="BI2" s="280">
        <f>BH2</f>
        <v>2016</v>
      </c>
      <c r="BJ2" s="280">
        <f>BI2</f>
        <v>2016</v>
      </c>
      <c r="BK2" s="280" t="s">
        <v>53</v>
      </c>
      <c r="BL2" s="608">
        <v>2016</v>
      </c>
      <c r="BM2" s="280">
        <f>BL2</f>
        <v>2016</v>
      </c>
      <c r="BN2" s="280">
        <f>BM2</f>
        <v>2016</v>
      </c>
      <c r="BO2" s="280" t="s">
        <v>53</v>
      </c>
      <c r="BP2" s="608">
        <v>2016</v>
      </c>
      <c r="BQ2" s="280">
        <f>BP2</f>
        <v>2016</v>
      </c>
      <c r="BR2" s="280">
        <f>BQ2</f>
        <v>2016</v>
      </c>
      <c r="BS2" s="280" t="s">
        <v>53</v>
      </c>
      <c r="BT2" s="608">
        <v>2016</v>
      </c>
      <c r="BU2" s="280">
        <f>BT2</f>
        <v>2016</v>
      </c>
      <c r="BV2" s="280">
        <f>BU2</f>
        <v>2016</v>
      </c>
      <c r="BW2" s="280" t="s">
        <v>53</v>
      </c>
      <c r="BX2" s="608">
        <v>2015</v>
      </c>
      <c r="BY2" s="280">
        <f>BX2</f>
        <v>2015</v>
      </c>
      <c r="BZ2" s="280">
        <f>BY2</f>
        <v>2015</v>
      </c>
      <c r="CA2" s="280" t="s">
        <v>53</v>
      </c>
      <c r="CB2" s="608">
        <v>2015</v>
      </c>
      <c r="CC2" s="280">
        <f>CB2</f>
        <v>2015</v>
      </c>
      <c r="CD2" s="280">
        <f>CC2</f>
        <v>2015</v>
      </c>
      <c r="CE2" s="280" t="s">
        <v>53</v>
      </c>
      <c r="CF2" s="608">
        <v>2015</v>
      </c>
      <c r="CG2" s="280">
        <f>CF2</f>
        <v>2015</v>
      </c>
      <c r="CH2" s="280">
        <f>CG2</f>
        <v>2015</v>
      </c>
      <c r="CI2" s="280" t="s">
        <v>53</v>
      </c>
      <c r="CJ2" s="608">
        <v>2015</v>
      </c>
      <c r="CK2" s="280">
        <f>CJ2</f>
        <v>2015</v>
      </c>
      <c r="CL2" s="280">
        <f>CK2</f>
        <v>2015</v>
      </c>
      <c r="CN2" s="608">
        <v>2014</v>
      </c>
      <c r="CO2" s="280">
        <f>CN2</f>
        <v>2014</v>
      </c>
      <c r="CP2" s="280">
        <f>CO2</f>
        <v>2014</v>
      </c>
      <c r="CR2" s="608">
        <v>2014</v>
      </c>
      <c r="CS2" s="280">
        <f>CR2</f>
        <v>2014</v>
      </c>
      <c r="CT2" s="280">
        <f>CS2</f>
        <v>2014</v>
      </c>
      <c r="CV2" s="608">
        <v>2014</v>
      </c>
      <c r="CW2" s="280">
        <f>CV2</f>
        <v>2014</v>
      </c>
      <c r="CX2" s="280">
        <f>CW2</f>
        <v>2014</v>
      </c>
      <c r="CZ2" s="608">
        <v>2014</v>
      </c>
      <c r="DA2" s="280">
        <f>CZ2</f>
        <v>2014</v>
      </c>
      <c r="DB2" s="280">
        <f>DA2</f>
        <v>2014</v>
      </c>
      <c r="DD2" s="608">
        <v>2013</v>
      </c>
      <c r="DE2" s="280">
        <f>DD2</f>
        <v>2013</v>
      </c>
      <c r="DF2" s="280">
        <f>DE2</f>
        <v>2013</v>
      </c>
      <c r="DH2" s="608">
        <v>2013</v>
      </c>
      <c r="DI2" s="280">
        <f>DH2</f>
        <v>2013</v>
      </c>
      <c r="DJ2" s="280">
        <f>DI2</f>
        <v>2013</v>
      </c>
      <c r="DL2" s="608">
        <v>2013</v>
      </c>
      <c r="DM2" s="280">
        <f>DL2</f>
        <v>2013</v>
      </c>
      <c r="DN2" s="280">
        <f>DM2</f>
        <v>2013</v>
      </c>
      <c r="DP2" s="608">
        <v>2013</v>
      </c>
      <c r="DQ2" s="280">
        <f>DP2</f>
        <v>2013</v>
      </c>
      <c r="DR2" s="280">
        <f>DQ2</f>
        <v>2013</v>
      </c>
      <c r="DT2" s="608">
        <v>2012</v>
      </c>
      <c r="DU2" s="280">
        <f>DT2</f>
        <v>2012</v>
      </c>
      <c r="DV2" s="280">
        <f>DU2</f>
        <v>2012</v>
      </c>
      <c r="DX2" s="608">
        <v>2012</v>
      </c>
      <c r="DY2" s="280">
        <f>DX2</f>
        <v>2012</v>
      </c>
      <c r="DZ2" s="280">
        <f>DY2</f>
        <v>2012</v>
      </c>
      <c r="EB2" s="608">
        <v>2012</v>
      </c>
      <c r="EC2" s="280">
        <f>EB2</f>
        <v>2012</v>
      </c>
      <c r="ED2" s="280">
        <f>EC2</f>
        <v>2012</v>
      </c>
      <c r="EF2" s="608">
        <v>2012</v>
      </c>
      <c r="EG2" s="280">
        <f>EF2</f>
        <v>2012</v>
      </c>
      <c r="EH2" s="280">
        <f>EG2</f>
        <v>2012</v>
      </c>
      <c r="EJ2" s="608">
        <v>2011</v>
      </c>
      <c r="EK2" s="280">
        <f>EJ2</f>
        <v>2011</v>
      </c>
      <c r="EL2" s="280">
        <f>EK2</f>
        <v>2011</v>
      </c>
      <c r="EO2" s="281" t="s">
        <v>383</v>
      </c>
    </row>
    <row r="3" spans="2:145" s="275" customFormat="1">
      <c r="B3" s="276"/>
      <c r="D3" s="276"/>
      <c r="E3" s="276"/>
      <c r="F3" s="276"/>
      <c r="G3" s="282" t="s">
        <v>243</v>
      </c>
      <c r="H3" s="283">
        <v>1</v>
      </c>
      <c r="I3" s="282">
        <f>H3</f>
        <v>1</v>
      </c>
      <c r="J3" s="282">
        <f>I3</f>
        <v>1</v>
      </c>
      <c r="K3" s="282" t="s">
        <v>243</v>
      </c>
      <c r="L3" s="283">
        <v>4</v>
      </c>
      <c r="M3" s="282">
        <f>L3</f>
        <v>4</v>
      </c>
      <c r="N3" s="282">
        <f>M3</f>
        <v>4</v>
      </c>
      <c r="O3" s="282" t="s">
        <v>243</v>
      </c>
      <c r="P3" s="283">
        <v>3</v>
      </c>
      <c r="Q3" s="282">
        <f>P3</f>
        <v>3</v>
      </c>
      <c r="R3" s="282">
        <f>Q3</f>
        <v>3</v>
      </c>
      <c r="S3" s="282" t="s">
        <v>243</v>
      </c>
      <c r="T3" s="283">
        <v>2</v>
      </c>
      <c r="U3" s="282">
        <f>T3</f>
        <v>2</v>
      </c>
      <c r="V3" s="282">
        <f>U3</f>
        <v>2</v>
      </c>
      <c r="W3" s="282" t="s">
        <v>243</v>
      </c>
      <c r="X3" s="283">
        <v>1</v>
      </c>
      <c r="Y3" s="282">
        <f>X3</f>
        <v>1</v>
      </c>
      <c r="Z3" s="282">
        <f>Y3</f>
        <v>1</v>
      </c>
      <c r="AA3" s="282" t="s">
        <v>243</v>
      </c>
      <c r="AB3" s="283">
        <v>4</v>
      </c>
      <c r="AC3" s="282">
        <f>AB3</f>
        <v>4</v>
      </c>
      <c r="AD3" s="282">
        <f>AC3</f>
        <v>4</v>
      </c>
      <c r="AE3" s="282" t="s">
        <v>243</v>
      </c>
      <c r="AF3" s="283">
        <v>3</v>
      </c>
      <c r="AG3" s="282">
        <f>AF3</f>
        <v>3</v>
      </c>
      <c r="AH3" s="282">
        <f>AG3</f>
        <v>3</v>
      </c>
      <c r="AI3" s="282" t="s">
        <v>243</v>
      </c>
      <c r="AJ3" s="283">
        <v>2</v>
      </c>
      <c r="AK3" s="282">
        <f>AJ3</f>
        <v>2</v>
      </c>
      <c r="AL3" s="282">
        <f>AK3</f>
        <v>2</v>
      </c>
      <c r="AM3" s="282" t="s">
        <v>243</v>
      </c>
      <c r="AN3" s="283">
        <v>1</v>
      </c>
      <c r="AO3" s="282">
        <f>AN3</f>
        <v>1</v>
      </c>
      <c r="AP3" s="282">
        <f>AO3</f>
        <v>1</v>
      </c>
      <c r="AQ3" s="282" t="s">
        <v>243</v>
      </c>
      <c r="AR3" s="283">
        <v>4</v>
      </c>
      <c r="AS3" s="282">
        <f>AR3</f>
        <v>4</v>
      </c>
      <c r="AT3" s="282">
        <f>AS3</f>
        <v>4</v>
      </c>
      <c r="AU3" s="282" t="s">
        <v>243</v>
      </c>
      <c r="AV3" s="283">
        <v>3</v>
      </c>
      <c r="AW3" s="282">
        <f>AV3</f>
        <v>3</v>
      </c>
      <c r="AX3" s="282">
        <f>AW3</f>
        <v>3</v>
      </c>
      <c r="AY3" s="282" t="s">
        <v>243</v>
      </c>
      <c r="AZ3" s="283">
        <v>2</v>
      </c>
      <c r="BA3" s="282">
        <f>AZ3</f>
        <v>2</v>
      </c>
      <c r="BB3" s="282">
        <f>BA3</f>
        <v>2</v>
      </c>
      <c r="BC3" s="282" t="s">
        <v>243</v>
      </c>
      <c r="BD3" s="283">
        <v>1</v>
      </c>
      <c r="BE3" s="282">
        <f>BD3</f>
        <v>1</v>
      </c>
      <c r="BF3" s="282">
        <f>BE3</f>
        <v>1</v>
      </c>
      <c r="BG3" s="282" t="s">
        <v>243</v>
      </c>
      <c r="BH3" s="283">
        <v>4</v>
      </c>
      <c r="BI3" s="282">
        <f>BH3</f>
        <v>4</v>
      </c>
      <c r="BJ3" s="282">
        <f>BI3</f>
        <v>4</v>
      </c>
      <c r="BK3" s="282" t="s">
        <v>243</v>
      </c>
      <c r="BL3" s="283">
        <v>3</v>
      </c>
      <c r="BM3" s="282">
        <f>BL3</f>
        <v>3</v>
      </c>
      <c r="BN3" s="282">
        <f>BM3</f>
        <v>3</v>
      </c>
      <c r="BO3" s="282" t="s">
        <v>243</v>
      </c>
      <c r="BP3" s="283">
        <v>2</v>
      </c>
      <c r="BQ3" s="282">
        <f>BP3</f>
        <v>2</v>
      </c>
      <c r="BR3" s="282">
        <f>BQ3</f>
        <v>2</v>
      </c>
      <c r="BS3" s="282" t="s">
        <v>243</v>
      </c>
      <c r="BT3" s="283">
        <v>1</v>
      </c>
      <c r="BU3" s="282">
        <f>BT3</f>
        <v>1</v>
      </c>
      <c r="BV3" s="282">
        <f>BU3</f>
        <v>1</v>
      </c>
      <c r="BW3" s="282" t="s">
        <v>243</v>
      </c>
      <c r="BX3" s="283">
        <v>4</v>
      </c>
      <c r="BY3" s="282">
        <f>BX3</f>
        <v>4</v>
      </c>
      <c r="BZ3" s="282">
        <f>BY3</f>
        <v>4</v>
      </c>
      <c r="CA3" s="282" t="s">
        <v>243</v>
      </c>
      <c r="CB3" s="283">
        <v>3</v>
      </c>
      <c r="CC3" s="282">
        <f>CB3</f>
        <v>3</v>
      </c>
      <c r="CD3" s="282">
        <f>CC3</f>
        <v>3</v>
      </c>
      <c r="CE3" s="282" t="s">
        <v>243</v>
      </c>
      <c r="CF3" s="283">
        <v>2</v>
      </c>
      <c r="CG3" s="282">
        <f>CF3</f>
        <v>2</v>
      </c>
      <c r="CH3" s="282">
        <f>CG3</f>
        <v>2</v>
      </c>
      <c r="CI3" s="282" t="s">
        <v>243</v>
      </c>
      <c r="CJ3" s="283">
        <v>1</v>
      </c>
      <c r="CK3" s="282">
        <f>CJ3</f>
        <v>1</v>
      </c>
      <c r="CL3" s="282">
        <f>CK3</f>
        <v>1</v>
      </c>
      <c r="CN3" s="283">
        <v>4</v>
      </c>
      <c r="CO3" s="282">
        <f>CN3</f>
        <v>4</v>
      </c>
      <c r="CP3" s="282">
        <f>CO3</f>
        <v>4</v>
      </c>
      <c r="CR3" s="283">
        <v>3</v>
      </c>
      <c r="CS3" s="282">
        <f>CR3</f>
        <v>3</v>
      </c>
      <c r="CT3" s="282">
        <f>CS3</f>
        <v>3</v>
      </c>
      <c r="CV3" s="283">
        <v>2</v>
      </c>
      <c r="CW3" s="282">
        <f>CV3</f>
        <v>2</v>
      </c>
      <c r="CX3" s="282">
        <f>CW3</f>
        <v>2</v>
      </c>
      <c r="CZ3" s="283">
        <v>1</v>
      </c>
      <c r="DA3" s="282">
        <f>CZ3</f>
        <v>1</v>
      </c>
      <c r="DB3" s="282">
        <f>DA3</f>
        <v>1</v>
      </c>
      <c r="DD3" s="283">
        <v>4</v>
      </c>
      <c r="DE3" s="282">
        <f>DD3</f>
        <v>4</v>
      </c>
      <c r="DF3" s="282">
        <f>DE3</f>
        <v>4</v>
      </c>
      <c r="DH3" s="283">
        <v>3</v>
      </c>
      <c r="DI3" s="282">
        <f>DH3</f>
        <v>3</v>
      </c>
      <c r="DJ3" s="282">
        <f>DI3</f>
        <v>3</v>
      </c>
      <c r="DL3" s="283">
        <v>2</v>
      </c>
      <c r="DM3" s="282">
        <f>DL3</f>
        <v>2</v>
      </c>
      <c r="DN3" s="282">
        <f>DM3</f>
        <v>2</v>
      </c>
      <c r="DP3" s="283">
        <v>1</v>
      </c>
      <c r="DQ3" s="282">
        <f>DP3</f>
        <v>1</v>
      </c>
      <c r="DR3" s="282">
        <f>DQ3</f>
        <v>1</v>
      </c>
      <c r="DT3" s="283">
        <v>4</v>
      </c>
      <c r="DU3" s="282">
        <f>DT3</f>
        <v>4</v>
      </c>
      <c r="DV3" s="282">
        <f>DU3</f>
        <v>4</v>
      </c>
      <c r="DX3" s="283">
        <v>3</v>
      </c>
      <c r="DY3" s="282">
        <f>DX3</f>
        <v>3</v>
      </c>
      <c r="DZ3" s="282">
        <f>DY3</f>
        <v>3</v>
      </c>
      <c r="EB3" s="283">
        <v>2</v>
      </c>
      <c r="EC3" s="282">
        <f>EB3</f>
        <v>2</v>
      </c>
      <c r="ED3" s="282">
        <f>EC3</f>
        <v>2</v>
      </c>
      <c r="EF3" s="283">
        <v>1</v>
      </c>
      <c r="EG3" s="282">
        <f>EF3</f>
        <v>1</v>
      </c>
      <c r="EH3" s="282">
        <f>EG3</f>
        <v>1</v>
      </c>
      <c r="EJ3" s="283">
        <v>4</v>
      </c>
      <c r="EK3" s="282">
        <f>EJ3</f>
        <v>4</v>
      </c>
      <c r="EL3" s="282">
        <f>EK3</f>
        <v>4</v>
      </c>
      <c r="EO3" s="277"/>
    </row>
    <row r="4" spans="2:145" s="275" customFormat="1">
      <c r="B4" s="276"/>
      <c r="D4" s="276"/>
      <c r="E4" s="276"/>
      <c r="F4" s="276"/>
      <c r="G4" s="282"/>
      <c r="H4" s="284" t="s">
        <v>245</v>
      </c>
      <c r="I4" s="284" t="s">
        <v>244</v>
      </c>
      <c r="J4" s="284" t="s">
        <v>404</v>
      </c>
      <c r="K4" s="282"/>
      <c r="L4" s="284" t="s">
        <v>245</v>
      </c>
      <c r="M4" s="284" t="s">
        <v>244</v>
      </c>
      <c r="N4" s="284" t="s">
        <v>404</v>
      </c>
      <c r="O4" s="282"/>
      <c r="P4" s="284" t="s">
        <v>245</v>
      </c>
      <c r="Q4" s="284" t="s">
        <v>244</v>
      </c>
      <c r="R4" s="284" t="s">
        <v>404</v>
      </c>
      <c r="S4" s="282"/>
      <c r="T4" s="284" t="s">
        <v>245</v>
      </c>
      <c r="U4" s="284" t="s">
        <v>244</v>
      </c>
      <c r="V4" s="284" t="s">
        <v>404</v>
      </c>
      <c r="W4" s="282"/>
      <c r="X4" s="284" t="s">
        <v>245</v>
      </c>
      <c r="Y4" s="284" t="s">
        <v>244</v>
      </c>
      <c r="Z4" s="284" t="s">
        <v>404</v>
      </c>
      <c r="AA4" s="282"/>
      <c r="AB4" s="284" t="s">
        <v>245</v>
      </c>
      <c r="AC4" s="284" t="s">
        <v>244</v>
      </c>
      <c r="AD4" s="284" t="s">
        <v>404</v>
      </c>
      <c r="AE4" s="282"/>
      <c r="AF4" s="284" t="s">
        <v>245</v>
      </c>
      <c r="AG4" s="284" t="s">
        <v>244</v>
      </c>
      <c r="AH4" s="284" t="s">
        <v>404</v>
      </c>
      <c r="AI4" s="282"/>
      <c r="AJ4" s="284" t="s">
        <v>245</v>
      </c>
      <c r="AK4" s="284" t="s">
        <v>244</v>
      </c>
      <c r="AL4" s="284" t="s">
        <v>404</v>
      </c>
      <c r="AM4" s="282"/>
      <c r="AN4" s="284" t="s">
        <v>245</v>
      </c>
      <c r="AO4" s="284" t="s">
        <v>244</v>
      </c>
      <c r="AP4" s="284" t="s">
        <v>404</v>
      </c>
      <c r="AQ4" s="282"/>
      <c r="AR4" s="284" t="s">
        <v>245</v>
      </c>
      <c r="AS4" s="284" t="s">
        <v>244</v>
      </c>
      <c r="AT4" s="284" t="s">
        <v>404</v>
      </c>
      <c r="AU4" s="282"/>
      <c r="AV4" s="284" t="s">
        <v>245</v>
      </c>
      <c r="AW4" s="284" t="s">
        <v>244</v>
      </c>
      <c r="AX4" s="284" t="s">
        <v>404</v>
      </c>
      <c r="AY4" s="282"/>
      <c r="AZ4" s="284" t="s">
        <v>245</v>
      </c>
      <c r="BA4" s="284" t="s">
        <v>244</v>
      </c>
      <c r="BB4" s="284" t="s">
        <v>404</v>
      </c>
      <c r="BC4" s="282"/>
      <c r="BD4" s="284" t="s">
        <v>245</v>
      </c>
      <c r="BE4" s="284" t="s">
        <v>244</v>
      </c>
      <c r="BF4" s="284" t="s">
        <v>404</v>
      </c>
      <c r="BG4" s="282"/>
      <c r="BH4" s="284" t="s">
        <v>245</v>
      </c>
      <c r="BI4" s="284" t="s">
        <v>244</v>
      </c>
      <c r="BJ4" s="284" t="s">
        <v>404</v>
      </c>
      <c r="BK4" s="282"/>
      <c r="BL4" s="284" t="s">
        <v>245</v>
      </c>
      <c r="BM4" s="284" t="s">
        <v>244</v>
      </c>
      <c r="BN4" s="284" t="s">
        <v>404</v>
      </c>
      <c r="BO4" s="282"/>
      <c r="BP4" s="284" t="s">
        <v>245</v>
      </c>
      <c r="BQ4" s="284" t="s">
        <v>244</v>
      </c>
      <c r="BR4" s="284" t="s">
        <v>404</v>
      </c>
      <c r="BS4" s="282"/>
      <c r="BT4" s="284" t="s">
        <v>245</v>
      </c>
      <c r="BU4" s="284" t="s">
        <v>244</v>
      </c>
      <c r="BV4" s="284" t="s">
        <v>404</v>
      </c>
      <c r="BW4" s="282"/>
      <c r="BX4" s="284" t="s">
        <v>245</v>
      </c>
      <c r="BY4" s="284" t="s">
        <v>244</v>
      </c>
      <c r="BZ4" s="284" t="s">
        <v>404</v>
      </c>
      <c r="CA4" s="282"/>
      <c r="CB4" s="284" t="s">
        <v>245</v>
      </c>
      <c r="CC4" s="284" t="s">
        <v>244</v>
      </c>
      <c r="CD4" s="284" t="s">
        <v>404</v>
      </c>
      <c r="CE4" s="282"/>
      <c r="CF4" s="284" t="s">
        <v>245</v>
      </c>
      <c r="CG4" s="284" t="s">
        <v>244</v>
      </c>
      <c r="CH4" s="284" t="s">
        <v>404</v>
      </c>
      <c r="CI4" s="282"/>
      <c r="CJ4" s="284" t="s">
        <v>245</v>
      </c>
      <c r="CK4" s="284" t="s">
        <v>244</v>
      </c>
      <c r="CL4" s="284" t="s">
        <v>404</v>
      </c>
      <c r="CN4" s="284" t="s">
        <v>245</v>
      </c>
      <c r="CO4" s="284" t="s">
        <v>244</v>
      </c>
      <c r="CP4" s="284" t="s">
        <v>404</v>
      </c>
      <c r="CR4" s="284" t="s">
        <v>245</v>
      </c>
      <c r="CS4" s="284" t="s">
        <v>244</v>
      </c>
      <c r="CT4" s="284" t="s">
        <v>404</v>
      </c>
      <c r="CV4" s="284" t="s">
        <v>245</v>
      </c>
      <c r="CW4" s="284" t="s">
        <v>244</v>
      </c>
      <c r="CX4" s="284" t="s">
        <v>404</v>
      </c>
      <c r="CZ4" s="284" t="s">
        <v>245</v>
      </c>
      <c r="DA4" s="284" t="s">
        <v>244</v>
      </c>
      <c r="DB4" s="284" t="s">
        <v>404</v>
      </c>
      <c r="DD4" s="284" t="s">
        <v>245</v>
      </c>
      <c r="DE4" s="284" t="s">
        <v>244</v>
      </c>
      <c r="DF4" s="284" t="s">
        <v>404</v>
      </c>
      <c r="DH4" s="284" t="s">
        <v>245</v>
      </c>
      <c r="DI4" s="284" t="s">
        <v>244</v>
      </c>
      <c r="DJ4" s="284" t="s">
        <v>404</v>
      </c>
      <c r="DL4" s="284" t="s">
        <v>245</v>
      </c>
      <c r="DM4" s="284" t="s">
        <v>244</v>
      </c>
      <c r="DN4" s="284" t="s">
        <v>404</v>
      </c>
      <c r="DP4" s="284" t="s">
        <v>245</v>
      </c>
      <c r="DQ4" s="284" t="s">
        <v>244</v>
      </c>
      <c r="DR4" s="284" t="s">
        <v>404</v>
      </c>
      <c r="DT4" s="284" t="s">
        <v>245</v>
      </c>
      <c r="DU4" s="284" t="s">
        <v>244</v>
      </c>
      <c r="DV4" s="284" t="s">
        <v>404</v>
      </c>
      <c r="DX4" s="284" t="s">
        <v>245</v>
      </c>
      <c r="DY4" s="284" t="s">
        <v>244</v>
      </c>
      <c r="DZ4" s="284" t="s">
        <v>404</v>
      </c>
      <c r="EB4" s="284" t="s">
        <v>245</v>
      </c>
      <c r="EC4" s="284" t="s">
        <v>244</v>
      </c>
      <c r="ED4" s="284" t="s">
        <v>404</v>
      </c>
      <c r="EF4" s="284" t="s">
        <v>245</v>
      </c>
      <c r="EG4" s="284" t="s">
        <v>244</v>
      </c>
      <c r="EH4" s="284" t="s">
        <v>404</v>
      </c>
      <c r="EJ4" s="284" t="s">
        <v>245</v>
      </c>
      <c r="EK4" s="284" t="s">
        <v>244</v>
      </c>
      <c r="EL4" s="284" t="s">
        <v>404</v>
      </c>
      <c r="EO4" s="278"/>
    </row>
    <row r="5" spans="2:145" s="436" customFormat="1" ht="27.6">
      <c r="B5" s="435"/>
      <c r="G5" s="437"/>
      <c r="H5" s="438" t="str">
        <f>H2 &amp; "." &amp; H3 &amp; ":::" &amp; H4</f>
        <v>2020.1:::Price</v>
      </c>
      <c r="I5" s="438" t="str">
        <f>I2 &amp; "." &amp; I3 &amp; ":::" &amp; I4</f>
        <v>2020.1:::Shares</v>
      </c>
      <c r="J5" s="438" t="str">
        <f>J2 &amp; "." &amp; J3 &amp; ":::" &amp; J4</f>
        <v>2020.1:::Mkt_Cap</v>
      </c>
      <c r="K5" s="437"/>
      <c r="L5" s="438" t="str">
        <f>L2 &amp; "." &amp; L3 &amp; ":::" &amp; L4</f>
        <v>2019.4:::Price</v>
      </c>
      <c r="M5" s="438" t="str">
        <f>M2 &amp; "." &amp; M3 &amp; ":::" &amp; M4</f>
        <v>2019.4:::Shares</v>
      </c>
      <c r="N5" s="438" t="str">
        <f>N2 &amp; "." &amp; N3 &amp; ":::" &amp; N4</f>
        <v>2019.4:::Mkt_Cap</v>
      </c>
      <c r="O5" s="437"/>
      <c r="P5" s="438" t="str">
        <f>P2 &amp; "." &amp; P3 &amp; ":::" &amp; P4</f>
        <v>2019.3:::Price</v>
      </c>
      <c r="Q5" s="438" t="str">
        <f>Q2 &amp; "." &amp; Q3 &amp; ":::" &amp; Q4</f>
        <v>2019.3:::Shares</v>
      </c>
      <c r="R5" s="438" t="str">
        <f>R2 &amp; "." &amp; R3 &amp; ":::" &amp; R4</f>
        <v>2019.3:::Mkt_Cap</v>
      </c>
      <c r="S5" s="437"/>
      <c r="T5" s="438" t="str">
        <f>T2 &amp; "." &amp; T3 &amp; ":::" &amp; T4</f>
        <v>2019.2:::Price</v>
      </c>
      <c r="U5" s="438" t="str">
        <f>U2 &amp; "." &amp; U3 &amp; ":::" &amp; U4</f>
        <v>2019.2:::Shares</v>
      </c>
      <c r="V5" s="438" t="str">
        <f>V2 &amp; "." &amp; V3 &amp; ":::" &amp; V4</f>
        <v>2019.2:::Mkt_Cap</v>
      </c>
      <c r="W5" s="437"/>
      <c r="X5" s="438" t="str">
        <f>X2 &amp; "." &amp; X3 &amp; ":::" &amp; X4</f>
        <v>2019.1:::Price</v>
      </c>
      <c r="Y5" s="438" t="str">
        <f>Y2 &amp; "." &amp; Y3 &amp; ":::" &amp; Y4</f>
        <v>2019.1:::Shares</v>
      </c>
      <c r="Z5" s="438" t="str">
        <f>Z2 &amp; "." &amp; Z3 &amp; ":::" &amp; Z4</f>
        <v>2019.1:::Mkt_Cap</v>
      </c>
      <c r="AA5" s="437"/>
      <c r="AB5" s="438" t="str">
        <f>AB2 &amp; "." &amp; AB3 &amp; ":::" &amp; AB4</f>
        <v>2018.4:::Price</v>
      </c>
      <c r="AC5" s="438" t="str">
        <f>AC2 &amp; "." &amp; AC3 &amp; ":::" &amp; AC4</f>
        <v>2018.4:::Shares</v>
      </c>
      <c r="AD5" s="438" t="str">
        <f>AD2 &amp; "." &amp; AD3 &amp; ":::" &amp; AD4</f>
        <v>2018.4:::Mkt_Cap</v>
      </c>
      <c r="AE5" s="437"/>
      <c r="AF5" s="438" t="str">
        <f>AF2 &amp; "." &amp; AF3 &amp; ":::" &amp; AF4</f>
        <v>2018.3:::Price</v>
      </c>
      <c r="AG5" s="438" t="str">
        <f>AG2 &amp; "." &amp; AG3 &amp; ":::" &amp; AG4</f>
        <v>2018.3:::Shares</v>
      </c>
      <c r="AH5" s="438" t="str">
        <f>AH2 &amp; "." &amp; AH3 &amp; ":::" &amp; AH4</f>
        <v>2018.3:::Mkt_Cap</v>
      </c>
      <c r="AI5" s="437"/>
      <c r="AJ5" s="438" t="str">
        <f>AJ2 &amp; "." &amp; AJ3 &amp; ":::" &amp; AJ4</f>
        <v>2018.2:::Price</v>
      </c>
      <c r="AK5" s="438" t="str">
        <f>AK2 &amp; "." &amp; AK3 &amp; ":::" &amp; AK4</f>
        <v>2018.2:::Shares</v>
      </c>
      <c r="AL5" s="438" t="str">
        <f>AL2 &amp; "." &amp; AL3 &amp; ":::" &amp; AL4</f>
        <v>2018.2:::Mkt_Cap</v>
      </c>
      <c r="AM5" s="437"/>
      <c r="AN5" s="438" t="str">
        <f>AN2 &amp; "." &amp; AN3 &amp; ":::" &amp; AN4</f>
        <v>2018.1:::Price</v>
      </c>
      <c r="AO5" s="438" t="str">
        <f>AO2 &amp; "." &amp; AO3 &amp; ":::" &amp; AO4</f>
        <v>2018.1:::Shares</v>
      </c>
      <c r="AP5" s="438" t="str">
        <f>AP2 &amp; "." &amp; AP3 &amp; ":::" &amp; AP4</f>
        <v>2018.1:::Mkt_Cap</v>
      </c>
      <c r="AQ5" s="437"/>
      <c r="AR5" s="438" t="str">
        <f>AR2 &amp; "." &amp; AR3 &amp; ":::" &amp; AR4</f>
        <v>2017.4:::Price</v>
      </c>
      <c r="AS5" s="438" t="str">
        <f>AS2 &amp; "." &amp; AS3 &amp; ":::" &amp; AS4</f>
        <v>2017.4:::Shares</v>
      </c>
      <c r="AT5" s="438" t="str">
        <f>AT2 &amp; "." &amp; AT3 &amp; ":::" &amp; AT4</f>
        <v>2017.4:::Mkt_Cap</v>
      </c>
      <c r="AU5" s="437"/>
      <c r="AV5" s="438" t="str">
        <f>AV2 &amp; "." &amp; AV3 &amp; ":::" &amp; AV4</f>
        <v>2017.3:::Price</v>
      </c>
      <c r="AW5" s="438" t="str">
        <f>AW2 &amp; "." &amp; AW3 &amp; ":::" &amp; AW4</f>
        <v>2017.3:::Shares</v>
      </c>
      <c r="AX5" s="438" t="str">
        <f>AX2 &amp; "." &amp; AX3 &amp; ":::" &amp; AX4</f>
        <v>2017.3:::Mkt_Cap</v>
      </c>
      <c r="AY5" s="437"/>
      <c r="AZ5" s="438" t="str">
        <f>AZ2 &amp; "." &amp; AZ3 &amp; ":::" &amp; AZ4</f>
        <v>2017.2:::Price</v>
      </c>
      <c r="BA5" s="438" t="str">
        <f>BA2 &amp; "." &amp; BA3 &amp; ":::" &amp; BA4</f>
        <v>2017.2:::Shares</v>
      </c>
      <c r="BB5" s="438" t="str">
        <f>BB2 &amp; "." &amp; BB3 &amp; ":::" &amp; BB4</f>
        <v>2017.2:::Mkt_Cap</v>
      </c>
      <c r="BC5" s="437"/>
      <c r="BD5" s="438" t="str">
        <f>BD2 &amp; "." &amp; BD3 &amp; ":::" &amp; BD4</f>
        <v>2017.1:::Price</v>
      </c>
      <c r="BE5" s="438" t="str">
        <f>BE2 &amp; "." &amp; BE3 &amp; ":::" &amp; BE4</f>
        <v>2017.1:::Shares</v>
      </c>
      <c r="BF5" s="438" t="str">
        <f>BF2 &amp; "." &amp; BF3 &amp; ":::" &amp; BF4</f>
        <v>2017.1:::Mkt_Cap</v>
      </c>
      <c r="BG5" s="437"/>
      <c r="BH5" s="438" t="str">
        <f>BH2 &amp; "." &amp; BH3 &amp; ":::" &amp; BH4</f>
        <v>2016.4:::Price</v>
      </c>
      <c r="BI5" s="438" t="str">
        <f>BI2 &amp; "." &amp; BI3 &amp; ":::" &amp; BI4</f>
        <v>2016.4:::Shares</v>
      </c>
      <c r="BJ5" s="438" t="str">
        <f>BJ2 &amp; "." &amp; BJ3 &amp; ":::" &amp; BJ4</f>
        <v>2016.4:::Mkt_Cap</v>
      </c>
      <c r="BK5" s="437"/>
      <c r="BL5" s="438" t="str">
        <f>BL2 &amp; "." &amp; BL3 &amp; ":::" &amp; BL4</f>
        <v>2016.3:::Price</v>
      </c>
      <c r="BM5" s="438" t="str">
        <f>BM2 &amp; "." &amp; BM3 &amp; ":::" &amp; BM4</f>
        <v>2016.3:::Shares</v>
      </c>
      <c r="BN5" s="438" t="str">
        <f>BN2 &amp; "." &amp; BN3 &amp; ":::" &amp; BN4</f>
        <v>2016.3:::Mkt_Cap</v>
      </c>
      <c r="BO5" s="437"/>
      <c r="BP5" s="438" t="str">
        <f>BP2 &amp; "." &amp; BP3 &amp; ":::" &amp; BP4</f>
        <v>2016.2:::Price</v>
      </c>
      <c r="BQ5" s="438" t="str">
        <f>BQ2 &amp; "." &amp; BQ3 &amp; ":::" &amp; BQ4</f>
        <v>2016.2:::Shares</v>
      </c>
      <c r="BR5" s="438" t="str">
        <f>BR2 &amp; "." &amp; BR3 &amp; ":::" &amp; BR4</f>
        <v>2016.2:::Mkt_Cap</v>
      </c>
      <c r="BS5" s="437"/>
      <c r="BT5" s="438" t="str">
        <f>BT2 &amp; "." &amp; BT3 &amp; ":::" &amp; BT4</f>
        <v>2016.1:::Price</v>
      </c>
      <c r="BU5" s="438" t="str">
        <f>BU2 &amp; "." &amp; BU3 &amp; ":::" &amp; BU4</f>
        <v>2016.1:::Shares</v>
      </c>
      <c r="BV5" s="438" t="str">
        <f>BV2 &amp; "." &amp; BV3 &amp; ":::" &amp; BV4</f>
        <v>2016.1:::Mkt_Cap</v>
      </c>
      <c r="BW5" s="437"/>
      <c r="BX5" s="438" t="str">
        <f>BX2 &amp; "." &amp; BX3 &amp; ":::" &amp; BX4</f>
        <v>2015.4:::Price</v>
      </c>
      <c r="BY5" s="438" t="str">
        <f>BY2 &amp; "." &amp; BY3 &amp; ":::" &amp; BY4</f>
        <v>2015.4:::Shares</v>
      </c>
      <c r="BZ5" s="438" t="str">
        <f>BZ2 &amp; "." &amp; BZ3 &amp; ":::" &amp; BZ4</f>
        <v>2015.4:::Mkt_Cap</v>
      </c>
      <c r="CA5" s="437"/>
      <c r="CB5" s="438" t="str">
        <f>CB2 &amp; "." &amp; CB3 &amp; ":::" &amp; CB4</f>
        <v>2015.3:::Price</v>
      </c>
      <c r="CC5" s="438" t="str">
        <f>CC2 &amp; "." &amp; CC3 &amp; ":::" &amp; CC4</f>
        <v>2015.3:::Shares</v>
      </c>
      <c r="CD5" s="438" t="str">
        <f>CD2 &amp; "." &amp; CD3 &amp; ":::" &amp; CD4</f>
        <v>2015.3:::Mkt_Cap</v>
      </c>
      <c r="CE5" s="437"/>
      <c r="CF5" s="438" t="str">
        <f>CF2 &amp; "." &amp; CF3 &amp; ":::" &amp; CF4</f>
        <v>2015.2:::Price</v>
      </c>
      <c r="CG5" s="438" t="str">
        <f>CG2 &amp; "." &amp; CG3 &amp; ":::" &amp; CG4</f>
        <v>2015.2:::Shares</v>
      </c>
      <c r="CH5" s="438" t="str">
        <f>CH2 &amp; "." &amp; CH3 &amp; ":::" &amp; CH4</f>
        <v>2015.2:::Mkt_Cap</v>
      </c>
      <c r="CI5" s="437"/>
      <c r="CJ5" s="438" t="str">
        <f>CJ2 &amp; "." &amp; CJ3 &amp; ":::" &amp; CJ4</f>
        <v>2015.1:::Price</v>
      </c>
      <c r="CK5" s="438" t="str">
        <f>CK2 &amp; "." &amp; CK3 &amp; ":::" &amp; CK4</f>
        <v>2015.1:::Shares</v>
      </c>
      <c r="CL5" s="438" t="str">
        <f>CL2 &amp; "." &amp; CL3 &amp; ":::" &amp; CL4</f>
        <v>2015.1:::Mkt_Cap</v>
      </c>
      <c r="CN5" s="438" t="str">
        <f>CN2 &amp; "." &amp; CN3 &amp; ":::" &amp; CN4</f>
        <v>2014.4:::Price</v>
      </c>
      <c r="CO5" s="438" t="str">
        <f>CO2 &amp; "." &amp; CO3 &amp; ":::" &amp; CO4</f>
        <v>2014.4:::Shares</v>
      </c>
      <c r="CP5" s="438" t="str">
        <f>CP2 &amp; "." &amp; CP3 &amp; ":::" &amp; CP4</f>
        <v>2014.4:::Mkt_Cap</v>
      </c>
      <c r="CR5" s="438" t="str">
        <f>CR2 &amp; "." &amp; CR3 &amp; ":::" &amp; CR4</f>
        <v>2014.3:::Price</v>
      </c>
      <c r="CS5" s="438" t="str">
        <f>CS2 &amp; "." &amp; CS3 &amp; ":::" &amp; CS4</f>
        <v>2014.3:::Shares</v>
      </c>
      <c r="CT5" s="438" t="str">
        <f>CT2 &amp; "." &amp; CT3 &amp; ":::" &amp; CT4</f>
        <v>2014.3:::Mkt_Cap</v>
      </c>
      <c r="CV5" s="438" t="str">
        <f>CV2 &amp; "." &amp; CV3 &amp; ":::" &amp; CV4</f>
        <v>2014.2:::Price</v>
      </c>
      <c r="CW5" s="438" t="str">
        <f>CW2 &amp; "." &amp; CW3 &amp; ":::" &amp; CW4</f>
        <v>2014.2:::Shares</v>
      </c>
      <c r="CX5" s="438" t="str">
        <f>CX2 &amp; "." &amp; CX3 &amp; ":::" &amp; CX4</f>
        <v>2014.2:::Mkt_Cap</v>
      </c>
      <c r="CZ5" s="438" t="str">
        <f>CZ2 &amp; "." &amp; CZ3 &amp; ":::" &amp; CZ4</f>
        <v>2014.1:::Price</v>
      </c>
      <c r="DA5" s="438" t="str">
        <f>DA2 &amp; "." &amp; DA3 &amp; ":::" &amp; DA4</f>
        <v>2014.1:::Shares</v>
      </c>
      <c r="DB5" s="438" t="str">
        <f>DB2 &amp; "." &amp; DB3 &amp; ":::" &amp; DB4</f>
        <v>2014.1:::Mkt_Cap</v>
      </c>
      <c r="DD5" s="438" t="str">
        <f>DD2 &amp; "." &amp; DD3 &amp; ":::" &amp; DD4</f>
        <v>2013.4:::Price</v>
      </c>
      <c r="DE5" s="438" t="str">
        <f>DE2 &amp; "." &amp; DE3 &amp; ":::" &amp; DE4</f>
        <v>2013.4:::Shares</v>
      </c>
      <c r="DF5" s="438" t="str">
        <f>DF2 &amp; "." &amp; DF3 &amp; ":::" &amp; DF4</f>
        <v>2013.4:::Mkt_Cap</v>
      </c>
      <c r="DH5" s="438" t="str">
        <f>DH2 &amp; "." &amp; DH3 &amp; ":::" &amp; DH4</f>
        <v>2013.3:::Price</v>
      </c>
      <c r="DI5" s="438" t="str">
        <f>DI2 &amp; "." &amp; DI3 &amp; ":::" &amp; DI4</f>
        <v>2013.3:::Shares</v>
      </c>
      <c r="DJ5" s="438" t="str">
        <f>DJ2 &amp; "." &amp; DJ3 &amp; ":::" &amp; DJ4</f>
        <v>2013.3:::Mkt_Cap</v>
      </c>
      <c r="DL5" s="438" t="str">
        <f>DL2 &amp; "." &amp; DL3 &amp; ":::" &amp; DL4</f>
        <v>2013.2:::Price</v>
      </c>
      <c r="DM5" s="438" t="str">
        <f>DM2 &amp; "." &amp; DM3 &amp; ":::" &amp; DM4</f>
        <v>2013.2:::Shares</v>
      </c>
      <c r="DN5" s="438" t="str">
        <f>DN2 &amp; "." &amp; DN3 &amp; ":::" &amp; DN4</f>
        <v>2013.2:::Mkt_Cap</v>
      </c>
      <c r="DP5" s="438" t="str">
        <f>DP2 &amp; "." &amp; DP3 &amp; ":::" &amp; DP4</f>
        <v>2013.1:::Price</v>
      </c>
      <c r="DQ5" s="438" t="str">
        <f>DQ2 &amp; "." &amp; DQ3 &amp; ":::" &amp; DQ4</f>
        <v>2013.1:::Shares</v>
      </c>
      <c r="DR5" s="438" t="str">
        <f>DR2 &amp; "." &amp; DR3 &amp; ":::" &amp; DR4</f>
        <v>2013.1:::Mkt_Cap</v>
      </c>
      <c r="DT5" s="438" t="str">
        <f>DT2 &amp; "." &amp; DT3 &amp; ":::" &amp; DT4</f>
        <v>2012.4:::Price</v>
      </c>
      <c r="DU5" s="438" t="str">
        <f>DU2 &amp; "." &amp; DU3 &amp; ":::" &amp; DU4</f>
        <v>2012.4:::Shares</v>
      </c>
      <c r="DV5" s="438" t="str">
        <f>DV2 &amp; "." &amp; DV3 &amp; ":::" &amp; DV4</f>
        <v>2012.4:::Mkt_Cap</v>
      </c>
      <c r="DX5" s="438" t="str">
        <f>DX2 &amp; "." &amp; DX3 &amp; ":::" &amp; DX4</f>
        <v>2012.3:::Price</v>
      </c>
      <c r="DY5" s="438" t="str">
        <f>DY2 &amp; "." &amp; DY3 &amp; ":::" &amp; DY4</f>
        <v>2012.3:::Shares</v>
      </c>
      <c r="DZ5" s="438" t="str">
        <f>DZ2 &amp; "." &amp; DZ3 &amp; ":::" &amp; DZ4</f>
        <v>2012.3:::Mkt_Cap</v>
      </c>
      <c r="EB5" s="438" t="str">
        <f>EB2 &amp; "." &amp; EB3 &amp; ":::" &amp; EB4</f>
        <v>2012.2:::Price</v>
      </c>
      <c r="EC5" s="438" t="str">
        <f>EC2 &amp; "." &amp; EC3 &amp; ":::" &amp; EC4</f>
        <v>2012.2:::Shares</v>
      </c>
      <c r="ED5" s="438" t="str">
        <f>ED2 &amp; "." &amp; ED3 &amp; ":::" &amp; ED4</f>
        <v>2012.2:::Mkt_Cap</v>
      </c>
      <c r="EF5" s="438" t="str">
        <f>EF2 &amp; "." &amp; EF3 &amp; ":::" &amp; EF4</f>
        <v>2012.1:::Price</v>
      </c>
      <c r="EG5" s="438" t="str">
        <f>EG2 &amp; "." &amp; EG3 &amp; ":::" &amp; EG4</f>
        <v>2012.1:::Shares</v>
      </c>
      <c r="EH5" s="438" t="str">
        <f>EH2 &amp; "." &amp; EH3 &amp; ":::" &amp; EH4</f>
        <v>2012.1:::Mkt_Cap</v>
      </c>
      <c r="EJ5" s="438" t="str">
        <f>EJ2 &amp; "." &amp; EJ3 &amp; ":::" &amp; EJ4</f>
        <v>2011.4:::Price</v>
      </c>
      <c r="EK5" s="438" t="str">
        <f>EK2 &amp; "." &amp; EK3 &amp; ":::" &amp; EK4</f>
        <v>2011.4:::Shares</v>
      </c>
      <c r="EL5" s="438" t="str">
        <f>EL2 &amp; "." &amp; EL3 &amp; ":::" &amp; EL4</f>
        <v>2011.4:::Mkt_Cap</v>
      </c>
      <c r="EO5" s="439"/>
    </row>
    <row r="6" spans="2:145" outlineLevel="1">
      <c r="C6" s="264" t="s">
        <v>397</v>
      </c>
      <c r="D6" s="266" t="str">
        <f>C6</f>
        <v>'CompanyList'!</v>
      </c>
      <c r="E6" s="267" t="str">
        <f>D6</f>
        <v>'CompanyList'!</v>
      </c>
      <c r="H6" s="268" t="s">
        <v>401</v>
      </c>
      <c r="I6" s="256" t="str">
        <f>H6</f>
        <v>'master'!</v>
      </c>
      <c r="J6" s="256"/>
      <c r="L6" s="268" t="s">
        <v>401</v>
      </c>
      <c r="M6" s="256" t="str">
        <f>L6</f>
        <v>'master'!</v>
      </c>
      <c r="N6" s="256"/>
      <c r="P6" s="268" t="s">
        <v>401</v>
      </c>
      <c r="Q6" s="256" t="str">
        <f>P6</f>
        <v>'master'!</v>
      </c>
      <c r="R6" s="256"/>
      <c r="T6" s="268" t="s">
        <v>401</v>
      </c>
      <c r="U6" s="256" t="str">
        <f>T6</f>
        <v>'master'!</v>
      </c>
      <c r="V6" s="256"/>
      <c r="X6" s="268" t="s">
        <v>401</v>
      </c>
      <c r="Y6" s="256" t="str">
        <f>X6</f>
        <v>'master'!</v>
      </c>
      <c r="Z6" s="256"/>
      <c r="AB6" s="268" t="s">
        <v>401</v>
      </c>
      <c r="AC6" s="256" t="str">
        <f>AB6</f>
        <v>'master'!</v>
      </c>
      <c r="AD6" s="256"/>
      <c r="AF6" s="268" t="s">
        <v>401</v>
      </c>
      <c r="AG6" s="256" t="str">
        <f>AF6</f>
        <v>'master'!</v>
      </c>
      <c r="AH6" s="256"/>
      <c r="AJ6" s="268" t="s">
        <v>401</v>
      </c>
      <c r="AK6" s="256" t="str">
        <f>AJ6</f>
        <v>'master'!</v>
      </c>
      <c r="AL6" s="256"/>
      <c r="AN6" s="268" t="s">
        <v>401</v>
      </c>
      <c r="AO6" s="256" t="str">
        <f>AN6</f>
        <v>'master'!</v>
      </c>
      <c r="AP6" s="256"/>
      <c r="AR6" s="268" t="s">
        <v>401</v>
      </c>
      <c r="AS6" s="256" t="str">
        <f>AR6</f>
        <v>'master'!</v>
      </c>
      <c r="AT6" s="256"/>
      <c r="AV6" s="268" t="s">
        <v>401</v>
      </c>
      <c r="AW6" s="256" t="str">
        <f>AV6</f>
        <v>'master'!</v>
      </c>
      <c r="AX6" s="256"/>
      <c r="AZ6" s="268" t="s">
        <v>401</v>
      </c>
      <c r="BA6" s="256" t="str">
        <f>AZ6</f>
        <v>'master'!</v>
      </c>
      <c r="BB6" s="256"/>
      <c r="BD6" s="268" t="s">
        <v>401</v>
      </c>
      <c r="BE6" s="256" t="str">
        <f>BD6</f>
        <v>'master'!</v>
      </c>
      <c r="BF6" s="256"/>
      <c r="BH6" s="268" t="s">
        <v>401</v>
      </c>
      <c r="BI6" s="256" t="str">
        <f>BH6</f>
        <v>'master'!</v>
      </c>
      <c r="BJ6" s="256"/>
      <c r="BL6" s="268" t="s">
        <v>401</v>
      </c>
      <c r="BM6" s="256" t="str">
        <f>BL6</f>
        <v>'master'!</v>
      </c>
      <c r="BN6" s="256"/>
      <c r="BP6" s="268" t="s">
        <v>401</v>
      </c>
      <c r="BQ6" s="256" t="str">
        <f>BP6</f>
        <v>'master'!</v>
      </c>
      <c r="BR6" s="256"/>
      <c r="BT6" s="268" t="s">
        <v>401</v>
      </c>
      <c r="BU6" s="256" t="str">
        <f>BT6</f>
        <v>'master'!</v>
      </c>
      <c r="BV6" s="256"/>
      <c r="BX6" s="268" t="s">
        <v>401</v>
      </c>
      <c r="BY6" s="256" t="str">
        <f>BX6</f>
        <v>'master'!</v>
      </c>
      <c r="BZ6" s="256"/>
      <c r="CB6" s="268" t="s">
        <v>401</v>
      </c>
      <c r="CC6" s="256" t="str">
        <f>CB6</f>
        <v>'master'!</v>
      </c>
      <c r="CD6" s="256"/>
      <c r="CF6" s="268" t="s">
        <v>401</v>
      </c>
      <c r="CG6" s="256" t="str">
        <f>CF6</f>
        <v>'master'!</v>
      </c>
      <c r="CH6" s="256"/>
      <c r="CJ6" s="268" t="s">
        <v>401</v>
      </c>
      <c r="CK6" s="256" t="str">
        <f>CJ6</f>
        <v>'master'!</v>
      </c>
      <c r="CL6" s="256"/>
      <c r="CN6" s="268" t="s">
        <v>401</v>
      </c>
      <c r="CO6" s="256" t="str">
        <f>CN6</f>
        <v>'master'!</v>
      </c>
      <c r="CP6" s="256"/>
      <c r="CR6" s="268" t="s">
        <v>401</v>
      </c>
      <c r="CS6" s="256" t="str">
        <f>CR6</f>
        <v>'master'!</v>
      </c>
      <c r="CT6" s="256"/>
      <c r="CV6" s="268" t="s">
        <v>401</v>
      </c>
      <c r="CW6" s="256" t="str">
        <f>CV6</f>
        <v>'master'!</v>
      </c>
      <c r="CX6" s="256"/>
      <c r="CZ6" s="268" t="s">
        <v>401</v>
      </c>
      <c r="DA6" s="256" t="str">
        <f>CZ6</f>
        <v>'master'!</v>
      </c>
      <c r="DB6" s="256"/>
      <c r="DD6" s="268" t="s">
        <v>401</v>
      </c>
      <c r="DE6" s="256" t="str">
        <f>DD6</f>
        <v>'master'!</v>
      </c>
      <c r="DF6" s="256"/>
      <c r="DH6" s="268" t="s">
        <v>401</v>
      </c>
      <c r="DI6" s="256" t="str">
        <f>DH6</f>
        <v>'master'!</v>
      </c>
      <c r="DJ6" s="256"/>
      <c r="DL6" s="268" t="s">
        <v>401</v>
      </c>
      <c r="DM6" s="256" t="str">
        <f>DL6</f>
        <v>'master'!</v>
      </c>
      <c r="DN6" s="256"/>
      <c r="DP6" s="268" t="s">
        <v>401</v>
      </c>
      <c r="DQ6" s="256" t="str">
        <f>DP6</f>
        <v>'master'!</v>
      </c>
      <c r="DR6" s="256"/>
      <c r="DT6" s="268" t="s">
        <v>401</v>
      </c>
      <c r="DU6" s="256" t="str">
        <f>DT6</f>
        <v>'master'!</v>
      </c>
      <c r="DV6" s="256"/>
      <c r="DX6" s="268" t="s">
        <v>401</v>
      </c>
      <c r="DY6" s="256" t="str">
        <f>DX6</f>
        <v>'master'!</v>
      </c>
      <c r="DZ6" s="256"/>
      <c r="EB6" s="268" t="s">
        <v>401</v>
      </c>
      <c r="EC6" s="256" t="str">
        <f>EB6</f>
        <v>'master'!</v>
      </c>
      <c r="ED6" s="256"/>
      <c r="EF6" s="268" t="s">
        <v>401</v>
      </c>
      <c r="EG6" s="256" t="str">
        <f>EF6</f>
        <v>'master'!</v>
      </c>
      <c r="EH6" s="256"/>
      <c r="EJ6" s="268" t="s">
        <v>401</v>
      </c>
      <c r="EK6" s="256" t="str">
        <f>EJ6</f>
        <v>'master'!</v>
      </c>
      <c r="EL6" s="256"/>
      <c r="EO6" s="270" t="str">
        <f>EB6</f>
        <v>'master'!</v>
      </c>
    </row>
    <row r="7" spans="2:145" s="243" customFormat="1" outlineLevel="1">
      <c r="B7" s="239"/>
      <c r="C7" s="265" t="s">
        <v>398</v>
      </c>
      <c r="D7" s="265" t="s">
        <v>399</v>
      </c>
      <c r="E7" s="265" t="s">
        <v>400</v>
      </c>
      <c r="F7" s="241"/>
      <c r="G7" s="257"/>
      <c r="H7" s="272" t="s">
        <v>402</v>
      </c>
      <c r="I7" s="256" t="str">
        <f>H7</f>
        <v>5:5</v>
      </c>
      <c r="J7" s="256"/>
      <c r="K7" s="257"/>
      <c r="L7" s="272" t="s">
        <v>402</v>
      </c>
      <c r="M7" s="256" t="str">
        <f>L7</f>
        <v>5:5</v>
      </c>
      <c r="N7" s="256"/>
      <c r="O7" s="257"/>
      <c r="P7" s="272" t="s">
        <v>402</v>
      </c>
      <c r="Q7" s="256" t="str">
        <f>P7</f>
        <v>5:5</v>
      </c>
      <c r="R7" s="256"/>
      <c r="S7" s="257"/>
      <c r="T7" s="272" t="s">
        <v>402</v>
      </c>
      <c r="U7" s="256" t="str">
        <f>T7</f>
        <v>5:5</v>
      </c>
      <c r="V7" s="256"/>
      <c r="W7" s="257"/>
      <c r="X7" s="272" t="s">
        <v>402</v>
      </c>
      <c r="Y7" s="256" t="str">
        <f>X7</f>
        <v>5:5</v>
      </c>
      <c r="Z7" s="256"/>
      <c r="AA7" s="257"/>
      <c r="AB7" s="272" t="s">
        <v>402</v>
      </c>
      <c r="AC7" s="256" t="str">
        <f>AB7</f>
        <v>5:5</v>
      </c>
      <c r="AD7" s="256"/>
      <c r="AE7" s="257"/>
      <c r="AF7" s="272" t="s">
        <v>402</v>
      </c>
      <c r="AG7" s="256" t="str">
        <f>AF7</f>
        <v>5:5</v>
      </c>
      <c r="AH7" s="256"/>
      <c r="AI7" s="257"/>
      <c r="AJ7" s="272" t="s">
        <v>402</v>
      </c>
      <c r="AK7" s="256" t="str">
        <f>AJ7</f>
        <v>5:5</v>
      </c>
      <c r="AL7" s="256"/>
      <c r="AM7" s="257"/>
      <c r="AN7" s="272" t="s">
        <v>402</v>
      </c>
      <c r="AO7" s="256" t="str">
        <f>AN7</f>
        <v>5:5</v>
      </c>
      <c r="AP7" s="256"/>
      <c r="AQ7" s="257"/>
      <c r="AR7" s="272" t="s">
        <v>402</v>
      </c>
      <c r="AS7" s="256" t="str">
        <f>AR7</f>
        <v>5:5</v>
      </c>
      <c r="AT7" s="256"/>
      <c r="AU7" s="257"/>
      <c r="AV7" s="272" t="s">
        <v>402</v>
      </c>
      <c r="AW7" s="256" t="str">
        <f>AV7</f>
        <v>5:5</v>
      </c>
      <c r="AX7" s="256"/>
      <c r="AY7" s="257"/>
      <c r="AZ7" s="272" t="s">
        <v>402</v>
      </c>
      <c r="BA7" s="256" t="str">
        <f>AZ7</f>
        <v>5:5</v>
      </c>
      <c r="BB7" s="256"/>
      <c r="BC7" s="257"/>
      <c r="BD7" s="272" t="s">
        <v>402</v>
      </c>
      <c r="BE7" s="256" t="str">
        <f>BD7</f>
        <v>5:5</v>
      </c>
      <c r="BF7" s="256"/>
      <c r="BG7" s="257"/>
      <c r="BH7" s="272" t="s">
        <v>402</v>
      </c>
      <c r="BI7" s="256" t="str">
        <f>BH7</f>
        <v>5:5</v>
      </c>
      <c r="BJ7" s="256"/>
      <c r="BK7" s="257"/>
      <c r="BL7" s="272" t="s">
        <v>402</v>
      </c>
      <c r="BM7" s="256" t="str">
        <f>BL7</f>
        <v>5:5</v>
      </c>
      <c r="BN7" s="256"/>
      <c r="BO7" s="257"/>
      <c r="BP7" s="272" t="s">
        <v>402</v>
      </c>
      <c r="BQ7" s="256" t="str">
        <f>BP7</f>
        <v>5:5</v>
      </c>
      <c r="BR7" s="256"/>
      <c r="BS7" s="257"/>
      <c r="BT7" s="272" t="s">
        <v>402</v>
      </c>
      <c r="BU7" s="256" t="str">
        <f>BT7</f>
        <v>5:5</v>
      </c>
      <c r="BV7" s="256"/>
      <c r="BW7" s="257"/>
      <c r="BX7" s="272" t="s">
        <v>402</v>
      </c>
      <c r="BY7" s="256" t="str">
        <f>BX7</f>
        <v>5:5</v>
      </c>
      <c r="BZ7" s="256"/>
      <c r="CA7" s="257"/>
      <c r="CB7" s="272" t="s">
        <v>402</v>
      </c>
      <c r="CC7" s="256" t="str">
        <f>CB7</f>
        <v>5:5</v>
      </c>
      <c r="CD7" s="256"/>
      <c r="CE7" s="257"/>
      <c r="CF7" s="272" t="s">
        <v>402</v>
      </c>
      <c r="CG7" s="256" t="str">
        <f>CF7</f>
        <v>5:5</v>
      </c>
      <c r="CH7" s="256"/>
      <c r="CI7" s="257"/>
      <c r="CJ7" s="272" t="s">
        <v>402</v>
      </c>
      <c r="CK7" s="256" t="str">
        <f>CJ7</f>
        <v>5:5</v>
      </c>
      <c r="CL7" s="256"/>
      <c r="CN7" s="272" t="s">
        <v>402</v>
      </c>
      <c r="CO7" s="256" t="str">
        <f>CN7</f>
        <v>5:5</v>
      </c>
      <c r="CP7" s="256"/>
      <c r="CR7" s="272" t="s">
        <v>402</v>
      </c>
      <c r="CS7" s="256" t="str">
        <f>CR7</f>
        <v>5:5</v>
      </c>
      <c r="CT7" s="256"/>
      <c r="CV7" s="272" t="s">
        <v>402</v>
      </c>
      <c r="CW7" s="256" t="str">
        <f>CV7</f>
        <v>5:5</v>
      </c>
      <c r="CX7" s="256"/>
      <c r="CZ7" s="272" t="s">
        <v>402</v>
      </c>
      <c r="DA7" s="256" t="str">
        <f>CZ7</f>
        <v>5:5</v>
      </c>
      <c r="DB7" s="256"/>
      <c r="DD7" s="272" t="s">
        <v>402</v>
      </c>
      <c r="DE7" s="256" t="str">
        <f>DD7</f>
        <v>5:5</v>
      </c>
      <c r="DF7" s="256"/>
      <c r="DH7" s="272" t="s">
        <v>402</v>
      </c>
      <c r="DI7" s="256" t="str">
        <f>DH7</f>
        <v>5:5</v>
      </c>
      <c r="DJ7" s="256"/>
      <c r="DL7" s="272" t="s">
        <v>402</v>
      </c>
      <c r="DM7" s="256" t="str">
        <f>DL7</f>
        <v>5:5</v>
      </c>
      <c r="DN7" s="256"/>
      <c r="DP7" s="272" t="s">
        <v>402</v>
      </c>
      <c r="DQ7" s="256" t="str">
        <f>DP7</f>
        <v>5:5</v>
      </c>
      <c r="DR7" s="256"/>
      <c r="DT7" s="272" t="s">
        <v>402</v>
      </c>
      <c r="DU7" s="256" t="str">
        <f>DT7</f>
        <v>5:5</v>
      </c>
      <c r="DV7" s="256"/>
      <c r="DX7" s="272" t="s">
        <v>402</v>
      </c>
      <c r="DY7" s="256" t="str">
        <f>DX7</f>
        <v>5:5</v>
      </c>
      <c r="DZ7" s="256"/>
      <c r="EB7" s="272" t="s">
        <v>402</v>
      </c>
      <c r="EC7" s="256" t="str">
        <f>EB7</f>
        <v>5:5</v>
      </c>
      <c r="ED7" s="256"/>
      <c r="EF7" s="272" t="s">
        <v>402</v>
      </c>
      <c r="EG7" s="256" t="str">
        <f>EF7</f>
        <v>5:5</v>
      </c>
      <c r="EH7" s="256"/>
      <c r="EJ7" s="272" t="s">
        <v>402</v>
      </c>
      <c r="EK7" s="256" t="str">
        <f>EJ7</f>
        <v>5:5</v>
      </c>
      <c r="EL7" s="256"/>
      <c r="EO7" s="244"/>
    </row>
    <row r="8" spans="2:145" outlineLevel="1">
      <c r="C8" s="246"/>
      <c r="D8" s="246"/>
      <c r="E8" s="246"/>
      <c r="G8" s="246"/>
      <c r="H8" s="256">
        <f ca="1">MATCH( H$5, INDIRECT( H$6 &amp; H7 ), 0 )</f>
        <v>4</v>
      </c>
      <c r="I8" s="256">
        <f ca="1">MATCH( I$5, INDIRECT( I$6 &amp; I7 ), 0 )</f>
        <v>3</v>
      </c>
      <c r="J8" s="256"/>
      <c r="K8" s="246"/>
      <c r="L8" s="256">
        <f ca="1">MATCH( L$5, INDIRECT( L$6 &amp; L7 ), 0 )</f>
        <v>7</v>
      </c>
      <c r="M8" s="256">
        <f ca="1">MATCH( M$5, INDIRECT( M$6 &amp; M7 ), 0 )</f>
        <v>6</v>
      </c>
      <c r="N8" s="256"/>
      <c r="O8" s="246"/>
      <c r="P8" s="256">
        <f ca="1">MATCH( P$5, INDIRECT( P$6 &amp; P7 ), 0 )</f>
        <v>10</v>
      </c>
      <c r="Q8" s="256">
        <f ca="1">MATCH( Q$5, INDIRECT( Q$6 &amp; Q7 ), 0 )</f>
        <v>9</v>
      </c>
      <c r="R8" s="256"/>
      <c r="S8" s="246"/>
      <c r="T8" s="256">
        <f ca="1">MATCH( T$5, INDIRECT( T$6 &amp; T7 ), 0 )</f>
        <v>13</v>
      </c>
      <c r="U8" s="256">
        <f ca="1">MATCH( U$5, INDIRECT( U$6 &amp; U7 ), 0 )</f>
        <v>12</v>
      </c>
      <c r="V8" s="256"/>
      <c r="W8" s="246"/>
      <c r="X8" s="256">
        <f ca="1">MATCH( X$5, INDIRECT( X$6 &amp; X7 ), 0 )</f>
        <v>16</v>
      </c>
      <c r="Y8" s="256">
        <f ca="1">MATCH( Y$5, INDIRECT( Y$6 &amp; Y7 ), 0 )</f>
        <v>15</v>
      </c>
      <c r="Z8" s="256"/>
      <c r="AA8" s="246"/>
      <c r="AB8" s="256">
        <f ca="1">MATCH( AB$5, INDIRECT( AB$6 &amp; AB7 ), 0 )</f>
        <v>19</v>
      </c>
      <c r="AC8" s="256">
        <f ca="1">MATCH( AC$5, INDIRECT( AC$6 &amp; AC7 ), 0 )</f>
        <v>18</v>
      </c>
      <c r="AD8" s="256"/>
      <c r="AE8" s="246"/>
      <c r="AF8" s="256">
        <f ca="1">MATCH( AF$5, INDIRECT( AF$6 &amp; AF7 ), 0 )</f>
        <v>22</v>
      </c>
      <c r="AG8" s="256">
        <f ca="1">MATCH( AG$5, INDIRECT( AG$6 &amp; AG7 ), 0 )</f>
        <v>21</v>
      </c>
      <c r="AH8" s="256"/>
      <c r="AI8" s="246"/>
      <c r="AJ8" s="256">
        <f ca="1">MATCH( AJ$5, INDIRECT( AJ$6 &amp; AJ7 ), 0 )</f>
        <v>25</v>
      </c>
      <c r="AK8" s="256">
        <f ca="1">MATCH( AK$5, INDIRECT( AK$6 &amp; AK7 ), 0 )</f>
        <v>24</v>
      </c>
      <c r="AL8" s="256"/>
      <c r="AM8" s="246"/>
      <c r="AN8" s="256">
        <f ca="1">MATCH( AN$5, INDIRECT( AN$6 &amp; AN7 ), 0 )</f>
        <v>28</v>
      </c>
      <c r="AO8" s="256">
        <f ca="1">MATCH( AO$5, INDIRECT( AO$6 &amp; AO7 ), 0 )</f>
        <v>27</v>
      </c>
      <c r="AP8" s="256"/>
      <c r="AQ8" s="246"/>
      <c r="AR8" s="256">
        <f ca="1">MATCH( AR$5, INDIRECT( AR$6 &amp; AR7 ), 0 )</f>
        <v>31</v>
      </c>
      <c r="AS8" s="256">
        <f ca="1">MATCH( AS$5, INDIRECT( AS$6 &amp; AS7 ), 0 )</f>
        <v>30</v>
      </c>
      <c r="AT8" s="256"/>
      <c r="AU8" s="246"/>
      <c r="AV8" s="256">
        <f ca="1">MATCH( AV$5, INDIRECT( AV$6 &amp; AV7 ), 0 )</f>
        <v>34</v>
      </c>
      <c r="AW8" s="256">
        <f ca="1">MATCH( AW$5, INDIRECT( AW$6 &amp; AW7 ), 0 )</f>
        <v>33</v>
      </c>
      <c r="AX8" s="256"/>
      <c r="AY8" s="246"/>
      <c r="AZ8" s="256">
        <f ca="1">MATCH( AZ$5, INDIRECT( AZ$6 &amp; AZ7 ), 0 )</f>
        <v>37</v>
      </c>
      <c r="BA8" s="256">
        <f ca="1">MATCH( BA$5, INDIRECT( BA$6 &amp; BA7 ), 0 )</f>
        <v>36</v>
      </c>
      <c r="BB8" s="256"/>
      <c r="BC8" s="246"/>
      <c r="BD8" s="256">
        <f ca="1">MATCH( BD$5, INDIRECT( BD$6 &amp; BD7 ), 0 )</f>
        <v>40</v>
      </c>
      <c r="BE8" s="256">
        <f ca="1">MATCH( BE$5, INDIRECT( BE$6 &amp; BE7 ), 0 )</f>
        <v>39</v>
      </c>
      <c r="BF8" s="256"/>
      <c r="BG8" s="246"/>
      <c r="BH8" s="256">
        <f ca="1">MATCH( BH$5, INDIRECT( BH$6 &amp; BH7 ), 0 )</f>
        <v>43</v>
      </c>
      <c r="BI8" s="256">
        <f ca="1">MATCH( BI$5, INDIRECT( BI$6 &amp; BI7 ), 0 )</f>
        <v>42</v>
      </c>
      <c r="BJ8" s="256"/>
      <c r="BK8" s="246"/>
      <c r="BL8" s="256">
        <f ca="1">MATCH( BL$5, INDIRECT( BL$6 &amp; BL7 ), 0 )</f>
        <v>46</v>
      </c>
      <c r="BM8" s="256">
        <f ca="1">MATCH( BM$5, INDIRECT( BM$6 &amp; BM7 ), 0 )</f>
        <v>45</v>
      </c>
      <c r="BN8" s="256"/>
      <c r="BO8" s="246"/>
      <c r="BP8" s="256">
        <f ca="1">MATCH( BP$5, INDIRECT( BP$6 &amp; BP7 ), 0 )</f>
        <v>49</v>
      </c>
      <c r="BQ8" s="256">
        <f ca="1">MATCH( BQ$5, INDIRECT( BQ$6 &amp; BQ7 ), 0 )</f>
        <v>48</v>
      </c>
      <c r="BR8" s="256"/>
      <c r="BS8" s="246"/>
      <c r="BT8" s="256">
        <f ca="1">MATCH( BT$5, INDIRECT( BT$6 &amp; BT7 ), 0 )</f>
        <v>52</v>
      </c>
      <c r="BU8" s="256">
        <f ca="1">MATCH( BU$5, INDIRECT( BU$6 &amp; BU7 ), 0 )</f>
        <v>51</v>
      </c>
      <c r="BV8" s="256"/>
      <c r="BW8" s="246"/>
      <c r="BX8" s="256">
        <f ca="1">MATCH( BX$5, INDIRECT( BX$6 &amp; BX7 ), 0 )</f>
        <v>55</v>
      </c>
      <c r="BY8" s="256">
        <f ca="1">MATCH( BY$5, INDIRECT( BY$6 &amp; BY7 ), 0 )</f>
        <v>54</v>
      </c>
      <c r="BZ8" s="256"/>
      <c r="CA8" s="246"/>
      <c r="CB8" s="256">
        <f ca="1">MATCH( CB$5, INDIRECT( CB$6 &amp; CB7 ), 0 )</f>
        <v>58</v>
      </c>
      <c r="CC8" s="256">
        <f ca="1">MATCH( CC$5, INDIRECT( CC$6 &amp; CC7 ), 0 )</f>
        <v>57</v>
      </c>
      <c r="CD8" s="256"/>
      <c r="CE8" s="246"/>
      <c r="CF8" s="256">
        <f ca="1">MATCH( CF$5, INDIRECT( CF$6 &amp; CF7 ), 0 )</f>
        <v>61</v>
      </c>
      <c r="CG8" s="256">
        <f ca="1">MATCH( CG$5, INDIRECT( CG$6 &amp; CG7 ), 0 )</f>
        <v>60</v>
      </c>
      <c r="CH8" s="256"/>
      <c r="CI8" s="246"/>
      <c r="CJ8" s="256">
        <f ca="1">MATCH( CJ$5, INDIRECT( CJ$6 &amp; CJ7 ), 0 )</f>
        <v>64</v>
      </c>
      <c r="CK8" s="256">
        <f ca="1">MATCH( CK$5, INDIRECT( CK$6 &amp; CK7 ), 0 )</f>
        <v>63</v>
      </c>
      <c r="CL8" s="256"/>
      <c r="CN8" s="256">
        <f ca="1">MATCH( CN$5, INDIRECT( CN$6 &amp; CN7 ), 0 )</f>
        <v>67</v>
      </c>
      <c r="CO8" s="256">
        <f ca="1">MATCH( CO$5, INDIRECT( CO$6 &amp; CO7 ), 0 )</f>
        <v>66</v>
      </c>
      <c r="CP8" s="256"/>
      <c r="CR8" s="256">
        <f ca="1">MATCH( CR$5, INDIRECT( CR$6 &amp; CR7 ), 0 )</f>
        <v>70</v>
      </c>
      <c r="CS8" s="256">
        <f ca="1">MATCH( CS$5, INDIRECT( CS$6 &amp; CS7 ), 0 )</f>
        <v>69</v>
      </c>
      <c r="CT8" s="256"/>
      <c r="CV8" s="256">
        <f ca="1">MATCH( CV$5, INDIRECT( CV$6 &amp; CV7 ), 0 )</f>
        <v>73</v>
      </c>
      <c r="CW8" s="256">
        <f ca="1">MATCH( CW$5, INDIRECT( CW$6 &amp; CW7 ), 0 )</f>
        <v>72</v>
      </c>
      <c r="CX8" s="256"/>
      <c r="CZ8" s="256">
        <f ca="1">MATCH( CZ$5, INDIRECT( CZ$6 &amp; CZ7 ), 0 )</f>
        <v>76</v>
      </c>
      <c r="DA8" s="256">
        <f ca="1">MATCH( DA$5, INDIRECT( DA$6 &amp; DA7 ), 0 )</f>
        <v>75</v>
      </c>
      <c r="DB8" s="256"/>
      <c r="DD8" s="256">
        <f ca="1">MATCH( DD$5, INDIRECT( DD$6 &amp; DD7 ), 0 )</f>
        <v>79</v>
      </c>
      <c r="DE8" s="256">
        <f ca="1">MATCH( DE$5, INDIRECT( DE$6 &amp; DE7 ), 0 )</f>
        <v>78</v>
      </c>
      <c r="DF8" s="256"/>
      <c r="DH8" s="256">
        <f ca="1">MATCH( DH$5, INDIRECT( DH$6 &amp; DH7 ), 0 )</f>
        <v>82</v>
      </c>
      <c r="DI8" s="256">
        <f ca="1">MATCH( DI$5, INDIRECT( DI$6 &amp; DI7 ), 0 )</f>
        <v>81</v>
      </c>
      <c r="DJ8" s="256"/>
      <c r="DL8" s="256">
        <f ca="1">MATCH( DL$5, INDIRECT( DL$6 &amp; DL7 ), 0 )</f>
        <v>85</v>
      </c>
      <c r="DM8" s="256">
        <f ca="1">MATCH( DM$5, INDIRECT( DM$6 &amp; DM7 ), 0 )</f>
        <v>84</v>
      </c>
      <c r="DN8" s="256"/>
      <c r="DP8" s="256">
        <f ca="1">MATCH( DP$5, INDIRECT( DP$6 &amp; DP7 ), 0 )</f>
        <v>88</v>
      </c>
      <c r="DQ8" s="256">
        <f ca="1">MATCH( DQ$5, INDIRECT( DQ$6 &amp; DQ7 ), 0 )</f>
        <v>87</v>
      </c>
      <c r="DR8" s="256"/>
      <c r="DT8" s="256">
        <f ca="1">MATCH( DT$5, INDIRECT( DT$6 &amp; DT7 ), 0 )</f>
        <v>91</v>
      </c>
      <c r="DU8" s="256">
        <f ca="1">MATCH( DU$5, INDIRECT( DU$6 &amp; DU7 ), 0 )</f>
        <v>90</v>
      </c>
      <c r="DV8" s="256"/>
      <c r="DX8" s="256">
        <f ca="1">MATCH( DX$5, INDIRECT( DX$6 &amp; DX7 ), 0 )</f>
        <v>94</v>
      </c>
      <c r="DY8" s="256">
        <f ca="1">MATCH( DY$5, INDIRECT( DY$6 &amp; DY7 ), 0 )</f>
        <v>93</v>
      </c>
      <c r="DZ8" s="256"/>
      <c r="EB8" s="256">
        <f ca="1">MATCH( EB$5, INDIRECT( EB$6 &amp; EB7 ), 0 )</f>
        <v>97</v>
      </c>
      <c r="EC8" s="256">
        <f ca="1">MATCH( EC$5, INDIRECT( EC$6 &amp; EC7 ), 0 )</f>
        <v>96</v>
      </c>
      <c r="ED8" s="256"/>
      <c r="EF8" s="256">
        <f ca="1">MATCH( EF$5, INDIRECT( EF$6 &amp; EF7 ), 0 )</f>
        <v>100</v>
      </c>
      <c r="EG8" s="256">
        <f ca="1">MATCH( EG$5, INDIRECT( EG$6 &amp; EG7 ), 0 )</f>
        <v>99</v>
      </c>
      <c r="EH8" s="256"/>
      <c r="EJ8" s="256">
        <f ca="1">MATCH( EJ$5, INDIRECT( EJ$6 &amp; EJ7 ), 0 )</f>
        <v>103</v>
      </c>
      <c r="EK8" s="256">
        <f ca="1">MATCH( EK$5, INDIRECT( EK$6 &amp; EK7 ), 0 )</f>
        <v>102</v>
      </c>
      <c r="EL8" s="256"/>
    </row>
    <row r="9" spans="2:145" outlineLevel="1">
      <c r="H9" s="268" t="s">
        <v>310</v>
      </c>
      <c r="I9" s="256" t="str">
        <f>H9</f>
        <v>a1</v>
      </c>
      <c r="J9" s="256"/>
      <c r="L9" s="268" t="s">
        <v>310</v>
      </c>
      <c r="M9" s="256" t="str">
        <f>L9</f>
        <v>a1</v>
      </c>
      <c r="N9" s="256"/>
      <c r="P9" s="268" t="s">
        <v>310</v>
      </c>
      <c r="Q9" s="256" t="str">
        <f>P9</f>
        <v>a1</v>
      </c>
      <c r="R9" s="256"/>
      <c r="T9" s="268" t="s">
        <v>310</v>
      </c>
      <c r="U9" s="256" t="str">
        <f>T9</f>
        <v>a1</v>
      </c>
      <c r="V9" s="256"/>
      <c r="X9" s="268" t="s">
        <v>310</v>
      </c>
      <c r="Y9" s="256" t="str">
        <f>X9</f>
        <v>a1</v>
      </c>
      <c r="Z9" s="256"/>
      <c r="AB9" s="268" t="s">
        <v>310</v>
      </c>
      <c r="AC9" s="256" t="str">
        <f>AB9</f>
        <v>a1</v>
      </c>
      <c r="AD9" s="256"/>
      <c r="AF9" s="268" t="s">
        <v>310</v>
      </c>
      <c r="AG9" s="256" t="str">
        <f>AF9</f>
        <v>a1</v>
      </c>
      <c r="AH9" s="256"/>
      <c r="AJ9" s="268" t="s">
        <v>310</v>
      </c>
      <c r="AK9" s="256" t="str">
        <f>AJ9</f>
        <v>a1</v>
      </c>
      <c r="AL9" s="256"/>
      <c r="AN9" s="268" t="s">
        <v>310</v>
      </c>
      <c r="AO9" s="256" t="str">
        <f>AN9</f>
        <v>a1</v>
      </c>
      <c r="AP9" s="256"/>
      <c r="AR9" s="268" t="s">
        <v>310</v>
      </c>
      <c r="AS9" s="256" t="str">
        <f>AR9</f>
        <v>a1</v>
      </c>
      <c r="AT9" s="256"/>
      <c r="AV9" s="268" t="s">
        <v>310</v>
      </c>
      <c r="AW9" s="256" t="str">
        <f>AV9</f>
        <v>a1</v>
      </c>
      <c r="AX9" s="256"/>
      <c r="AZ9" s="268" t="s">
        <v>310</v>
      </c>
      <c r="BA9" s="256" t="str">
        <f>AZ9</f>
        <v>a1</v>
      </c>
      <c r="BB9" s="256"/>
      <c r="BD9" s="268" t="s">
        <v>310</v>
      </c>
      <c r="BE9" s="256" t="str">
        <f>BD9</f>
        <v>a1</v>
      </c>
      <c r="BF9" s="256"/>
      <c r="BH9" s="268" t="s">
        <v>310</v>
      </c>
      <c r="BI9" s="256" t="str">
        <f>BH9</f>
        <v>a1</v>
      </c>
      <c r="BJ9" s="256"/>
      <c r="BL9" s="268" t="s">
        <v>310</v>
      </c>
      <c r="BM9" s="256" t="str">
        <f>BL9</f>
        <v>a1</v>
      </c>
      <c r="BN9" s="256"/>
      <c r="BP9" s="268" t="s">
        <v>310</v>
      </c>
      <c r="BQ9" s="256" t="str">
        <f>BP9</f>
        <v>a1</v>
      </c>
      <c r="BR9" s="256"/>
      <c r="BT9" s="268" t="s">
        <v>310</v>
      </c>
      <c r="BU9" s="256" t="str">
        <f>BT9</f>
        <v>a1</v>
      </c>
      <c r="BV9" s="256"/>
      <c r="BX9" s="268" t="s">
        <v>310</v>
      </c>
      <c r="BY9" s="256" t="str">
        <f>BX9</f>
        <v>a1</v>
      </c>
      <c r="BZ9" s="256"/>
      <c r="CB9" s="268" t="s">
        <v>310</v>
      </c>
      <c r="CC9" s="256" t="str">
        <f>CB9</f>
        <v>a1</v>
      </c>
      <c r="CD9" s="256"/>
      <c r="CF9" s="268" t="s">
        <v>310</v>
      </c>
      <c r="CG9" s="256" t="str">
        <f>CF9</f>
        <v>a1</v>
      </c>
      <c r="CH9" s="256"/>
      <c r="CJ9" s="268" t="s">
        <v>310</v>
      </c>
      <c r="CK9" s="256" t="str">
        <f>CJ9</f>
        <v>a1</v>
      </c>
      <c r="CL9" s="256"/>
      <c r="CN9" s="268" t="s">
        <v>310</v>
      </c>
      <c r="CO9" s="256" t="str">
        <f>CN9</f>
        <v>a1</v>
      </c>
      <c r="CP9" s="256"/>
      <c r="CR9" s="268" t="s">
        <v>310</v>
      </c>
      <c r="CS9" s="256" t="str">
        <f>CR9</f>
        <v>a1</v>
      </c>
      <c r="CT9" s="256"/>
      <c r="CV9" s="268" t="s">
        <v>310</v>
      </c>
      <c r="CW9" s="256" t="str">
        <f>CV9</f>
        <v>a1</v>
      </c>
      <c r="CX9" s="256"/>
      <c r="CZ9" s="268" t="s">
        <v>310</v>
      </c>
      <c r="DA9" s="256" t="str">
        <f>CZ9</f>
        <v>a1</v>
      </c>
      <c r="DB9" s="256"/>
      <c r="DD9" s="268" t="s">
        <v>310</v>
      </c>
      <c r="DE9" s="256" t="str">
        <f>DD9</f>
        <v>a1</v>
      </c>
      <c r="DF9" s="256"/>
      <c r="DH9" s="268" t="s">
        <v>310</v>
      </c>
      <c r="DI9" s="256" t="str">
        <f>DH9</f>
        <v>a1</v>
      </c>
      <c r="DJ9" s="256"/>
      <c r="DL9" s="268" t="s">
        <v>310</v>
      </c>
      <c r="DM9" s="256" t="str">
        <f>DL9</f>
        <v>a1</v>
      </c>
      <c r="DN9" s="256"/>
      <c r="DP9" s="268" t="s">
        <v>310</v>
      </c>
      <c r="DQ9" s="256" t="str">
        <f>DP9</f>
        <v>a1</v>
      </c>
      <c r="DR9" s="256"/>
      <c r="DT9" s="268" t="s">
        <v>310</v>
      </c>
      <c r="DU9" s="256" t="str">
        <f>DT9</f>
        <v>a1</v>
      </c>
      <c r="DV9" s="256"/>
      <c r="DX9" s="268" t="s">
        <v>310</v>
      </c>
      <c r="DY9" s="256" t="str">
        <f>DX9</f>
        <v>a1</v>
      </c>
      <c r="DZ9" s="256"/>
      <c r="EB9" s="268" t="s">
        <v>310</v>
      </c>
      <c r="EC9" s="256" t="str">
        <f>EB9</f>
        <v>a1</v>
      </c>
      <c r="ED9" s="256"/>
      <c r="EF9" s="268" t="s">
        <v>310</v>
      </c>
      <c r="EG9" s="256" t="str">
        <f>EF9</f>
        <v>a1</v>
      </c>
      <c r="EH9" s="256"/>
      <c r="EJ9" s="268" t="s">
        <v>310</v>
      </c>
      <c r="EK9" s="256" t="str">
        <f>EJ9</f>
        <v>a1</v>
      </c>
      <c r="EL9" s="256"/>
      <c r="EO9" s="269" t="s">
        <v>403</v>
      </c>
    </row>
    <row r="10" spans="2:145" s="234" customFormat="1">
      <c r="B10" s="237">
        <v>1</v>
      </c>
      <c r="C10" s="249" t="str">
        <f t="shared" ref="C10:E26" ca="1" si="0">OFFSET( INDIRECT( C$6 &amp; C$7 ), $B10 - 1, 0 )</f>
        <v>ALLETE, Inc.</v>
      </c>
      <c r="D10" s="236" t="str">
        <f t="shared" ca="1" si="0"/>
        <v>ALE</v>
      </c>
      <c r="E10" s="236">
        <f t="shared" ca="1" si="0"/>
        <v>4022309</v>
      </c>
      <c r="F10" s="250"/>
      <c r="G10" s="273"/>
      <c r="H10" s="440">
        <f ca="1">OFFSET( INDIRECT( H$6 &amp; H$9 ), $EO10 - 1, H$8 - 1 )</f>
        <v>60.68</v>
      </c>
      <c r="I10" s="440">
        <f t="shared" ref="H10:J27" ca="1" si="1">OFFSET( INDIRECT( I$6 &amp; I$9 ), $EO10 - 1, I$8 - 1 )</f>
        <v>51.6</v>
      </c>
      <c r="J10" s="274">
        <f ca="1">H10 * I10</f>
        <v>3131.0880000000002</v>
      </c>
      <c r="K10" s="273"/>
      <c r="L10" s="440">
        <f ca="1">OFFSET( INDIRECT( L$6 &amp; L$9 ), $EO10 - 1, L$8 - 1 )</f>
        <v>81.17</v>
      </c>
      <c r="M10" s="440">
        <f t="shared" ref="L10:M27" ca="1" si="2">OFFSET( INDIRECT( M$6 &amp; M$9 ), $EO10 - 1, M$8 - 1 )</f>
        <v>51.7</v>
      </c>
      <c r="N10" s="274">
        <f ca="1">L10 * M10</f>
        <v>4196.4890000000005</v>
      </c>
      <c r="O10" s="273"/>
      <c r="P10" s="440">
        <f ca="1">OFFSET( INDIRECT( P$6 &amp; P$9 ), $EO10 - 1, P$8 - 1 )</f>
        <v>87.41</v>
      </c>
      <c r="Q10" s="440">
        <f t="shared" ref="P10:Q27" ca="1" si="3">OFFSET( INDIRECT( Q$6 &amp; Q$9 ), $EO10 - 1, Q$8 - 1 )</f>
        <v>51.6</v>
      </c>
      <c r="R10" s="274">
        <f ca="1">P10 * Q10</f>
        <v>4510.3559999999998</v>
      </c>
      <c r="S10" s="273"/>
      <c r="T10" s="440">
        <f ca="1">OFFSET( INDIRECT( T$6 &amp; T$9 ), $EO10 - 1, T$8 - 1 )</f>
        <v>83.21</v>
      </c>
      <c r="U10" s="440">
        <f t="shared" ref="T10:U27" ca="1" si="4">OFFSET( INDIRECT( U$6 &amp; U$9 ), $EO10 - 1, U$8 - 1 )</f>
        <v>51.6</v>
      </c>
      <c r="V10" s="274">
        <f ca="1">T10 * U10</f>
        <v>4293.6359999999995</v>
      </c>
      <c r="W10" s="273"/>
      <c r="X10" s="440">
        <f ca="1">OFFSET( INDIRECT( X$6 &amp; X$9 ), $EO10 - 1, X$8 - 1 )</f>
        <v>82.23</v>
      </c>
      <c r="Y10" s="440">
        <f t="shared" ref="X10:Y27" ca="1" si="5">OFFSET( INDIRECT( Y$6 &amp; Y$9 ), $EO10 - 1, Y$8 - 1 )</f>
        <v>51.3</v>
      </c>
      <c r="Z10" s="274">
        <f ca="1">X10 * Y10</f>
        <v>4218.3990000000003</v>
      </c>
      <c r="AA10" s="273"/>
      <c r="AB10" s="440">
        <f ca="1">OFFSET( INDIRECT( AB$6 &amp; AB$9 ), $EO10 - 1, AB$8 - 1 )</f>
        <v>76.22</v>
      </c>
      <c r="AC10" s="440">
        <f t="shared" ref="AB10:AC27" ca="1" si="6">OFFSET( INDIRECT( AC$6 &amp; AC$9 ), $EO10 - 1, AC$8 - 1 )</f>
        <v>51.4</v>
      </c>
      <c r="AD10" s="274">
        <f ca="1">AB10 * AC10</f>
        <v>3917.7079999999996</v>
      </c>
      <c r="AE10" s="273"/>
      <c r="AF10" s="440">
        <f ca="1">OFFSET( INDIRECT( AF$6 &amp; AF$9 ), $EO10 - 1, AF$8 - 1 )</f>
        <v>75.010000000000005</v>
      </c>
      <c r="AG10" s="440">
        <f t="shared" ref="AF10:AG27" ca="1" si="7">OFFSET( INDIRECT( AG$6 &amp; AG$9 ), $EO10 - 1, AG$8 - 1 )</f>
        <v>51.3</v>
      </c>
      <c r="AH10" s="274">
        <f ca="1">AF10 * AG10</f>
        <v>3848.0129999999999</v>
      </c>
      <c r="AI10" s="273"/>
      <c r="AJ10" s="440">
        <f ca="1">OFFSET( INDIRECT( AJ$6 &amp; AJ$9 ), $EO10 - 1, AJ$8 - 1 )</f>
        <v>77.41</v>
      </c>
      <c r="AK10" s="440">
        <f t="shared" ref="AJ10:AK27" ca="1" si="8">OFFSET( INDIRECT( AK$6 &amp; AK$9 ), $EO10 - 1, AK$8 - 1 )</f>
        <v>51.2</v>
      </c>
      <c r="AL10" s="274">
        <f ca="1">AJ10 * AK10</f>
        <v>3963.3919999999998</v>
      </c>
      <c r="AM10" s="273"/>
      <c r="AN10" s="440">
        <f ca="1">OFFSET( INDIRECT( AN$6 &amp; AN$9 ), $EO10 - 1, AN$8 - 1 )</f>
        <v>72.25</v>
      </c>
      <c r="AO10" s="440">
        <f t="shared" ref="AN10:AO27" ca="1" si="9">OFFSET( INDIRECT( AO$6 &amp; AO$9 ), $EO10 - 1, AO$8 - 1 )</f>
        <v>51.1</v>
      </c>
      <c r="AP10" s="274">
        <f ca="1">AN10 * AO10</f>
        <v>3691.9749999999999</v>
      </c>
      <c r="AQ10" s="273"/>
      <c r="AR10" s="440">
        <f ca="1">OFFSET( INDIRECT( AR$6 &amp; AR$9 ), $EO10 - 1, AR$8 - 1 )</f>
        <v>74.36</v>
      </c>
      <c r="AS10" s="440">
        <f t="shared" ref="AR10:AS27" ca="1" si="10">OFFSET( INDIRECT( AS$6 &amp; AS$9 ), $EO10 - 1, AS$8 - 1 )</f>
        <v>51</v>
      </c>
      <c r="AT10" s="274">
        <f ca="1">AR10 * AS10</f>
        <v>3792.36</v>
      </c>
      <c r="AU10" s="273"/>
      <c r="AV10" s="440">
        <f ca="1">OFFSET( INDIRECT( AV$6 &amp; AV$9 ), $EO10 - 1, AV$8 - 1 )</f>
        <v>77.290000000000006</v>
      </c>
      <c r="AW10" s="440">
        <f t="shared" ref="AV10:AW27" ca="1" si="11">OFFSET( INDIRECT( AW$6 &amp; AW$9 ), $EO10 - 1, AW$8 - 1 )</f>
        <v>50.9</v>
      </c>
      <c r="AX10" s="274">
        <f ca="1">AV10 * AW10</f>
        <v>3934.0610000000001</v>
      </c>
      <c r="AY10" s="273"/>
      <c r="AZ10" s="440">
        <f ca="1">OFFSET( INDIRECT( AZ$6 &amp; AZ$9 ), $EO10 - 1, AZ$8 - 1 )</f>
        <v>71.680000000000007</v>
      </c>
      <c r="BA10" s="440">
        <f t="shared" ref="AZ10:BA27" ca="1" si="12">OFFSET( INDIRECT( BA$6 &amp; BA$9 ), $EO10 - 1, BA$8 - 1 )</f>
        <v>50.2</v>
      </c>
      <c r="BB10" s="274">
        <f ca="1">AZ10 * BA10</f>
        <v>3598.3360000000007</v>
      </c>
      <c r="BC10" s="273"/>
      <c r="BD10" s="440">
        <f ca="1">OFFSET( INDIRECT( BD$6 &amp; BD$9 ), $EO10 - 1, BD$8 - 1 )</f>
        <v>67.709999999999994</v>
      </c>
      <c r="BE10" s="440">
        <f t="shared" ref="BD10:BE27" ca="1" si="13">OFFSET( INDIRECT( BE$6 &amp; BE$9 ), $EO10 - 1, BE$8 - 1 )</f>
        <v>49.3</v>
      </c>
      <c r="BF10" s="274">
        <f ca="1">BD10 * BE10</f>
        <v>3338.1029999999996</v>
      </c>
      <c r="BG10" s="273"/>
      <c r="BH10" s="440">
        <f ca="1">OFFSET( INDIRECT( BH$6 &amp; BH$9 ), $EO10 - 1, BH$8 - 1 )</f>
        <v>64.19</v>
      </c>
      <c r="BI10" s="440">
        <f t="shared" ref="BH10:BI27" ca="1" si="14">OFFSET( INDIRECT( BI$6 &amp; BI$9 ), $EO10 - 1, BI$8 - 1 )</f>
        <v>49.4</v>
      </c>
      <c r="BJ10" s="274">
        <f ca="1">BH10 * BI10</f>
        <v>3170.9859999999999</v>
      </c>
      <c r="BK10" s="273"/>
      <c r="BL10" s="440">
        <f ca="1">OFFSET( INDIRECT( BL$6 &amp; BL$9 ), $EO10 - 1, BL$8 - 1 )</f>
        <v>59.62</v>
      </c>
      <c r="BM10" s="440">
        <f t="shared" ref="BL10:BM27" ca="1" si="15">OFFSET( INDIRECT( BM$6 &amp; BM$9 ), $EO10 - 1, BM$8 - 1 )</f>
        <v>49.3</v>
      </c>
      <c r="BN10" s="274">
        <f ca="1">BL10 * BM10</f>
        <v>2939.2659999999996</v>
      </c>
      <c r="BO10" s="273"/>
      <c r="BP10" s="440">
        <f t="shared" ref="BP10:BQ27" ca="1" si="16">OFFSET( INDIRECT( BP$6 &amp; BP$9 ), $EO10 - 1, BP$8 - 1 )</f>
        <v>64.63</v>
      </c>
      <c r="BQ10" s="440">
        <f t="shared" ca="1" si="16"/>
        <v>49.2</v>
      </c>
      <c r="BR10" s="274">
        <f ca="1">BP10 * BQ10</f>
        <v>3179.7959999999998</v>
      </c>
      <c r="BS10" s="273"/>
      <c r="BT10" s="440">
        <f t="shared" ref="BT10:BU27" ca="1" si="17">OFFSET( INDIRECT( BT$6 &amp; BT$9 ), $EO10 - 1, BT$8 - 1 )</f>
        <v>56.07</v>
      </c>
      <c r="BU10" s="440">
        <f t="shared" ca="1" si="17"/>
        <v>48.3</v>
      </c>
      <c r="BV10" s="274">
        <f ca="1">BT10 * BU10</f>
        <v>2708.181</v>
      </c>
      <c r="BW10" s="273"/>
      <c r="BX10" s="440">
        <f t="shared" ref="BX10:BY27" ca="1" si="18">OFFSET( INDIRECT( BX$6 &amp; BX$9 ), $EO10 - 1, BX$8 - 1 )</f>
        <v>50.83</v>
      </c>
      <c r="BY10" s="440">
        <f t="shared" ca="1" si="18"/>
        <v>48.8</v>
      </c>
      <c r="BZ10" s="274">
        <f ca="1">BX10 * BY10</f>
        <v>2480.5039999999999</v>
      </c>
      <c r="CA10" s="273"/>
      <c r="CB10" s="440">
        <f t="shared" ref="CB10:CC27" ca="1" si="19">OFFSET( INDIRECT( CB$6 &amp; CB$9 ), $EO10 - 1, CB$8 - 1 )</f>
        <v>50.49</v>
      </c>
      <c r="CC10" s="440">
        <f t="shared" ca="1" si="19"/>
        <v>48.6</v>
      </c>
      <c r="CD10" s="274">
        <f ca="1">CB10 * CC10</f>
        <v>2453.8140000000003</v>
      </c>
      <c r="CE10" s="273"/>
      <c r="CF10" s="440">
        <f t="shared" ref="CF10:CG27" ca="1" si="20">OFFSET( INDIRECT( CF$6 &amp; CF$9 ), $EO10 - 1, CF$8 - 1 )</f>
        <v>46.39</v>
      </c>
      <c r="CG10" s="440">
        <f t="shared" ca="1" si="20"/>
        <v>46.9</v>
      </c>
      <c r="CH10" s="274">
        <f ca="1">CF10 * CG10</f>
        <v>2175.6909999999998</v>
      </c>
      <c r="CI10" s="273"/>
      <c r="CJ10" s="440">
        <f t="shared" ref="CJ10:CK27" ca="1" si="21">OFFSET( INDIRECT( CJ$6 &amp; CJ$9 ), $EO10 - 1, CJ$8 - 1 )</f>
        <v>52.76</v>
      </c>
      <c r="CK10" s="440">
        <f t="shared" ca="1" si="21"/>
        <v>45.2</v>
      </c>
      <c r="CL10" s="274">
        <f ca="1">CJ10 * CK10</f>
        <v>2384.752</v>
      </c>
      <c r="CN10" s="440">
        <f t="shared" ref="CN10:CO27" ca="1" si="22">OFFSET( INDIRECT( CN$6 &amp; CN$9 ), $EO10 - 1, CN$8 - 1 )</f>
        <v>55.14</v>
      </c>
      <c r="CO10" s="440">
        <f t="shared" ca="1" si="22"/>
        <v>42.9</v>
      </c>
      <c r="CP10" s="274">
        <f ca="1">CN10 * CO10</f>
        <v>2365.5059999999999</v>
      </c>
      <c r="CR10" s="440">
        <f t="shared" ref="CR10:CS27" ca="1" si="23">OFFSET( INDIRECT( CR$6 &amp; CR$9 ), $EO10 - 1, CR$8 - 1 )</f>
        <v>44.39</v>
      </c>
      <c r="CS10" s="440">
        <f t="shared" ca="1" si="23"/>
        <v>42.1</v>
      </c>
      <c r="CT10" s="274">
        <f ca="1">CR10 * CS10</f>
        <v>1868.8190000000002</v>
      </c>
      <c r="CV10" s="440">
        <f t="shared" ref="CV10:CW27" ca="1" si="24">OFFSET( INDIRECT( CV$6 &amp; CV$9 ), $EO10 - 1, CV$8 - 1 )</f>
        <v>51.35</v>
      </c>
      <c r="CW10" s="440">
        <f t="shared" ca="1" si="24"/>
        <v>41.4</v>
      </c>
      <c r="CX10" s="274">
        <f ca="1">CV10 * CW10</f>
        <v>2125.89</v>
      </c>
      <c r="CZ10" s="440">
        <f t="shared" ref="CZ10:DA27" ca="1" si="25">OFFSET( INDIRECT( CZ$6 &amp; CZ$9 ), $EO10 - 1, CZ$8 - 1 )</f>
        <v>52.42</v>
      </c>
      <c r="DA10" s="440">
        <f t="shared" ca="1" si="25"/>
        <v>39.700000000000003</v>
      </c>
      <c r="DB10" s="274">
        <f ca="1">CZ10 * DA10</f>
        <v>2081.0740000000001</v>
      </c>
      <c r="DD10" s="440">
        <f t="shared" ref="DD10:DE27" ca="1" si="26">OFFSET( INDIRECT( DD$6 &amp; DD$9 ), $EO10 - 1, DD$8 - 1 )</f>
        <v>49.88</v>
      </c>
      <c r="DE10" s="440">
        <f t="shared" ca="1" si="26"/>
        <v>39.799999999999997</v>
      </c>
      <c r="DF10" s="274">
        <f ca="1">DD10 * DE10</f>
        <v>1985.2239999999999</v>
      </c>
      <c r="DH10" s="440">
        <f t="shared" ref="DH10:DI27" ca="1" si="27">OFFSET( INDIRECT( DH$6 &amp; DH$9 ), $EO10 - 1, DH$8 - 1 )</f>
        <v>48.3</v>
      </c>
      <c r="DI10" s="440">
        <f t="shared" ca="1" si="27"/>
        <v>39.4</v>
      </c>
      <c r="DJ10" s="274">
        <f ca="1">DH10 * DI10</f>
        <v>1903.0199999999998</v>
      </c>
      <c r="DL10" s="440">
        <f t="shared" ref="DL10:DM26" ca="1" si="28">OFFSET( INDIRECT( DL$6 &amp; DL$9 ), $EO10 - 1, DL$8 - 1 )</f>
        <v>49.85</v>
      </c>
      <c r="DM10" s="440">
        <f t="shared" ca="1" si="28"/>
        <v>38.9</v>
      </c>
      <c r="DN10" s="274">
        <f ca="1">DL10 * DM10</f>
        <v>1939.165</v>
      </c>
      <c r="DP10" s="440">
        <f t="shared" ref="DP10:DQ26" ca="1" si="29">OFFSET( INDIRECT( DP$6 &amp; DP$9 ), $EO10 - 1, DP$8 - 1 )</f>
        <v>49.02</v>
      </c>
      <c r="DQ10" s="440">
        <f t="shared" ca="1" si="29"/>
        <v>37.6</v>
      </c>
      <c r="DR10" s="274">
        <f ca="1">DP10 * DQ10</f>
        <v>1843.1520000000003</v>
      </c>
      <c r="DT10" s="440">
        <f t="shared" ref="DT10:DU26" ca="1" si="30">OFFSET( INDIRECT( DT$6 &amp; DT$9 ), $EO10 - 1, DT$8 - 1 )</f>
        <v>40.98</v>
      </c>
      <c r="DU10" s="440">
        <f t="shared" ca="1" si="30"/>
        <v>37.700000000000003</v>
      </c>
      <c r="DV10" s="274">
        <f ca="1">DT10 * DU10</f>
        <v>1544.9459999999999</v>
      </c>
      <c r="DX10" s="440">
        <f t="shared" ref="DX10:DY26" ca="1" si="31">OFFSET( INDIRECT( DX$6 &amp; DX$9 ), $EO10 - 1, DX$8 - 1 )</f>
        <v>41.74</v>
      </c>
      <c r="DY10" s="440">
        <f t="shared" ca="1" si="31"/>
        <v>37.299999999999997</v>
      </c>
      <c r="DZ10" s="274">
        <f ca="1">DX10 * DY10</f>
        <v>1556.902</v>
      </c>
      <c r="EB10" s="440">
        <f t="shared" ref="EB10:EC26" ca="1" si="32">OFFSET( INDIRECT( EB$6 &amp; EB$9 ), $EO10 - 1, EB$8 - 1 )</f>
        <v>41.79</v>
      </c>
      <c r="EC10" s="440">
        <f t="shared" ca="1" si="32"/>
        <v>36.799999999999997</v>
      </c>
      <c r="ED10" s="274">
        <f ca="1">EB10 * EC10</f>
        <v>1537.8719999999998</v>
      </c>
      <c r="EF10" s="251">
        <f t="shared" ref="EF10:EG26" ca="1" si="33">OFFSET( INDIRECT( EF$6 &amp; EF$9 ), $EO10 - 1, EF$8 - 1 )</f>
        <v>41.49</v>
      </c>
      <c r="EG10" s="251">
        <f t="shared" ca="1" si="33"/>
        <v>35.299999999999997</v>
      </c>
      <c r="EH10" s="274">
        <f ca="1">EF10 * EG10</f>
        <v>1464.597</v>
      </c>
      <c r="EJ10" s="251">
        <f t="shared" ref="EJ10:EK26" ca="1" si="34">OFFSET( INDIRECT( EJ$6 &amp; EJ$9 ), $EO10 - 1, EJ$8 - 1 )</f>
        <v>41.98</v>
      </c>
      <c r="EK10" s="251">
        <f t="shared" ca="1" si="34"/>
        <v>35.6</v>
      </c>
      <c r="EL10" s="274">
        <f ca="1">EJ10 * EK10</f>
        <v>1494.4880000000001</v>
      </c>
      <c r="EO10" s="252">
        <f t="shared" ref="EO10:EO37" ca="1" si="35">MATCH( $D10, INDIRECT( EO$6 &amp; EO$9 ), 0 )</f>
        <v>87</v>
      </c>
    </row>
    <row r="11" spans="2:145" s="234" customFormat="1">
      <c r="B11" s="258">
        <f ca="1">OFFSET( B11, -1, 0 ) + 1</f>
        <v>2</v>
      </c>
      <c r="C11" s="249" t="str">
        <f t="shared" ca="1" si="0"/>
        <v>Alliant Energy Corporation</v>
      </c>
      <c r="D11" s="236" t="str">
        <f t="shared" ca="1" si="0"/>
        <v>LNT</v>
      </c>
      <c r="E11" s="236">
        <f t="shared" ca="1" si="0"/>
        <v>4057038</v>
      </c>
      <c r="F11" s="250"/>
      <c r="G11" s="273"/>
      <c r="H11" s="440">
        <f t="shared" ca="1" si="1"/>
        <v>48.29</v>
      </c>
      <c r="I11" s="440">
        <f t="shared" ca="1" si="1"/>
        <v>238.5</v>
      </c>
      <c r="J11" s="274">
        <f t="shared" ref="J11:J59" ca="1" si="36">H11 * I11</f>
        <v>11517.164999999999</v>
      </c>
      <c r="K11" s="273"/>
      <c r="L11" s="440">
        <f t="shared" ca="1" si="2"/>
        <v>54.72</v>
      </c>
      <c r="M11" s="440">
        <f t="shared" ca="1" si="2"/>
        <v>239.1</v>
      </c>
      <c r="N11" s="274">
        <f t="shared" ref="N11:N59" ca="1" si="37">L11 * M11</f>
        <v>13083.552</v>
      </c>
      <c r="O11" s="273"/>
      <c r="P11" s="440">
        <f t="shared" ca="1" si="3"/>
        <v>53.93</v>
      </c>
      <c r="Q11" s="440">
        <f t="shared" ca="1" si="3"/>
        <v>237.5</v>
      </c>
      <c r="R11" s="274">
        <f t="shared" ref="R11:R59" ca="1" si="38">P11 * Q11</f>
        <v>12808.375</v>
      </c>
      <c r="S11" s="273"/>
      <c r="T11" s="440">
        <f t="shared" ca="1" si="4"/>
        <v>49.08</v>
      </c>
      <c r="U11" s="440">
        <f t="shared" ca="1" si="4"/>
        <v>236.5</v>
      </c>
      <c r="V11" s="274">
        <f t="shared" ref="V11:V59" ca="1" si="39">T11 * U11</f>
        <v>11607.42</v>
      </c>
      <c r="W11" s="273"/>
      <c r="X11" s="440">
        <f t="shared" ca="1" si="5"/>
        <v>47.13</v>
      </c>
      <c r="Y11" s="440">
        <f t="shared" ca="1" si="5"/>
        <v>233.6</v>
      </c>
      <c r="Z11" s="274">
        <f t="shared" ref="Z11:Z59" ca="1" si="40">X11 * Y11</f>
        <v>11009.568000000001</v>
      </c>
      <c r="AA11" s="273"/>
      <c r="AB11" s="440">
        <f t="shared" ca="1" si="6"/>
        <v>42.25</v>
      </c>
      <c r="AC11" s="440">
        <f t="shared" ca="1" si="6"/>
        <v>235.2</v>
      </c>
      <c r="AD11" s="274">
        <f t="shared" ref="AD11:AD59" ca="1" si="41">AB11 * AC11</f>
        <v>9937.1999999999989</v>
      </c>
      <c r="AE11" s="273"/>
      <c r="AF11" s="440">
        <f t="shared" ca="1" si="7"/>
        <v>42.57</v>
      </c>
      <c r="AG11" s="440">
        <f t="shared" ca="1" si="7"/>
        <v>232</v>
      </c>
      <c r="AH11" s="274">
        <f t="shared" ref="AH11:AH59" ca="1" si="42">AF11 * AG11</f>
        <v>9876.24</v>
      </c>
      <c r="AI11" s="273"/>
      <c r="AJ11" s="440">
        <f t="shared" ca="1" si="8"/>
        <v>42.32</v>
      </c>
      <c r="AK11" s="440">
        <f t="shared" ca="1" si="8"/>
        <v>231.4</v>
      </c>
      <c r="AL11" s="274">
        <f t="shared" ref="AL11:AL59" ca="1" si="43">AJ11 * AK11</f>
        <v>9792.848</v>
      </c>
      <c r="AM11" s="273"/>
      <c r="AN11" s="440">
        <f t="shared" ca="1" si="9"/>
        <v>40.86</v>
      </c>
      <c r="AO11" s="440">
        <f t="shared" ca="1" si="9"/>
        <v>231.2</v>
      </c>
      <c r="AP11" s="274">
        <f t="shared" ref="AP11:AP59" ca="1" si="44">AN11 * AO11</f>
        <v>9446.8319999999985</v>
      </c>
      <c r="AQ11" s="273"/>
      <c r="AR11" s="440">
        <f t="shared" ca="1" si="10"/>
        <v>42.61</v>
      </c>
      <c r="AS11" s="440">
        <f t="shared" ca="1" si="10"/>
        <v>231</v>
      </c>
      <c r="AT11" s="274">
        <f t="shared" ref="AT11:AT59" ca="1" si="45">AR11 * AS11</f>
        <v>9842.91</v>
      </c>
      <c r="AU11" s="273"/>
      <c r="AV11" s="440">
        <f t="shared" ca="1" si="11"/>
        <v>41.57</v>
      </c>
      <c r="AW11" s="440">
        <f t="shared" ca="1" si="11"/>
        <v>229</v>
      </c>
      <c r="AX11" s="274">
        <f t="shared" ref="AX11:AX59" ca="1" si="46">AV11 * AW11</f>
        <v>9519.5300000000007</v>
      </c>
      <c r="AY11" s="273"/>
      <c r="AZ11" s="440">
        <f t="shared" ca="1" si="12"/>
        <v>40.17</v>
      </c>
      <c r="BA11" s="440">
        <f t="shared" ca="1" si="12"/>
        <v>227.6</v>
      </c>
      <c r="BB11" s="274">
        <f t="shared" ref="BB11:BB59" ca="1" si="47">AZ11 * BA11</f>
        <v>9142.6920000000009</v>
      </c>
      <c r="BC11" s="273"/>
      <c r="BD11" s="440">
        <f t="shared" ca="1" si="13"/>
        <v>39.61</v>
      </c>
      <c r="BE11" s="440">
        <f t="shared" ca="1" si="13"/>
        <v>227.1</v>
      </c>
      <c r="BF11" s="274">
        <f t="shared" ref="BF11:BF59" ca="1" si="48">BD11 * BE11</f>
        <v>8995.4310000000005</v>
      </c>
      <c r="BG11" s="273"/>
      <c r="BH11" s="440">
        <f t="shared" ca="1" si="14"/>
        <v>37.89</v>
      </c>
      <c r="BI11" s="440">
        <f t="shared" ca="1" si="14"/>
        <v>227.2</v>
      </c>
      <c r="BJ11" s="274">
        <f t="shared" ref="BJ11:BJ59" ca="1" si="49">BH11 * BI11</f>
        <v>8608.6080000000002</v>
      </c>
      <c r="BK11" s="273"/>
      <c r="BL11" s="440">
        <f t="shared" ca="1" si="15"/>
        <v>38.31</v>
      </c>
      <c r="BM11" s="440">
        <f t="shared" ca="1" si="15"/>
        <v>227</v>
      </c>
      <c r="BN11" s="274">
        <f t="shared" ref="BN11:BN59" ca="1" si="50">BL11 * BM11</f>
        <v>8696.3700000000008</v>
      </c>
      <c r="BO11" s="273"/>
      <c r="BP11" s="440">
        <f t="shared" ca="1" si="16"/>
        <v>39.700000000000003</v>
      </c>
      <c r="BQ11" s="440">
        <f t="shared" ca="1" si="16"/>
        <v>226.8</v>
      </c>
      <c r="BR11" s="274">
        <f t="shared" ref="BR11:BR59" ca="1" si="51">BP11 * BQ11</f>
        <v>9003.9600000000009</v>
      </c>
      <c r="BS11" s="273"/>
      <c r="BT11" s="440">
        <f t="shared" ca="1" si="17"/>
        <v>37.14</v>
      </c>
      <c r="BU11" s="440">
        <f t="shared" ca="1" si="17"/>
        <v>225.4</v>
      </c>
      <c r="BV11" s="274">
        <f t="shared" ref="BV11:BV59" ca="1" si="52">BT11 * BU11</f>
        <v>8371.3559999999998</v>
      </c>
      <c r="BW11" s="273"/>
      <c r="BX11" s="440">
        <f t="shared" ca="1" si="18"/>
        <v>31.225000000000001</v>
      </c>
      <c r="BY11" s="440">
        <f t="shared" ca="1" si="18"/>
        <v>226.4</v>
      </c>
      <c r="BZ11" s="274">
        <f t="shared" ref="BZ11:BZ59" ca="1" si="53">BX11 * BY11</f>
        <v>7069.34</v>
      </c>
      <c r="CA11" s="273"/>
      <c r="CB11" s="440">
        <f t="shared" ca="1" si="19"/>
        <v>29.245000000000001</v>
      </c>
      <c r="CC11" s="440">
        <f t="shared" ca="1" si="19"/>
        <v>226.2</v>
      </c>
      <c r="CD11" s="274">
        <f t="shared" ref="CD11:CD59" ca="1" si="54">CB11 * CC11</f>
        <v>6615.2190000000001</v>
      </c>
      <c r="CE11" s="273"/>
      <c r="CF11" s="440">
        <f t="shared" ca="1" si="20"/>
        <v>28.86</v>
      </c>
      <c r="CG11" s="440">
        <f t="shared" ca="1" si="20"/>
        <v>222.2</v>
      </c>
      <c r="CH11" s="274">
        <f t="shared" ref="CH11:CH59" ca="1" si="55">CF11 * CG11</f>
        <v>6412.6919999999991</v>
      </c>
      <c r="CI11" s="273"/>
      <c r="CJ11" s="440">
        <f t="shared" ca="1" si="21"/>
        <v>31.5</v>
      </c>
      <c r="CK11" s="440">
        <f t="shared" ca="1" si="21"/>
        <v>221.6</v>
      </c>
      <c r="CL11" s="274">
        <f t="shared" ref="CL11:CL59" ca="1" si="56">CJ11 * CK11</f>
        <v>6980.4</v>
      </c>
      <c r="CN11" s="440">
        <f t="shared" ca="1" si="22"/>
        <v>33.21</v>
      </c>
      <c r="CO11" s="440">
        <f t="shared" ca="1" si="22"/>
        <v>221.6</v>
      </c>
      <c r="CP11" s="274">
        <f t="shared" ref="CP11:CP59" ca="1" si="57">CN11 * CO11</f>
        <v>7359.3360000000002</v>
      </c>
      <c r="CR11" s="440">
        <f t="shared" ca="1" si="23"/>
        <v>27.704999999999998</v>
      </c>
      <c r="CS11" s="440">
        <f t="shared" ca="1" si="23"/>
        <v>221.6</v>
      </c>
      <c r="CT11" s="274">
        <f t="shared" ref="CT11:CT59" ca="1" si="58">CR11 * CS11</f>
        <v>6139.4279999999999</v>
      </c>
      <c r="CV11" s="440">
        <f t="shared" ca="1" si="24"/>
        <v>30.43</v>
      </c>
      <c r="CW11" s="440">
        <f t="shared" ca="1" si="24"/>
        <v>221.6</v>
      </c>
      <c r="CX11" s="274">
        <f t="shared" ref="CX11:CX59" ca="1" si="59">CV11 * CW11</f>
        <v>6743.2879999999996</v>
      </c>
      <c r="CZ11" s="440">
        <f t="shared" ca="1" si="25"/>
        <v>28.405000000000001</v>
      </c>
      <c r="DA11" s="440">
        <f t="shared" ca="1" si="25"/>
        <v>221.6</v>
      </c>
      <c r="DB11" s="274">
        <f t="shared" ref="DB11:DB59" ca="1" si="60">CZ11 * DA11</f>
        <v>6294.5479999999998</v>
      </c>
      <c r="DD11" s="440">
        <f t="shared" ca="1" si="26"/>
        <v>25.8</v>
      </c>
      <c r="DE11" s="440">
        <f t="shared" ca="1" si="26"/>
        <v>221.566</v>
      </c>
      <c r="DF11" s="274">
        <f t="shared" ref="DF11:DF59" ca="1" si="61">DD11 * DE11</f>
        <v>5716.4027999999998</v>
      </c>
      <c r="DH11" s="440">
        <f t="shared" ca="1" si="27"/>
        <v>24.774999999999999</v>
      </c>
      <c r="DI11" s="440">
        <f t="shared" ca="1" si="27"/>
        <v>221.55199999999999</v>
      </c>
      <c r="DJ11" s="274">
        <f t="shared" ref="DJ11:DJ59" ca="1" si="62">DH11 * DI11</f>
        <v>5488.9507999999996</v>
      </c>
      <c r="DL11" s="440">
        <f t="shared" ca="1" si="28"/>
        <v>25.21</v>
      </c>
      <c r="DM11" s="440">
        <f t="shared" ca="1" si="28"/>
        <v>221.53399999999999</v>
      </c>
      <c r="DN11" s="274">
        <f t="shared" ref="DN11:DN59" ca="1" si="63">DL11 * DM11</f>
        <v>5584.8721400000004</v>
      </c>
      <c r="DP11" s="440">
        <f t="shared" ca="1" si="29"/>
        <v>25.09</v>
      </c>
      <c r="DQ11" s="440">
        <f t="shared" ca="1" si="29"/>
        <v>221.506</v>
      </c>
      <c r="DR11" s="274">
        <f t="shared" ref="DR11:DR59" ca="1" si="64">DP11 * DQ11</f>
        <v>5557.58554</v>
      </c>
      <c r="DT11" s="440">
        <f t="shared" ca="1" si="30"/>
        <v>21.954999999999998</v>
      </c>
      <c r="DU11" s="440">
        <f t="shared" ca="1" si="30"/>
        <v>221.536</v>
      </c>
      <c r="DV11" s="274">
        <f t="shared" ref="DV11:DV59" ca="1" si="65">DT11 * DU11</f>
        <v>4863.8228799999997</v>
      </c>
      <c r="DX11" s="440">
        <f t="shared" ca="1" si="31"/>
        <v>21.695</v>
      </c>
      <c r="DY11" s="440">
        <f t="shared" ca="1" si="31"/>
        <v>221.512</v>
      </c>
      <c r="DZ11" s="274">
        <f t="shared" ref="DZ11:DZ59" ca="1" si="66">DX11 * DY11</f>
        <v>4805.7028399999999</v>
      </c>
      <c r="EB11" s="440">
        <f t="shared" ca="1" si="32"/>
        <v>22.785</v>
      </c>
      <c r="EC11" s="440">
        <f t="shared" ca="1" si="32"/>
        <v>221.43199999999999</v>
      </c>
      <c r="ED11" s="274">
        <f t="shared" ref="ED11:ED59" ca="1" si="67">EB11 * EC11</f>
        <v>5045.3281200000001</v>
      </c>
      <c r="EF11" s="251">
        <f t="shared" ca="1" si="33"/>
        <v>21.66</v>
      </c>
      <c r="EG11" s="251">
        <f t="shared" ca="1" si="33"/>
        <v>221.25200000000001</v>
      </c>
      <c r="EH11" s="274">
        <f t="shared" ref="EH11:EH59" ca="1" si="68">EF11 * EG11</f>
        <v>4792.3183200000003</v>
      </c>
      <c r="EJ11" s="251">
        <f t="shared" ca="1" si="34"/>
        <v>22.055</v>
      </c>
      <c r="EK11" s="251">
        <f t="shared" ca="1" si="34"/>
        <v>221.29400000000001</v>
      </c>
      <c r="EL11" s="274">
        <f t="shared" ref="EL11:EL59" ca="1" si="69">EJ11 * EK11</f>
        <v>4880.6391700000004</v>
      </c>
      <c r="EO11" s="252">
        <f t="shared" ca="1" si="35"/>
        <v>108</v>
      </c>
    </row>
    <row r="12" spans="2:145" s="234" customFormat="1">
      <c r="B12" s="258">
        <f t="shared" ref="B12:B59" ca="1" si="70">OFFSET( B12, -1, 0 ) + 1</f>
        <v>3</v>
      </c>
      <c r="C12" s="249" t="str">
        <f t="shared" ca="1" si="0"/>
        <v>Ameren Corporation</v>
      </c>
      <c r="D12" s="236" t="str">
        <f t="shared" ca="1" si="0"/>
        <v>AEE</v>
      </c>
      <c r="E12" s="236">
        <f t="shared" ca="1" si="0"/>
        <v>4007308</v>
      </c>
      <c r="F12" s="250"/>
      <c r="G12" s="273"/>
      <c r="H12" s="440">
        <f t="shared" ca="1" si="1"/>
        <v>72.83</v>
      </c>
      <c r="I12" s="440">
        <f t="shared" ca="1" si="1"/>
        <v>245.6</v>
      </c>
      <c r="J12" s="274">
        <f t="shared" ca="1" si="36"/>
        <v>17887.047999999999</v>
      </c>
      <c r="K12" s="273"/>
      <c r="L12" s="440">
        <f t="shared" ca="1" si="2"/>
        <v>76.8</v>
      </c>
      <c r="M12" s="440">
        <f t="shared" ca="1" si="2"/>
        <v>245.9</v>
      </c>
      <c r="N12" s="274">
        <f t="shared" ca="1" si="37"/>
        <v>18885.12</v>
      </c>
      <c r="O12" s="273"/>
      <c r="P12" s="440">
        <f t="shared" ca="1" si="3"/>
        <v>80.05</v>
      </c>
      <c r="Q12" s="440">
        <f t="shared" ca="1" si="3"/>
        <v>245.6</v>
      </c>
      <c r="R12" s="274">
        <f t="shared" ca="1" si="38"/>
        <v>19660.28</v>
      </c>
      <c r="S12" s="273"/>
      <c r="T12" s="440">
        <f t="shared" ca="1" si="4"/>
        <v>75.11</v>
      </c>
      <c r="U12" s="440">
        <f t="shared" ca="1" si="4"/>
        <v>244.9</v>
      </c>
      <c r="V12" s="274">
        <f t="shared" ca="1" si="39"/>
        <v>18394.438999999998</v>
      </c>
      <c r="W12" s="273"/>
      <c r="X12" s="440">
        <f t="shared" ca="1" si="5"/>
        <v>73.55</v>
      </c>
      <c r="Y12" s="440">
        <f t="shared" ca="1" si="5"/>
        <v>243.8</v>
      </c>
      <c r="Z12" s="274">
        <f t="shared" ca="1" si="40"/>
        <v>17931.490000000002</v>
      </c>
      <c r="AA12" s="273"/>
      <c r="AB12" s="440">
        <f t="shared" ca="1" si="6"/>
        <v>65.23</v>
      </c>
      <c r="AC12" s="440">
        <f t="shared" ca="1" si="6"/>
        <v>244.1</v>
      </c>
      <c r="AD12" s="274">
        <f t="shared" ca="1" si="41"/>
        <v>15922.643</v>
      </c>
      <c r="AE12" s="273"/>
      <c r="AF12" s="440">
        <f t="shared" ca="1" si="7"/>
        <v>63.22</v>
      </c>
      <c r="AG12" s="440">
        <f t="shared" ca="1" si="7"/>
        <v>243.7</v>
      </c>
      <c r="AH12" s="274">
        <f t="shared" ca="1" si="42"/>
        <v>15406.713999999998</v>
      </c>
      <c r="AI12" s="273"/>
      <c r="AJ12" s="440">
        <f t="shared" ca="1" si="8"/>
        <v>60.85</v>
      </c>
      <c r="AK12" s="440">
        <f t="shared" ca="1" si="8"/>
        <v>242.9</v>
      </c>
      <c r="AL12" s="274">
        <f t="shared" ca="1" si="43"/>
        <v>14780.465</v>
      </c>
      <c r="AM12" s="273"/>
      <c r="AN12" s="440">
        <f t="shared" ca="1" si="9"/>
        <v>56.63</v>
      </c>
      <c r="AO12" s="440">
        <f t="shared" ca="1" si="9"/>
        <v>242.6</v>
      </c>
      <c r="AP12" s="274">
        <f t="shared" ca="1" si="44"/>
        <v>13738.438</v>
      </c>
      <c r="AQ12" s="273"/>
      <c r="AR12" s="440">
        <f t="shared" ca="1" si="10"/>
        <v>58.99</v>
      </c>
      <c r="AS12" s="440">
        <f t="shared" ca="1" si="10"/>
        <v>242.6</v>
      </c>
      <c r="AT12" s="274">
        <f t="shared" ca="1" si="45"/>
        <v>14310.974</v>
      </c>
      <c r="AU12" s="273"/>
      <c r="AV12" s="440">
        <f t="shared" ca="1" si="11"/>
        <v>57.84</v>
      </c>
      <c r="AW12" s="440">
        <f t="shared" ca="1" si="11"/>
        <v>242.6</v>
      </c>
      <c r="AX12" s="274">
        <f t="shared" ca="1" si="46"/>
        <v>14031.984</v>
      </c>
      <c r="AY12" s="273"/>
      <c r="AZ12" s="440">
        <f t="shared" ca="1" si="12"/>
        <v>54.67</v>
      </c>
      <c r="BA12" s="440">
        <f t="shared" ca="1" si="12"/>
        <v>242.6</v>
      </c>
      <c r="BB12" s="274">
        <f t="shared" ca="1" si="47"/>
        <v>13262.942000000001</v>
      </c>
      <c r="BC12" s="273"/>
      <c r="BD12" s="440">
        <f t="shared" ca="1" si="13"/>
        <v>54.59</v>
      </c>
      <c r="BE12" s="440">
        <f t="shared" ca="1" si="13"/>
        <v>242.6</v>
      </c>
      <c r="BF12" s="274">
        <f t="shared" ca="1" si="48"/>
        <v>13243.534</v>
      </c>
      <c r="BG12" s="273"/>
      <c r="BH12" s="440">
        <f t="shared" ca="1" si="14"/>
        <v>52.46</v>
      </c>
      <c r="BI12" s="440">
        <f t="shared" ca="1" si="14"/>
        <v>242.6</v>
      </c>
      <c r="BJ12" s="274">
        <f t="shared" ca="1" si="49"/>
        <v>12726.796</v>
      </c>
      <c r="BK12" s="273"/>
      <c r="BL12" s="440">
        <f t="shared" ca="1" si="15"/>
        <v>49.18</v>
      </c>
      <c r="BM12" s="440">
        <f t="shared" ca="1" si="15"/>
        <v>242.6</v>
      </c>
      <c r="BN12" s="274">
        <f t="shared" ca="1" si="50"/>
        <v>11931.067999999999</v>
      </c>
      <c r="BO12" s="273"/>
      <c r="BP12" s="440">
        <f t="shared" ca="1" si="16"/>
        <v>53.58</v>
      </c>
      <c r="BQ12" s="440">
        <f t="shared" ca="1" si="16"/>
        <v>242.6</v>
      </c>
      <c r="BR12" s="274">
        <f t="shared" ca="1" si="51"/>
        <v>12998.508</v>
      </c>
      <c r="BS12" s="273"/>
      <c r="BT12" s="440">
        <f t="shared" ca="1" si="17"/>
        <v>50.1</v>
      </c>
      <c r="BU12" s="440">
        <f t="shared" ca="1" si="17"/>
        <v>242.6</v>
      </c>
      <c r="BV12" s="274">
        <f t="shared" ca="1" si="52"/>
        <v>12154.26</v>
      </c>
      <c r="BW12" s="273"/>
      <c r="BX12" s="440">
        <f t="shared" ca="1" si="18"/>
        <v>43.23</v>
      </c>
      <c r="BY12" s="440">
        <f t="shared" ca="1" si="18"/>
        <v>242.6</v>
      </c>
      <c r="BZ12" s="274">
        <f t="shared" ca="1" si="53"/>
        <v>10487.597999999998</v>
      </c>
      <c r="CA12" s="273"/>
      <c r="CB12" s="440">
        <f t="shared" ca="1" si="19"/>
        <v>42.27</v>
      </c>
      <c r="CC12" s="440">
        <f t="shared" ca="1" si="19"/>
        <v>242.6</v>
      </c>
      <c r="CD12" s="274">
        <f t="shared" ca="1" si="54"/>
        <v>10254.702000000001</v>
      </c>
      <c r="CE12" s="273"/>
      <c r="CF12" s="440">
        <f t="shared" ca="1" si="20"/>
        <v>37.68</v>
      </c>
      <c r="CG12" s="440">
        <f t="shared" ca="1" si="20"/>
        <v>242.6</v>
      </c>
      <c r="CH12" s="274">
        <f t="shared" ca="1" si="55"/>
        <v>9141.1679999999997</v>
      </c>
      <c r="CI12" s="273"/>
      <c r="CJ12" s="440">
        <f t="shared" ca="1" si="21"/>
        <v>42.2</v>
      </c>
      <c r="CK12" s="440">
        <f t="shared" ca="1" si="21"/>
        <v>242.6</v>
      </c>
      <c r="CL12" s="274">
        <f t="shared" ca="1" si="56"/>
        <v>10237.720000000001</v>
      </c>
      <c r="CN12" s="440">
        <f t="shared" ca="1" si="22"/>
        <v>46.13</v>
      </c>
      <c r="CO12" s="440">
        <f t="shared" ca="1" si="22"/>
        <v>242.6</v>
      </c>
      <c r="CP12" s="274">
        <f t="shared" ca="1" si="57"/>
        <v>11191.138000000001</v>
      </c>
      <c r="CR12" s="440">
        <f t="shared" ca="1" si="23"/>
        <v>38.33</v>
      </c>
      <c r="CS12" s="440">
        <f t="shared" ca="1" si="23"/>
        <v>242.6</v>
      </c>
      <c r="CT12" s="274">
        <f t="shared" ca="1" si="58"/>
        <v>9298.8580000000002</v>
      </c>
      <c r="CV12" s="440">
        <f t="shared" ca="1" si="24"/>
        <v>40.880000000000003</v>
      </c>
      <c r="CW12" s="440">
        <f t="shared" ca="1" si="24"/>
        <v>242.6</v>
      </c>
      <c r="CX12" s="274">
        <f t="shared" ca="1" si="59"/>
        <v>9917.4880000000012</v>
      </c>
      <c r="CZ12" s="440">
        <f t="shared" ca="1" si="25"/>
        <v>41.2</v>
      </c>
      <c r="DA12" s="440">
        <f t="shared" ca="1" si="25"/>
        <v>242.6</v>
      </c>
      <c r="DB12" s="274">
        <f t="shared" ca="1" si="60"/>
        <v>9995.1200000000008</v>
      </c>
      <c r="DD12" s="440">
        <f t="shared" ca="1" si="26"/>
        <v>36.159999999999997</v>
      </c>
      <c r="DE12" s="440">
        <f t="shared" ca="1" si="26"/>
        <v>242.6</v>
      </c>
      <c r="DF12" s="274">
        <f t="shared" ca="1" si="61"/>
        <v>8772.4159999999993</v>
      </c>
      <c r="DH12" s="440">
        <f t="shared" ca="1" si="27"/>
        <v>34.840000000000003</v>
      </c>
      <c r="DI12" s="440">
        <f t="shared" ca="1" si="27"/>
        <v>242.6</v>
      </c>
      <c r="DJ12" s="274">
        <f t="shared" ca="1" si="62"/>
        <v>8452.1840000000011</v>
      </c>
      <c r="DL12" s="440">
        <f t="shared" ca="1" si="28"/>
        <v>34.44</v>
      </c>
      <c r="DM12" s="440">
        <f t="shared" ca="1" si="28"/>
        <v>242.6</v>
      </c>
      <c r="DN12" s="274">
        <f t="shared" ca="1" si="63"/>
        <v>8355.1439999999984</v>
      </c>
      <c r="DP12" s="440">
        <f t="shared" ca="1" si="29"/>
        <v>35.020000000000003</v>
      </c>
      <c r="DQ12" s="440">
        <f t="shared" ca="1" si="29"/>
        <v>242.6</v>
      </c>
      <c r="DR12" s="274">
        <f t="shared" ca="1" si="64"/>
        <v>8495.8520000000008</v>
      </c>
      <c r="DT12" s="440">
        <f t="shared" ca="1" si="30"/>
        <v>30.72</v>
      </c>
      <c r="DU12" s="440">
        <f t="shared" ca="1" si="30"/>
        <v>242.6</v>
      </c>
      <c r="DV12" s="274">
        <f t="shared" ca="1" si="65"/>
        <v>7452.6719999999996</v>
      </c>
      <c r="DX12" s="440">
        <f t="shared" ca="1" si="31"/>
        <v>32.67</v>
      </c>
      <c r="DY12" s="440">
        <f t="shared" ca="1" si="31"/>
        <v>246.6</v>
      </c>
      <c r="DZ12" s="274">
        <f t="shared" ca="1" si="66"/>
        <v>8056.4220000000005</v>
      </c>
      <c r="EB12" s="440">
        <f t="shared" ca="1" si="32"/>
        <v>33.54</v>
      </c>
      <c r="EC12" s="440">
        <f t="shared" ca="1" si="32"/>
        <v>242.6</v>
      </c>
      <c r="ED12" s="274">
        <f t="shared" ca="1" si="67"/>
        <v>8136.8039999999992</v>
      </c>
      <c r="EF12" s="251">
        <f t="shared" ca="1" si="33"/>
        <v>32.58</v>
      </c>
      <c r="EG12" s="251">
        <f t="shared" ca="1" si="33"/>
        <v>241.5</v>
      </c>
      <c r="EH12" s="274">
        <f t="shared" ca="1" si="68"/>
        <v>7868.07</v>
      </c>
      <c r="EJ12" s="251">
        <f t="shared" ca="1" si="34"/>
        <v>33.130000000000003</v>
      </c>
      <c r="EK12" s="251">
        <f t="shared" ca="1" si="34"/>
        <v>241.7</v>
      </c>
      <c r="EL12" s="274">
        <f t="shared" ca="1" si="69"/>
        <v>8007.5210000000006</v>
      </c>
      <c r="EO12" s="252">
        <f t="shared" ca="1" si="35"/>
        <v>65</v>
      </c>
    </row>
    <row r="13" spans="2:145" s="234" customFormat="1">
      <c r="B13" s="258">
        <f t="shared" ca="1" si="70"/>
        <v>4</v>
      </c>
      <c r="C13" s="249" t="str">
        <f t="shared" ca="1" si="0"/>
        <v>American Electric Power Company, Inc.</v>
      </c>
      <c r="D13" s="236" t="str">
        <f t="shared" ca="1" si="0"/>
        <v>AEP</v>
      </c>
      <c r="E13" s="236">
        <f t="shared" ca="1" si="0"/>
        <v>4006321</v>
      </c>
      <c r="F13" s="250"/>
      <c r="G13" s="273"/>
      <c r="H13" s="440">
        <f t="shared" ca="1" si="1"/>
        <v>79.98</v>
      </c>
      <c r="I13" s="440">
        <f t="shared" ca="1" si="1"/>
        <v>493.694345</v>
      </c>
      <c r="J13" s="274">
        <f t="shared" ca="1" si="36"/>
        <v>39485.673713100005</v>
      </c>
      <c r="K13" s="273"/>
      <c r="L13" s="440">
        <f t="shared" ca="1" si="2"/>
        <v>94.51</v>
      </c>
      <c r="M13" s="440">
        <f t="shared" ca="1" si="2"/>
        <v>493.83903400000003</v>
      </c>
      <c r="N13" s="274">
        <f t="shared" ca="1" si="37"/>
        <v>46672.727103340003</v>
      </c>
      <c r="O13" s="273"/>
      <c r="P13" s="440">
        <f t="shared" ca="1" si="3"/>
        <v>93.69</v>
      </c>
      <c r="Q13" s="440">
        <f t="shared" ca="1" si="3"/>
        <v>493.58434699999998</v>
      </c>
      <c r="R13" s="274">
        <f t="shared" ca="1" si="38"/>
        <v>46243.917470429995</v>
      </c>
      <c r="S13" s="273"/>
      <c r="T13" s="440">
        <f t="shared" ca="1" si="4"/>
        <v>88.01</v>
      </c>
      <c r="U13" s="440">
        <f t="shared" ca="1" si="4"/>
        <v>493.309076</v>
      </c>
      <c r="V13" s="274">
        <f t="shared" ca="1" si="39"/>
        <v>43416.131778760006</v>
      </c>
      <c r="W13" s="273"/>
      <c r="X13" s="440">
        <f t="shared" ca="1" si="5"/>
        <v>83.75</v>
      </c>
      <c r="Y13" s="440">
        <f t="shared" ca="1" si="5"/>
        <v>492.77460000000002</v>
      </c>
      <c r="Z13" s="274">
        <f t="shared" ca="1" si="40"/>
        <v>41269.872750000002</v>
      </c>
      <c r="AA13" s="273"/>
      <c r="AB13" s="440">
        <f t="shared" ca="1" si="6"/>
        <v>74.739999999999995</v>
      </c>
      <c r="AC13" s="440">
        <f t="shared" ca="1" si="6"/>
        <v>492.98474099999999</v>
      </c>
      <c r="AD13" s="274">
        <f t="shared" ca="1" si="41"/>
        <v>36845.679542339996</v>
      </c>
      <c r="AE13" s="273"/>
      <c r="AF13" s="440">
        <f t="shared" ca="1" si="7"/>
        <v>70.88</v>
      </c>
      <c r="AG13" s="440">
        <f t="shared" ca="1" si="7"/>
        <v>492.68834199999998</v>
      </c>
      <c r="AH13" s="274">
        <f t="shared" ca="1" si="42"/>
        <v>34921.749680959998</v>
      </c>
      <c r="AI13" s="273"/>
      <c r="AJ13" s="440">
        <f t="shared" ca="1" si="8"/>
        <v>69.25</v>
      </c>
      <c r="AK13" s="440">
        <f t="shared" ca="1" si="8"/>
        <v>492.267402</v>
      </c>
      <c r="AL13" s="274">
        <f t="shared" ca="1" si="43"/>
        <v>34089.517588499999</v>
      </c>
      <c r="AM13" s="273"/>
      <c r="AN13" s="440">
        <f t="shared" ca="1" si="9"/>
        <v>68.59</v>
      </c>
      <c r="AO13" s="440">
        <f t="shared" ca="1" si="9"/>
        <v>491.91367500000001</v>
      </c>
      <c r="AP13" s="274">
        <f t="shared" ca="1" si="44"/>
        <v>33740.358968250002</v>
      </c>
      <c r="AQ13" s="273"/>
      <c r="AR13" s="440">
        <f t="shared" ca="1" si="10"/>
        <v>73.569999999999993</v>
      </c>
      <c r="AS13" s="440">
        <f t="shared" ca="1" si="10"/>
        <v>491.84072200000003</v>
      </c>
      <c r="AT13" s="274">
        <f t="shared" ca="1" si="45"/>
        <v>36184.721917540002</v>
      </c>
      <c r="AU13" s="273"/>
      <c r="AV13" s="440">
        <f t="shared" ca="1" si="11"/>
        <v>70.239999999999995</v>
      </c>
      <c r="AW13" s="440">
        <f t="shared" ca="1" si="11"/>
        <v>491.790752</v>
      </c>
      <c r="AX13" s="274">
        <f t="shared" ca="1" si="46"/>
        <v>34543.382420479997</v>
      </c>
      <c r="AY13" s="273"/>
      <c r="AZ13" s="440">
        <f t="shared" ca="1" si="12"/>
        <v>69.47</v>
      </c>
      <c r="BA13" s="440">
        <f t="shared" ca="1" si="12"/>
        <v>491.712042</v>
      </c>
      <c r="BB13" s="274">
        <f t="shared" ca="1" si="47"/>
        <v>34159.235557740001</v>
      </c>
      <c r="BC13" s="273"/>
      <c r="BD13" s="440">
        <f t="shared" ca="1" si="13"/>
        <v>67.13</v>
      </c>
      <c r="BE13" s="440">
        <f t="shared" ca="1" si="13"/>
        <v>491.49545799999999</v>
      </c>
      <c r="BF13" s="274">
        <f t="shared" ca="1" si="48"/>
        <v>32994.090095539999</v>
      </c>
      <c r="BG13" s="273"/>
      <c r="BH13" s="440">
        <f t="shared" ca="1" si="14"/>
        <v>62.96</v>
      </c>
      <c r="BI13" s="440">
        <f t="shared" ca="1" si="14"/>
        <v>491.69780900000001</v>
      </c>
      <c r="BJ13" s="274">
        <f t="shared" ca="1" si="49"/>
        <v>30957.294054640002</v>
      </c>
      <c r="BK13" s="273"/>
      <c r="BL13" s="440">
        <f t="shared" ca="1" si="15"/>
        <v>64.209999999999994</v>
      </c>
      <c r="BM13" s="440">
        <f t="shared" ca="1" si="15"/>
        <v>491.459541</v>
      </c>
      <c r="BN13" s="274">
        <f t="shared" ca="1" si="50"/>
        <v>31556.617127609996</v>
      </c>
      <c r="BO13" s="273"/>
      <c r="BP13" s="440">
        <f t="shared" ca="1" si="16"/>
        <v>70.09</v>
      </c>
      <c r="BQ13" s="440">
        <f t="shared" ca="1" si="16"/>
        <v>491.10839199999998</v>
      </c>
      <c r="BR13" s="274">
        <f t="shared" ca="1" si="51"/>
        <v>34421.787195279998</v>
      </c>
      <c r="BS13" s="273"/>
      <c r="BT13" s="440">
        <f t="shared" ca="1" si="17"/>
        <v>66.400000000000006</v>
      </c>
      <c r="BU13" s="440">
        <f t="shared" ca="1" si="17"/>
        <v>490.34052200000002</v>
      </c>
      <c r="BV13" s="274">
        <f t="shared" ca="1" si="52"/>
        <v>32558.610660800005</v>
      </c>
      <c r="BW13" s="273"/>
      <c r="BX13" s="440">
        <f t="shared" ca="1" si="18"/>
        <v>58.27</v>
      </c>
      <c r="BY13" s="440">
        <f t="shared" ca="1" si="18"/>
        <v>490.64892900000001</v>
      </c>
      <c r="BZ13" s="274">
        <f t="shared" ca="1" si="53"/>
        <v>28590.113092830001</v>
      </c>
      <c r="CA13" s="273"/>
      <c r="CB13" s="440">
        <f t="shared" ca="1" si="19"/>
        <v>56.86</v>
      </c>
      <c r="CC13" s="440">
        <f t="shared" ca="1" si="19"/>
        <v>490.20748200000003</v>
      </c>
      <c r="CD13" s="274">
        <f t="shared" ca="1" si="54"/>
        <v>27873.197426520001</v>
      </c>
      <c r="CE13" s="273"/>
      <c r="CF13" s="440">
        <f t="shared" ca="1" si="20"/>
        <v>52.97</v>
      </c>
      <c r="CG13" s="440">
        <f t="shared" ca="1" si="20"/>
        <v>489.59798599999999</v>
      </c>
      <c r="CH13" s="274">
        <f t="shared" ca="1" si="55"/>
        <v>25934.005318420001</v>
      </c>
      <c r="CI13" s="273"/>
      <c r="CJ13" s="440">
        <f t="shared" ca="1" si="21"/>
        <v>56.25</v>
      </c>
      <c r="CK13" s="440">
        <f t="shared" ca="1" si="21"/>
        <v>489.28893699999998</v>
      </c>
      <c r="CL13" s="274">
        <f t="shared" ca="1" si="56"/>
        <v>27522.502706249998</v>
      </c>
      <c r="CN13" s="440">
        <f t="shared" ca="1" si="22"/>
        <v>60.72</v>
      </c>
      <c r="CO13" s="440">
        <f t="shared" ca="1" si="22"/>
        <v>488.912892</v>
      </c>
      <c r="CP13" s="274">
        <f t="shared" ca="1" si="57"/>
        <v>29686.790802240001</v>
      </c>
      <c r="CR13" s="440">
        <f t="shared" ca="1" si="23"/>
        <v>52.21</v>
      </c>
      <c r="CS13" s="440">
        <f t="shared" ca="1" si="23"/>
        <v>488.29157600000002</v>
      </c>
      <c r="CT13" s="274">
        <f t="shared" ca="1" si="58"/>
        <v>25493.703182960002</v>
      </c>
      <c r="CV13" s="440">
        <f t="shared" ca="1" si="24"/>
        <v>55.77</v>
      </c>
      <c r="CW13" s="440">
        <f t="shared" ca="1" si="24"/>
        <v>487.86708900000002</v>
      </c>
      <c r="CX13" s="274">
        <f t="shared" ca="1" si="59"/>
        <v>27208.347553530002</v>
      </c>
      <c r="CZ13" s="440">
        <f t="shared" ca="1" si="25"/>
        <v>50.66</v>
      </c>
      <c r="DA13" s="440">
        <f t="shared" ca="1" si="25"/>
        <v>486.61955499999999</v>
      </c>
      <c r="DB13" s="274">
        <f t="shared" ca="1" si="60"/>
        <v>24652.146656299999</v>
      </c>
      <c r="DD13" s="440">
        <f t="shared" ca="1" si="26"/>
        <v>46.74</v>
      </c>
      <c r="DE13" s="440">
        <f t="shared" ca="1" si="26"/>
        <v>486.93274700000001</v>
      </c>
      <c r="DF13" s="274">
        <f t="shared" ca="1" si="61"/>
        <v>22759.236594780003</v>
      </c>
      <c r="DH13" s="440">
        <f t="shared" ca="1" si="27"/>
        <v>43.35</v>
      </c>
      <c r="DI13" s="440">
        <f t="shared" ca="1" si="27"/>
        <v>486.293026</v>
      </c>
      <c r="DJ13" s="274">
        <f t="shared" ca="1" si="62"/>
        <v>21080.8026771</v>
      </c>
      <c r="DL13" s="440">
        <f t="shared" ca="1" si="28"/>
        <v>44.78</v>
      </c>
      <c r="DM13" s="440">
        <f t="shared" ca="1" si="28"/>
        <v>485.823668</v>
      </c>
      <c r="DN13" s="274">
        <f t="shared" ca="1" si="63"/>
        <v>21755.183853040002</v>
      </c>
      <c r="DP13" s="440">
        <f t="shared" ca="1" si="29"/>
        <v>48.63</v>
      </c>
      <c r="DQ13" s="440">
        <f t="shared" ca="1" si="29"/>
        <v>484.68246900000003</v>
      </c>
      <c r="DR13" s="274">
        <f t="shared" ca="1" si="64"/>
        <v>23570.108467470003</v>
      </c>
      <c r="DT13" s="440">
        <f t="shared" ca="1" si="30"/>
        <v>42.68</v>
      </c>
      <c r="DU13" s="440">
        <f t="shared" ca="1" si="30"/>
        <v>484.97954299999998</v>
      </c>
      <c r="DV13" s="274">
        <f t="shared" ca="1" si="65"/>
        <v>20698.926895239998</v>
      </c>
      <c r="DX13" s="440">
        <f t="shared" ca="1" si="31"/>
        <v>43.94</v>
      </c>
      <c r="DY13" s="440">
        <f t="shared" ca="1" si="31"/>
        <v>484.50002899999998</v>
      </c>
      <c r="DZ13" s="274">
        <f t="shared" ca="1" si="66"/>
        <v>21288.931274259998</v>
      </c>
      <c r="EB13" s="440">
        <f t="shared" ca="1" si="32"/>
        <v>39.9</v>
      </c>
      <c r="EC13" s="440">
        <f t="shared" ca="1" si="32"/>
        <v>483.828101</v>
      </c>
      <c r="ED13" s="274">
        <f t="shared" ca="1" si="67"/>
        <v>19304.741229899999</v>
      </c>
      <c r="EF13" s="251">
        <f t="shared" ca="1" si="33"/>
        <v>38.58</v>
      </c>
      <c r="EG13" s="251">
        <f t="shared" ca="1" si="33"/>
        <v>482.16928200000001</v>
      </c>
      <c r="EH13" s="274">
        <f t="shared" ca="1" si="68"/>
        <v>18602.09089956</v>
      </c>
      <c r="EJ13" s="251">
        <f t="shared" ca="1" si="34"/>
        <v>41.31</v>
      </c>
      <c r="EK13" s="251">
        <f t="shared" ca="1" si="34"/>
        <v>482.49873400000001</v>
      </c>
      <c r="EL13" s="274">
        <f t="shared" ca="1" si="69"/>
        <v>19932.022701540001</v>
      </c>
      <c r="EO13" s="252">
        <f t="shared" ca="1" si="35"/>
        <v>11</v>
      </c>
    </row>
    <row r="14" spans="2:145" s="234" customFormat="1">
      <c r="B14" s="258">
        <f t="shared" ca="1" si="70"/>
        <v>5</v>
      </c>
      <c r="C14" s="249" t="str">
        <f t="shared" ca="1" si="0"/>
        <v>AVANGRID, Inc.</v>
      </c>
      <c r="D14" s="236" t="str">
        <f t="shared" ca="1" si="0"/>
        <v>AGR</v>
      </c>
      <c r="E14" s="236">
        <f t="shared" ca="1" si="0"/>
        <v>4057045</v>
      </c>
      <c r="F14" s="250"/>
      <c r="G14" s="273"/>
      <c r="H14" s="440">
        <f t="shared" ca="1" si="1"/>
        <v>43.78</v>
      </c>
      <c r="I14" s="440">
        <f t="shared" ca="1" si="1"/>
        <v>309.49108200000001</v>
      </c>
      <c r="J14" s="274">
        <f t="shared" ca="1" si="36"/>
        <v>13549.519569960001</v>
      </c>
      <c r="K14" s="273"/>
      <c r="L14" s="440">
        <f t="shared" ca="1" si="2"/>
        <v>51.16</v>
      </c>
      <c r="M14" s="440">
        <f t="shared" ca="1" si="2"/>
        <v>309.49108200000001</v>
      </c>
      <c r="N14" s="274">
        <f t="shared" ca="1" si="37"/>
        <v>15833.56375512</v>
      </c>
      <c r="O14" s="273"/>
      <c r="P14" s="440">
        <f t="shared" ca="1" si="3"/>
        <v>52.25</v>
      </c>
      <c r="Q14" s="440">
        <f t="shared" ca="1" si="3"/>
        <v>309.49108200000001</v>
      </c>
      <c r="R14" s="274">
        <f t="shared" ca="1" si="38"/>
        <v>16170.9090345</v>
      </c>
      <c r="S14" s="273"/>
      <c r="T14" s="440">
        <f t="shared" ca="1" si="4"/>
        <v>50.5</v>
      </c>
      <c r="U14" s="440">
        <f t="shared" ca="1" si="4"/>
        <v>309.49108200000001</v>
      </c>
      <c r="V14" s="274">
        <f t="shared" ca="1" si="39"/>
        <v>15629.299641</v>
      </c>
      <c r="W14" s="273"/>
      <c r="X14" s="440">
        <f t="shared" ca="1" si="5"/>
        <v>50.35</v>
      </c>
      <c r="Y14" s="440">
        <f t="shared" ca="1" si="5"/>
        <v>309.50331899999998</v>
      </c>
      <c r="Z14" s="274">
        <f t="shared" ca="1" si="40"/>
        <v>15583.492111649999</v>
      </c>
      <c r="AA14" s="273"/>
      <c r="AB14" s="440">
        <f t="shared" ca="1" si="6"/>
        <v>50.09</v>
      </c>
      <c r="AC14" s="440">
        <f t="shared" ca="1" si="6"/>
        <v>309.49108200000001</v>
      </c>
      <c r="AD14" s="274">
        <f t="shared" ca="1" si="41"/>
        <v>15502.408297380001</v>
      </c>
      <c r="AE14" s="273"/>
      <c r="AF14" s="440">
        <f t="shared" ca="1" si="7"/>
        <v>47.93</v>
      </c>
      <c r="AG14" s="440">
        <f t="shared" ca="1" si="7"/>
        <v>309.517854</v>
      </c>
      <c r="AH14" s="274">
        <f t="shared" ca="1" si="42"/>
        <v>14835.19074222</v>
      </c>
      <c r="AI14" s="273"/>
      <c r="AJ14" s="440">
        <f t="shared" ca="1" si="8"/>
        <v>52.93</v>
      </c>
      <c r="AK14" s="440">
        <f t="shared" ca="1" si="8"/>
        <v>309.51364000000001</v>
      </c>
      <c r="AL14" s="274">
        <f t="shared" ca="1" si="43"/>
        <v>16382.556965200001</v>
      </c>
      <c r="AM14" s="273"/>
      <c r="AN14" s="440">
        <f t="shared" ca="1" si="9"/>
        <v>51.12</v>
      </c>
      <c r="AO14" s="440">
        <f t="shared" ca="1" si="9"/>
        <v>309.5</v>
      </c>
      <c r="AP14" s="274">
        <f t="shared" ca="1" si="44"/>
        <v>15821.64</v>
      </c>
      <c r="AQ14" s="273"/>
      <c r="AR14" s="440">
        <f t="shared" ca="1" si="10"/>
        <v>50.58</v>
      </c>
      <c r="AS14" s="440">
        <f t="shared" ca="1" si="10"/>
        <v>309.49108200000001</v>
      </c>
      <c r="AT14" s="274">
        <f t="shared" ca="1" si="45"/>
        <v>15654.05892756</v>
      </c>
      <c r="AU14" s="273"/>
      <c r="AV14" s="440">
        <f t="shared" ca="1" si="11"/>
        <v>47.42</v>
      </c>
      <c r="AW14" s="440">
        <f t="shared" ca="1" si="11"/>
        <v>309.52071799999999</v>
      </c>
      <c r="AX14" s="274">
        <f t="shared" ca="1" si="46"/>
        <v>14677.47244756</v>
      </c>
      <c r="AY14" s="273"/>
      <c r="AZ14" s="440">
        <f t="shared" ca="1" si="12"/>
        <v>44.15</v>
      </c>
      <c r="BA14" s="440">
        <f t="shared" ca="1" si="12"/>
        <v>309.50888900000001</v>
      </c>
      <c r="BB14" s="274">
        <f t="shared" ca="1" si="47"/>
        <v>13664.817449349999</v>
      </c>
      <c r="BC14" s="273"/>
      <c r="BD14" s="440">
        <f t="shared" ca="1" si="13"/>
        <v>42.74</v>
      </c>
      <c r="BE14" s="440">
        <f t="shared" ca="1" si="13"/>
        <v>309.51255300000003</v>
      </c>
      <c r="BF14" s="274">
        <f t="shared" ca="1" si="48"/>
        <v>13228.566515220002</v>
      </c>
      <c r="BG14" s="273"/>
      <c r="BH14" s="440">
        <f t="shared" ca="1" si="14"/>
        <v>37.880000000000003</v>
      </c>
      <c r="BI14" s="440">
        <f t="shared" ca="1" si="14"/>
        <v>309.49514099999999</v>
      </c>
      <c r="BJ14" s="274">
        <f t="shared" ca="1" si="49"/>
        <v>11723.67594108</v>
      </c>
      <c r="BK14" s="273"/>
      <c r="BL14" s="440">
        <f t="shared" ca="1" si="15"/>
        <v>41.78</v>
      </c>
      <c r="BM14" s="440">
        <f t="shared" ca="1" si="15"/>
        <v>309.52786800000001</v>
      </c>
      <c r="BN14" s="274">
        <f t="shared" ca="1" si="50"/>
        <v>12932.074325040001</v>
      </c>
      <c r="BO14" s="273"/>
      <c r="BP14" s="440">
        <f t="shared" ca="1" si="16"/>
        <v>46.06</v>
      </c>
      <c r="BQ14" s="440">
        <f t="shared" ca="1" si="16"/>
        <v>309.53821499999998</v>
      </c>
      <c r="BR14" s="274">
        <f t="shared" ca="1" si="51"/>
        <v>14257.330182899999</v>
      </c>
      <c r="BS14" s="273"/>
      <c r="BT14" s="440">
        <f t="shared" ca="1" si="17"/>
        <v>40.11</v>
      </c>
      <c r="BU14" s="440">
        <f t="shared" ca="1" si="17"/>
        <v>309.49108200000001</v>
      </c>
      <c r="BV14" s="274">
        <f t="shared" ca="1" si="52"/>
        <v>12413.687299020001</v>
      </c>
      <c r="BW14" s="273"/>
      <c r="BX14" s="440">
        <f t="shared" ca="1" si="18"/>
        <v>38.4</v>
      </c>
      <c r="BY14" s="440">
        <f t="shared" ca="1" si="18"/>
        <v>309.49108200000001</v>
      </c>
      <c r="BZ14" s="274">
        <f t="shared" ca="1" si="53"/>
        <v>11884.457548799999</v>
      </c>
      <c r="CA14" s="273"/>
      <c r="CB14" s="440">
        <f t="shared" ca="1" si="19"/>
        <v>0</v>
      </c>
      <c r="CC14" s="440">
        <f t="shared" ca="1" si="19"/>
        <v>0</v>
      </c>
      <c r="CD14" s="274">
        <f t="shared" ca="1" si="54"/>
        <v>0</v>
      </c>
      <c r="CE14" s="273"/>
      <c r="CF14" s="440">
        <f t="shared" ca="1" si="20"/>
        <v>0</v>
      </c>
      <c r="CG14" s="440">
        <f t="shared" ca="1" si="20"/>
        <v>0</v>
      </c>
      <c r="CH14" s="274">
        <f t="shared" ca="1" si="55"/>
        <v>0</v>
      </c>
      <c r="CI14" s="273"/>
      <c r="CJ14" s="440">
        <f t="shared" ca="1" si="21"/>
        <v>0</v>
      </c>
      <c r="CK14" s="440">
        <f t="shared" ca="1" si="21"/>
        <v>0</v>
      </c>
      <c r="CL14" s="274">
        <f t="shared" ca="1" si="56"/>
        <v>0</v>
      </c>
      <c r="CN14" s="440">
        <f t="shared" ca="1" si="22"/>
        <v>0</v>
      </c>
      <c r="CO14" s="440">
        <f t="shared" ca="1" si="22"/>
        <v>0</v>
      </c>
      <c r="CP14" s="274">
        <f t="shared" ca="1" si="57"/>
        <v>0</v>
      </c>
      <c r="CR14" s="440">
        <f t="shared" ca="1" si="23"/>
        <v>0</v>
      </c>
      <c r="CS14" s="440">
        <f t="shared" ca="1" si="23"/>
        <v>0</v>
      </c>
      <c r="CT14" s="274">
        <f t="shared" ca="1" si="58"/>
        <v>0</v>
      </c>
      <c r="CV14" s="440">
        <f t="shared" ca="1" si="24"/>
        <v>0</v>
      </c>
      <c r="CW14" s="440">
        <f t="shared" ca="1" si="24"/>
        <v>0</v>
      </c>
      <c r="CX14" s="274">
        <f t="shared" ca="1" si="59"/>
        <v>0</v>
      </c>
      <c r="CZ14" s="440">
        <f t="shared" ca="1" si="25"/>
        <v>0</v>
      </c>
      <c r="DA14" s="440">
        <f t="shared" ca="1" si="25"/>
        <v>0</v>
      </c>
      <c r="DB14" s="274">
        <f t="shared" ca="1" si="60"/>
        <v>0</v>
      </c>
      <c r="DD14" s="440">
        <f t="shared" ca="1" si="26"/>
        <v>0</v>
      </c>
      <c r="DE14" s="440">
        <f t="shared" ca="1" si="26"/>
        <v>0</v>
      </c>
      <c r="DF14" s="274">
        <f t="shared" ca="1" si="61"/>
        <v>0</v>
      </c>
      <c r="DH14" s="440">
        <f t="shared" ca="1" si="27"/>
        <v>0</v>
      </c>
      <c r="DI14" s="440">
        <f t="shared" ca="1" si="27"/>
        <v>0</v>
      </c>
      <c r="DJ14" s="274">
        <f t="shared" ca="1" si="62"/>
        <v>0</v>
      </c>
      <c r="DL14" s="440">
        <f t="shared" ca="1" si="28"/>
        <v>0</v>
      </c>
      <c r="DM14" s="440">
        <f t="shared" ca="1" si="28"/>
        <v>0</v>
      </c>
      <c r="DN14" s="274">
        <f t="shared" ca="1" si="63"/>
        <v>0</v>
      </c>
      <c r="DP14" s="440">
        <f t="shared" ca="1" si="29"/>
        <v>0</v>
      </c>
      <c r="DQ14" s="440">
        <f t="shared" ca="1" si="29"/>
        <v>0</v>
      </c>
      <c r="DR14" s="274">
        <f t="shared" ca="1" si="64"/>
        <v>0</v>
      </c>
      <c r="DT14" s="440">
        <f t="shared" ca="1" si="30"/>
        <v>0</v>
      </c>
      <c r="DU14" s="440">
        <f t="shared" ca="1" si="30"/>
        <v>0</v>
      </c>
      <c r="DV14" s="274">
        <f t="shared" ca="1" si="65"/>
        <v>0</v>
      </c>
      <c r="DX14" s="440">
        <f t="shared" ca="1" si="31"/>
        <v>0</v>
      </c>
      <c r="DY14" s="440">
        <f t="shared" ca="1" si="31"/>
        <v>0</v>
      </c>
      <c r="DZ14" s="274">
        <f t="shared" ca="1" si="66"/>
        <v>0</v>
      </c>
      <c r="EB14" s="440">
        <f t="shared" ca="1" si="32"/>
        <v>0</v>
      </c>
      <c r="EC14" s="440">
        <f t="shared" ca="1" si="32"/>
        <v>0</v>
      </c>
      <c r="ED14" s="274">
        <f t="shared" ca="1" si="67"/>
        <v>0</v>
      </c>
      <c r="EF14" s="251">
        <f t="shared" ca="1" si="33"/>
        <v>0</v>
      </c>
      <c r="EG14" s="251">
        <f t="shared" ca="1" si="33"/>
        <v>0</v>
      </c>
      <c r="EH14" s="274">
        <f t="shared" ca="1" si="68"/>
        <v>0</v>
      </c>
      <c r="EJ14" s="251">
        <f t="shared" ca="1" si="34"/>
        <v>0</v>
      </c>
      <c r="EK14" s="251">
        <f t="shared" ca="1" si="34"/>
        <v>0</v>
      </c>
      <c r="EL14" s="274">
        <f t="shared" ca="1" si="69"/>
        <v>0</v>
      </c>
      <c r="EO14" s="252">
        <f t="shared" ca="1" si="35"/>
        <v>114</v>
      </c>
    </row>
    <row r="15" spans="2:145" s="234" customFormat="1">
      <c r="B15" s="258">
        <f t="shared" ca="1" si="70"/>
        <v>6</v>
      </c>
      <c r="C15" s="249" t="str">
        <f t="shared" ca="1" si="0"/>
        <v>Avista Corporation</v>
      </c>
      <c r="D15" s="236" t="str">
        <f t="shared" ca="1" si="0"/>
        <v>AVA</v>
      </c>
      <c r="E15" s="236">
        <f t="shared" ca="1" si="0"/>
        <v>4057075</v>
      </c>
      <c r="F15" s="250"/>
      <c r="G15" s="273"/>
      <c r="H15" s="440">
        <f t="shared" ca="1" si="1"/>
        <v>42.49</v>
      </c>
      <c r="I15" s="440">
        <f t="shared" ca="1" si="1"/>
        <v>66.204999999999998</v>
      </c>
      <c r="J15" s="274">
        <f t="shared" ca="1" si="36"/>
        <v>2813.0504500000002</v>
      </c>
      <c r="K15" s="273"/>
      <c r="L15" s="440">
        <f t="shared" ca="1" si="2"/>
        <v>48.09</v>
      </c>
      <c r="M15" s="440">
        <f t="shared" ca="1" si="2"/>
        <v>66.265000000000001</v>
      </c>
      <c r="N15" s="274">
        <f t="shared" ca="1" si="37"/>
        <v>3186.6838500000003</v>
      </c>
      <c r="O15" s="273"/>
      <c r="P15" s="440">
        <f t="shared" ca="1" si="3"/>
        <v>48.44</v>
      </c>
      <c r="Q15" s="440">
        <f t="shared" ca="1" si="3"/>
        <v>65.894000000000005</v>
      </c>
      <c r="R15" s="274">
        <f t="shared" ca="1" si="38"/>
        <v>3191.9053600000002</v>
      </c>
      <c r="S15" s="273"/>
      <c r="T15" s="440">
        <f t="shared" ca="1" si="4"/>
        <v>44.6</v>
      </c>
      <c r="U15" s="440">
        <f t="shared" ca="1" si="4"/>
        <v>65.733000000000004</v>
      </c>
      <c r="V15" s="274">
        <f t="shared" ca="1" si="39"/>
        <v>2931.6918000000001</v>
      </c>
      <c r="W15" s="273"/>
      <c r="X15" s="440">
        <f t="shared" ca="1" si="5"/>
        <v>40.619999999999997</v>
      </c>
      <c r="Y15" s="440">
        <f t="shared" ca="1" si="5"/>
        <v>65.673000000000002</v>
      </c>
      <c r="Z15" s="274">
        <f t="shared" ca="1" si="40"/>
        <v>2667.63726</v>
      </c>
      <c r="AA15" s="273"/>
      <c r="AB15" s="440">
        <f t="shared" ca="1" si="6"/>
        <v>42.48</v>
      </c>
      <c r="AC15" s="440">
        <f t="shared" ca="1" si="6"/>
        <v>65.688000000000002</v>
      </c>
      <c r="AD15" s="274">
        <f t="shared" ca="1" si="41"/>
        <v>2790.4262399999998</v>
      </c>
      <c r="AE15" s="273"/>
      <c r="AF15" s="440">
        <f t="shared" ca="1" si="7"/>
        <v>50.56</v>
      </c>
      <c r="AG15" s="440">
        <f t="shared" ca="1" si="7"/>
        <v>65.677000000000007</v>
      </c>
      <c r="AH15" s="274">
        <f t="shared" ca="1" si="42"/>
        <v>3320.6291200000005</v>
      </c>
      <c r="AI15" s="273"/>
      <c r="AJ15" s="440">
        <f t="shared" ca="1" si="8"/>
        <v>52.66</v>
      </c>
      <c r="AK15" s="440">
        <f t="shared" ca="1" si="8"/>
        <v>65.638999999999996</v>
      </c>
      <c r="AL15" s="274">
        <f t="shared" ca="1" si="43"/>
        <v>3456.5497399999995</v>
      </c>
      <c r="AM15" s="273"/>
      <c r="AN15" s="440">
        <f t="shared" ca="1" si="9"/>
        <v>51.25</v>
      </c>
      <c r="AO15" s="440">
        <f t="shared" ca="1" si="9"/>
        <v>64.808999999999997</v>
      </c>
      <c r="AP15" s="274">
        <f t="shared" ca="1" si="44"/>
        <v>3321.4612499999998</v>
      </c>
      <c r="AQ15" s="273"/>
      <c r="AR15" s="440">
        <f t="shared" ca="1" si="10"/>
        <v>51.49</v>
      </c>
      <c r="AS15" s="440">
        <f t="shared" ca="1" si="10"/>
        <v>64.412000000000006</v>
      </c>
      <c r="AT15" s="274">
        <f t="shared" ca="1" si="45"/>
        <v>3316.5738800000004</v>
      </c>
      <c r="AU15" s="273"/>
      <c r="AV15" s="440">
        <f t="shared" ca="1" si="11"/>
        <v>51.77</v>
      </c>
      <c r="AW15" s="440">
        <f t="shared" ca="1" si="11"/>
        <v>64.400999999999996</v>
      </c>
      <c r="AX15" s="274">
        <f t="shared" ca="1" si="46"/>
        <v>3334.0397699999999</v>
      </c>
      <c r="AY15" s="273"/>
      <c r="AZ15" s="440">
        <f t="shared" ca="1" si="12"/>
        <v>42.46</v>
      </c>
      <c r="BA15" s="440">
        <f t="shared" ca="1" si="12"/>
        <v>64.361999999999995</v>
      </c>
      <c r="BB15" s="274">
        <f t="shared" ca="1" si="47"/>
        <v>2732.81052</v>
      </c>
      <c r="BC15" s="273"/>
      <c r="BD15" s="440">
        <f t="shared" ca="1" si="13"/>
        <v>39.049999999999997</v>
      </c>
      <c r="BE15" s="440">
        <f t="shared" ca="1" si="13"/>
        <v>63.508000000000003</v>
      </c>
      <c r="BF15" s="274">
        <f t="shared" ca="1" si="48"/>
        <v>2479.9874</v>
      </c>
      <c r="BG15" s="273"/>
      <c r="BH15" s="440">
        <f t="shared" ca="1" si="14"/>
        <v>39.99</v>
      </c>
      <c r="BI15" s="440">
        <f t="shared" ca="1" si="14"/>
        <v>63.856999999999999</v>
      </c>
      <c r="BJ15" s="274">
        <f t="shared" ca="1" si="49"/>
        <v>2553.6414300000001</v>
      </c>
      <c r="BK15" s="273"/>
      <c r="BL15" s="440">
        <f t="shared" ca="1" si="15"/>
        <v>41.79</v>
      </c>
      <c r="BM15" s="440">
        <f t="shared" ca="1" si="15"/>
        <v>63.386000000000003</v>
      </c>
      <c r="BN15" s="274">
        <f t="shared" ca="1" si="50"/>
        <v>2648.90094</v>
      </c>
      <c r="BO15" s="273"/>
      <c r="BP15" s="440">
        <f t="shared" ca="1" si="16"/>
        <v>44.8</v>
      </c>
      <c r="BQ15" s="440">
        <f t="shared" ca="1" si="16"/>
        <v>62.604999999999997</v>
      </c>
      <c r="BR15" s="274">
        <f t="shared" ca="1" si="51"/>
        <v>2804.7039999999997</v>
      </c>
      <c r="BS15" s="273"/>
      <c r="BT15" s="440">
        <f t="shared" ca="1" si="17"/>
        <v>40.78</v>
      </c>
      <c r="BU15" s="440">
        <f t="shared" ca="1" si="17"/>
        <v>62.301000000000002</v>
      </c>
      <c r="BV15" s="274">
        <f t="shared" ca="1" si="52"/>
        <v>2540.6347800000003</v>
      </c>
      <c r="BW15" s="273"/>
      <c r="BX15" s="440">
        <f t="shared" ca="1" si="18"/>
        <v>35.369999999999997</v>
      </c>
      <c r="BY15" s="440">
        <f t="shared" ca="1" si="18"/>
        <v>62.298999999999999</v>
      </c>
      <c r="BZ15" s="274">
        <f t="shared" ca="1" si="53"/>
        <v>2203.5156299999999</v>
      </c>
      <c r="CA15" s="273"/>
      <c r="CB15" s="440">
        <f t="shared" ca="1" si="19"/>
        <v>33.25</v>
      </c>
      <c r="CC15" s="440">
        <f t="shared" ca="1" si="19"/>
        <v>62.280999999999999</v>
      </c>
      <c r="CD15" s="274">
        <f t="shared" ca="1" si="54"/>
        <v>2070.8432499999999</v>
      </c>
      <c r="CE15" s="273"/>
      <c r="CF15" s="440">
        <f t="shared" ca="1" si="20"/>
        <v>30.65</v>
      </c>
      <c r="CG15" s="440">
        <f t="shared" ca="1" si="20"/>
        <v>62.317999999999998</v>
      </c>
      <c r="CH15" s="274">
        <f t="shared" ca="1" si="55"/>
        <v>1910.0466999999999</v>
      </c>
      <c r="CI15" s="273"/>
      <c r="CJ15" s="440">
        <f t="shared" ca="1" si="21"/>
        <v>34.18</v>
      </c>
      <c r="CK15" s="440">
        <f t="shared" ca="1" si="21"/>
        <v>62.29</v>
      </c>
      <c r="CL15" s="274">
        <f t="shared" ca="1" si="56"/>
        <v>2129.0722000000001</v>
      </c>
      <c r="CN15" s="440">
        <f t="shared" ca="1" si="22"/>
        <v>35.35</v>
      </c>
      <c r="CO15" s="440">
        <f t="shared" ca="1" si="22"/>
        <v>63.933999999999997</v>
      </c>
      <c r="CP15" s="274">
        <f t="shared" ca="1" si="57"/>
        <v>2260.0668999999998</v>
      </c>
      <c r="CR15" s="440">
        <f t="shared" ca="1" si="23"/>
        <v>30.53</v>
      </c>
      <c r="CS15" s="440">
        <f t="shared" ca="1" si="23"/>
        <v>60.183999999999997</v>
      </c>
      <c r="CT15" s="274">
        <f t="shared" ca="1" si="58"/>
        <v>1837.41752</v>
      </c>
      <c r="CV15" s="440">
        <f t="shared" ca="1" si="24"/>
        <v>33.520000000000003</v>
      </c>
      <c r="CW15" s="440">
        <f t="shared" ca="1" si="24"/>
        <v>60.122</v>
      </c>
      <c r="CX15" s="274">
        <f t="shared" ca="1" si="59"/>
        <v>2015.2894400000002</v>
      </c>
      <c r="CZ15" s="440">
        <f t="shared" ca="1" si="25"/>
        <v>30.65</v>
      </c>
      <c r="DA15" s="440">
        <f t="shared" ca="1" si="25"/>
        <v>59.96</v>
      </c>
      <c r="DB15" s="274">
        <f t="shared" ca="1" si="60"/>
        <v>1837.7739999999999</v>
      </c>
      <c r="DD15" s="440">
        <f t="shared" ca="1" si="26"/>
        <v>28.19</v>
      </c>
      <c r="DE15" s="440">
        <f t="shared" ca="1" si="26"/>
        <v>59.994</v>
      </c>
      <c r="DF15" s="274">
        <f t="shared" ca="1" si="61"/>
        <v>1691.2308600000001</v>
      </c>
      <c r="DH15" s="440">
        <f t="shared" ca="1" si="27"/>
        <v>26.4</v>
      </c>
      <c r="DI15" s="440">
        <f t="shared" ca="1" si="27"/>
        <v>59.936999999999998</v>
      </c>
      <c r="DJ15" s="274">
        <f t="shared" ca="1" si="62"/>
        <v>1582.3367999999998</v>
      </c>
      <c r="DL15" s="440">
        <f t="shared" ca="1" si="28"/>
        <v>27.02</v>
      </c>
      <c r="DM15" s="440">
        <f t="shared" ca="1" si="28"/>
        <v>59.866</v>
      </c>
      <c r="DN15" s="274">
        <f t="shared" ca="1" si="63"/>
        <v>1617.5793200000001</v>
      </c>
      <c r="DP15" s="440">
        <f t="shared" ca="1" si="29"/>
        <v>27.4</v>
      </c>
      <c r="DQ15" s="440">
        <f t="shared" ca="1" si="29"/>
        <v>59.027999999999999</v>
      </c>
      <c r="DR15" s="274">
        <f t="shared" ca="1" si="64"/>
        <v>1617.3671999999999</v>
      </c>
      <c r="DT15" s="440">
        <f t="shared" ca="1" si="30"/>
        <v>24.11</v>
      </c>
      <c r="DU15" s="440">
        <f t="shared" ca="1" si="30"/>
        <v>59.046999999999997</v>
      </c>
      <c r="DV15" s="274">
        <f t="shared" ca="1" si="65"/>
        <v>1423.6231699999998</v>
      </c>
      <c r="DX15" s="440">
        <f t="shared" ca="1" si="31"/>
        <v>25.74</v>
      </c>
      <c r="DY15" s="440">
        <f t="shared" ca="1" si="31"/>
        <v>58.701999999999998</v>
      </c>
      <c r="DZ15" s="274">
        <f t="shared" ca="1" si="66"/>
        <v>1510.98948</v>
      </c>
      <c r="EB15" s="440">
        <f t="shared" ca="1" si="32"/>
        <v>26.7</v>
      </c>
      <c r="EC15" s="440">
        <f t="shared" ca="1" si="32"/>
        <v>58.581000000000003</v>
      </c>
      <c r="ED15" s="274">
        <f t="shared" ca="1" si="67"/>
        <v>1564.1127000000001</v>
      </c>
      <c r="EF15" s="251">
        <f t="shared" ca="1" si="33"/>
        <v>25.58</v>
      </c>
      <c r="EG15" s="251">
        <f t="shared" ca="1" si="33"/>
        <v>57.872</v>
      </c>
      <c r="EH15" s="274">
        <f t="shared" ca="1" si="68"/>
        <v>1480.3657599999999</v>
      </c>
      <c r="EJ15" s="251">
        <f t="shared" ca="1" si="34"/>
        <v>25.75</v>
      </c>
      <c r="EK15" s="251">
        <f t="shared" ca="1" si="34"/>
        <v>58.057000000000002</v>
      </c>
      <c r="EL15" s="274">
        <f t="shared" ca="1" si="69"/>
        <v>1494.96775</v>
      </c>
      <c r="EO15" s="252">
        <f t="shared" ca="1" si="35"/>
        <v>109</v>
      </c>
    </row>
    <row r="16" spans="2:145" s="234" customFormat="1">
      <c r="B16" s="258">
        <f t="shared" ca="1" si="70"/>
        <v>7</v>
      </c>
      <c r="C16" s="249" t="str">
        <f t="shared" ca="1" si="0"/>
        <v>Black Hills Corporation</v>
      </c>
      <c r="D16" s="236" t="str">
        <f t="shared" ca="1" si="0"/>
        <v>BKH</v>
      </c>
      <c r="E16" s="236">
        <f t="shared" ca="1" si="0"/>
        <v>4010420</v>
      </c>
      <c r="F16" s="250"/>
      <c r="G16" s="273"/>
      <c r="H16" s="440">
        <f t="shared" ca="1" si="1"/>
        <v>64.03</v>
      </c>
      <c r="I16" s="440">
        <f t="shared" ca="1" si="1"/>
        <v>60.661999999999999</v>
      </c>
      <c r="J16" s="274">
        <f t="shared" ca="1" si="36"/>
        <v>3884.18786</v>
      </c>
      <c r="K16" s="273"/>
      <c r="L16" s="440">
        <f t="shared" ca="1" si="2"/>
        <v>78.540000000000006</v>
      </c>
      <c r="M16" s="440">
        <f t="shared" ca="1" si="2"/>
        <v>60.975999999999999</v>
      </c>
      <c r="N16" s="274">
        <f t="shared" ca="1" si="37"/>
        <v>4789.0550400000002</v>
      </c>
      <c r="O16" s="273"/>
      <c r="P16" s="440">
        <f t="shared" ca="1" si="3"/>
        <v>76.73</v>
      </c>
      <c r="Q16" s="440">
        <f t="shared" ca="1" si="3"/>
        <v>60.466999999999999</v>
      </c>
      <c r="R16" s="274">
        <f t="shared" ca="1" si="38"/>
        <v>4639.6329100000003</v>
      </c>
      <c r="S16" s="273"/>
      <c r="T16" s="440">
        <f t="shared" ca="1" si="4"/>
        <v>78.17</v>
      </c>
      <c r="U16" s="440">
        <f t="shared" ca="1" si="4"/>
        <v>59.92</v>
      </c>
      <c r="V16" s="274">
        <f t="shared" ca="1" si="39"/>
        <v>4683.9463999999998</v>
      </c>
      <c r="W16" s="273"/>
      <c r="X16" s="440">
        <f t="shared" ca="1" si="5"/>
        <v>74.069999999999993</v>
      </c>
      <c r="Y16" s="440">
        <f t="shared" ca="1" si="5"/>
        <v>54.42</v>
      </c>
      <c r="Z16" s="274">
        <f t="shared" ca="1" si="40"/>
        <v>4030.8893999999996</v>
      </c>
      <c r="AA16" s="273"/>
      <c r="AB16" s="440">
        <f t="shared" ca="1" si="6"/>
        <v>62.78</v>
      </c>
      <c r="AC16" s="440">
        <f t="shared" ca="1" si="6"/>
        <v>53.363999999999997</v>
      </c>
      <c r="AD16" s="274">
        <f t="shared" ca="1" si="41"/>
        <v>3350.1919199999998</v>
      </c>
      <c r="AE16" s="273"/>
      <c r="AF16" s="440">
        <f t="shared" ca="1" si="7"/>
        <v>58.09</v>
      </c>
      <c r="AG16" s="440">
        <f t="shared" ca="1" si="7"/>
        <v>53.354999999999997</v>
      </c>
      <c r="AH16" s="274">
        <f t="shared" ca="1" si="42"/>
        <v>3099.3919500000002</v>
      </c>
      <c r="AI16" s="273"/>
      <c r="AJ16" s="440">
        <f t="shared" ca="1" si="8"/>
        <v>61.21</v>
      </c>
      <c r="AK16" s="440">
        <f t="shared" ca="1" si="8"/>
        <v>53.319000000000003</v>
      </c>
      <c r="AL16" s="274">
        <f t="shared" ca="1" si="43"/>
        <v>3263.6559900000002</v>
      </c>
      <c r="AM16" s="273"/>
      <c r="AN16" s="440">
        <f t="shared" ca="1" si="9"/>
        <v>54.3</v>
      </c>
      <c r="AO16" s="440">
        <f t="shared" ca="1" si="9"/>
        <v>53.3</v>
      </c>
      <c r="AP16" s="274">
        <f t="shared" ca="1" si="44"/>
        <v>2894.1899999999996</v>
      </c>
      <c r="AQ16" s="273"/>
      <c r="AR16" s="440">
        <f t="shared" ca="1" si="10"/>
        <v>60.11</v>
      </c>
      <c r="AS16" s="440">
        <f t="shared" ca="1" si="10"/>
        <v>53.243000000000002</v>
      </c>
      <c r="AT16" s="274">
        <f t="shared" ca="1" si="45"/>
        <v>3200.4367299999999</v>
      </c>
      <c r="AU16" s="273"/>
      <c r="AV16" s="440">
        <f t="shared" ca="1" si="11"/>
        <v>68.87</v>
      </c>
      <c r="AW16" s="440">
        <f t="shared" ca="1" si="11"/>
        <v>53.228999999999999</v>
      </c>
      <c r="AX16" s="274">
        <f t="shared" ca="1" si="46"/>
        <v>3665.8812300000004</v>
      </c>
      <c r="AY16" s="273"/>
      <c r="AZ16" s="440">
        <f t="shared" ca="1" si="12"/>
        <v>67.47</v>
      </c>
      <c r="BA16" s="440">
        <f t="shared" ca="1" si="12"/>
        <v>53.152000000000001</v>
      </c>
      <c r="BB16" s="274">
        <f t="shared" ca="1" si="47"/>
        <v>3586.1654400000002</v>
      </c>
      <c r="BC16" s="273"/>
      <c r="BD16" s="440">
        <f t="shared" ca="1" si="13"/>
        <v>66.47</v>
      </c>
      <c r="BE16" s="440">
        <f t="shared" ca="1" si="13"/>
        <v>51.921999999999997</v>
      </c>
      <c r="BF16" s="274">
        <f t="shared" ca="1" si="48"/>
        <v>3451.2553399999997</v>
      </c>
      <c r="BG16" s="273"/>
      <c r="BH16" s="440">
        <f t="shared" ca="1" si="14"/>
        <v>61.34</v>
      </c>
      <c r="BI16" s="440">
        <f t="shared" ca="1" si="14"/>
        <v>52.183999999999997</v>
      </c>
      <c r="BJ16" s="274">
        <f t="shared" ca="1" si="49"/>
        <v>3200.9665599999998</v>
      </c>
      <c r="BK16" s="273"/>
      <c r="BL16" s="440">
        <f t="shared" ca="1" si="15"/>
        <v>61.22</v>
      </c>
      <c r="BM16" s="440">
        <f t="shared" ca="1" si="15"/>
        <v>51.514000000000003</v>
      </c>
      <c r="BN16" s="274">
        <f t="shared" ca="1" si="50"/>
        <v>3153.6870800000002</v>
      </c>
      <c r="BO16" s="273"/>
      <c r="BP16" s="440">
        <f t="shared" ca="1" si="16"/>
        <v>63.04</v>
      </c>
      <c r="BQ16" s="440">
        <f t="shared" ca="1" si="16"/>
        <v>51.043999999999997</v>
      </c>
      <c r="BR16" s="274">
        <f t="shared" ca="1" si="51"/>
        <v>3217.8137599999995</v>
      </c>
      <c r="BS16" s="273"/>
      <c r="BT16" s="440">
        <f t="shared" ca="1" si="17"/>
        <v>60.13</v>
      </c>
      <c r="BU16" s="440">
        <f t="shared" ca="1" si="17"/>
        <v>45.287999999999997</v>
      </c>
      <c r="BV16" s="274">
        <f t="shared" ca="1" si="52"/>
        <v>2723.1674399999997</v>
      </c>
      <c r="BW16" s="273"/>
      <c r="BX16" s="440">
        <f t="shared" ca="1" si="18"/>
        <v>46.43</v>
      </c>
      <c r="BY16" s="440">
        <f t="shared" ca="1" si="18"/>
        <v>44.634999999999998</v>
      </c>
      <c r="BZ16" s="274">
        <f t="shared" ca="1" si="53"/>
        <v>2072.4030499999999</v>
      </c>
      <c r="CA16" s="273"/>
      <c r="CB16" s="440">
        <f t="shared" ca="1" si="19"/>
        <v>41.34</v>
      </c>
      <c r="CC16" s="440">
        <f t="shared" ca="1" si="19"/>
        <v>44.616999999999997</v>
      </c>
      <c r="CD16" s="274">
        <f t="shared" ca="1" si="54"/>
        <v>1844.46678</v>
      </c>
      <c r="CE16" s="273"/>
      <c r="CF16" s="440">
        <f t="shared" ca="1" si="20"/>
        <v>43.65</v>
      </c>
      <c r="CG16" s="440">
        <f t="shared" ca="1" si="20"/>
        <v>44.540999999999997</v>
      </c>
      <c r="CH16" s="274">
        <f t="shared" ca="1" si="55"/>
        <v>1944.2146499999999</v>
      </c>
      <c r="CI16" s="273"/>
      <c r="CJ16" s="440">
        <f t="shared" ca="1" si="21"/>
        <v>50.44</v>
      </c>
      <c r="CK16" s="440">
        <f t="shared" ca="1" si="21"/>
        <v>44.43</v>
      </c>
      <c r="CL16" s="274">
        <f t="shared" ca="1" si="56"/>
        <v>2241.0491999999999</v>
      </c>
      <c r="CN16" s="440">
        <f t="shared" ca="1" si="22"/>
        <v>53.04</v>
      </c>
      <c r="CO16" s="440">
        <f t="shared" ca="1" si="22"/>
        <v>44.414999999999999</v>
      </c>
      <c r="CP16" s="274">
        <f t="shared" ca="1" si="57"/>
        <v>2355.7716</v>
      </c>
      <c r="CR16" s="440">
        <f t="shared" ca="1" si="23"/>
        <v>47.88</v>
      </c>
      <c r="CS16" s="440">
        <f t="shared" ca="1" si="23"/>
        <v>44.399000000000001</v>
      </c>
      <c r="CT16" s="274">
        <f t="shared" ca="1" si="58"/>
        <v>2125.8241200000002</v>
      </c>
      <c r="CV16" s="440">
        <f t="shared" ca="1" si="24"/>
        <v>61.39</v>
      </c>
      <c r="CW16" s="440">
        <f t="shared" ca="1" si="24"/>
        <v>44.33</v>
      </c>
      <c r="CX16" s="274">
        <f t="shared" ca="1" si="59"/>
        <v>2721.4186999999997</v>
      </c>
      <c r="CZ16" s="440">
        <f t="shared" ca="1" si="25"/>
        <v>57.65</v>
      </c>
      <c r="DA16" s="440">
        <f t="shared" ca="1" si="25"/>
        <v>44.162999999999997</v>
      </c>
      <c r="DB16" s="274">
        <f t="shared" ca="1" si="60"/>
        <v>2545.9969499999997</v>
      </c>
      <c r="DD16" s="440">
        <f t="shared" ca="1" si="26"/>
        <v>52.51</v>
      </c>
      <c r="DE16" s="440">
        <f t="shared" ca="1" si="26"/>
        <v>44.201000000000001</v>
      </c>
      <c r="DF16" s="274">
        <f t="shared" ca="1" si="61"/>
        <v>2320.99451</v>
      </c>
      <c r="DH16" s="440">
        <f t="shared" ca="1" si="27"/>
        <v>49.86</v>
      </c>
      <c r="DI16" s="440">
        <f t="shared" ca="1" si="27"/>
        <v>44.171999999999997</v>
      </c>
      <c r="DJ16" s="274">
        <f t="shared" ca="1" si="62"/>
        <v>2202.4159199999999</v>
      </c>
      <c r="DL16" s="440">
        <f t="shared" ca="1" si="28"/>
        <v>48.75</v>
      </c>
      <c r="DM16" s="440">
        <f t="shared" ca="1" si="28"/>
        <v>44.052999999999997</v>
      </c>
      <c r="DN16" s="274">
        <f t="shared" ca="1" si="63"/>
        <v>2147.5837499999998</v>
      </c>
      <c r="DP16" s="440">
        <f t="shared" ca="1" si="29"/>
        <v>44.04</v>
      </c>
      <c r="DQ16" s="440">
        <f t="shared" ca="1" si="29"/>
        <v>43.82</v>
      </c>
      <c r="DR16" s="274">
        <f t="shared" ca="1" si="64"/>
        <v>1929.8327999999999</v>
      </c>
      <c r="DT16" s="440">
        <f t="shared" ca="1" si="30"/>
        <v>36.340000000000003</v>
      </c>
      <c r="DU16" s="440">
        <f t="shared" ca="1" si="30"/>
        <v>43.847000000000001</v>
      </c>
      <c r="DV16" s="274">
        <f t="shared" ca="1" si="65"/>
        <v>1593.3999800000001</v>
      </c>
      <c r="DX16" s="440">
        <f t="shared" ca="1" si="31"/>
        <v>35.57</v>
      </c>
      <c r="DY16" s="440">
        <f t="shared" ca="1" si="31"/>
        <v>43.798999999999999</v>
      </c>
      <c r="DZ16" s="274">
        <f t="shared" ca="1" si="66"/>
        <v>1557.9304299999999</v>
      </c>
      <c r="EB16" s="440">
        <f t="shared" ca="1" si="32"/>
        <v>32.17</v>
      </c>
      <c r="EC16" s="440">
        <f t="shared" ca="1" si="32"/>
        <v>43.731000000000002</v>
      </c>
      <c r="ED16" s="274">
        <f t="shared" ca="1" si="67"/>
        <v>1406.82627</v>
      </c>
      <c r="EF16" s="251">
        <f t="shared" ca="1" si="33"/>
        <v>33.53</v>
      </c>
      <c r="EG16" s="251">
        <f t="shared" ca="1" si="33"/>
        <v>39.863999999999997</v>
      </c>
      <c r="EH16" s="274">
        <f t="shared" ca="1" si="68"/>
        <v>1336.6399199999998</v>
      </c>
      <c r="EJ16" s="251">
        <f t="shared" ca="1" si="34"/>
        <v>33.58</v>
      </c>
      <c r="EK16" s="251">
        <f t="shared" ca="1" si="34"/>
        <v>39.145000000000003</v>
      </c>
      <c r="EL16" s="274">
        <f t="shared" ca="1" si="69"/>
        <v>1314.4891</v>
      </c>
      <c r="EO16" s="252">
        <f t="shared" ca="1" si="35"/>
        <v>14</v>
      </c>
    </row>
    <row r="17" spans="2:145" s="234" customFormat="1">
      <c r="B17" s="258">
        <f t="shared" ca="1" si="70"/>
        <v>8</v>
      </c>
      <c r="C17" s="249" t="str">
        <f t="shared" ca="1" si="0"/>
        <v>CenterPoint Energy, Inc.</v>
      </c>
      <c r="D17" s="236" t="str">
        <f t="shared" ca="1" si="0"/>
        <v>CNP</v>
      </c>
      <c r="E17" s="236">
        <f t="shared" ca="1" si="0"/>
        <v>4074390</v>
      </c>
      <c r="F17" s="250"/>
      <c r="G17" s="273"/>
      <c r="H17" s="440">
        <f t="shared" ca="1" si="1"/>
        <v>15.45</v>
      </c>
      <c r="I17" s="440">
        <f t="shared" ca="1" si="1"/>
        <v>502.05</v>
      </c>
      <c r="J17" s="274">
        <f t="shared" ca="1" si="36"/>
        <v>7756.6724999999997</v>
      </c>
      <c r="K17" s="273"/>
      <c r="L17" s="440">
        <f t="shared" ca="1" si="2"/>
        <v>27.27</v>
      </c>
      <c r="M17" s="440">
        <f t="shared" ca="1" si="2"/>
        <v>502.22800000000001</v>
      </c>
      <c r="N17" s="274">
        <f t="shared" ca="1" si="37"/>
        <v>13695.75756</v>
      </c>
      <c r="O17" s="273"/>
      <c r="P17" s="440">
        <f t="shared" ca="1" si="3"/>
        <v>30.18</v>
      </c>
      <c r="Q17" s="440">
        <f t="shared" ca="1" si="3"/>
        <v>502.2</v>
      </c>
      <c r="R17" s="274">
        <f t="shared" ca="1" si="38"/>
        <v>15156.395999999999</v>
      </c>
      <c r="S17" s="273"/>
      <c r="T17" s="440">
        <f t="shared" ca="1" si="4"/>
        <v>28.63</v>
      </c>
      <c r="U17" s="440">
        <f t="shared" ca="1" si="4"/>
        <v>501.52100000000002</v>
      </c>
      <c r="V17" s="274">
        <f t="shared" ca="1" si="39"/>
        <v>14358.54623</v>
      </c>
      <c r="W17" s="273"/>
      <c r="X17" s="440">
        <f t="shared" ca="1" si="5"/>
        <v>30.7</v>
      </c>
      <c r="Y17" s="440">
        <f t="shared" ca="1" si="5"/>
        <v>448.82900000000001</v>
      </c>
      <c r="Z17" s="274">
        <f t="shared" ca="1" si="40"/>
        <v>13779.050300000001</v>
      </c>
      <c r="AA17" s="273"/>
      <c r="AB17" s="440">
        <f t="shared" ca="1" si="6"/>
        <v>28.23</v>
      </c>
      <c r="AC17" s="440">
        <f t="shared" ca="1" si="6"/>
        <v>431.55399999999997</v>
      </c>
      <c r="AD17" s="274">
        <f t="shared" ca="1" si="41"/>
        <v>12182.769419999999</v>
      </c>
      <c r="AE17" s="273"/>
      <c r="AF17" s="440">
        <f t="shared" ca="1" si="7"/>
        <v>27.65</v>
      </c>
      <c r="AG17" s="440">
        <f t="shared" ca="1" si="7"/>
        <v>431.52300000000002</v>
      </c>
      <c r="AH17" s="274">
        <f t="shared" ca="1" si="42"/>
        <v>11931.61095</v>
      </c>
      <c r="AI17" s="273"/>
      <c r="AJ17" s="440">
        <f t="shared" ca="1" si="8"/>
        <v>27.71</v>
      </c>
      <c r="AK17" s="440">
        <f t="shared" ca="1" si="8"/>
        <v>431.23099999999999</v>
      </c>
      <c r="AL17" s="274">
        <f t="shared" ca="1" si="43"/>
        <v>11949.41101</v>
      </c>
      <c r="AM17" s="273"/>
      <c r="AN17" s="440">
        <f t="shared" ca="1" si="9"/>
        <v>27.4</v>
      </c>
      <c r="AO17" s="440">
        <f t="shared" ca="1" si="9"/>
        <v>431.03800000000001</v>
      </c>
      <c r="AP17" s="274">
        <f t="shared" ca="1" si="44"/>
        <v>11810.441199999999</v>
      </c>
      <c r="AQ17" s="273"/>
      <c r="AR17" s="440">
        <f t="shared" ca="1" si="10"/>
        <v>28.36</v>
      </c>
      <c r="AS17" s="440">
        <f t="shared" ca="1" si="10"/>
        <v>431.02600000000001</v>
      </c>
      <c r="AT17" s="274">
        <f t="shared" ca="1" si="45"/>
        <v>12223.897360000001</v>
      </c>
      <c r="AU17" s="273"/>
      <c r="AV17" s="440">
        <f t="shared" ca="1" si="11"/>
        <v>29.21</v>
      </c>
      <c r="AW17" s="440">
        <f t="shared" ca="1" si="11"/>
        <v>430.99599999999998</v>
      </c>
      <c r="AX17" s="274">
        <f t="shared" ca="1" si="46"/>
        <v>12589.39316</v>
      </c>
      <c r="AY17" s="273"/>
      <c r="AZ17" s="440">
        <f t="shared" ca="1" si="12"/>
        <v>27.38</v>
      </c>
      <c r="BA17" s="440">
        <f t="shared" ca="1" si="12"/>
        <v>430.79399999999998</v>
      </c>
      <c r="BB17" s="274">
        <f t="shared" ca="1" si="47"/>
        <v>11795.139719999999</v>
      </c>
      <c r="BC17" s="273"/>
      <c r="BD17" s="440">
        <f t="shared" ca="1" si="13"/>
        <v>27.57</v>
      </c>
      <c r="BE17" s="440">
        <f t="shared" ca="1" si="13"/>
        <v>430.60599999999999</v>
      </c>
      <c r="BF17" s="274">
        <f t="shared" ca="1" si="48"/>
        <v>11871.807419999999</v>
      </c>
      <c r="BG17" s="273"/>
      <c r="BH17" s="440">
        <f t="shared" ca="1" si="14"/>
        <v>24.64</v>
      </c>
      <c r="BI17" s="440">
        <f t="shared" ca="1" si="14"/>
        <v>430.68200000000002</v>
      </c>
      <c r="BJ17" s="274">
        <f t="shared" ca="1" si="49"/>
        <v>10612.004480000001</v>
      </c>
      <c r="BK17" s="273"/>
      <c r="BL17" s="440">
        <f t="shared" ca="1" si="15"/>
        <v>23.23</v>
      </c>
      <c r="BM17" s="440">
        <f t="shared" ca="1" si="15"/>
        <v>430.65300000000002</v>
      </c>
      <c r="BN17" s="274">
        <f t="shared" ca="1" si="50"/>
        <v>10004.06919</v>
      </c>
      <c r="BO17" s="273"/>
      <c r="BP17" s="440">
        <f t="shared" ca="1" si="16"/>
        <v>24</v>
      </c>
      <c r="BQ17" s="440">
        <f t="shared" ca="1" si="16"/>
        <v>430.40699999999998</v>
      </c>
      <c r="BR17" s="274">
        <f t="shared" ca="1" si="51"/>
        <v>10329.768</v>
      </c>
      <c r="BS17" s="273"/>
      <c r="BT17" s="440">
        <f t="shared" ca="1" si="17"/>
        <v>20.92</v>
      </c>
      <c r="BU17" s="440">
        <f t="shared" ca="1" si="17"/>
        <v>430.18</v>
      </c>
      <c r="BV17" s="274">
        <f t="shared" ca="1" si="52"/>
        <v>8999.365600000001</v>
      </c>
      <c r="BW17" s="273"/>
      <c r="BX17" s="440">
        <f t="shared" ca="1" si="18"/>
        <v>18.36</v>
      </c>
      <c r="BY17" s="440">
        <f t="shared" ca="1" si="18"/>
        <v>430.262</v>
      </c>
      <c r="BZ17" s="274">
        <f t="shared" ca="1" si="53"/>
        <v>7899.6103199999998</v>
      </c>
      <c r="CA17" s="273"/>
      <c r="CB17" s="440">
        <f t="shared" ca="1" si="19"/>
        <v>18.04</v>
      </c>
      <c r="CC17" s="440">
        <f t="shared" ca="1" si="19"/>
        <v>430.23500000000001</v>
      </c>
      <c r="CD17" s="274">
        <f t="shared" ca="1" si="54"/>
        <v>7761.4394000000002</v>
      </c>
      <c r="CE17" s="273"/>
      <c r="CF17" s="440">
        <f t="shared" ca="1" si="20"/>
        <v>19.03</v>
      </c>
      <c r="CG17" s="440">
        <f t="shared" ca="1" si="20"/>
        <v>429.95499999999998</v>
      </c>
      <c r="CH17" s="274">
        <f t="shared" ca="1" si="55"/>
        <v>8182.0436500000005</v>
      </c>
      <c r="CI17" s="273"/>
      <c r="CJ17" s="440">
        <f t="shared" ca="1" si="21"/>
        <v>20.41</v>
      </c>
      <c r="CK17" s="440">
        <f t="shared" ca="1" si="21"/>
        <v>429.79599999999999</v>
      </c>
      <c r="CL17" s="274">
        <f t="shared" ca="1" si="56"/>
        <v>8772.1363600000004</v>
      </c>
      <c r="CN17" s="440">
        <f t="shared" ca="1" si="22"/>
        <v>23.43</v>
      </c>
      <c r="CO17" s="440">
        <f t="shared" ca="1" si="22"/>
        <v>429.79599999999999</v>
      </c>
      <c r="CP17" s="274">
        <f t="shared" ca="1" si="57"/>
        <v>10070.120279999999</v>
      </c>
      <c r="CR17" s="440">
        <f t="shared" ca="1" si="23"/>
        <v>24.47</v>
      </c>
      <c r="CS17" s="440">
        <f t="shared" ca="1" si="23"/>
        <v>429.77300000000002</v>
      </c>
      <c r="CT17" s="274">
        <f t="shared" ca="1" si="58"/>
        <v>10516.54531</v>
      </c>
      <c r="CV17" s="440">
        <f t="shared" ca="1" si="24"/>
        <v>25.54</v>
      </c>
      <c r="CW17" s="440">
        <f t="shared" ca="1" si="24"/>
        <v>429.16300000000001</v>
      </c>
      <c r="CX17" s="274">
        <f t="shared" ca="1" si="59"/>
        <v>10960.82302</v>
      </c>
      <c r="CZ17" s="440">
        <f t="shared" ca="1" si="25"/>
        <v>23.69</v>
      </c>
      <c r="DA17" s="440">
        <f t="shared" ca="1" si="25"/>
        <v>428.46600000000001</v>
      </c>
      <c r="DB17" s="274">
        <f t="shared" ca="1" si="60"/>
        <v>10150.359540000001</v>
      </c>
      <c r="DD17" s="440">
        <f t="shared" ca="1" si="26"/>
        <v>23.18</v>
      </c>
      <c r="DE17" s="440">
        <f t="shared" ca="1" si="26"/>
        <v>428.62799999999999</v>
      </c>
      <c r="DF17" s="274">
        <f t="shared" ca="1" si="61"/>
        <v>9935.5970399999987</v>
      </c>
      <c r="DH17" s="440">
        <f t="shared" ca="1" si="27"/>
        <v>23.97</v>
      </c>
      <c r="DI17" s="440">
        <f t="shared" ca="1" si="27"/>
        <v>428.57100000000003</v>
      </c>
      <c r="DJ17" s="274">
        <f t="shared" ca="1" si="62"/>
        <v>10272.846869999999</v>
      </c>
      <c r="DL17" s="440">
        <f t="shared" ca="1" si="28"/>
        <v>23.49</v>
      </c>
      <c r="DM17" s="440">
        <f t="shared" ca="1" si="28"/>
        <v>427.96100000000001</v>
      </c>
      <c r="DN17" s="274">
        <f t="shared" ca="1" si="63"/>
        <v>10052.803889999999</v>
      </c>
      <c r="DP17" s="440">
        <f t="shared" ca="1" si="29"/>
        <v>23.96</v>
      </c>
      <c r="DQ17" s="440">
        <f t="shared" ca="1" si="29"/>
        <v>427.18900000000002</v>
      </c>
      <c r="DR17" s="274">
        <f t="shared" ca="1" si="64"/>
        <v>10235.44844</v>
      </c>
      <c r="DT17" s="440">
        <f t="shared" ca="1" si="30"/>
        <v>19.25</v>
      </c>
      <c r="DU17" s="440">
        <f t="shared" ca="1" si="30"/>
        <v>427.40600000000001</v>
      </c>
      <c r="DV17" s="274">
        <f t="shared" ca="1" si="65"/>
        <v>8227.5655000000006</v>
      </c>
      <c r="DX17" s="440">
        <f t="shared" ca="1" si="31"/>
        <v>21.3</v>
      </c>
      <c r="DY17" s="440">
        <f t="shared" ca="1" si="31"/>
        <v>427.34899999999999</v>
      </c>
      <c r="DZ17" s="274">
        <f t="shared" ca="1" si="66"/>
        <v>9102.5337</v>
      </c>
      <c r="EB17" s="440">
        <f t="shared" ca="1" si="32"/>
        <v>20.655000000000001</v>
      </c>
      <c r="EC17" s="440">
        <f t="shared" ca="1" si="32"/>
        <v>426.49900000000002</v>
      </c>
      <c r="ED17" s="274">
        <f t="shared" ca="1" si="67"/>
        <v>8809.3368450000016</v>
      </c>
      <c r="EF17" s="251">
        <f t="shared" ca="1" si="33"/>
        <v>19.72</v>
      </c>
      <c r="EG17" s="251">
        <f t="shared" ca="1" si="33"/>
        <v>425.63600000000002</v>
      </c>
      <c r="EH17" s="274">
        <f t="shared" ca="1" si="68"/>
        <v>8393.5419199999997</v>
      </c>
      <c r="EJ17" s="251">
        <f t="shared" ca="1" si="34"/>
        <v>20.09</v>
      </c>
      <c r="EK17" s="251">
        <f t="shared" ca="1" si="34"/>
        <v>425.88499999999999</v>
      </c>
      <c r="EL17" s="274">
        <f t="shared" ca="1" si="69"/>
        <v>8556.0296500000004</v>
      </c>
      <c r="EO17" s="252">
        <f t="shared" ca="1" si="35"/>
        <v>38</v>
      </c>
    </row>
    <row r="18" spans="2:145" s="234" customFormat="1">
      <c r="B18" s="258">
        <f t="shared" ca="1" si="70"/>
        <v>9</v>
      </c>
      <c r="C18" s="249" t="str">
        <f t="shared" ca="1" si="0"/>
        <v>CMS Energy Corporation</v>
      </c>
      <c r="D18" s="236" t="str">
        <f t="shared" ca="1" si="0"/>
        <v>CMS</v>
      </c>
      <c r="E18" s="236">
        <f t="shared" ca="1" si="0"/>
        <v>4004172</v>
      </c>
      <c r="F18" s="250"/>
      <c r="G18" s="273"/>
      <c r="H18" s="440">
        <f t="shared" ca="1" si="1"/>
        <v>58.75</v>
      </c>
      <c r="I18" s="440">
        <f t="shared" ca="1" si="1"/>
        <v>283</v>
      </c>
      <c r="J18" s="274">
        <f t="shared" ca="1" si="36"/>
        <v>16626.25</v>
      </c>
      <c r="K18" s="273"/>
      <c r="L18" s="440">
        <f t="shared" ca="1" si="2"/>
        <v>62.84</v>
      </c>
      <c r="M18" s="440">
        <f t="shared" ca="1" si="2"/>
        <v>283</v>
      </c>
      <c r="N18" s="274">
        <f t="shared" ca="1" si="37"/>
        <v>17783.72</v>
      </c>
      <c r="O18" s="273"/>
      <c r="P18" s="440">
        <f t="shared" ca="1" si="3"/>
        <v>63.95</v>
      </c>
      <c r="Q18" s="440">
        <f t="shared" ca="1" si="3"/>
        <v>282.89999999999998</v>
      </c>
      <c r="R18" s="274">
        <f t="shared" ca="1" si="38"/>
        <v>18091.454999999998</v>
      </c>
      <c r="S18" s="273"/>
      <c r="T18" s="440">
        <f t="shared" ca="1" si="4"/>
        <v>57.91</v>
      </c>
      <c r="U18" s="440">
        <f t="shared" ca="1" si="4"/>
        <v>282.8</v>
      </c>
      <c r="V18" s="274">
        <f t="shared" ca="1" si="39"/>
        <v>16376.948</v>
      </c>
      <c r="W18" s="273"/>
      <c r="X18" s="440">
        <f t="shared" ca="1" si="5"/>
        <v>55.54</v>
      </c>
      <c r="Y18" s="440">
        <f t="shared" ca="1" si="5"/>
        <v>282.17099999999999</v>
      </c>
      <c r="Z18" s="274">
        <f t="shared" ca="1" si="40"/>
        <v>15671.777339999999</v>
      </c>
      <c r="AA18" s="273"/>
      <c r="AB18" s="440">
        <f t="shared" ca="1" si="6"/>
        <v>49.65</v>
      </c>
      <c r="AC18" s="440">
        <f t="shared" ca="1" si="6"/>
        <v>282.5</v>
      </c>
      <c r="AD18" s="274">
        <f t="shared" ca="1" si="41"/>
        <v>14026.125</v>
      </c>
      <c r="AE18" s="273"/>
      <c r="AF18" s="440">
        <f t="shared" ca="1" si="7"/>
        <v>49</v>
      </c>
      <c r="AG18" s="440">
        <f t="shared" ca="1" si="7"/>
        <v>282.10000000000002</v>
      </c>
      <c r="AH18" s="274">
        <f t="shared" ca="1" si="42"/>
        <v>13822.900000000001</v>
      </c>
      <c r="AI18" s="273"/>
      <c r="AJ18" s="440">
        <f t="shared" ca="1" si="8"/>
        <v>47.28</v>
      </c>
      <c r="AK18" s="440">
        <f t="shared" ca="1" si="8"/>
        <v>281.5</v>
      </c>
      <c r="AL18" s="274">
        <f t="shared" ca="1" si="43"/>
        <v>13309.32</v>
      </c>
      <c r="AM18" s="273"/>
      <c r="AN18" s="440">
        <f t="shared" ca="1" si="9"/>
        <v>45.29</v>
      </c>
      <c r="AO18" s="440">
        <f t="shared" ca="1" si="9"/>
        <v>280.8</v>
      </c>
      <c r="AP18" s="274">
        <f t="shared" ca="1" si="44"/>
        <v>12717.432000000001</v>
      </c>
      <c r="AQ18" s="273"/>
      <c r="AR18" s="440">
        <f t="shared" ca="1" si="10"/>
        <v>47.3</v>
      </c>
      <c r="AS18" s="440">
        <f t="shared" ca="1" si="10"/>
        <v>280.8</v>
      </c>
      <c r="AT18" s="274">
        <f t="shared" ca="1" si="45"/>
        <v>13281.84</v>
      </c>
      <c r="AU18" s="273"/>
      <c r="AV18" s="440">
        <f t="shared" ca="1" si="11"/>
        <v>46.32</v>
      </c>
      <c r="AW18" s="440">
        <f t="shared" ca="1" si="11"/>
        <v>279.5</v>
      </c>
      <c r="AX18" s="274">
        <f t="shared" ca="1" si="46"/>
        <v>12946.44</v>
      </c>
      <c r="AY18" s="273"/>
      <c r="AZ18" s="440">
        <f t="shared" ca="1" si="12"/>
        <v>46.25</v>
      </c>
      <c r="BA18" s="440">
        <f t="shared" ca="1" si="12"/>
        <v>278.89999999999998</v>
      </c>
      <c r="BB18" s="274">
        <f t="shared" ca="1" si="47"/>
        <v>12899.124999999998</v>
      </c>
      <c r="BC18" s="273"/>
      <c r="BD18" s="440">
        <f t="shared" ca="1" si="13"/>
        <v>44.74</v>
      </c>
      <c r="BE18" s="440">
        <f t="shared" ca="1" si="13"/>
        <v>277.851</v>
      </c>
      <c r="BF18" s="274">
        <f t="shared" ca="1" si="48"/>
        <v>12431.053740000001</v>
      </c>
      <c r="BG18" s="273"/>
      <c r="BH18" s="440">
        <f t="shared" ca="1" si="14"/>
        <v>41.62</v>
      </c>
      <c r="BI18" s="440">
        <f t="shared" ca="1" si="14"/>
        <v>278.2</v>
      </c>
      <c r="BJ18" s="274">
        <f t="shared" ca="1" si="49"/>
        <v>11578.683999999999</v>
      </c>
      <c r="BK18" s="273"/>
      <c r="BL18" s="440">
        <f t="shared" ca="1" si="15"/>
        <v>42.01</v>
      </c>
      <c r="BM18" s="440">
        <f t="shared" ca="1" si="15"/>
        <v>278.2</v>
      </c>
      <c r="BN18" s="274">
        <f t="shared" ca="1" si="50"/>
        <v>11687.181999999999</v>
      </c>
      <c r="BO18" s="273"/>
      <c r="BP18" s="440">
        <f t="shared" ca="1" si="16"/>
        <v>45.86</v>
      </c>
      <c r="BQ18" s="440">
        <f t="shared" ca="1" si="16"/>
        <v>276.7</v>
      </c>
      <c r="BR18" s="274">
        <f t="shared" ca="1" si="51"/>
        <v>12689.462</v>
      </c>
      <c r="BS18" s="273"/>
      <c r="BT18" s="440">
        <f t="shared" ca="1" si="17"/>
        <v>42.44</v>
      </c>
      <c r="BU18" s="440">
        <f t="shared" ca="1" si="17"/>
        <v>275.60000000000002</v>
      </c>
      <c r="BV18" s="274">
        <f t="shared" ca="1" si="52"/>
        <v>11696.464</v>
      </c>
      <c r="BW18" s="273"/>
      <c r="BX18" s="440">
        <f t="shared" ca="1" si="18"/>
        <v>36.08</v>
      </c>
      <c r="BY18" s="440">
        <f t="shared" ca="1" si="18"/>
        <v>276</v>
      </c>
      <c r="BZ18" s="274">
        <f t="shared" ca="1" si="53"/>
        <v>9958.08</v>
      </c>
      <c r="CA18" s="273"/>
      <c r="CB18" s="440">
        <f t="shared" ca="1" si="19"/>
        <v>35.32</v>
      </c>
      <c r="CC18" s="440">
        <f t="shared" ca="1" si="19"/>
        <v>275.39999999999998</v>
      </c>
      <c r="CD18" s="274">
        <f t="shared" ca="1" si="54"/>
        <v>9727.1279999999988</v>
      </c>
      <c r="CE18" s="273"/>
      <c r="CF18" s="440">
        <f t="shared" ca="1" si="20"/>
        <v>31.84</v>
      </c>
      <c r="CG18" s="440">
        <f t="shared" ca="1" si="20"/>
        <v>274.8</v>
      </c>
      <c r="CH18" s="274">
        <f t="shared" ca="1" si="55"/>
        <v>8749.6319999999996</v>
      </c>
      <c r="CI18" s="273"/>
      <c r="CJ18" s="440">
        <f t="shared" ca="1" si="21"/>
        <v>34.909999999999997</v>
      </c>
      <c r="CK18" s="440">
        <f t="shared" ca="1" si="21"/>
        <v>274.10000000000002</v>
      </c>
      <c r="CL18" s="274">
        <f t="shared" ca="1" si="56"/>
        <v>9568.8310000000001</v>
      </c>
      <c r="CN18" s="440">
        <f t="shared" ca="1" si="22"/>
        <v>34.75</v>
      </c>
      <c r="CO18" s="440">
        <f t="shared" ca="1" si="22"/>
        <v>274</v>
      </c>
      <c r="CP18" s="274">
        <f t="shared" ca="1" si="57"/>
        <v>9521.5</v>
      </c>
      <c r="CR18" s="440">
        <f t="shared" ca="1" si="23"/>
        <v>29.66</v>
      </c>
      <c r="CS18" s="440">
        <f t="shared" ca="1" si="23"/>
        <v>268</v>
      </c>
      <c r="CT18" s="274">
        <f t="shared" ca="1" si="58"/>
        <v>7948.88</v>
      </c>
      <c r="CV18" s="440">
        <f t="shared" ca="1" si="24"/>
        <v>31.15</v>
      </c>
      <c r="CW18" s="440">
        <f t="shared" ca="1" si="24"/>
        <v>266.10000000000002</v>
      </c>
      <c r="CX18" s="274">
        <f t="shared" ca="1" si="59"/>
        <v>8289.0150000000012</v>
      </c>
      <c r="CZ18" s="440">
        <f t="shared" ca="1" si="25"/>
        <v>29.28</v>
      </c>
      <c r="DA18" s="440">
        <f t="shared" ca="1" si="25"/>
        <v>264.51100000000002</v>
      </c>
      <c r="DB18" s="274">
        <f t="shared" ca="1" si="60"/>
        <v>7744.8820800000012</v>
      </c>
      <c r="DD18" s="440">
        <f t="shared" ca="1" si="26"/>
        <v>26.77</v>
      </c>
      <c r="DE18" s="440">
        <f t="shared" ca="1" si="26"/>
        <v>264.8</v>
      </c>
      <c r="DF18" s="274">
        <f t="shared" ca="1" si="61"/>
        <v>7088.6959999999999</v>
      </c>
      <c r="DH18" s="440">
        <f t="shared" ca="1" si="27"/>
        <v>26.32</v>
      </c>
      <c r="DI18" s="440">
        <f t="shared" ca="1" si="27"/>
        <v>264.5</v>
      </c>
      <c r="DJ18" s="274">
        <f t="shared" ca="1" si="62"/>
        <v>6961.64</v>
      </c>
      <c r="DL18" s="440">
        <f t="shared" ca="1" si="28"/>
        <v>27.17</v>
      </c>
      <c r="DM18" s="440">
        <f t="shared" ca="1" si="28"/>
        <v>263.60000000000002</v>
      </c>
      <c r="DN18" s="274">
        <f t="shared" ca="1" si="63"/>
        <v>7162.0120000000006</v>
      </c>
      <c r="DP18" s="440">
        <f t="shared" ca="1" si="29"/>
        <v>27.94</v>
      </c>
      <c r="DQ18" s="440">
        <f t="shared" ca="1" si="29"/>
        <v>260.678</v>
      </c>
      <c r="DR18" s="274">
        <f t="shared" ca="1" si="64"/>
        <v>7283.3433199999999</v>
      </c>
      <c r="DT18" s="440">
        <f t="shared" ca="1" si="30"/>
        <v>24.38</v>
      </c>
      <c r="DU18" s="440">
        <f t="shared" ca="1" si="30"/>
        <v>262.89999999999998</v>
      </c>
      <c r="DV18" s="274">
        <f t="shared" ca="1" si="65"/>
        <v>6409.5019999999995</v>
      </c>
      <c r="DX18" s="440">
        <f t="shared" ca="1" si="31"/>
        <v>23.55</v>
      </c>
      <c r="DY18" s="440">
        <f t="shared" ca="1" si="31"/>
        <v>261.2</v>
      </c>
      <c r="DZ18" s="274">
        <f t="shared" ca="1" si="66"/>
        <v>6151.26</v>
      </c>
      <c r="EB18" s="440">
        <f t="shared" ca="1" si="32"/>
        <v>23.5</v>
      </c>
      <c r="EC18" s="440">
        <f t="shared" ca="1" si="32"/>
        <v>255.6</v>
      </c>
      <c r="ED18" s="274">
        <f t="shared" ca="1" si="67"/>
        <v>6006.5999999999995</v>
      </c>
      <c r="EF18" s="251">
        <f t="shared" ca="1" si="33"/>
        <v>22</v>
      </c>
      <c r="EG18" s="251">
        <f t="shared" ca="1" si="33"/>
        <v>250.82400000000001</v>
      </c>
      <c r="EH18" s="274">
        <f t="shared" ca="1" si="68"/>
        <v>5518.1280000000006</v>
      </c>
      <c r="EJ18" s="251">
        <f t="shared" ca="1" si="34"/>
        <v>22.11</v>
      </c>
      <c r="EK18" s="251">
        <f t="shared" ca="1" si="34"/>
        <v>251.3</v>
      </c>
      <c r="EL18" s="274">
        <f t="shared" ca="1" si="69"/>
        <v>5556.2430000000004</v>
      </c>
      <c r="EO18" s="252">
        <f t="shared" ca="1" si="35"/>
        <v>71</v>
      </c>
    </row>
    <row r="19" spans="2:145" s="234" customFormat="1">
      <c r="B19" s="258">
        <f t="shared" ca="1" si="70"/>
        <v>10</v>
      </c>
      <c r="C19" s="249" t="str">
        <f t="shared" ca="1" si="0"/>
        <v>Consolidated Edison, Inc.</v>
      </c>
      <c r="D19" s="236" t="str">
        <f t="shared" ca="1" si="0"/>
        <v>ED</v>
      </c>
      <c r="E19" s="236">
        <f t="shared" ca="1" si="0"/>
        <v>4057041</v>
      </c>
      <c r="F19" s="250"/>
      <c r="G19" s="273"/>
      <c r="H19" s="440">
        <f t="shared" ca="1" si="1"/>
        <v>78</v>
      </c>
      <c r="I19" s="440">
        <f t="shared" ca="1" si="1"/>
        <v>328.5</v>
      </c>
      <c r="J19" s="274">
        <f t="shared" ca="1" si="36"/>
        <v>25623</v>
      </c>
      <c r="K19" s="273"/>
      <c r="L19" s="440">
        <f t="shared" ca="1" si="2"/>
        <v>90.47</v>
      </c>
      <c r="M19" s="440">
        <f t="shared" ca="1" si="2"/>
        <v>332.2</v>
      </c>
      <c r="N19" s="274">
        <f t="shared" ca="1" si="37"/>
        <v>30054.133999999998</v>
      </c>
      <c r="O19" s="273"/>
      <c r="P19" s="440">
        <f t="shared" ca="1" si="3"/>
        <v>94.47</v>
      </c>
      <c r="Q19" s="440">
        <f t="shared" ca="1" si="3"/>
        <v>328.3</v>
      </c>
      <c r="R19" s="274">
        <f t="shared" ca="1" si="38"/>
        <v>31014.501</v>
      </c>
      <c r="S19" s="273"/>
      <c r="T19" s="440">
        <f t="shared" ca="1" si="4"/>
        <v>87.68</v>
      </c>
      <c r="U19" s="440">
        <f t="shared" ca="1" si="4"/>
        <v>322.5</v>
      </c>
      <c r="V19" s="274">
        <f t="shared" ca="1" si="39"/>
        <v>28276.800000000003</v>
      </c>
      <c r="W19" s="273"/>
      <c r="X19" s="440">
        <f t="shared" ca="1" si="5"/>
        <v>84.81</v>
      </c>
      <c r="Y19" s="440">
        <f t="shared" ca="1" si="5"/>
        <v>311.7</v>
      </c>
      <c r="Z19" s="274">
        <f t="shared" ca="1" si="40"/>
        <v>26435.276999999998</v>
      </c>
      <c r="AA19" s="273"/>
      <c r="AB19" s="440">
        <f t="shared" ca="1" si="6"/>
        <v>76.459999999999994</v>
      </c>
      <c r="AC19" s="440">
        <f t="shared" ca="1" si="6"/>
        <v>311.10000000000002</v>
      </c>
      <c r="AD19" s="274">
        <f t="shared" ca="1" si="41"/>
        <v>23786.705999999998</v>
      </c>
      <c r="AE19" s="273"/>
      <c r="AF19" s="440">
        <f t="shared" ca="1" si="7"/>
        <v>76.19</v>
      </c>
      <c r="AG19" s="440">
        <f t="shared" ca="1" si="7"/>
        <v>310.8</v>
      </c>
      <c r="AH19" s="274">
        <f t="shared" ca="1" si="42"/>
        <v>23679.851999999999</v>
      </c>
      <c r="AI19" s="273"/>
      <c r="AJ19" s="440">
        <f t="shared" ca="1" si="8"/>
        <v>77.98</v>
      </c>
      <c r="AK19" s="440">
        <f t="shared" ca="1" si="8"/>
        <v>310.39999999999998</v>
      </c>
      <c r="AL19" s="274">
        <f t="shared" ca="1" si="43"/>
        <v>24204.991999999998</v>
      </c>
      <c r="AM19" s="273"/>
      <c r="AN19" s="440">
        <f t="shared" ca="1" si="9"/>
        <v>77.94</v>
      </c>
      <c r="AO19" s="440">
        <f t="shared" ca="1" si="9"/>
        <v>310.10000000000002</v>
      </c>
      <c r="AP19" s="274">
        <f t="shared" ca="1" si="44"/>
        <v>24169.194</v>
      </c>
      <c r="AQ19" s="273"/>
      <c r="AR19" s="440">
        <f t="shared" ca="1" si="10"/>
        <v>84.95</v>
      </c>
      <c r="AS19" s="440">
        <f t="shared" ca="1" si="10"/>
        <v>307.8</v>
      </c>
      <c r="AT19" s="274">
        <f t="shared" ca="1" si="45"/>
        <v>26147.61</v>
      </c>
      <c r="AU19" s="273"/>
      <c r="AV19" s="440">
        <f t="shared" ca="1" si="11"/>
        <v>80.680000000000007</v>
      </c>
      <c r="AW19" s="440">
        <f t="shared" ca="1" si="11"/>
        <v>305.39999999999998</v>
      </c>
      <c r="AX19" s="274">
        <f t="shared" ca="1" si="46"/>
        <v>24639.671999999999</v>
      </c>
      <c r="AY19" s="273"/>
      <c r="AZ19" s="440">
        <f t="shared" ca="1" si="12"/>
        <v>80.819999999999993</v>
      </c>
      <c r="BA19" s="440">
        <f t="shared" ca="1" si="12"/>
        <v>305.10000000000002</v>
      </c>
      <c r="BB19" s="274">
        <f t="shared" ca="1" si="47"/>
        <v>24658.182000000001</v>
      </c>
      <c r="BC19" s="273"/>
      <c r="BD19" s="440">
        <f t="shared" ca="1" si="13"/>
        <v>77.66</v>
      </c>
      <c r="BE19" s="440">
        <f t="shared" ca="1" si="13"/>
        <v>300.39999999999998</v>
      </c>
      <c r="BF19" s="274">
        <f t="shared" ca="1" si="48"/>
        <v>23329.063999999998</v>
      </c>
      <c r="BG19" s="273"/>
      <c r="BH19" s="440">
        <f t="shared" ca="1" si="14"/>
        <v>73.680000000000007</v>
      </c>
      <c r="BI19" s="440">
        <f t="shared" ca="1" si="14"/>
        <v>304.5</v>
      </c>
      <c r="BJ19" s="274">
        <f t="shared" ca="1" si="49"/>
        <v>22435.56</v>
      </c>
      <c r="BK19" s="273"/>
      <c r="BL19" s="440">
        <f t="shared" ca="1" si="15"/>
        <v>75.3</v>
      </c>
      <c r="BM19" s="440">
        <f t="shared" ca="1" si="15"/>
        <v>299.10000000000002</v>
      </c>
      <c r="BN19" s="274">
        <f t="shared" ca="1" si="50"/>
        <v>22522.23</v>
      </c>
      <c r="BO19" s="273"/>
      <c r="BP19" s="440">
        <f t="shared" ca="1" si="16"/>
        <v>80.44</v>
      </c>
      <c r="BQ19" s="440">
        <f t="shared" ca="1" si="16"/>
        <v>293.7</v>
      </c>
      <c r="BR19" s="274">
        <f t="shared" ca="1" si="51"/>
        <v>23625.227999999999</v>
      </c>
      <c r="BS19" s="273"/>
      <c r="BT19" s="440">
        <f t="shared" ca="1" si="17"/>
        <v>76.62</v>
      </c>
      <c r="BU19" s="440">
        <f t="shared" ca="1" si="17"/>
        <v>293</v>
      </c>
      <c r="BV19" s="274">
        <f t="shared" ca="1" si="52"/>
        <v>22449.66</v>
      </c>
      <c r="BW19" s="273"/>
      <c r="BX19" s="440">
        <f t="shared" ca="1" si="18"/>
        <v>64.27</v>
      </c>
      <c r="BY19" s="440">
        <f t="shared" ca="1" si="18"/>
        <v>292.89999999999998</v>
      </c>
      <c r="BZ19" s="274">
        <f t="shared" ca="1" si="53"/>
        <v>18824.682999999997</v>
      </c>
      <c r="CA19" s="273"/>
      <c r="CB19" s="440">
        <f t="shared" ca="1" si="19"/>
        <v>66.849999999999994</v>
      </c>
      <c r="CC19" s="440">
        <f t="shared" ca="1" si="19"/>
        <v>292.89999999999998</v>
      </c>
      <c r="CD19" s="274">
        <f t="shared" ca="1" si="54"/>
        <v>19580.364999999998</v>
      </c>
      <c r="CE19" s="273"/>
      <c r="CF19" s="440">
        <f t="shared" ca="1" si="20"/>
        <v>57.88</v>
      </c>
      <c r="CG19" s="440">
        <f t="shared" ca="1" si="20"/>
        <v>292.89999999999998</v>
      </c>
      <c r="CH19" s="274">
        <f t="shared" ca="1" si="55"/>
        <v>16953.052</v>
      </c>
      <c r="CI19" s="273"/>
      <c r="CJ19" s="440">
        <f t="shared" ca="1" si="21"/>
        <v>61</v>
      </c>
      <c r="CK19" s="440">
        <f t="shared" ca="1" si="21"/>
        <v>292.89999999999998</v>
      </c>
      <c r="CL19" s="274">
        <f t="shared" ca="1" si="56"/>
        <v>17866.899999999998</v>
      </c>
      <c r="CN19" s="440">
        <f t="shared" ca="1" si="22"/>
        <v>66.010000000000005</v>
      </c>
      <c r="CO19" s="440">
        <f t="shared" ca="1" si="22"/>
        <v>292.89999999999998</v>
      </c>
      <c r="CP19" s="274">
        <f t="shared" ca="1" si="57"/>
        <v>19334.329000000002</v>
      </c>
      <c r="CR19" s="440">
        <f t="shared" ca="1" si="23"/>
        <v>56.66</v>
      </c>
      <c r="CS19" s="440">
        <f t="shared" ca="1" si="23"/>
        <v>292.89999999999998</v>
      </c>
      <c r="CT19" s="274">
        <f t="shared" ca="1" si="58"/>
        <v>16595.713999999996</v>
      </c>
      <c r="CV19" s="440">
        <f t="shared" ca="1" si="24"/>
        <v>57.74</v>
      </c>
      <c r="CW19" s="440">
        <f t="shared" ca="1" si="24"/>
        <v>292.89999999999998</v>
      </c>
      <c r="CX19" s="274">
        <f t="shared" ca="1" si="59"/>
        <v>16912.045999999998</v>
      </c>
      <c r="CZ19" s="440">
        <f t="shared" ca="1" si="25"/>
        <v>53.65</v>
      </c>
      <c r="DA19" s="440">
        <f t="shared" ca="1" si="25"/>
        <v>292.89999999999998</v>
      </c>
      <c r="DB19" s="274">
        <f t="shared" ca="1" si="60"/>
        <v>15714.084999999999</v>
      </c>
      <c r="DD19" s="440">
        <f t="shared" ca="1" si="26"/>
        <v>55.28</v>
      </c>
      <c r="DE19" s="440">
        <f t="shared" ca="1" si="26"/>
        <v>292.89999999999998</v>
      </c>
      <c r="DF19" s="274">
        <f t="shared" ca="1" si="61"/>
        <v>16191.511999999999</v>
      </c>
      <c r="DH19" s="440">
        <f t="shared" ca="1" si="27"/>
        <v>55.14</v>
      </c>
      <c r="DI19" s="440">
        <f t="shared" ca="1" si="27"/>
        <v>292.89999999999998</v>
      </c>
      <c r="DJ19" s="274">
        <f t="shared" ca="1" si="62"/>
        <v>16150.505999999999</v>
      </c>
      <c r="DL19" s="440">
        <f t="shared" ca="1" si="28"/>
        <v>58.31</v>
      </c>
      <c r="DM19" s="440">
        <f t="shared" ca="1" si="28"/>
        <v>292.89999999999998</v>
      </c>
      <c r="DN19" s="274">
        <f t="shared" ca="1" si="63"/>
        <v>17078.999</v>
      </c>
      <c r="DP19" s="440">
        <f t="shared" ca="1" si="29"/>
        <v>61.03</v>
      </c>
      <c r="DQ19" s="440">
        <f t="shared" ca="1" si="29"/>
        <v>292.89999999999998</v>
      </c>
      <c r="DR19" s="274">
        <f t="shared" ca="1" si="64"/>
        <v>17875.686999999998</v>
      </c>
      <c r="DT19" s="440">
        <f t="shared" ca="1" si="30"/>
        <v>55.54</v>
      </c>
      <c r="DU19" s="440">
        <f t="shared" ca="1" si="30"/>
        <v>292.89999999999998</v>
      </c>
      <c r="DV19" s="274">
        <f t="shared" ca="1" si="65"/>
        <v>16267.665999999999</v>
      </c>
      <c r="DX19" s="440">
        <f t="shared" ca="1" si="31"/>
        <v>59.89</v>
      </c>
      <c r="DY19" s="440">
        <f t="shared" ca="1" si="31"/>
        <v>292.89999999999998</v>
      </c>
      <c r="DZ19" s="274">
        <f t="shared" ca="1" si="66"/>
        <v>17541.780999999999</v>
      </c>
      <c r="EB19" s="440">
        <f t="shared" ca="1" si="32"/>
        <v>62.18</v>
      </c>
      <c r="EC19" s="440">
        <f t="shared" ca="1" si="32"/>
        <v>292.89999999999998</v>
      </c>
      <c r="ED19" s="274">
        <f t="shared" ca="1" si="67"/>
        <v>18212.521999999997</v>
      </c>
      <c r="EF19" s="251">
        <f t="shared" ca="1" si="33"/>
        <v>58.42</v>
      </c>
      <c r="EG19" s="251">
        <f t="shared" ca="1" si="33"/>
        <v>292.60000000000002</v>
      </c>
      <c r="EH19" s="274">
        <f t="shared" ca="1" si="68"/>
        <v>17093.692000000003</v>
      </c>
      <c r="EJ19" s="251">
        <f t="shared" ca="1" si="34"/>
        <v>62.03</v>
      </c>
      <c r="EK19" s="251">
        <f t="shared" ca="1" si="34"/>
        <v>292.89999999999998</v>
      </c>
      <c r="EL19" s="274">
        <f t="shared" ca="1" si="69"/>
        <v>18168.587</v>
      </c>
      <c r="EO19" s="252">
        <f t="shared" ca="1" si="35"/>
        <v>76</v>
      </c>
    </row>
    <row r="20" spans="2:145" s="234" customFormat="1">
      <c r="B20" s="258">
        <f t="shared" ca="1" si="70"/>
        <v>11</v>
      </c>
      <c r="C20" s="249" t="str">
        <f t="shared" ca="1" si="0"/>
        <v>Dominion Energy, Inc.</v>
      </c>
      <c r="D20" s="236" t="str">
        <f t="shared" ca="1" si="0"/>
        <v>D</v>
      </c>
      <c r="E20" s="236">
        <f t="shared" ca="1" si="0"/>
        <v>4001616</v>
      </c>
      <c r="F20" s="250"/>
      <c r="G20" s="273"/>
      <c r="H20" s="440">
        <f t="shared" ca="1" si="1"/>
        <v>72.19</v>
      </c>
      <c r="I20" s="440">
        <f t="shared" ca="1" si="1"/>
        <v>808.8</v>
      </c>
      <c r="J20" s="274">
        <f t="shared" ca="1" si="36"/>
        <v>58387.271999999997</v>
      </c>
      <c r="K20" s="273"/>
      <c r="L20" s="440">
        <f t="shared" ca="1" si="2"/>
        <v>82.82</v>
      </c>
      <c r="M20" s="440">
        <f t="shared" ca="1" si="2"/>
        <v>813</v>
      </c>
      <c r="N20" s="274">
        <f t="shared" ca="1" si="37"/>
        <v>67332.659999999989</v>
      </c>
      <c r="O20" s="273"/>
      <c r="P20" s="440">
        <f t="shared" ca="1" si="3"/>
        <v>81.040000000000006</v>
      </c>
      <c r="Q20" s="440">
        <f t="shared" ca="1" si="3"/>
        <v>802.5</v>
      </c>
      <c r="R20" s="274">
        <f t="shared" ca="1" si="38"/>
        <v>65034.600000000006</v>
      </c>
      <c r="S20" s="273"/>
      <c r="T20" s="440">
        <f t="shared" ca="1" si="4"/>
        <v>77.319999999999993</v>
      </c>
      <c r="U20" s="440">
        <f t="shared" ca="1" si="4"/>
        <v>793.1</v>
      </c>
      <c r="V20" s="274">
        <f t="shared" ca="1" si="39"/>
        <v>61322.491999999998</v>
      </c>
      <c r="W20" s="273"/>
      <c r="X20" s="440">
        <f t="shared" ca="1" si="5"/>
        <v>76.66</v>
      </c>
      <c r="Y20" s="440">
        <f t="shared" ca="1" si="5"/>
        <v>654.20000000000005</v>
      </c>
      <c r="Z20" s="274">
        <f t="shared" ca="1" si="40"/>
        <v>50150.972000000002</v>
      </c>
      <c r="AA20" s="273"/>
      <c r="AB20" s="440">
        <f t="shared" ca="1" si="6"/>
        <v>71.459999999999994</v>
      </c>
      <c r="AC20" s="440">
        <f t="shared" ca="1" si="6"/>
        <v>653.9</v>
      </c>
      <c r="AD20" s="274">
        <f t="shared" ca="1" si="41"/>
        <v>46727.693999999996</v>
      </c>
      <c r="AE20" s="273"/>
      <c r="AF20" s="440">
        <f t="shared" ca="1" si="7"/>
        <v>70.28</v>
      </c>
      <c r="AG20" s="440">
        <f t="shared" ca="1" si="7"/>
        <v>652.79999999999995</v>
      </c>
      <c r="AH20" s="274">
        <f t="shared" ca="1" si="42"/>
        <v>45878.784</v>
      </c>
      <c r="AI20" s="273"/>
      <c r="AJ20" s="440">
        <f t="shared" ca="1" si="8"/>
        <v>68.180000000000007</v>
      </c>
      <c r="AK20" s="440">
        <f t="shared" ca="1" si="8"/>
        <v>650.5</v>
      </c>
      <c r="AL20" s="274">
        <f t="shared" ca="1" si="43"/>
        <v>44351.090000000004</v>
      </c>
      <c r="AM20" s="273"/>
      <c r="AN20" s="440">
        <f t="shared" ca="1" si="9"/>
        <v>67.430000000000007</v>
      </c>
      <c r="AO20" s="440">
        <f t="shared" ca="1" si="9"/>
        <v>643.9</v>
      </c>
      <c r="AP20" s="274">
        <f t="shared" ca="1" si="44"/>
        <v>43418.177000000003</v>
      </c>
      <c r="AQ20" s="273"/>
      <c r="AR20" s="440">
        <f t="shared" ca="1" si="10"/>
        <v>81.06</v>
      </c>
      <c r="AS20" s="440">
        <f t="shared" ca="1" si="10"/>
        <v>642.5</v>
      </c>
      <c r="AT20" s="274">
        <f t="shared" ca="1" si="45"/>
        <v>52081.05</v>
      </c>
      <c r="AU20" s="273"/>
      <c r="AV20" s="440">
        <f t="shared" ca="1" si="11"/>
        <v>76.930000000000007</v>
      </c>
      <c r="AW20" s="440">
        <f t="shared" ca="1" si="11"/>
        <v>629.20000000000005</v>
      </c>
      <c r="AX20" s="274">
        <f t="shared" ca="1" si="46"/>
        <v>48404.356000000007</v>
      </c>
      <c r="AY20" s="273"/>
      <c r="AZ20" s="440">
        <f t="shared" ca="1" si="12"/>
        <v>76.63</v>
      </c>
      <c r="BA20" s="440">
        <f t="shared" ca="1" si="12"/>
        <v>628.1</v>
      </c>
      <c r="BB20" s="274">
        <f t="shared" ca="1" si="47"/>
        <v>48131.303</v>
      </c>
      <c r="BC20" s="273"/>
      <c r="BD20" s="440">
        <f t="shared" ca="1" si="13"/>
        <v>77.569999999999993</v>
      </c>
      <c r="BE20" s="440">
        <f t="shared" ca="1" si="13"/>
        <v>616.4</v>
      </c>
      <c r="BF20" s="274">
        <f t="shared" ca="1" si="48"/>
        <v>47814.147999999994</v>
      </c>
      <c r="BG20" s="273"/>
      <c r="BH20" s="440">
        <f t="shared" ca="1" si="14"/>
        <v>76.59</v>
      </c>
      <c r="BI20" s="440">
        <f t="shared" ca="1" si="14"/>
        <v>625.9</v>
      </c>
      <c r="BJ20" s="274">
        <f t="shared" ca="1" si="49"/>
        <v>47937.680999999997</v>
      </c>
      <c r="BK20" s="273"/>
      <c r="BL20" s="440">
        <f t="shared" ca="1" si="15"/>
        <v>74.27</v>
      </c>
      <c r="BM20" s="440">
        <f t="shared" ca="1" si="15"/>
        <v>615.6</v>
      </c>
      <c r="BN20" s="274">
        <f t="shared" ca="1" si="50"/>
        <v>45720.612000000001</v>
      </c>
      <c r="BO20" s="273"/>
      <c r="BP20" s="440">
        <f t="shared" ca="1" si="16"/>
        <v>77.930000000000007</v>
      </c>
      <c r="BQ20" s="440">
        <f t="shared" ca="1" si="16"/>
        <v>596.6</v>
      </c>
      <c r="BR20" s="274">
        <f t="shared" ca="1" si="51"/>
        <v>46493.038000000008</v>
      </c>
      <c r="BS20" s="273"/>
      <c r="BT20" s="440">
        <f t="shared" ca="1" si="17"/>
        <v>75.12</v>
      </c>
      <c r="BU20" s="440">
        <f t="shared" ca="1" si="17"/>
        <v>592.4</v>
      </c>
      <c r="BV20" s="274">
        <f t="shared" ca="1" si="52"/>
        <v>44501.088000000003</v>
      </c>
      <c r="BW20" s="273"/>
      <c r="BX20" s="440">
        <f t="shared" ca="1" si="18"/>
        <v>67.64</v>
      </c>
      <c r="BY20" s="440">
        <f t="shared" ca="1" si="18"/>
        <v>594.6</v>
      </c>
      <c r="BZ20" s="274">
        <f t="shared" ca="1" si="53"/>
        <v>40218.743999999999</v>
      </c>
      <c r="CA20" s="273"/>
      <c r="CB20" s="440">
        <f t="shared" ca="1" si="19"/>
        <v>70.38</v>
      </c>
      <c r="CC20" s="440">
        <f t="shared" ca="1" si="19"/>
        <v>591.5</v>
      </c>
      <c r="CD20" s="274">
        <f t="shared" ca="1" si="54"/>
        <v>41629.769999999997</v>
      </c>
      <c r="CE20" s="273"/>
      <c r="CF20" s="440">
        <f t="shared" ca="1" si="20"/>
        <v>66.87</v>
      </c>
      <c r="CG20" s="440">
        <f t="shared" ca="1" si="20"/>
        <v>587.9</v>
      </c>
      <c r="CH20" s="274">
        <f t="shared" ca="1" si="55"/>
        <v>39312.873</v>
      </c>
      <c r="CI20" s="273"/>
      <c r="CJ20" s="440">
        <f t="shared" ca="1" si="21"/>
        <v>70.87</v>
      </c>
      <c r="CK20" s="440">
        <f t="shared" ca="1" si="21"/>
        <v>584.20000000000005</v>
      </c>
      <c r="CL20" s="274">
        <f t="shared" ca="1" si="56"/>
        <v>41402.254000000008</v>
      </c>
      <c r="CN20" s="440">
        <f t="shared" ca="1" si="22"/>
        <v>76.900000000000006</v>
      </c>
      <c r="CO20" s="440">
        <f t="shared" ca="1" si="22"/>
        <v>583.1</v>
      </c>
      <c r="CP20" s="274">
        <f t="shared" ca="1" si="57"/>
        <v>44840.390000000007</v>
      </c>
      <c r="CR20" s="440">
        <f t="shared" ca="1" si="23"/>
        <v>69.09</v>
      </c>
      <c r="CS20" s="440">
        <f t="shared" ca="1" si="23"/>
        <v>581.9</v>
      </c>
      <c r="CT20" s="274">
        <f t="shared" ca="1" si="58"/>
        <v>40203.470999999998</v>
      </c>
      <c r="CV20" s="440">
        <f t="shared" ca="1" si="24"/>
        <v>71.52</v>
      </c>
      <c r="CW20" s="440">
        <f t="shared" ca="1" si="24"/>
        <v>581.6</v>
      </c>
      <c r="CX20" s="274">
        <f t="shared" ca="1" si="59"/>
        <v>41596.031999999999</v>
      </c>
      <c r="CZ20" s="440">
        <f t="shared" ca="1" si="25"/>
        <v>70.989999999999995</v>
      </c>
      <c r="DA20" s="440">
        <f t="shared" ca="1" si="25"/>
        <v>578.70000000000005</v>
      </c>
      <c r="DB20" s="274">
        <f t="shared" ca="1" si="60"/>
        <v>41081.913</v>
      </c>
      <c r="DD20" s="440">
        <f t="shared" ca="1" si="26"/>
        <v>64.69</v>
      </c>
      <c r="DE20" s="440">
        <f t="shared" ca="1" si="26"/>
        <v>579.4</v>
      </c>
      <c r="DF20" s="274">
        <f t="shared" ca="1" si="61"/>
        <v>37481.385999999999</v>
      </c>
      <c r="DH20" s="440">
        <f t="shared" ca="1" si="27"/>
        <v>62.48</v>
      </c>
      <c r="DI20" s="440">
        <f t="shared" ca="1" si="27"/>
        <v>578.1</v>
      </c>
      <c r="DJ20" s="274">
        <f t="shared" ca="1" si="62"/>
        <v>36119.688000000002</v>
      </c>
      <c r="DL20" s="440">
        <f t="shared" ca="1" si="28"/>
        <v>56.82</v>
      </c>
      <c r="DM20" s="440">
        <f t="shared" ca="1" si="28"/>
        <v>576.6</v>
      </c>
      <c r="DN20" s="274">
        <f t="shared" ca="1" si="63"/>
        <v>32762.412</v>
      </c>
      <c r="DP20" s="440">
        <f t="shared" ca="1" si="29"/>
        <v>58.18</v>
      </c>
      <c r="DQ20" s="440">
        <f t="shared" ca="1" si="29"/>
        <v>572.9</v>
      </c>
      <c r="DR20" s="274">
        <f t="shared" ca="1" si="64"/>
        <v>33331.322</v>
      </c>
      <c r="DT20" s="440">
        <f t="shared" ca="1" si="30"/>
        <v>51.8</v>
      </c>
      <c r="DU20" s="440">
        <f t="shared" ca="1" si="30"/>
        <v>573.79999999999995</v>
      </c>
      <c r="DV20" s="274">
        <f t="shared" ca="1" si="65"/>
        <v>29722.839999999997</v>
      </c>
      <c r="DX20" s="440">
        <f t="shared" ca="1" si="31"/>
        <v>52.94</v>
      </c>
      <c r="DY20" s="440">
        <f t="shared" ca="1" si="31"/>
        <v>572</v>
      </c>
      <c r="DZ20" s="274">
        <f t="shared" ca="1" si="66"/>
        <v>30281.68</v>
      </c>
      <c r="EB20" s="440">
        <f t="shared" ca="1" si="32"/>
        <v>54</v>
      </c>
      <c r="EC20" s="440">
        <f t="shared" ca="1" si="32"/>
        <v>570.5</v>
      </c>
      <c r="ED20" s="274">
        <f t="shared" ca="1" si="67"/>
        <v>30807</v>
      </c>
      <c r="EF20" s="251">
        <f t="shared" ca="1" si="33"/>
        <v>51.21</v>
      </c>
      <c r="EG20" s="251">
        <f t="shared" ca="1" si="33"/>
        <v>573.1</v>
      </c>
      <c r="EH20" s="274">
        <f t="shared" ca="1" si="68"/>
        <v>29348.451000000001</v>
      </c>
      <c r="EJ20" s="251">
        <f t="shared" ca="1" si="34"/>
        <v>53.07</v>
      </c>
      <c r="EK20" s="251">
        <f t="shared" ca="1" si="34"/>
        <v>569.4</v>
      </c>
      <c r="EL20" s="274">
        <f t="shared" ca="1" si="69"/>
        <v>30218.057999999997</v>
      </c>
      <c r="EO20" s="252">
        <f t="shared" ca="1" si="35"/>
        <v>25</v>
      </c>
    </row>
    <row r="21" spans="2:145" s="234" customFormat="1">
      <c r="B21" s="258">
        <f t="shared" ca="1" si="70"/>
        <v>12</v>
      </c>
      <c r="C21" s="249" t="str">
        <f t="shared" ca="1" si="0"/>
        <v>DTE Energy Company</v>
      </c>
      <c r="D21" s="236" t="str">
        <f t="shared" ca="1" si="0"/>
        <v>DTE</v>
      </c>
      <c r="E21" s="236">
        <f t="shared" ca="1" si="0"/>
        <v>4057044</v>
      </c>
      <c r="F21" s="250"/>
      <c r="G21" s="273"/>
      <c r="H21" s="440">
        <f t="shared" ca="1" si="1"/>
        <v>94.97</v>
      </c>
      <c r="I21" s="440">
        <f t="shared" ca="1" si="1"/>
        <v>185</v>
      </c>
      <c r="J21" s="274">
        <f t="shared" ca="1" si="36"/>
        <v>17569.45</v>
      </c>
      <c r="K21" s="273"/>
      <c r="L21" s="440">
        <f t="shared" ca="1" si="2"/>
        <v>129.87</v>
      </c>
      <c r="M21" s="440">
        <f t="shared" ca="1" si="2"/>
        <v>183</v>
      </c>
      <c r="N21" s="274">
        <f t="shared" ca="1" si="37"/>
        <v>23766.21</v>
      </c>
      <c r="O21" s="273"/>
      <c r="P21" s="440">
        <f t="shared" ca="1" si="3"/>
        <v>132.96</v>
      </c>
      <c r="Q21" s="440">
        <f t="shared" ca="1" si="3"/>
        <v>183</v>
      </c>
      <c r="R21" s="274">
        <f t="shared" ca="1" si="38"/>
        <v>24331.68</v>
      </c>
      <c r="S21" s="273"/>
      <c r="T21" s="440">
        <f t="shared" ca="1" si="4"/>
        <v>127.88</v>
      </c>
      <c r="U21" s="440">
        <f t="shared" ca="1" si="4"/>
        <v>182</v>
      </c>
      <c r="V21" s="274">
        <f t="shared" ca="1" si="39"/>
        <v>23274.16</v>
      </c>
      <c r="W21" s="273"/>
      <c r="X21" s="440">
        <f t="shared" ca="1" si="5"/>
        <v>124.74</v>
      </c>
      <c r="Y21" s="440">
        <f t="shared" ca="1" si="5"/>
        <v>181</v>
      </c>
      <c r="Z21" s="274">
        <f t="shared" ca="1" si="40"/>
        <v>22577.94</v>
      </c>
      <c r="AA21" s="273"/>
      <c r="AB21" s="440">
        <f t="shared" ca="1" si="6"/>
        <v>110.3</v>
      </c>
      <c r="AC21" s="440">
        <f t="shared" ca="1" si="6"/>
        <v>182</v>
      </c>
      <c r="AD21" s="274">
        <f t="shared" ca="1" si="41"/>
        <v>20074.599999999999</v>
      </c>
      <c r="AE21" s="273"/>
      <c r="AF21" s="440">
        <f t="shared" ca="1" si="7"/>
        <v>109.13</v>
      </c>
      <c r="AG21" s="440">
        <f t="shared" ca="1" si="7"/>
        <v>181</v>
      </c>
      <c r="AH21" s="274">
        <f t="shared" ca="1" si="42"/>
        <v>19752.53</v>
      </c>
      <c r="AI21" s="273"/>
      <c r="AJ21" s="440">
        <f t="shared" ca="1" si="8"/>
        <v>103.63</v>
      </c>
      <c r="AK21" s="440">
        <f t="shared" ca="1" si="8"/>
        <v>180</v>
      </c>
      <c r="AL21" s="274">
        <f t="shared" ca="1" si="43"/>
        <v>18653.399999999998</v>
      </c>
      <c r="AM21" s="273"/>
      <c r="AN21" s="440">
        <f t="shared" ca="1" si="9"/>
        <v>104.4</v>
      </c>
      <c r="AO21" s="440">
        <f t="shared" ca="1" si="9"/>
        <v>179</v>
      </c>
      <c r="AP21" s="274">
        <f t="shared" ca="1" si="44"/>
        <v>18687.600000000002</v>
      </c>
      <c r="AQ21" s="273"/>
      <c r="AR21" s="440">
        <f t="shared" ca="1" si="10"/>
        <v>109.46</v>
      </c>
      <c r="AS21" s="440">
        <f t="shared" ca="1" si="10"/>
        <v>179</v>
      </c>
      <c r="AT21" s="274">
        <f t="shared" ca="1" si="45"/>
        <v>19593.34</v>
      </c>
      <c r="AU21" s="273"/>
      <c r="AV21" s="440">
        <f t="shared" ca="1" si="11"/>
        <v>107.36</v>
      </c>
      <c r="AW21" s="440">
        <f t="shared" ca="1" si="11"/>
        <v>179</v>
      </c>
      <c r="AX21" s="274">
        <f t="shared" ca="1" si="46"/>
        <v>19217.439999999999</v>
      </c>
      <c r="AY21" s="273"/>
      <c r="AZ21" s="440">
        <f t="shared" ca="1" si="12"/>
        <v>105.79</v>
      </c>
      <c r="BA21" s="440">
        <f t="shared" ca="1" si="12"/>
        <v>179</v>
      </c>
      <c r="BB21" s="274">
        <f t="shared" ca="1" si="47"/>
        <v>18936.41</v>
      </c>
      <c r="BC21" s="273"/>
      <c r="BD21" s="440">
        <f t="shared" ca="1" si="13"/>
        <v>102.11</v>
      </c>
      <c r="BE21" s="440">
        <f t="shared" ca="1" si="13"/>
        <v>179</v>
      </c>
      <c r="BF21" s="274">
        <f t="shared" ca="1" si="48"/>
        <v>18277.689999999999</v>
      </c>
      <c r="BG21" s="273"/>
      <c r="BH21" s="440">
        <f t="shared" ca="1" si="14"/>
        <v>98.51</v>
      </c>
      <c r="BI21" s="440">
        <f t="shared" ca="1" si="14"/>
        <v>179</v>
      </c>
      <c r="BJ21" s="274">
        <f t="shared" ca="1" si="49"/>
        <v>17633.29</v>
      </c>
      <c r="BK21" s="273"/>
      <c r="BL21" s="440">
        <f t="shared" ca="1" si="15"/>
        <v>93.67</v>
      </c>
      <c r="BM21" s="440">
        <f t="shared" ca="1" si="15"/>
        <v>179</v>
      </c>
      <c r="BN21" s="274">
        <f t="shared" ca="1" si="50"/>
        <v>16766.93</v>
      </c>
      <c r="BO21" s="273"/>
      <c r="BP21" s="440">
        <f t="shared" ca="1" si="16"/>
        <v>99.12</v>
      </c>
      <c r="BQ21" s="440">
        <f t="shared" ca="1" si="16"/>
        <v>179</v>
      </c>
      <c r="BR21" s="274">
        <f t="shared" ca="1" si="51"/>
        <v>17742.48</v>
      </c>
      <c r="BS21" s="273"/>
      <c r="BT21" s="440">
        <f t="shared" ca="1" si="17"/>
        <v>90.66</v>
      </c>
      <c r="BU21" s="440">
        <f t="shared" ca="1" si="17"/>
        <v>179</v>
      </c>
      <c r="BV21" s="274">
        <f t="shared" ca="1" si="52"/>
        <v>16228.14</v>
      </c>
      <c r="BW21" s="273"/>
      <c r="BX21" s="440">
        <f t="shared" ca="1" si="18"/>
        <v>80.19</v>
      </c>
      <c r="BY21" s="440">
        <f t="shared" ca="1" si="18"/>
        <v>179</v>
      </c>
      <c r="BZ21" s="274">
        <f t="shared" ca="1" si="53"/>
        <v>14354.01</v>
      </c>
      <c r="CA21" s="273"/>
      <c r="CB21" s="440">
        <f t="shared" ca="1" si="19"/>
        <v>80.37</v>
      </c>
      <c r="CC21" s="440">
        <f t="shared" ca="1" si="19"/>
        <v>179</v>
      </c>
      <c r="CD21" s="274">
        <f t="shared" ca="1" si="54"/>
        <v>14386.230000000001</v>
      </c>
      <c r="CE21" s="273"/>
      <c r="CF21" s="440">
        <f t="shared" ca="1" si="20"/>
        <v>74.64</v>
      </c>
      <c r="CG21" s="440">
        <f t="shared" ca="1" si="20"/>
        <v>178</v>
      </c>
      <c r="CH21" s="274">
        <f t="shared" ca="1" si="55"/>
        <v>13285.92</v>
      </c>
      <c r="CI21" s="273"/>
      <c r="CJ21" s="440">
        <f t="shared" ca="1" si="21"/>
        <v>80.69</v>
      </c>
      <c r="CK21" s="440">
        <f t="shared" ca="1" si="21"/>
        <v>177</v>
      </c>
      <c r="CL21" s="274">
        <f t="shared" ca="1" si="56"/>
        <v>14282.13</v>
      </c>
      <c r="CN21" s="440">
        <f t="shared" ca="1" si="22"/>
        <v>86.37</v>
      </c>
      <c r="CO21" s="440">
        <f t="shared" ca="1" si="22"/>
        <v>177</v>
      </c>
      <c r="CP21" s="274">
        <f t="shared" ca="1" si="57"/>
        <v>15287.490000000002</v>
      </c>
      <c r="CR21" s="440">
        <f t="shared" ca="1" si="23"/>
        <v>76.08</v>
      </c>
      <c r="CS21" s="440">
        <f t="shared" ca="1" si="23"/>
        <v>177</v>
      </c>
      <c r="CT21" s="274">
        <f t="shared" ca="1" si="58"/>
        <v>13466.16</v>
      </c>
      <c r="CV21" s="440">
        <f t="shared" ca="1" si="24"/>
        <v>77.87</v>
      </c>
      <c r="CW21" s="440">
        <f t="shared" ca="1" si="24"/>
        <v>177</v>
      </c>
      <c r="CX21" s="274">
        <f t="shared" ca="1" si="59"/>
        <v>13782.990000000002</v>
      </c>
      <c r="CZ21" s="440">
        <f t="shared" ca="1" si="25"/>
        <v>74.290000000000006</v>
      </c>
      <c r="DA21" s="440">
        <f t="shared" ca="1" si="25"/>
        <v>175</v>
      </c>
      <c r="DB21" s="274">
        <f t="shared" ca="1" si="60"/>
        <v>13000.750000000002</v>
      </c>
      <c r="DD21" s="440">
        <f t="shared" ca="1" si="26"/>
        <v>66.39</v>
      </c>
      <c r="DE21" s="440">
        <f t="shared" ca="1" si="26"/>
        <v>175</v>
      </c>
      <c r="DF21" s="274">
        <f t="shared" ca="1" si="61"/>
        <v>11618.25</v>
      </c>
      <c r="DH21" s="440">
        <f t="shared" ca="1" si="27"/>
        <v>65.98</v>
      </c>
      <c r="DI21" s="440">
        <f t="shared" ca="1" si="27"/>
        <v>174</v>
      </c>
      <c r="DJ21" s="274">
        <f t="shared" ca="1" si="62"/>
        <v>11480.52</v>
      </c>
      <c r="DL21" s="440">
        <f t="shared" ca="1" si="28"/>
        <v>67.010000000000005</v>
      </c>
      <c r="DM21" s="440">
        <f t="shared" ca="1" si="28"/>
        <v>173</v>
      </c>
      <c r="DN21" s="274">
        <f t="shared" ca="1" si="63"/>
        <v>11592.730000000001</v>
      </c>
      <c r="DP21" s="440">
        <f t="shared" ca="1" si="29"/>
        <v>68.34</v>
      </c>
      <c r="DQ21" s="440">
        <f t="shared" ca="1" si="29"/>
        <v>171</v>
      </c>
      <c r="DR21" s="274">
        <f t="shared" ca="1" si="64"/>
        <v>11686.140000000001</v>
      </c>
      <c r="DT21" s="440">
        <f t="shared" ca="1" si="30"/>
        <v>60.05</v>
      </c>
      <c r="DU21" s="440">
        <f t="shared" ca="1" si="30"/>
        <v>172</v>
      </c>
      <c r="DV21" s="274">
        <f t="shared" ca="1" si="65"/>
        <v>10328.6</v>
      </c>
      <c r="DX21" s="440">
        <f t="shared" ca="1" si="31"/>
        <v>59.94</v>
      </c>
      <c r="DY21" s="440">
        <f t="shared" ca="1" si="31"/>
        <v>170</v>
      </c>
      <c r="DZ21" s="274">
        <f t="shared" ca="1" si="66"/>
        <v>10189.799999999999</v>
      </c>
      <c r="EB21" s="440">
        <f t="shared" ca="1" si="32"/>
        <v>59.33</v>
      </c>
      <c r="EC21" s="440">
        <f t="shared" ca="1" si="32"/>
        <v>170</v>
      </c>
      <c r="ED21" s="274">
        <f t="shared" ca="1" si="67"/>
        <v>10086.1</v>
      </c>
      <c r="EF21" s="251">
        <f t="shared" ca="1" si="33"/>
        <v>55.03</v>
      </c>
      <c r="EG21" s="251">
        <f t="shared" ca="1" si="33"/>
        <v>169</v>
      </c>
      <c r="EH21" s="274">
        <f t="shared" ca="1" si="68"/>
        <v>9300.07</v>
      </c>
      <c r="EJ21" s="251">
        <f t="shared" ca="1" si="34"/>
        <v>54.45</v>
      </c>
      <c r="EK21" s="251">
        <f t="shared" ca="1" si="34"/>
        <v>169</v>
      </c>
      <c r="EL21" s="274">
        <f t="shared" ca="1" si="69"/>
        <v>9202.0500000000011</v>
      </c>
      <c r="EO21" s="252">
        <f t="shared" ca="1" si="35"/>
        <v>24</v>
      </c>
    </row>
    <row r="22" spans="2:145" s="234" customFormat="1">
      <c r="B22" s="258">
        <f t="shared" ca="1" si="70"/>
        <v>13</v>
      </c>
      <c r="C22" s="249" t="str">
        <f t="shared" ca="1" si="0"/>
        <v>Duke Energy Corporation</v>
      </c>
      <c r="D22" s="236" t="str">
        <f t="shared" ca="1" si="0"/>
        <v>DUK</v>
      </c>
      <c r="E22" s="236">
        <f t="shared" ca="1" si="0"/>
        <v>4121470</v>
      </c>
      <c r="F22" s="250"/>
      <c r="G22" s="273"/>
      <c r="H22" s="440">
        <f t="shared" ca="1" si="1"/>
        <v>80.88</v>
      </c>
      <c r="I22" s="440">
        <f t="shared" ca="1" si="1"/>
        <v>729</v>
      </c>
      <c r="J22" s="274">
        <f t="shared" ca="1" si="36"/>
        <v>58961.52</v>
      </c>
      <c r="K22" s="273"/>
      <c r="L22" s="440">
        <f t="shared" ca="1" si="2"/>
        <v>91.21</v>
      </c>
      <c r="M22" s="440">
        <f t="shared" ca="1" si="2"/>
        <v>729</v>
      </c>
      <c r="N22" s="274">
        <f t="shared" ca="1" si="37"/>
        <v>66492.09</v>
      </c>
      <c r="O22" s="273"/>
      <c r="P22" s="440">
        <f t="shared" ca="1" si="3"/>
        <v>95.86</v>
      </c>
      <c r="Q22" s="440">
        <f t="shared" ca="1" si="3"/>
        <v>728</v>
      </c>
      <c r="R22" s="274">
        <f t="shared" ca="1" si="38"/>
        <v>69786.080000000002</v>
      </c>
      <c r="S22" s="273"/>
      <c r="T22" s="440">
        <f t="shared" ca="1" si="4"/>
        <v>88.24</v>
      </c>
      <c r="U22" s="440">
        <f t="shared" ca="1" si="4"/>
        <v>727</v>
      </c>
      <c r="V22" s="274">
        <f t="shared" ca="1" si="39"/>
        <v>64150.479999999996</v>
      </c>
      <c r="W22" s="273"/>
      <c r="X22" s="440">
        <f t="shared" ca="1" si="5"/>
        <v>90</v>
      </c>
      <c r="Y22" s="440">
        <f t="shared" ca="1" si="5"/>
        <v>708</v>
      </c>
      <c r="Z22" s="274">
        <f t="shared" ca="1" si="40"/>
        <v>63720</v>
      </c>
      <c r="AA22" s="273"/>
      <c r="AB22" s="440">
        <f t="shared" ca="1" si="6"/>
        <v>86.3</v>
      </c>
      <c r="AC22" s="440">
        <f t="shared" ca="1" si="6"/>
        <v>713</v>
      </c>
      <c r="AD22" s="274">
        <f t="shared" ca="1" si="41"/>
        <v>61531.9</v>
      </c>
      <c r="AE22" s="273"/>
      <c r="AF22" s="440">
        <f t="shared" ca="1" si="7"/>
        <v>80.02</v>
      </c>
      <c r="AG22" s="440">
        <f t="shared" ca="1" si="7"/>
        <v>703</v>
      </c>
      <c r="AH22" s="274">
        <f t="shared" ca="1" si="42"/>
        <v>56254.06</v>
      </c>
      <c r="AI22" s="273"/>
      <c r="AJ22" s="440">
        <f t="shared" ca="1" si="8"/>
        <v>79.08</v>
      </c>
      <c r="AK22" s="440">
        <f t="shared" ca="1" si="8"/>
        <v>701</v>
      </c>
      <c r="AL22" s="274">
        <f t="shared" ca="1" si="43"/>
        <v>55435.08</v>
      </c>
      <c r="AM22" s="273"/>
      <c r="AN22" s="440">
        <f t="shared" ca="1" si="9"/>
        <v>77.47</v>
      </c>
      <c r="AO22" s="440">
        <f t="shared" ca="1" si="9"/>
        <v>700</v>
      </c>
      <c r="AP22" s="274">
        <f t="shared" ca="1" si="44"/>
        <v>54229</v>
      </c>
      <c r="AQ22" s="273"/>
      <c r="AR22" s="440">
        <f t="shared" ca="1" si="10"/>
        <v>84.11</v>
      </c>
      <c r="AS22" s="440">
        <f t="shared" ca="1" si="10"/>
        <v>700</v>
      </c>
      <c r="AT22" s="274">
        <f t="shared" ca="1" si="45"/>
        <v>58877</v>
      </c>
      <c r="AU22" s="273"/>
      <c r="AV22" s="440">
        <f t="shared" ca="1" si="11"/>
        <v>83.92</v>
      </c>
      <c r="AW22" s="440">
        <f t="shared" ca="1" si="11"/>
        <v>700</v>
      </c>
      <c r="AX22" s="274">
        <f t="shared" ca="1" si="46"/>
        <v>58744</v>
      </c>
      <c r="AY22" s="273"/>
      <c r="AZ22" s="440">
        <f t="shared" ca="1" si="12"/>
        <v>83.59</v>
      </c>
      <c r="BA22" s="440">
        <f t="shared" ca="1" si="12"/>
        <v>700</v>
      </c>
      <c r="BB22" s="274">
        <f t="shared" ca="1" si="47"/>
        <v>58513</v>
      </c>
      <c r="BC22" s="273"/>
      <c r="BD22" s="440">
        <f t="shared" ca="1" si="13"/>
        <v>82.01</v>
      </c>
      <c r="BE22" s="440">
        <f t="shared" ca="1" si="13"/>
        <v>691</v>
      </c>
      <c r="BF22" s="274">
        <f t="shared" ca="1" si="48"/>
        <v>56668.91</v>
      </c>
      <c r="BG22" s="273"/>
      <c r="BH22" s="440">
        <f t="shared" ca="1" si="14"/>
        <v>77.62</v>
      </c>
      <c r="BI22" s="440">
        <f t="shared" ca="1" si="14"/>
        <v>689</v>
      </c>
      <c r="BJ22" s="274">
        <f t="shared" ca="1" si="49"/>
        <v>53480.18</v>
      </c>
      <c r="BK22" s="273"/>
      <c r="BL22" s="440">
        <f t="shared" ca="1" si="15"/>
        <v>80.040000000000006</v>
      </c>
      <c r="BM22" s="440">
        <f t="shared" ca="1" si="15"/>
        <v>689</v>
      </c>
      <c r="BN22" s="274">
        <f t="shared" ca="1" si="50"/>
        <v>55147.560000000005</v>
      </c>
      <c r="BO22" s="273"/>
      <c r="BP22" s="440">
        <f t="shared" ca="1" si="16"/>
        <v>85.79</v>
      </c>
      <c r="BQ22" s="440">
        <f t="shared" ca="1" si="16"/>
        <v>689</v>
      </c>
      <c r="BR22" s="274">
        <f t="shared" ca="1" si="51"/>
        <v>59109.310000000005</v>
      </c>
      <c r="BS22" s="273"/>
      <c r="BT22" s="440">
        <f t="shared" ca="1" si="17"/>
        <v>80.680000000000007</v>
      </c>
      <c r="BU22" s="440">
        <f t="shared" ca="1" si="17"/>
        <v>694</v>
      </c>
      <c r="BV22" s="274">
        <f t="shared" ca="1" si="52"/>
        <v>55991.920000000006</v>
      </c>
      <c r="BW22" s="273"/>
      <c r="BX22" s="440">
        <f t="shared" ca="1" si="18"/>
        <v>71.39</v>
      </c>
      <c r="BY22" s="440">
        <f t="shared" ca="1" si="18"/>
        <v>688</v>
      </c>
      <c r="BZ22" s="274">
        <f t="shared" ca="1" si="53"/>
        <v>49116.32</v>
      </c>
      <c r="CA22" s="273"/>
      <c r="CB22" s="440">
        <f t="shared" ca="1" si="19"/>
        <v>71.94</v>
      </c>
      <c r="CC22" s="440">
        <f t="shared" ca="1" si="19"/>
        <v>692</v>
      </c>
      <c r="CD22" s="274">
        <f t="shared" ca="1" si="54"/>
        <v>49782.479999999996</v>
      </c>
      <c r="CE22" s="273"/>
      <c r="CF22" s="440">
        <f t="shared" ca="1" si="20"/>
        <v>70.62</v>
      </c>
      <c r="CG22" s="440">
        <f t="shared" ca="1" si="20"/>
        <v>708</v>
      </c>
      <c r="CH22" s="274">
        <f t="shared" ca="1" si="55"/>
        <v>49998.960000000006</v>
      </c>
      <c r="CI22" s="273"/>
      <c r="CJ22" s="440">
        <f t="shared" ca="1" si="21"/>
        <v>76.78</v>
      </c>
      <c r="CK22" s="440">
        <f t="shared" ca="1" si="21"/>
        <v>707</v>
      </c>
      <c r="CL22" s="274">
        <f t="shared" ca="1" si="56"/>
        <v>54283.46</v>
      </c>
      <c r="CN22" s="440">
        <f t="shared" ca="1" si="22"/>
        <v>83.54</v>
      </c>
      <c r="CO22" s="440">
        <f t="shared" ca="1" si="22"/>
        <v>707</v>
      </c>
      <c r="CP22" s="274">
        <f t="shared" ca="1" si="57"/>
        <v>59062.780000000006</v>
      </c>
      <c r="CR22" s="440">
        <f t="shared" ca="1" si="23"/>
        <v>74.77</v>
      </c>
      <c r="CS22" s="440">
        <f t="shared" ca="1" si="23"/>
        <v>707</v>
      </c>
      <c r="CT22" s="274">
        <f t="shared" ca="1" si="58"/>
        <v>52862.39</v>
      </c>
      <c r="CV22" s="440">
        <f t="shared" ca="1" si="24"/>
        <v>74.19</v>
      </c>
      <c r="CW22" s="440">
        <f t="shared" ca="1" si="24"/>
        <v>706</v>
      </c>
      <c r="CX22" s="274">
        <f t="shared" ca="1" si="59"/>
        <v>52378.14</v>
      </c>
      <c r="CZ22" s="440">
        <f t="shared" ca="1" si="25"/>
        <v>71.22</v>
      </c>
      <c r="DA22" s="440">
        <f t="shared" ca="1" si="25"/>
        <v>706</v>
      </c>
      <c r="DB22" s="274">
        <f t="shared" ca="1" si="60"/>
        <v>50281.32</v>
      </c>
      <c r="DD22" s="440">
        <f t="shared" ca="1" si="26"/>
        <v>69.010000000000005</v>
      </c>
      <c r="DE22" s="440">
        <f t="shared" ca="1" si="26"/>
        <v>706</v>
      </c>
      <c r="DF22" s="274">
        <f t="shared" ca="1" si="61"/>
        <v>48721.060000000005</v>
      </c>
      <c r="DH22" s="440">
        <f t="shared" ca="1" si="27"/>
        <v>66.78</v>
      </c>
      <c r="DI22" s="440">
        <f t="shared" ca="1" si="27"/>
        <v>706</v>
      </c>
      <c r="DJ22" s="274">
        <f t="shared" ca="1" si="62"/>
        <v>47146.68</v>
      </c>
      <c r="DL22" s="440">
        <f t="shared" ca="1" si="28"/>
        <v>67.5</v>
      </c>
      <c r="DM22" s="440">
        <f t="shared" ca="1" si="28"/>
        <v>705</v>
      </c>
      <c r="DN22" s="274">
        <f t="shared" ca="1" si="63"/>
        <v>47587.5</v>
      </c>
      <c r="DP22" s="440">
        <f t="shared" ca="1" si="29"/>
        <v>72.59</v>
      </c>
      <c r="DQ22" s="440">
        <f t="shared" ca="1" si="29"/>
        <v>574</v>
      </c>
      <c r="DR22" s="274">
        <f t="shared" ca="1" si="64"/>
        <v>41666.660000000003</v>
      </c>
      <c r="DT22" s="440">
        <f t="shared" ca="1" si="30"/>
        <v>63.8</v>
      </c>
      <c r="DU22" s="440">
        <f t="shared" ca="1" si="30"/>
        <v>699</v>
      </c>
      <c r="DV22" s="274">
        <f t="shared" ca="1" si="65"/>
        <v>44596.2</v>
      </c>
      <c r="DX22" s="440">
        <f t="shared" ca="1" si="31"/>
        <v>64.8</v>
      </c>
      <c r="DY22" s="440">
        <f t="shared" ca="1" si="31"/>
        <v>704.63651000000004</v>
      </c>
      <c r="DZ22" s="274">
        <f t="shared" ca="1" si="66"/>
        <v>45660.445848000003</v>
      </c>
      <c r="EB22" s="440">
        <f t="shared" ca="1" si="32"/>
        <v>60.309562499999998</v>
      </c>
      <c r="EC22" s="440">
        <f t="shared" ca="1" si="32"/>
        <v>511.42583724401919</v>
      </c>
      <c r="ED22" s="274">
        <f t="shared" ca="1" si="67"/>
        <v>30843.868495383002</v>
      </c>
      <c r="EF22" s="251">
        <f t="shared" ca="1" si="33"/>
        <v>21.01</v>
      </c>
      <c r="EG22" s="251">
        <f t="shared" ca="1" si="33"/>
        <v>1332</v>
      </c>
      <c r="EH22" s="274">
        <f t="shared" ca="1" si="68"/>
        <v>27985.320000000003</v>
      </c>
      <c r="EJ22" s="251">
        <f t="shared" ca="1" si="34"/>
        <v>22</v>
      </c>
      <c r="EK22" s="251">
        <f t="shared" ca="1" si="34"/>
        <v>1332</v>
      </c>
      <c r="EL22" s="274">
        <f t="shared" ca="1" si="69"/>
        <v>29304</v>
      </c>
      <c r="EO22" s="252">
        <f t="shared" ca="1" si="35"/>
        <v>26</v>
      </c>
    </row>
    <row r="23" spans="2:145" s="234" customFormat="1">
      <c r="B23" s="258">
        <f t="shared" ca="1" si="70"/>
        <v>14</v>
      </c>
      <c r="C23" s="249" t="str">
        <f t="shared" ca="1" si="0"/>
        <v>Edison International</v>
      </c>
      <c r="D23" s="236" t="str">
        <f t="shared" ca="1" si="0"/>
        <v>EIX</v>
      </c>
      <c r="E23" s="236">
        <f t="shared" ca="1" si="0"/>
        <v>4056943</v>
      </c>
      <c r="F23" s="250"/>
      <c r="G23" s="273"/>
      <c r="H23" s="440">
        <f t="shared" ca="1" si="1"/>
        <v>54.79</v>
      </c>
      <c r="I23" s="440">
        <f t="shared" ca="1" si="1"/>
        <v>340</v>
      </c>
      <c r="J23" s="274">
        <f t="shared" ca="1" si="36"/>
        <v>18628.599999999999</v>
      </c>
      <c r="K23" s="273"/>
      <c r="L23" s="440">
        <f t="shared" ca="1" si="2"/>
        <v>75.41</v>
      </c>
      <c r="M23" s="440">
        <f t="shared" ca="1" si="2"/>
        <v>347</v>
      </c>
      <c r="N23" s="274">
        <f t="shared" ca="1" si="37"/>
        <v>26167.27</v>
      </c>
      <c r="O23" s="273"/>
      <c r="P23" s="440">
        <f t="shared" ca="1" si="3"/>
        <v>75.42</v>
      </c>
      <c r="Q23" s="440">
        <f t="shared" ca="1" si="3"/>
        <v>326</v>
      </c>
      <c r="R23" s="274">
        <f t="shared" ca="1" si="38"/>
        <v>24586.920000000002</v>
      </c>
      <c r="S23" s="273"/>
      <c r="T23" s="440">
        <f t="shared" ca="1" si="4"/>
        <v>67.41</v>
      </c>
      <c r="U23" s="440">
        <f t="shared" ca="1" si="4"/>
        <v>326</v>
      </c>
      <c r="V23" s="274">
        <f t="shared" ca="1" si="39"/>
        <v>21975.66</v>
      </c>
      <c r="W23" s="273"/>
      <c r="X23" s="440">
        <f t="shared" ca="1" si="5"/>
        <v>61.92</v>
      </c>
      <c r="Y23" s="440">
        <f t="shared" ca="1" si="5"/>
        <v>326</v>
      </c>
      <c r="Z23" s="274">
        <f t="shared" ca="1" si="40"/>
        <v>20185.920000000002</v>
      </c>
      <c r="AA23" s="273"/>
      <c r="AB23" s="440">
        <f t="shared" ca="1" si="6"/>
        <v>56.77</v>
      </c>
      <c r="AC23" s="440">
        <f t="shared" ca="1" si="6"/>
        <v>326</v>
      </c>
      <c r="AD23" s="274">
        <f t="shared" ca="1" si="41"/>
        <v>18507.02</v>
      </c>
      <c r="AE23" s="273"/>
      <c r="AF23" s="440">
        <f t="shared" ca="1" si="7"/>
        <v>67.680000000000007</v>
      </c>
      <c r="AG23" s="440">
        <f t="shared" ca="1" si="7"/>
        <v>326</v>
      </c>
      <c r="AH23" s="274">
        <f t="shared" ca="1" si="42"/>
        <v>22063.680000000004</v>
      </c>
      <c r="AI23" s="273"/>
      <c r="AJ23" s="440">
        <f t="shared" ca="1" si="8"/>
        <v>63.27</v>
      </c>
      <c r="AK23" s="440">
        <f t="shared" ca="1" si="8"/>
        <v>326</v>
      </c>
      <c r="AL23" s="274">
        <f t="shared" ca="1" si="43"/>
        <v>20626.02</v>
      </c>
      <c r="AM23" s="273"/>
      <c r="AN23" s="440">
        <f t="shared" ca="1" si="9"/>
        <v>63.66</v>
      </c>
      <c r="AO23" s="440">
        <f t="shared" ca="1" si="9"/>
        <v>326</v>
      </c>
      <c r="AP23" s="274">
        <f t="shared" ca="1" si="44"/>
        <v>20753.16</v>
      </c>
      <c r="AQ23" s="273"/>
      <c r="AR23" s="440">
        <f t="shared" ca="1" si="10"/>
        <v>63.24</v>
      </c>
      <c r="AS23" s="440">
        <f t="shared" ca="1" si="10"/>
        <v>326</v>
      </c>
      <c r="AT23" s="274">
        <f t="shared" ca="1" si="45"/>
        <v>20616.240000000002</v>
      </c>
      <c r="AU23" s="273"/>
      <c r="AV23" s="440">
        <f t="shared" ca="1" si="11"/>
        <v>77.17</v>
      </c>
      <c r="AW23" s="440">
        <f t="shared" ca="1" si="11"/>
        <v>326</v>
      </c>
      <c r="AX23" s="274">
        <f t="shared" ca="1" si="46"/>
        <v>25157.420000000002</v>
      </c>
      <c r="AY23" s="273"/>
      <c r="AZ23" s="440">
        <f t="shared" ca="1" si="12"/>
        <v>78.19</v>
      </c>
      <c r="BA23" s="440">
        <f t="shared" ca="1" si="12"/>
        <v>326</v>
      </c>
      <c r="BB23" s="274">
        <f t="shared" ca="1" si="47"/>
        <v>25489.94</v>
      </c>
      <c r="BC23" s="273"/>
      <c r="BD23" s="440">
        <f t="shared" ca="1" si="13"/>
        <v>79.61</v>
      </c>
      <c r="BE23" s="440">
        <f t="shared" ca="1" si="13"/>
        <v>326</v>
      </c>
      <c r="BF23" s="274">
        <f t="shared" ca="1" si="48"/>
        <v>25952.86</v>
      </c>
      <c r="BG23" s="273"/>
      <c r="BH23" s="440">
        <f t="shared" ca="1" si="14"/>
        <v>71.989999999999995</v>
      </c>
      <c r="BI23" s="440">
        <f t="shared" ca="1" si="14"/>
        <v>326</v>
      </c>
      <c r="BJ23" s="274">
        <f t="shared" ca="1" si="49"/>
        <v>23468.739999999998</v>
      </c>
      <c r="BK23" s="273"/>
      <c r="BL23" s="440">
        <f t="shared" ca="1" si="15"/>
        <v>72.25</v>
      </c>
      <c r="BM23" s="440">
        <f t="shared" ca="1" si="15"/>
        <v>326</v>
      </c>
      <c r="BN23" s="274">
        <f t="shared" ca="1" si="50"/>
        <v>23553.5</v>
      </c>
      <c r="BO23" s="273"/>
      <c r="BP23" s="440">
        <f t="shared" ca="1" si="16"/>
        <v>77.67</v>
      </c>
      <c r="BQ23" s="440">
        <f t="shared" ca="1" si="16"/>
        <v>326</v>
      </c>
      <c r="BR23" s="274">
        <f t="shared" ca="1" si="51"/>
        <v>25320.420000000002</v>
      </c>
      <c r="BS23" s="273"/>
      <c r="BT23" s="440">
        <f t="shared" ca="1" si="17"/>
        <v>71.89</v>
      </c>
      <c r="BU23" s="440">
        <f t="shared" ca="1" si="17"/>
        <v>326</v>
      </c>
      <c r="BV23" s="274">
        <f t="shared" ca="1" si="52"/>
        <v>23436.14</v>
      </c>
      <c r="BW23" s="273"/>
      <c r="BX23" s="440">
        <f t="shared" ca="1" si="18"/>
        <v>59.21</v>
      </c>
      <c r="BY23" s="440">
        <f t="shared" ca="1" si="18"/>
        <v>326</v>
      </c>
      <c r="BZ23" s="274">
        <f t="shared" ca="1" si="53"/>
        <v>19302.46</v>
      </c>
      <c r="CA23" s="273"/>
      <c r="CB23" s="440">
        <f t="shared" ca="1" si="19"/>
        <v>63.07</v>
      </c>
      <c r="CC23" s="440">
        <f t="shared" ca="1" si="19"/>
        <v>326</v>
      </c>
      <c r="CD23" s="274">
        <f t="shared" ca="1" si="54"/>
        <v>20560.82</v>
      </c>
      <c r="CE23" s="273"/>
      <c r="CF23" s="440">
        <f t="shared" ca="1" si="20"/>
        <v>55.58</v>
      </c>
      <c r="CG23" s="440">
        <f t="shared" ca="1" si="20"/>
        <v>326</v>
      </c>
      <c r="CH23" s="274">
        <f t="shared" ca="1" si="55"/>
        <v>18119.079999999998</v>
      </c>
      <c r="CI23" s="273"/>
      <c r="CJ23" s="440">
        <f t="shared" ca="1" si="21"/>
        <v>62.47</v>
      </c>
      <c r="CK23" s="440">
        <f t="shared" ca="1" si="21"/>
        <v>326</v>
      </c>
      <c r="CL23" s="274">
        <f t="shared" ca="1" si="56"/>
        <v>20365.22</v>
      </c>
      <c r="CN23" s="440">
        <f t="shared" ca="1" si="22"/>
        <v>65.48</v>
      </c>
      <c r="CO23" s="440">
        <f t="shared" ca="1" si="22"/>
        <v>326</v>
      </c>
      <c r="CP23" s="274">
        <f t="shared" ca="1" si="57"/>
        <v>21346.48</v>
      </c>
      <c r="CR23" s="440">
        <f t="shared" ca="1" si="23"/>
        <v>55.92</v>
      </c>
      <c r="CS23" s="440">
        <f t="shared" ca="1" si="23"/>
        <v>326</v>
      </c>
      <c r="CT23" s="274">
        <f t="shared" ca="1" si="58"/>
        <v>18229.920000000002</v>
      </c>
      <c r="CV23" s="440">
        <f t="shared" ca="1" si="24"/>
        <v>58.11</v>
      </c>
      <c r="CW23" s="440">
        <f t="shared" ca="1" si="24"/>
        <v>326</v>
      </c>
      <c r="CX23" s="274">
        <f t="shared" ca="1" si="59"/>
        <v>18943.86</v>
      </c>
      <c r="CZ23" s="440">
        <f t="shared" ca="1" si="25"/>
        <v>56.61</v>
      </c>
      <c r="DA23" s="440">
        <f t="shared" ca="1" si="25"/>
        <v>326</v>
      </c>
      <c r="DB23" s="274">
        <f t="shared" ca="1" si="60"/>
        <v>18454.86</v>
      </c>
      <c r="DD23" s="440">
        <f t="shared" ca="1" si="26"/>
        <v>46.3</v>
      </c>
      <c r="DE23" s="440">
        <f t="shared" ca="1" si="26"/>
        <v>326</v>
      </c>
      <c r="DF23" s="274">
        <f t="shared" ca="1" si="61"/>
        <v>15093.8</v>
      </c>
      <c r="DH23" s="440">
        <f t="shared" ca="1" si="27"/>
        <v>46.06</v>
      </c>
      <c r="DI23" s="440">
        <f t="shared" ca="1" si="27"/>
        <v>326</v>
      </c>
      <c r="DJ23" s="274">
        <f t="shared" ca="1" si="62"/>
        <v>15015.560000000001</v>
      </c>
      <c r="DL23" s="440">
        <f t="shared" ca="1" si="28"/>
        <v>48.16</v>
      </c>
      <c r="DM23" s="440">
        <f t="shared" ca="1" si="28"/>
        <v>326</v>
      </c>
      <c r="DN23" s="274">
        <f t="shared" ca="1" si="63"/>
        <v>15700.159999999998</v>
      </c>
      <c r="DP23" s="440">
        <f t="shared" ca="1" si="29"/>
        <v>50.32</v>
      </c>
      <c r="DQ23" s="440">
        <f t="shared" ca="1" si="29"/>
        <v>326</v>
      </c>
      <c r="DR23" s="274">
        <f t="shared" ca="1" si="64"/>
        <v>16404.32</v>
      </c>
      <c r="DT23" s="440">
        <f t="shared" ca="1" si="30"/>
        <v>45.19</v>
      </c>
      <c r="DU23" s="440">
        <f t="shared" ca="1" si="30"/>
        <v>326</v>
      </c>
      <c r="DV23" s="274">
        <f t="shared" ca="1" si="65"/>
        <v>14731.939999999999</v>
      </c>
      <c r="DX23" s="440">
        <f t="shared" ca="1" si="31"/>
        <v>45.69</v>
      </c>
      <c r="DY23" s="440">
        <f t="shared" ca="1" si="31"/>
        <v>326</v>
      </c>
      <c r="DZ23" s="274">
        <f t="shared" ca="1" si="66"/>
        <v>14894.939999999999</v>
      </c>
      <c r="EB23" s="440">
        <f t="shared" ca="1" si="32"/>
        <v>46.2</v>
      </c>
      <c r="EC23" s="440">
        <f t="shared" ca="1" si="32"/>
        <v>326</v>
      </c>
      <c r="ED23" s="274">
        <f t="shared" ca="1" si="67"/>
        <v>15061.2</v>
      </c>
      <c r="EF23" s="251">
        <f t="shared" ca="1" si="33"/>
        <v>42.51</v>
      </c>
      <c r="EG23" s="251">
        <f t="shared" ca="1" si="33"/>
        <v>326</v>
      </c>
      <c r="EH23" s="274">
        <f t="shared" ca="1" si="68"/>
        <v>13858.26</v>
      </c>
      <c r="EJ23" s="251">
        <f t="shared" ca="1" si="34"/>
        <v>41.4</v>
      </c>
      <c r="EK23" s="251">
        <f t="shared" ca="1" si="34"/>
        <v>326</v>
      </c>
      <c r="EL23" s="274">
        <f t="shared" ca="1" si="69"/>
        <v>13496.4</v>
      </c>
      <c r="EO23" s="252">
        <f t="shared" ca="1" si="35"/>
        <v>58</v>
      </c>
    </row>
    <row r="24" spans="2:145" s="234" customFormat="1">
      <c r="B24" s="258">
        <f t="shared" ca="1" si="70"/>
        <v>15</v>
      </c>
      <c r="C24" s="249" t="str">
        <f t="shared" ca="1" si="0"/>
        <v>El Paso Electric Company</v>
      </c>
      <c r="D24" s="236" t="str">
        <f t="shared" ca="1" si="0"/>
        <v>EE</v>
      </c>
      <c r="E24" s="236">
        <f t="shared" ca="1" si="0"/>
        <v>4056994</v>
      </c>
      <c r="F24" s="250"/>
      <c r="G24" s="273"/>
      <c r="H24" s="440">
        <f t="shared" ca="1" si="1"/>
        <v>67.959999999999994</v>
      </c>
      <c r="I24" s="440">
        <f t="shared" ca="1" si="1"/>
        <v>40.605597000000003</v>
      </c>
      <c r="J24" s="274">
        <f t="shared" ca="1" si="36"/>
        <v>2759.5563721200001</v>
      </c>
      <c r="K24" s="273"/>
      <c r="L24" s="440">
        <f t="shared" ca="1" si="2"/>
        <v>67.89</v>
      </c>
      <c r="M24" s="440">
        <f t="shared" ca="1" si="2"/>
        <v>40.616531999999999</v>
      </c>
      <c r="N24" s="274">
        <f t="shared" ca="1" si="37"/>
        <v>2757.45635748</v>
      </c>
      <c r="O24" s="273"/>
      <c r="P24" s="440">
        <f t="shared" ca="1" si="3"/>
        <v>67.08</v>
      </c>
      <c r="Q24" s="440">
        <f t="shared" ca="1" si="3"/>
        <v>40.602342999999998</v>
      </c>
      <c r="R24" s="274">
        <f t="shared" ca="1" si="38"/>
        <v>2723.6051684399999</v>
      </c>
      <c r="S24" s="273"/>
      <c r="T24" s="440">
        <f t="shared" ca="1" si="4"/>
        <v>65.400000000000006</v>
      </c>
      <c r="U24" s="440">
        <f t="shared" ca="1" si="4"/>
        <v>40.582935999999997</v>
      </c>
      <c r="V24" s="274">
        <f t="shared" ca="1" si="39"/>
        <v>2654.1240143999999</v>
      </c>
      <c r="W24" s="273"/>
      <c r="X24" s="440">
        <f t="shared" ca="1" si="5"/>
        <v>58.82</v>
      </c>
      <c r="Y24" s="440">
        <f t="shared" ca="1" si="5"/>
        <v>40.521363999999998</v>
      </c>
      <c r="Z24" s="274">
        <f t="shared" ca="1" si="40"/>
        <v>2383.4666304799998</v>
      </c>
      <c r="AA24" s="273"/>
      <c r="AB24" s="440">
        <f t="shared" ca="1" si="6"/>
        <v>50.13</v>
      </c>
      <c r="AC24" s="440">
        <f t="shared" ca="1" si="6"/>
        <v>40.535488999999998</v>
      </c>
      <c r="AD24" s="274">
        <f t="shared" ca="1" si="41"/>
        <v>2032.0440635699999</v>
      </c>
      <c r="AE24" s="273"/>
      <c r="AF24" s="440">
        <f t="shared" ca="1" si="7"/>
        <v>57.2</v>
      </c>
      <c r="AG24" s="440">
        <f t="shared" ca="1" si="7"/>
        <v>40.517713000000001</v>
      </c>
      <c r="AH24" s="274">
        <f t="shared" ca="1" si="42"/>
        <v>2317.6131836</v>
      </c>
      <c r="AI24" s="273"/>
      <c r="AJ24" s="440">
        <f t="shared" ca="1" si="8"/>
        <v>59.1</v>
      </c>
      <c r="AK24" s="440">
        <f t="shared" ca="1" si="8"/>
        <v>40.491194</v>
      </c>
      <c r="AL24" s="274">
        <f t="shared" ca="1" si="43"/>
        <v>2393.0295654000001</v>
      </c>
      <c r="AM24" s="273"/>
      <c r="AN24" s="440">
        <f t="shared" ca="1" si="9"/>
        <v>51</v>
      </c>
      <c r="AO24" s="440">
        <f t="shared" ca="1" si="9"/>
        <v>40.433999999999997</v>
      </c>
      <c r="AP24" s="274">
        <f t="shared" ca="1" si="44"/>
        <v>2062.134</v>
      </c>
      <c r="AQ24" s="273"/>
      <c r="AR24" s="440">
        <f t="shared" ca="1" si="10"/>
        <v>55.35</v>
      </c>
      <c r="AS24" s="440">
        <f t="shared" ca="1" si="10"/>
        <v>40.427588999999998</v>
      </c>
      <c r="AT24" s="274">
        <f t="shared" ca="1" si="45"/>
        <v>2237.6670511500001</v>
      </c>
      <c r="AU24" s="273"/>
      <c r="AV24" s="440">
        <f t="shared" ca="1" si="11"/>
        <v>55.25</v>
      </c>
      <c r="AW24" s="440">
        <f t="shared" ca="1" si="11"/>
        <v>40.409030000000001</v>
      </c>
      <c r="AX24" s="274">
        <f t="shared" ca="1" si="46"/>
        <v>2232.5989075000002</v>
      </c>
      <c r="AY24" s="273"/>
      <c r="AZ24" s="440">
        <f t="shared" ca="1" si="12"/>
        <v>51.7</v>
      </c>
      <c r="BA24" s="440">
        <f t="shared" ca="1" si="12"/>
        <v>40.387234999999997</v>
      </c>
      <c r="BB24" s="274">
        <f t="shared" ca="1" si="47"/>
        <v>2088.0200494999999</v>
      </c>
      <c r="BC24" s="273"/>
      <c r="BD24" s="440">
        <f t="shared" ca="1" si="13"/>
        <v>50.5</v>
      </c>
      <c r="BE24" s="440">
        <f t="shared" ca="1" si="13"/>
        <v>40.350687999999998</v>
      </c>
      <c r="BF24" s="274">
        <f t="shared" ca="1" si="48"/>
        <v>2037.709744</v>
      </c>
      <c r="BG24" s="273"/>
      <c r="BH24" s="440">
        <f t="shared" ca="1" si="14"/>
        <v>46.5</v>
      </c>
      <c r="BI24" s="440">
        <f t="shared" ca="1" si="14"/>
        <v>40.363818999999999</v>
      </c>
      <c r="BJ24" s="274">
        <f t="shared" ca="1" si="49"/>
        <v>1876.9175834999999</v>
      </c>
      <c r="BK24" s="273"/>
      <c r="BL24" s="440">
        <f t="shared" ca="1" si="15"/>
        <v>46.77</v>
      </c>
      <c r="BM24" s="440">
        <f t="shared" ca="1" si="15"/>
        <v>40.345149999999997</v>
      </c>
      <c r="BN24" s="274">
        <f t="shared" ca="1" si="50"/>
        <v>1886.9426655</v>
      </c>
      <c r="BO24" s="273"/>
      <c r="BP24" s="440">
        <f t="shared" ca="1" si="16"/>
        <v>47.27</v>
      </c>
      <c r="BQ24" s="440">
        <f t="shared" ca="1" si="16"/>
        <v>40.325324000000002</v>
      </c>
      <c r="BR24" s="274">
        <f t="shared" ca="1" si="51"/>
        <v>1906.1780654800002</v>
      </c>
      <c r="BS24" s="273"/>
      <c r="BT24" s="440">
        <f t="shared" ca="1" si="17"/>
        <v>45.88</v>
      </c>
      <c r="BU24" s="440">
        <f t="shared" ca="1" si="17"/>
        <v>40.274985999999998</v>
      </c>
      <c r="BV24" s="274">
        <f t="shared" ca="1" si="52"/>
        <v>1847.81635768</v>
      </c>
      <c r="BW24" s="273"/>
      <c r="BX24" s="440">
        <f t="shared" ca="1" si="18"/>
        <v>38.5</v>
      </c>
      <c r="BY24" s="440">
        <f t="shared" ca="1" si="18"/>
        <v>40.289009999999998</v>
      </c>
      <c r="BZ24" s="274">
        <f t="shared" ca="1" si="53"/>
        <v>1551.1268849999999</v>
      </c>
      <c r="CA24" s="273"/>
      <c r="CB24" s="440">
        <f t="shared" ca="1" si="19"/>
        <v>36.82</v>
      </c>
      <c r="CC24" s="440">
        <f t="shared" ca="1" si="19"/>
        <v>40.269885000000002</v>
      </c>
      <c r="CD24" s="274">
        <f t="shared" ca="1" si="54"/>
        <v>1482.7371657000001</v>
      </c>
      <c r="CE24" s="273"/>
      <c r="CF24" s="440">
        <f t="shared" ca="1" si="20"/>
        <v>34.659999999999997</v>
      </c>
      <c r="CG24" s="440">
        <f t="shared" ca="1" si="20"/>
        <v>40.243198999999997</v>
      </c>
      <c r="CH24" s="274">
        <f t="shared" ca="1" si="55"/>
        <v>1394.8292773399999</v>
      </c>
      <c r="CI24" s="273"/>
      <c r="CJ24" s="440">
        <f t="shared" ca="1" si="21"/>
        <v>38.64</v>
      </c>
      <c r="CK24" s="440">
        <f t="shared" ca="1" si="21"/>
        <v>40.22</v>
      </c>
      <c r="CL24" s="274">
        <f t="shared" ca="1" si="56"/>
        <v>1554.1007999999999</v>
      </c>
      <c r="CN24" s="440">
        <f t="shared" ca="1" si="22"/>
        <v>40.06</v>
      </c>
      <c r="CO24" s="440">
        <f t="shared" ca="1" si="22"/>
        <v>40.213740999999999</v>
      </c>
      <c r="CP24" s="274">
        <f t="shared" ca="1" si="57"/>
        <v>1610.9624644600001</v>
      </c>
      <c r="CR24" s="440">
        <f t="shared" ca="1" si="23"/>
        <v>36.549999999999997</v>
      </c>
      <c r="CS24" s="440">
        <f t="shared" ca="1" si="23"/>
        <v>40.180568999999998</v>
      </c>
      <c r="CT24" s="274">
        <f t="shared" ca="1" si="58"/>
        <v>1468.5997969499999</v>
      </c>
      <c r="CV24" s="440">
        <f t="shared" ca="1" si="24"/>
        <v>40.21</v>
      </c>
      <c r="CW24" s="440">
        <f t="shared" ca="1" si="24"/>
        <v>40.149082999999997</v>
      </c>
      <c r="CX24" s="274">
        <f t="shared" ca="1" si="59"/>
        <v>1614.3946274299999</v>
      </c>
      <c r="CZ24" s="440">
        <f t="shared" ca="1" si="25"/>
        <v>35.729999999999997</v>
      </c>
      <c r="DA24" s="440">
        <f t="shared" ca="1" si="25"/>
        <v>40.114593999999997</v>
      </c>
      <c r="DB24" s="274">
        <f t="shared" ca="1" si="60"/>
        <v>1433.2944436199998</v>
      </c>
      <c r="DD24" s="440">
        <f t="shared" ca="1" si="26"/>
        <v>35.11</v>
      </c>
      <c r="DE24" s="440">
        <f t="shared" ca="1" si="26"/>
        <v>40.132249999999999</v>
      </c>
      <c r="DF24" s="274">
        <f t="shared" ca="1" si="61"/>
        <v>1409.0432974999999</v>
      </c>
      <c r="DH24" s="440">
        <f t="shared" ca="1" si="27"/>
        <v>33.4</v>
      </c>
      <c r="DI24" s="440">
        <f t="shared" ca="1" si="27"/>
        <v>40.111756999999997</v>
      </c>
      <c r="DJ24" s="274">
        <f t="shared" ca="1" si="62"/>
        <v>1339.7326837999999</v>
      </c>
      <c r="DL24" s="440">
        <f t="shared" ca="1" si="28"/>
        <v>35.31</v>
      </c>
      <c r="DM24" s="440">
        <f t="shared" ca="1" si="28"/>
        <v>40.078060999999998</v>
      </c>
      <c r="DN24" s="274">
        <f t="shared" ca="1" si="63"/>
        <v>1415.1563339100001</v>
      </c>
      <c r="DP24" s="440">
        <f t="shared" ca="1" si="29"/>
        <v>33.65</v>
      </c>
      <c r="DQ24" s="440">
        <f t="shared" ca="1" si="29"/>
        <v>39.974021999999998</v>
      </c>
      <c r="DR24" s="274">
        <f t="shared" ca="1" si="64"/>
        <v>1345.1258402999999</v>
      </c>
      <c r="DT24" s="440">
        <f t="shared" ca="1" si="30"/>
        <v>31.91</v>
      </c>
      <c r="DU24" s="440">
        <f t="shared" ca="1" si="30"/>
        <v>40.009866000000002</v>
      </c>
      <c r="DV24" s="274">
        <f t="shared" ca="1" si="65"/>
        <v>1276.7148240600002</v>
      </c>
      <c r="DX24" s="440">
        <f t="shared" ca="1" si="31"/>
        <v>34.25</v>
      </c>
      <c r="DY24" s="440">
        <f t="shared" ca="1" si="31"/>
        <v>39.958148999999999</v>
      </c>
      <c r="DZ24" s="274">
        <f t="shared" ca="1" si="66"/>
        <v>1368.5666032500001</v>
      </c>
      <c r="EB24" s="440">
        <f t="shared" ca="1" si="32"/>
        <v>33.159999999999997</v>
      </c>
      <c r="EC24" s="440">
        <f t="shared" ca="1" si="32"/>
        <v>39.911031999999999</v>
      </c>
      <c r="ED24" s="274">
        <f t="shared" ca="1" si="67"/>
        <v>1323.4498211199998</v>
      </c>
      <c r="EF24" s="251">
        <f t="shared" ca="1" si="33"/>
        <v>32.49</v>
      </c>
      <c r="EG24" s="251">
        <f t="shared" ca="1" si="33"/>
        <v>41.349882999999998</v>
      </c>
      <c r="EH24" s="274">
        <f t="shared" ca="1" si="68"/>
        <v>1343.4576986700001</v>
      </c>
      <c r="EJ24" s="251">
        <f t="shared" ca="1" si="34"/>
        <v>34.64</v>
      </c>
      <c r="EK24" s="251">
        <f t="shared" ca="1" si="34"/>
        <v>41.307631999999998</v>
      </c>
      <c r="EL24" s="274">
        <f t="shared" ca="1" si="69"/>
        <v>1430.8963724799999</v>
      </c>
      <c r="EO24" s="252">
        <f t="shared" ca="1" si="35"/>
        <v>29</v>
      </c>
    </row>
    <row r="25" spans="2:145" s="234" customFormat="1">
      <c r="B25" s="258">
        <f t="shared" ca="1" si="70"/>
        <v>16</v>
      </c>
      <c r="C25" s="249" t="str">
        <f t="shared" ca="1" si="0"/>
        <v>Entergy Corporation</v>
      </c>
      <c r="D25" s="236" t="str">
        <f t="shared" ca="1" si="0"/>
        <v>ETR</v>
      </c>
      <c r="E25" s="236">
        <f t="shared" ca="1" si="0"/>
        <v>4007889</v>
      </c>
      <c r="F25" s="250"/>
      <c r="G25" s="273"/>
      <c r="H25" s="440">
        <f t="shared" ca="1" si="1"/>
        <v>93.97</v>
      </c>
      <c r="I25" s="440">
        <f t="shared" ca="1" si="1"/>
        <v>195.19585799999999</v>
      </c>
      <c r="J25" s="274">
        <f t="shared" ca="1" si="36"/>
        <v>18342.55477626</v>
      </c>
      <c r="K25" s="273"/>
      <c r="L25" s="440">
        <f t="shared" ca="1" si="2"/>
        <v>119.8</v>
      </c>
      <c r="M25" s="440">
        <f t="shared" ca="1" si="2"/>
        <v>198.93238700000001</v>
      </c>
      <c r="N25" s="274">
        <f t="shared" ca="1" si="37"/>
        <v>23832.099962600001</v>
      </c>
      <c r="O25" s="273"/>
      <c r="P25" s="440">
        <f t="shared" ca="1" si="3"/>
        <v>117.36</v>
      </c>
      <c r="Q25" s="440">
        <f t="shared" ca="1" si="3"/>
        <v>193.01926900000001</v>
      </c>
      <c r="R25" s="274">
        <f t="shared" ca="1" si="38"/>
        <v>22652.74140984</v>
      </c>
      <c r="S25" s="273"/>
      <c r="T25" s="440">
        <f t="shared" ca="1" si="4"/>
        <v>102.93</v>
      </c>
      <c r="U25" s="440">
        <f t="shared" ca="1" si="4"/>
        <v>189.575187</v>
      </c>
      <c r="V25" s="274">
        <f t="shared" ca="1" si="39"/>
        <v>19512.973997910001</v>
      </c>
      <c r="W25" s="273"/>
      <c r="X25" s="440">
        <f t="shared" ca="1" si="5"/>
        <v>95.63</v>
      </c>
      <c r="Y25" s="440">
        <f t="shared" ca="1" si="5"/>
        <v>181.40959699999999</v>
      </c>
      <c r="Z25" s="274">
        <f t="shared" ca="1" si="40"/>
        <v>17348.199761109998</v>
      </c>
      <c r="AA25" s="273"/>
      <c r="AB25" s="440">
        <f t="shared" ca="1" si="6"/>
        <v>86.07</v>
      </c>
      <c r="AC25" s="440">
        <f t="shared" ca="1" si="6"/>
        <v>181.00230300000001</v>
      </c>
      <c r="AD25" s="274">
        <f t="shared" ca="1" si="41"/>
        <v>15578.86821921</v>
      </c>
      <c r="AE25" s="273"/>
      <c r="AF25" s="440">
        <f t="shared" ca="1" si="7"/>
        <v>81.13</v>
      </c>
      <c r="AG25" s="440">
        <f t="shared" ca="1" si="7"/>
        <v>180.82320300000001</v>
      </c>
      <c r="AH25" s="274">
        <f t="shared" ca="1" si="42"/>
        <v>14670.186459389999</v>
      </c>
      <c r="AI25" s="273"/>
      <c r="AJ25" s="440">
        <f t="shared" ca="1" si="8"/>
        <v>80.790000000000006</v>
      </c>
      <c r="AK25" s="440">
        <f t="shared" ca="1" si="8"/>
        <v>180.70757499999999</v>
      </c>
      <c r="AL25" s="274">
        <f t="shared" ca="1" si="43"/>
        <v>14599.36498425</v>
      </c>
      <c r="AM25" s="273"/>
      <c r="AN25" s="440">
        <f t="shared" ca="1" si="9"/>
        <v>78.78</v>
      </c>
      <c r="AO25" s="440">
        <f t="shared" ca="1" si="9"/>
        <v>180.303505</v>
      </c>
      <c r="AP25" s="274">
        <f t="shared" ca="1" si="44"/>
        <v>14204.310123900001</v>
      </c>
      <c r="AQ25" s="273"/>
      <c r="AR25" s="440">
        <f t="shared" ca="1" si="10"/>
        <v>81.39</v>
      </c>
      <c r="AS25" s="440">
        <f t="shared" ca="1" si="10"/>
        <v>179.563819</v>
      </c>
      <c r="AT25" s="274">
        <f t="shared" ca="1" si="45"/>
        <v>14614.69922841</v>
      </c>
      <c r="AU25" s="273"/>
      <c r="AV25" s="440">
        <f t="shared" ca="1" si="11"/>
        <v>76.36</v>
      </c>
      <c r="AW25" s="440">
        <f t="shared" ca="1" si="11"/>
        <v>179.14534599999999</v>
      </c>
      <c r="AX25" s="274">
        <f t="shared" ca="1" si="46"/>
        <v>13679.538620559999</v>
      </c>
      <c r="AY25" s="273"/>
      <c r="AZ25" s="440">
        <f t="shared" ca="1" si="12"/>
        <v>76.77</v>
      </c>
      <c r="BA25" s="440">
        <f t="shared" ca="1" si="12"/>
        <v>179.33506299999999</v>
      </c>
      <c r="BB25" s="274">
        <f t="shared" ca="1" si="47"/>
        <v>13767.552786509999</v>
      </c>
      <c r="BC25" s="273"/>
      <c r="BD25" s="440">
        <f t="shared" ca="1" si="13"/>
        <v>75.959999999999994</v>
      </c>
      <c r="BE25" s="440">
        <f t="shared" ca="1" si="13"/>
        <v>178.88566</v>
      </c>
      <c r="BF25" s="274">
        <f t="shared" ca="1" si="48"/>
        <v>13588.154733599999</v>
      </c>
      <c r="BG25" s="273"/>
      <c r="BH25" s="440">
        <f t="shared" ca="1" si="14"/>
        <v>73.47</v>
      </c>
      <c r="BI25" s="440">
        <f t="shared" ca="1" si="14"/>
        <v>179.02335099999999</v>
      </c>
      <c r="BJ25" s="274">
        <f t="shared" ca="1" si="49"/>
        <v>13152.845597969999</v>
      </c>
      <c r="BK25" s="273"/>
      <c r="BL25" s="440">
        <f t="shared" ca="1" si="15"/>
        <v>76.73</v>
      </c>
      <c r="BM25" s="440">
        <f t="shared" ca="1" si="15"/>
        <v>178.08081490000001</v>
      </c>
      <c r="BN25" s="274">
        <f t="shared" ca="1" si="50"/>
        <v>13664.140927277002</v>
      </c>
      <c r="BO25" s="273"/>
      <c r="BP25" s="440">
        <f t="shared" ca="1" si="16"/>
        <v>81.349999999999994</v>
      </c>
      <c r="BQ25" s="440">
        <f t="shared" ca="1" si="16"/>
        <v>178.57853600000001</v>
      </c>
      <c r="BR25" s="274">
        <f t="shared" ca="1" si="51"/>
        <v>14527.3639036</v>
      </c>
      <c r="BS25" s="273"/>
      <c r="BT25" s="440">
        <f t="shared" ca="1" si="17"/>
        <v>79.28</v>
      </c>
      <c r="BU25" s="440">
        <f t="shared" ca="1" si="17"/>
        <v>179.176356</v>
      </c>
      <c r="BV25" s="274">
        <f t="shared" ca="1" si="52"/>
        <v>14205.10150368</v>
      </c>
      <c r="BW25" s="273"/>
      <c r="BX25" s="440">
        <f t="shared" ca="1" si="18"/>
        <v>68.36</v>
      </c>
      <c r="BY25" s="440">
        <f t="shared" ca="1" si="18"/>
        <v>179.15183200000001</v>
      </c>
      <c r="BZ25" s="274">
        <f t="shared" ca="1" si="53"/>
        <v>12246.819235520001</v>
      </c>
      <c r="CA25" s="273"/>
      <c r="CB25" s="440">
        <f t="shared" ca="1" si="19"/>
        <v>65.099999999999994</v>
      </c>
      <c r="CC25" s="440">
        <f t="shared" ca="1" si="19"/>
        <v>179.521276</v>
      </c>
      <c r="CD25" s="274">
        <f t="shared" ca="1" si="54"/>
        <v>11686.835067599999</v>
      </c>
      <c r="CE25" s="273"/>
      <c r="CF25" s="440">
        <f t="shared" ca="1" si="20"/>
        <v>70.5</v>
      </c>
      <c r="CG25" s="440">
        <f t="shared" ca="1" si="20"/>
        <v>179.65898100000001</v>
      </c>
      <c r="CH25" s="274">
        <f t="shared" ca="1" si="55"/>
        <v>12665.9581605</v>
      </c>
      <c r="CI25" s="273"/>
      <c r="CJ25" s="440">
        <f t="shared" ca="1" si="21"/>
        <v>77.489999999999995</v>
      </c>
      <c r="CK25" s="440">
        <f t="shared" ca="1" si="21"/>
        <v>180.245555</v>
      </c>
      <c r="CL25" s="274">
        <f t="shared" ca="1" si="56"/>
        <v>13967.228056949998</v>
      </c>
      <c r="CN25" s="440">
        <f t="shared" ca="1" si="22"/>
        <v>87.48</v>
      </c>
      <c r="CO25" s="440">
        <f t="shared" ca="1" si="22"/>
        <v>179.61006699999999</v>
      </c>
      <c r="CP25" s="274">
        <f t="shared" ca="1" si="57"/>
        <v>15712.288661159999</v>
      </c>
      <c r="CR25" s="440">
        <f t="shared" ca="1" si="23"/>
        <v>77.33</v>
      </c>
      <c r="CS25" s="440">
        <f t="shared" ca="1" si="23"/>
        <v>179.35410300000001</v>
      </c>
      <c r="CT25" s="274">
        <f t="shared" ca="1" si="58"/>
        <v>13869.452784990001</v>
      </c>
      <c r="CV25" s="440">
        <f t="shared" ca="1" si="24"/>
        <v>82.09</v>
      </c>
      <c r="CW25" s="440">
        <f t="shared" ca="1" si="24"/>
        <v>178.79782900000001</v>
      </c>
      <c r="CX25" s="274">
        <f t="shared" ca="1" si="59"/>
        <v>14677.513782610002</v>
      </c>
      <c r="CZ25" s="440">
        <f t="shared" ca="1" si="25"/>
        <v>66.849999999999994</v>
      </c>
      <c r="DA25" s="440">
        <f t="shared" ca="1" si="25"/>
        <v>178.21119200000001</v>
      </c>
      <c r="DB25" s="274">
        <f t="shared" ca="1" si="60"/>
        <v>11913.4181852</v>
      </c>
      <c r="DD25" s="440">
        <f t="shared" ca="1" si="26"/>
        <v>63.27</v>
      </c>
      <c r="DE25" s="440">
        <f t="shared" ca="1" si="26"/>
        <v>178.28372100000001</v>
      </c>
      <c r="DF25" s="274">
        <f t="shared" ca="1" si="61"/>
        <v>11280.011027670002</v>
      </c>
      <c r="DH25" s="440">
        <f t="shared" ca="1" si="27"/>
        <v>63.19</v>
      </c>
      <c r="DI25" s="440">
        <f t="shared" ca="1" si="27"/>
        <v>178.19652500000001</v>
      </c>
      <c r="DJ25" s="274">
        <f t="shared" ca="1" si="62"/>
        <v>11260.23841475</v>
      </c>
      <c r="DL25" s="440">
        <f t="shared" ca="1" si="28"/>
        <v>69.680000000000007</v>
      </c>
      <c r="DM25" s="440">
        <f t="shared" ca="1" si="28"/>
        <v>178.027961</v>
      </c>
      <c r="DN25" s="274">
        <f t="shared" ca="1" si="63"/>
        <v>12404.988322480001</v>
      </c>
      <c r="DP25" s="440">
        <f t="shared" ca="1" si="29"/>
        <v>63.24</v>
      </c>
      <c r="DQ25" s="440">
        <f t="shared" ca="1" si="29"/>
        <v>177.32481300000001</v>
      </c>
      <c r="DR25" s="274">
        <f t="shared" ca="1" si="64"/>
        <v>11214.02117412</v>
      </c>
      <c r="DT25" s="440">
        <f t="shared" ca="1" si="30"/>
        <v>63.75</v>
      </c>
      <c r="DU25" s="440">
        <f t="shared" ca="1" si="30"/>
        <v>177.51784599999999</v>
      </c>
      <c r="DV25" s="274">
        <f t="shared" ca="1" si="65"/>
        <v>11316.762682499999</v>
      </c>
      <c r="DX25" s="440">
        <f t="shared" ca="1" si="31"/>
        <v>69.3</v>
      </c>
      <c r="DY25" s="440">
        <f t="shared" ca="1" si="31"/>
        <v>177.16651899999999</v>
      </c>
      <c r="DZ25" s="274">
        <f t="shared" ca="1" si="66"/>
        <v>12277.639766699998</v>
      </c>
      <c r="EB25" s="440">
        <f t="shared" ca="1" si="32"/>
        <v>67.89</v>
      </c>
      <c r="EC25" s="440">
        <f t="shared" ca="1" si="32"/>
        <v>176.865363</v>
      </c>
      <c r="ED25" s="274">
        <f t="shared" ca="1" si="67"/>
        <v>12007.389494070001</v>
      </c>
      <c r="EF25" s="251">
        <f t="shared" ca="1" si="33"/>
        <v>67.2</v>
      </c>
      <c r="EG25" s="251">
        <f t="shared" ca="1" si="33"/>
        <v>177.43020799999999</v>
      </c>
      <c r="EH25" s="274">
        <f t="shared" ca="1" si="68"/>
        <v>11923.3099776</v>
      </c>
      <c r="EJ25" s="251">
        <f t="shared" ca="1" si="34"/>
        <v>73.05</v>
      </c>
      <c r="EK25" s="251">
        <f t="shared" ca="1" si="34"/>
        <v>176.950469</v>
      </c>
      <c r="EL25" s="274">
        <f t="shared" ca="1" si="69"/>
        <v>12926.231760449999</v>
      </c>
      <c r="EO25" s="252">
        <f t="shared" ca="1" si="35"/>
        <v>31</v>
      </c>
    </row>
    <row r="26" spans="2:145" s="234" customFormat="1">
      <c r="B26" s="258">
        <f t="shared" ca="1" si="70"/>
        <v>17</v>
      </c>
      <c r="C26" s="249" t="str">
        <f t="shared" ca="1" si="0"/>
        <v>Evergy, Inc.</v>
      </c>
      <c r="D26" s="236" t="str">
        <f t="shared" ca="1" si="0"/>
        <v>EVRG</v>
      </c>
      <c r="E26" s="236">
        <f t="shared" ca="1" si="0"/>
        <v>8603803</v>
      </c>
      <c r="F26" s="250"/>
      <c r="G26" s="273"/>
      <c r="H26" s="440">
        <f t="shared" ca="1" si="1"/>
        <v>55.05</v>
      </c>
      <c r="I26" s="440">
        <f t="shared" ca="1" si="1"/>
        <v>239.5</v>
      </c>
      <c r="J26" s="274">
        <f t="shared" ca="1" si="36"/>
        <v>13184.474999999999</v>
      </c>
      <c r="K26" s="273"/>
      <c r="L26" s="440">
        <f t="shared" ca="1" si="2"/>
        <v>65.09</v>
      </c>
      <c r="M26" s="440">
        <f t="shared" ca="1" si="2"/>
        <v>234.6</v>
      </c>
      <c r="N26" s="274">
        <f t="shared" ca="1" si="37"/>
        <v>15270.114</v>
      </c>
      <c r="O26" s="273"/>
      <c r="P26" s="440">
        <f t="shared" ca="1" si="3"/>
        <v>66.56</v>
      </c>
      <c r="Q26" s="440">
        <f t="shared" ca="1" si="3"/>
        <v>243.2</v>
      </c>
      <c r="R26" s="274">
        <f t="shared" ca="1" si="38"/>
        <v>16187.392</v>
      </c>
      <c r="S26" s="273"/>
      <c r="T26" s="440">
        <f t="shared" ca="1" si="4"/>
        <v>60.15</v>
      </c>
      <c r="U26" s="440">
        <f t="shared" ca="1" si="4"/>
        <v>252.8</v>
      </c>
      <c r="V26" s="274">
        <f t="shared" ca="1" si="39"/>
        <v>15205.92</v>
      </c>
      <c r="W26" s="273"/>
      <c r="X26" s="440">
        <f t="shared" ca="1" si="5"/>
        <v>58.05</v>
      </c>
      <c r="Y26" s="440">
        <f t="shared" ca="1" si="5"/>
        <v>268.60000000000002</v>
      </c>
      <c r="Z26" s="274">
        <f t="shared" ca="1" si="40"/>
        <v>15592.230000000001</v>
      </c>
      <c r="AA26" s="273"/>
      <c r="AB26" s="440">
        <f t="shared" ca="1" si="6"/>
        <v>56.77</v>
      </c>
      <c r="AC26" s="440">
        <f t="shared" ca="1" si="6"/>
        <v>268.60000000000002</v>
      </c>
      <c r="AD26" s="274">
        <f t="shared" ca="1" si="41"/>
        <v>15248.422000000002</v>
      </c>
      <c r="AE26" s="273"/>
      <c r="AF26" s="440">
        <f t="shared" ca="1" si="7"/>
        <v>54.92</v>
      </c>
      <c r="AG26" s="440">
        <f t="shared" ca="1" si="7"/>
        <v>271.71037000000001</v>
      </c>
      <c r="AH26" s="274">
        <f t="shared" ca="1" si="42"/>
        <v>14922.333520400001</v>
      </c>
      <c r="AI26" s="273"/>
      <c r="AJ26" s="440">
        <f t="shared" ca="1" si="8"/>
        <v>56.15</v>
      </c>
      <c r="AK26" s="440">
        <f t="shared" ca="1" si="8"/>
        <v>271.71037000000001</v>
      </c>
      <c r="AL26" s="274">
        <f t="shared" ca="1" si="43"/>
        <v>15256.537275500001</v>
      </c>
      <c r="AM26" s="273"/>
      <c r="AN26" s="440">
        <f t="shared" ca="1" si="9"/>
        <v>52.59</v>
      </c>
      <c r="AO26" s="440">
        <f t="shared" ca="1" si="9"/>
        <v>272.80708073664198</v>
      </c>
      <c r="AP26" s="274">
        <f t="shared" ca="1" si="44"/>
        <v>14346.924375940003</v>
      </c>
      <c r="AQ26" s="273"/>
      <c r="AR26" s="440">
        <f t="shared" ca="1" si="10"/>
        <v>52.8</v>
      </c>
      <c r="AS26" s="440">
        <f t="shared" ca="1" si="10"/>
        <v>274.11965366666664</v>
      </c>
      <c r="AT26" s="274">
        <f t="shared" ca="1" si="45"/>
        <v>14473.517713599998</v>
      </c>
      <c r="AU26" s="273"/>
      <c r="AV26" s="440">
        <f t="shared" ca="1" si="11"/>
        <v>49.6</v>
      </c>
      <c r="AW26" s="440">
        <f t="shared" ca="1" si="11"/>
        <v>274.11191835483868</v>
      </c>
      <c r="AX26" s="274">
        <f t="shared" ca="1" si="46"/>
        <v>13595.951150399998</v>
      </c>
      <c r="AY26" s="273"/>
      <c r="AZ26" s="440">
        <f t="shared" ca="1" si="12"/>
        <v>53.02</v>
      </c>
      <c r="BA26" s="440">
        <f t="shared" ca="1" si="12"/>
        <v>142.436622</v>
      </c>
      <c r="BB26" s="274">
        <f t="shared" ca="1" si="47"/>
        <v>7551.9896984400002</v>
      </c>
      <c r="BC26" s="273"/>
      <c r="BD26" s="440">
        <f t="shared" ca="1" si="13"/>
        <v>54.27</v>
      </c>
      <c r="BE26" s="440">
        <f t="shared" ca="1" si="13"/>
        <v>142.06755799999999</v>
      </c>
      <c r="BF26" s="274">
        <f t="shared" ca="1" si="48"/>
        <v>7710.0063726600001</v>
      </c>
      <c r="BG26" s="273"/>
      <c r="BH26" s="440">
        <f t="shared" ca="1" si="14"/>
        <v>56.35</v>
      </c>
      <c r="BI26" s="440">
        <f t="shared" ca="1" si="14"/>
        <v>142.09070600000001</v>
      </c>
      <c r="BJ26" s="274">
        <f t="shared" ca="1" si="49"/>
        <v>8006.8112831000008</v>
      </c>
      <c r="BK26" s="273"/>
      <c r="BL26" s="440">
        <f t="shared" ca="1" si="15"/>
        <v>56.75</v>
      </c>
      <c r="BM26" s="440">
        <f t="shared" ca="1" si="15"/>
        <v>142.03384199999999</v>
      </c>
      <c r="BN26" s="274">
        <f t="shared" ca="1" si="50"/>
        <v>8060.4205334999997</v>
      </c>
      <c r="BO26" s="273"/>
      <c r="BP26" s="440">
        <f t="shared" ca="1" si="16"/>
        <v>56.09</v>
      </c>
      <c r="BQ26" s="440">
        <f t="shared" ca="1" si="16"/>
        <v>141.99284599999999</v>
      </c>
      <c r="BR26" s="274">
        <f t="shared" ca="1" si="51"/>
        <v>7964.3787321399996</v>
      </c>
      <c r="BS26" s="273"/>
      <c r="BT26" s="440">
        <f t="shared" ca="1" si="17"/>
        <v>49.61</v>
      </c>
      <c r="BU26" s="440">
        <f t="shared" ca="1" si="17"/>
        <v>137.957515</v>
      </c>
      <c r="BV26" s="274">
        <f t="shared" ca="1" si="52"/>
        <v>6844.0723191500001</v>
      </c>
      <c r="BW26" s="273"/>
      <c r="BX26" s="440">
        <f t="shared" ca="1" si="18"/>
        <v>42.41</v>
      </c>
      <c r="BY26" s="440">
        <f t="shared" ca="1" si="18"/>
        <v>141.62269699999999</v>
      </c>
      <c r="BZ26" s="274">
        <f t="shared" ca="1" si="53"/>
        <v>6006.2185797699995</v>
      </c>
      <c r="CA26" s="273"/>
      <c r="CB26" s="440">
        <f t="shared" ca="1" si="19"/>
        <v>38.44</v>
      </c>
      <c r="CC26" s="440">
        <f t="shared" ca="1" si="19"/>
        <v>135.93919700000001</v>
      </c>
      <c r="CD26" s="274">
        <f t="shared" ca="1" si="54"/>
        <v>5225.50273268</v>
      </c>
      <c r="CE26" s="273"/>
      <c r="CF26" s="440">
        <f t="shared" ca="1" si="20"/>
        <v>34.22</v>
      </c>
      <c r="CG26" s="440">
        <f t="shared" ca="1" si="20"/>
        <v>132.39549700000001</v>
      </c>
      <c r="CH26" s="274">
        <f t="shared" ca="1" si="55"/>
        <v>4530.57390734</v>
      </c>
      <c r="CI26" s="273"/>
      <c r="CJ26" s="440">
        <f t="shared" ca="1" si="21"/>
        <v>38.76</v>
      </c>
      <c r="CK26" s="440">
        <f t="shared" ca="1" si="21"/>
        <v>131.48291</v>
      </c>
      <c r="CL26" s="274">
        <f t="shared" ca="1" si="56"/>
        <v>5096.2775916000001</v>
      </c>
      <c r="CN26" s="440">
        <f t="shared" ca="1" si="22"/>
        <v>41.24</v>
      </c>
      <c r="CO26" s="440">
        <f t="shared" ca="1" si="22"/>
        <v>130.19619299999999</v>
      </c>
      <c r="CP26" s="274">
        <f t="shared" ca="1" si="57"/>
        <v>5369.2909993200001</v>
      </c>
      <c r="CR26" s="440">
        <f t="shared" ca="1" si="23"/>
        <v>34.119999999999997</v>
      </c>
      <c r="CS26" s="440">
        <f t="shared" ca="1" si="23"/>
        <v>129.363382</v>
      </c>
      <c r="CT26" s="274">
        <f t="shared" ca="1" si="58"/>
        <v>4413.8785938399997</v>
      </c>
      <c r="CV26" s="440">
        <f t="shared" ca="1" si="24"/>
        <v>38.19</v>
      </c>
      <c r="CW26" s="440">
        <f t="shared" ca="1" si="24"/>
        <v>129.00411199999999</v>
      </c>
      <c r="CX26" s="274">
        <f t="shared" ca="1" si="59"/>
        <v>4926.667037279999</v>
      </c>
      <c r="CZ26" s="440">
        <f t="shared" ca="1" si="25"/>
        <v>35.159999999999997</v>
      </c>
      <c r="DA26" s="440">
        <f t="shared" ca="1" si="25"/>
        <v>127.46299399999999</v>
      </c>
      <c r="DB26" s="274">
        <f t="shared" ca="1" si="60"/>
        <v>4481.598869039999</v>
      </c>
      <c r="DD26" s="440">
        <f t="shared" ca="1" si="26"/>
        <v>32.17</v>
      </c>
      <c r="DE26" s="440">
        <f t="shared" ca="1" si="26"/>
        <v>127.44479200000001</v>
      </c>
      <c r="DF26" s="274">
        <f t="shared" ca="1" si="61"/>
        <v>4099.8989586400003</v>
      </c>
      <c r="DH26" s="440">
        <f t="shared" ca="1" si="27"/>
        <v>30.65</v>
      </c>
      <c r="DI26" s="440">
        <f t="shared" ca="1" si="27"/>
        <v>127.31141100000001</v>
      </c>
      <c r="DJ26" s="274">
        <f t="shared" ca="1" si="62"/>
        <v>3902.0947471499999</v>
      </c>
      <c r="DL26" s="440">
        <f t="shared" ca="1" si="28"/>
        <v>31.96</v>
      </c>
      <c r="DM26" s="440">
        <f t="shared" ca="1" si="28"/>
        <v>127.196454</v>
      </c>
      <c r="DN26" s="274">
        <f t="shared" ca="1" si="63"/>
        <v>4065.1986698400001</v>
      </c>
      <c r="DP26" s="440">
        <f t="shared" ca="1" si="29"/>
        <v>33.18</v>
      </c>
      <c r="DQ26" s="440">
        <f t="shared" ca="1" si="29"/>
        <v>126.71186899999999</v>
      </c>
      <c r="DR26" s="274">
        <f t="shared" ca="1" si="64"/>
        <v>4204.2998134199997</v>
      </c>
      <c r="DT26" s="440">
        <f t="shared" ca="1" si="30"/>
        <v>28.62</v>
      </c>
      <c r="DU26" s="440">
        <f t="shared" ca="1" si="30"/>
        <v>126.783248</v>
      </c>
      <c r="DV26" s="274">
        <f t="shared" ca="1" si="65"/>
        <v>3628.5365577600001</v>
      </c>
      <c r="DX26" s="440">
        <f t="shared" ca="1" si="31"/>
        <v>29.66</v>
      </c>
      <c r="DY26" s="440">
        <f t="shared" ca="1" si="31"/>
        <v>126.637067</v>
      </c>
      <c r="DZ26" s="274">
        <f t="shared" ca="1" si="66"/>
        <v>3756.0554072200002</v>
      </c>
      <c r="EB26" s="440">
        <f t="shared" ca="1" si="32"/>
        <v>29.95</v>
      </c>
      <c r="EC26" s="440">
        <f t="shared" ca="1" si="32"/>
        <v>126.495075</v>
      </c>
      <c r="ED26" s="274">
        <f t="shared" ca="1" si="67"/>
        <v>3788.5274962499998</v>
      </c>
      <c r="EF26" s="251">
        <f t="shared" ca="1" si="33"/>
        <v>27.94</v>
      </c>
      <c r="EG26" s="251">
        <f t="shared" ca="1" si="33"/>
        <v>116.890552</v>
      </c>
      <c r="EH26" s="274">
        <f t="shared" ca="1" si="68"/>
        <v>3265.92202288</v>
      </c>
      <c r="EJ26" s="251">
        <f t="shared" ca="1" si="34"/>
        <v>28.8</v>
      </c>
      <c r="EK26" s="251">
        <f t="shared" ca="1" si="34"/>
        <v>116.806596</v>
      </c>
      <c r="EL26" s="274">
        <f t="shared" ca="1" si="69"/>
        <v>3364.0299648</v>
      </c>
      <c r="EO26" s="252">
        <f t="shared" ca="1" si="35"/>
        <v>42</v>
      </c>
    </row>
    <row r="27" spans="2:145" s="234" customFormat="1">
      <c r="B27" s="258">
        <f t="shared" ca="1" si="70"/>
        <v>18</v>
      </c>
      <c r="C27" s="249" t="str">
        <f t="shared" ref="C27:E45" ca="1" si="71">OFFSET( INDIRECT( C$6 &amp; C$7 ), $B27 - 1, 0 )</f>
        <v>Eversource Energy</v>
      </c>
      <c r="D27" s="236" t="str">
        <f t="shared" ca="1" si="71"/>
        <v>ES</v>
      </c>
      <c r="E27" s="236">
        <f t="shared" ca="1" si="71"/>
        <v>4057052</v>
      </c>
      <c r="F27" s="250"/>
      <c r="G27" s="273"/>
      <c r="H27" s="440">
        <f t="shared" ca="1" si="1"/>
        <v>78.209999999999994</v>
      </c>
      <c r="I27" s="440">
        <f t="shared" ca="1" si="1"/>
        <v>321.41608600000001</v>
      </c>
      <c r="J27" s="274">
        <f t="shared" ca="1" si="36"/>
        <v>25137.952086059999</v>
      </c>
      <c r="K27" s="273"/>
      <c r="L27" s="440">
        <f t="shared" ca="1" si="2"/>
        <v>85.07</v>
      </c>
      <c r="M27" s="440">
        <f t="shared" ca="1" si="2"/>
        <v>324.03716900000001</v>
      </c>
      <c r="N27" s="274">
        <f t="shared" ca="1" si="37"/>
        <v>27565.841966829998</v>
      </c>
      <c r="O27" s="273"/>
      <c r="P27" s="440">
        <f t="shared" ca="1" si="3"/>
        <v>85.47</v>
      </c>
      <c r="Q27" s="440">
        <f t="shared" ca="1" si="3"/>
        <v>319.66499800000003</v>
      </c>
      <c r="R27" s="274">
        <f t="shared" ca="1" si="38"/>
        <v>27321.767379060002</v>
      </c>
      <c r="S27" s="273"/>
      <c r="T27" s="440">
        <f t="shared" ca="1" si="4"/>
        <v>75.760000000000005</v>
      </c>
      <c r="U27" s="440">
        <f t="shared" ca="1" si="4"/>
        <v>317.624593</v>
      </c>
      <c r="V27" s="274">
        <f t="shared" ca="1" si="39"/>
        <v>24063.239165680003</v>
      </c>
      <c r="W27" s="273"/>
      <c r="X27" s="440">
        <f t="shared" ca="1" si="5"/>
        <v>70.95</v>
      </c>
      <c r="Y27" s="440">
        <f t="shared" ca="1" si="5"/>
        <v>317.37036899999998</v>
      </c>
      <c r="Z27" s="274">
        <f t="shared" ca="1" si="40"/>
        <v>22517.427680550001</v>
      </c>
      <c r="AA27" s="273"/>
      <c r="AB27" s="440">
        <f t="shared" ca="1" si="6"/>
        <v>65.040000000000006</v>
      </c>
      <c r="AC27" s="440">
        <f t="shared" ca="1" si="6"/>
        <v>317.36011000000002</v>
      </c>
      <c r="AD27" s="274">
        <f t="shared" ca="1" si="41"/>
        <v>20641.101554400004</v>
      </c>
      <c r="AE27" s="273"/>
      <c r="AF27" s="440">
        <f t="shared" ca="1" si="7"/>
        <v>61.44</v>
      </c>
      <c r="AG27" s="440">
        <f t="shared" ca="1" si="7"/>
        <v>317.34459600000002</v>
      </c>
      <c r="AH27" s="274">
        <f t="shared" ca="1" si="42"/>
        <v>19497.651978239999</v>
      </c>
      <c r="AI27" s="273"/>
      <c r="AJ27" s="440">
        <f t="shared" ca="1" si="8"/>
        <v>58.61</v>
      </c>
      <c r="AK27" s="440">
        <f t="shared" ca="1" si="8"/>
        <v>317.39705199999997</v>
      </c>
      <c r="AL27" s="274">
        <f t="shared" ca="1" si="43"/>
        <v>18602.64121772</v>
      </c>
      <c r="AM27" s="273"/>
      <c r="AN27" s="440">
        <f t="shared" ca="1" si="9"/>
        <v>58.92</v>
      </c>
      <c r="AO27" s="440">
        <f t="shared" ca="1" si="9"/>
        <v>317.39684199999999</v>
      </c>
      <c r="AP27" s="274">
        <f t="shared" ca="1" si="44"/>
        <v>18701.021930639999</v>
      </c>
      <c r="AQ27" s="273"/>
      <c r="AR27" s="440">
        <f t="shared" ca="1" si="10"/>
        <v>63.18</v>
      </c>
      <c r="AS27" s="440">
        <f t="shared" ca="1" si="10"/>
        <v>317.39302900000001</v>
      </c>
      <c r="AT27" s="274">
        <f t="shared" ca="1" si="45"/>
        <v>20052.89157222</v>
      </c>
      <c r="AU27" s="273"/>
      <c r="AV27" s="440">
        <f t="shared" ca="1" si="11"/>
        <v>60.44</v>
      </c>
      <c r="AW27" s="440">
        <f t="shared" ca="1" si="11"/>
        <v>317.39136500000001</v>
      </c>
      <c r="AX27" s="274">
        <f t="shared" ca="1" si="46"/>
        <v>19183.1341006</v>
      </c>
      <c r="AY27" s="273"/>
      <c r="AZ27" s="440">
        <f t="shared" ca="1" si="12"/>
        <v>60.71</v>
      </c>
      <c r="BA27" s="440">
        <f t="shared" ca="1" si="12"/>
        <v>317.46315099999998</v>
      </c>
      <c r="BB27" s="274">
        <f t="shared" ca="1" si="47"/>
        <v>19273.187897209998</v>
      </c>
      <c r="BC27" s="273"/>
      <c r="BD27" s="440">
        <f t="shared" ca="1" si="13"/>
        <v>58.78</v>
      </c>
      <c r="BE27" s="440">
        <f t="shared" ca="1" si="13"/>
        <v>317.65017999999998</v>
      </c>
      <c r="BF27" s="274">
        <f t="shared" ca="1" si="48"/>
        <v>18671.477580399998</v>
      </c>
      <c r="BG27" s="273"/>
      <c r="BH27" s="440">
        <f t="shared" ca="1" si="14"/>
        <v>55.23</v>
      </c>
      <c r="BI27" s="440">
        <f t="shared" ca="1" si="14"/>
        <v>317.79783600000002</v>
      </c>
      <c r="BJ27" s="274">
        <f t="shared" ca="1" si="49"/>
        <v>17551.974482279998</v>
      </c>
      <c r="BK27" s="273"/>
      <c r="BL27" s="440">
        <f t="shared" ca="1" si="15"/>
        <v>54.18</v>
      </c>
      <c r="BM27" s="440">
        <f t="shared" ca="1" si="15"/>
        <v>317.78549500000003</v>
      </c>
      <c r="BN27" s="274">
        <f t="shared" ca="1" si="50"/>
        <v>17217.6181191</v>
      </c>
      <c r="BO27" s="273"/>
      <c r="BP27" s="440">
        <f t="shared" ca="1" si="16"/>
        <v>59.9</v>
      </c>
      <c r="BQ27" s="440">
        <f t="shared" ca="1" si="16"/>
        <v>317.51714099999998</v>
      </c>
      <c r="BR27" s="274">
        <f t="shared" ca="1" si="51"/>
        <v>19019.276745899999</v>
      </c>
      <c r="BS27" s="273"/>
      <c r="BT27" s="440">
        <f t="shared" ca="1" si="17"/>
        <v>58.34</v>
      </c>
      <c r="BU27" s="440">
        <f t="shared" ca="1" si="17"/>
        <v>317.33688100000001</v>
      </c>
      <c r="BV27" s="274">
        <f t="shared" ca="1" si="52"/>
        <v>18513.433637540002</v>
      </c>
      <c r="BW27" s="273"/>
      <c r="BX27" s="440">
        <f t="shared" ca="1" si="18"/>
        <v>51.07</v>
      </c>
      <c r="BY27" s="440">
        <f t="shared" ca="1" si="18"/>
        <v>317.45221199999997</v>
      </c>
      <c r="BZ27" s="274">
        <f t="shared" ca="1" si="53"/>
        <v>16212.284466839999</v>
      </c>
      <c r="CA27" s="273"/>
      <c r="CB27" s="440">
        <f t="shared" ca="1" si="19"/>
        <v>50.62</v>
      </c>
      <c r="CC27" s="440">
        <f t="shared" ca="1" si="19"/>
        <v>317.61316599999998</v>
      </c>
      <c r="CD27" s="274">
        <f t="shared" ca="1" si="54"/>
        <v>16077.578462919999</v>
      </c>
      <c r="CE27" s="273"/>
      <c r="CF27" s="440">
        <f t="shared" ca="1" si="20"/>
        <v>45.41</v>
      </c>
      <c r="CG27" s="440">
        <f t="shared" ca="1" si="20"/>
        <v>317.09084100000001</v>
      </c>
      <c r="CH27" s="274">
        <f t="shared" ca="1" si="55"/>
        <v>14399.09508981</v>
      </c>
      <c r="CI27" s="273"/>
      <c r="CJ27" s="440">
        <f t="shared" ca="1" si="21"/>
        <v>50.52</v>
      </c>
      <c r="CK27" s="440">
        <f t="shared" ca="1" si="21"/>
        <v>316.72127499999999</v>
      </c>
      <c r="CL27" s="274">
        <f t="shared" ca="1" si="56"/>
        <v>16000.758813</v>
      </c>
      <c r="CN27" s="440">
        <f t="shared" ca="1" si="22"/>
        <v>53.52</v>
      </c>
      <c r="CO27" s="440">
        <f t="shared" ca="1" si="22"/>
        <v>316.34069099999999</v>
      </c>
      <c r="CP27" s="274">
        <f t="shared" ca="1" si="57"/>
        <v>16930.553782319999</v>
      </c>
      <c r="CR27" s="440">
        <f t="shared" ca="1" si="23"/>
        <v>44.3</v>
      </c>
      <c r="CS27" s="440">
        <f t="shared" ca="1" si="23"/>
        <v>315.95051000000001</v>
      </c>
      <c r="CT27" s="274">
        <f t="shared" ca="1" si="58"/>
        <v>13996.607592999999</v>
      </c>
      <c r="CV27" s="440">
        <f t="shared" ca="1" si="24"/>
        <v>47.27</v>
      </c>
      <c r="CW27" s="440">
        <f t="shared" ca="1" si="24"/>
        <v>315.53451200000001</v>
      </c>
      <c r="CX27" s="274">
        <f t="shared" ca="1" si="59"/>
        <v>14915.316382240002</v>
      </c>
      <c r="CZ27" s="440">
        <f t="shared" ca="1" si="25"/>
        <v>45.5</v>
      </c>
      <c r="DA27" s="440">
        <f t="shared" ca="1" si="25"/>
        <v>315.31138700000002</v>
      </c>
      <c r="DB27" s="274">
        <f t="shared" ca="1" si="60"/>
        <v>14346.668108500002</v>
      </c>
      <c r="DD27" s="440">
        <f t="shared" ca="1" si="26"/>
        <v>42.39</v>
      </c>
      <c r="DE27" s="440">
        <f t="shared" ca="1" si="26"/>
        <v>315.29134599999998</v>
      </c>
      <c r="DF27" s="274">
        <f t="shared" ca="1" si="61"/>
        <v>13365.20015694</v>
      </c>
      <c r="DH27" s="440">
        <f t="shared" ca="1" si="27"/>
        <v>41.25</v>
      </c>
      <c r="DI27" s="440">
        <f t="shared" ca="1" si="27"/>
        <v>315.15413000000001</v>
      </c>
      <c r="DJ27" s="274">
        <f t="shared" ca="1" si="62"/>
        <v>13000.107862500001</v>
      </c>
      <c r="DL27" s="440">
        <f t="shared" ref="DL27:DM45" ca="1" si="72">OFFSET( INDIRECT( DL$6 &amp; DL$9 ), $EO27 - 1, DL$8 - 1 )</f>
        <v>42.02</v>
      </c>
      <c r="DM27" s="440">
        <f t="shared" ca="1" si="72"/>
        <v>315.12978199999998</v>
      </c>
      <c r="DN27" s="274">
        <f t="shared" ca="1" si="63"/>
        <v>13241.753439640001</v>
      </c>
      <c r="DP27" s="440">
        <f t="shared" ref="DP27:DQ45" ca="1" si="73">OFFSET( INDIRECT( DP$6 &amp; DP$9 ), $EO27 - 1, DP$8 - 1 )</f>
        <v>43.46</v>
      </c>
      <c r="DQ27" s="440">
        <f t="shared" ca="1" si="73"/>
        <v>277.20981899999998</v>
      </c>
      <c r="DR27" s="274">
        <f t="shared" ca="1" si="64"/>
        <v>12047.538733739999</v>
      </c>
      <c r="DT27" s="440">
        <f t="shared" ref="DT27:DU45" ca="1" si="74">OFFSET( INDIRECT( DT$6 &amp; DT$9 ), $EO27 - 1, DT$8 - 1 )</f>
        <v>39.08</v>
      </c>
      <c r="DU27" s="440">
        <f t="shared" ca="1" si="74"/>
        <v>314.80644100000001</v>
      </c>
      <c r="DV27" s="274">
        <f t="shared" ca="1" si="65"/>
        <v>12302.635714279999</v>
      </c>
      <c r="DX27" s="440">
        <f t="shared" ref="DX27:DY45" ca="1" si="75">OFFSET( INDIRECT( DX$6 &amp; DX$9 ), $EO27 - 1, DX$8 - 1 )</f>
        <v>38.229999999999997</v>
      </c>
      <c r="DY27" s="440">
        <f t="shared" ca="1" si="75"/>
        <v>301.047753</v>
      </c>
      <c r="DZ27" s="274">
        <f t="shared" ca="1" si="66"/>
        <v>11509.055597189999</v>
      </c>
      <c r="EB27" s="440">
        <f t="shared" ref="EB27:EC45" ca="1" si="76">OFFSET( INDIRECT( EB$6 &amp; EB$9 ), $EO27 - 1, EB$8 - 1 )</f>
        <v>38.81</v>
      </c>
      <c r="EC27" s="440">
        <f t="shared" ca="1" si="76"/>
        <v>178.05571599999999</v>
      </c>
      <c r="ED27" s="274">
        <f t="shared" ca="1" si="67"/>
        <v>6910.3423379599999</v>
      </c>
      <c r="EF27" s="251">
        <f t="shared" ref="EF27:EG45" ca="1" si="77">OFFSET( INDIRECT( EF$6 &amp; EF$9 ), $EO27 - 1, EF$8 - 1 )</f>
        <v>37.119999999999997</v>
      </c>
      <c r="EG27" s="251">
        <f t="shared" ca="1" si="77"/>
        <v>177.410167</v>
      </c>
      <c r="EH27" s="274">
        <f t="shared" ca="1" si="68"/>
        <v>6585.4653990399993</v>
      </c>
      <c r="EJ27" s="251">
        <f t="shared" ref="EJ27:EK45" ca="1" si="78">OFFSET( INDIRECT( EJ$6 &amp; EJ$9 ), $EO27 - 1, EJ$8 - 1 )</f>
        <v>36.07</v>
      </c>
      <c r="EK27" s="251">
        <f t="shared" ca="1" si="78"/>
        <v>177.497862</v>
      </c>
      <c r="EL27" s="274">
        <f t="shared" ca="1" si="69"/>
        <v>6402.3478823400001</v>
      </c>
      <c r="EO27" s="252">
        <f t="shared" ca="1" si="35"/>
        <v>48</v>
      </c>
    </row>
    <row r="28" spans="2:145" s="234" customFormat="1">
      <c r="B28" s="258">
        <f t="shared" ca="1" si="70"/>
        <v>19</v>
      </c>
      <c r="C28" s="249" t="str">
        <f t="shared" ca="1" si="71"/>
        <v>Exelon Corporation</v>
      </c>
      <c r="D28" s="236" t="str">
        <f t="shared" ca="1" si="71"/>
        <v>EXC</v>
      </c>
      <c r="E28" s="236">
        <f t="shared" ca="1" si="71"/>
        <v>4057056</v>
      </c>
      <c r="F28" s="250"/>
      <c r="G28" s="273"/>
      <c r="H28" s="440">
        <f t="shared" ref="H28:I45" ca="1" si="79">OFFSET( INDIRECT( H$6 &amp; H$9 ), $EO28 - 1, H$8 - 1 )</f>
        <v>36.81</v>
      </c>
      <c r="I28" s="440">
        <f t="shared" ca="1" si="79"/>
        <v>973</v>
      </c>
      <c r="J28" s="274">
        <f t="shared" ca="1" si="36"/>
        <v>35816.130000000005</v>
      </c>
      <c r="K28" s="273"/>
      <c r="L28" s="440">
        <f t="shared" ref="L28:M45" ca="1" si="80">OFFSET( INDIRECT( L$6 &amp; L$9 ), $EO28 - 1, L$8 - 1 )</f>
        <v>45.59</v>
      </c>
      <c r="M28" s="440">
        <f t="shared" ca="1" si="80"/>
        <v>973</v>
      </c>
      <c r="N28" s="274">
        <f t="shared" ca="1" si="37"/>
        <v>44359.07</v>
      </c>
      <c r="O28" s="273"/>
      <c r="P28" s="440">
        <f t="shared" ref="P28:Q45" ca="1" si="81">OFFSET( INDIRECT( P$6 &amp; P$9 ), $EO28 - 1, P$8 - 1 )</f>
        <v>48.31</v>
      </c>
      <c r="Q28" s="440">
        <f t="shared" ca="1" si="81"/>
        <v>972</v>
      </c>
      <c r="R28" s="274">
        <f t="shared" ca="1" si="38"/>
        <v>46957.32</v>
      </c>
      <c r="S28" s="273"/>
      <c r="T28" s="440">
        <f t="shared" ref="T28:U45" ca="1" si="82">OFFSET( INDIRECT( T$6 &amp; T$9 ), $EO28 - 1, T$8 - 1 )</f>
        <v>47.94</v>
      </c>
      <c r="U28" s="440">
        <f t="shared" ca="1" si="82"/>
        <v>971</v>
      </c>
      <c r="V28" s="274">
        <f t="shared" ca="1" si="39"/>
        <v>46549.74</v>
      </c>
      <c r="W28" s="273"/>
      <c r="X28" s="440">
        <f t="shared" ref="X28:Y45" ca="1" si="83">OFFSET( INDIRECT( X$6 &amp; X$9 ), $EO28 - 1, X$8 - 1 )</f>
        <v>50.13</v>
      </c>
      <c r="Y28" s="440">
        <f t="shared" ca="1" si="83"/>
        <v>967</v>
      </c>
      <c r="Z28" s="274">
        <f t="shared" ca="1" si="40"/>
        <v>48475.71</v>
      </c>
      <c r="AA28" s="273"/>
      <c r="AB28" s="440">
        <f t="shared" ref="AB28:AC45" ca="1" si="84">OFFSET( INDIRECT( AB$6 &amp; AB$9 ), $EO28 - 1, AB$8 - 1 )</f>
        <v>45.1</v>
      </c>
      <c r="AC28" s="440">
        <f t="shared" ca="1" si="84"/>
        <v>968</v>
      </c>
      <c r="AD28" s="274">
        <f t="shared" ca="1" si="41"/>
        <v>43656.800000000003</v>
      </c>
      <c r="AE28" s="273"/>
      <c r="AF28" s="440">
        <f t="shared" ref="AF28:AG45" ca="1" si="85">OFFSET( INDIRECT( AF$6 &amp; AF$9 ), $EO28 - 1, AF$8 - 1 )</f>
        <v>43.66</v>
      </c>
      <c r="AG28" s="440">
        <f t="shared" ca="1" si="85"/>
        <v>967</v>
      </c>
      <c r="AH28" s="274">
        <f t="shared" ca="1" si="42"/>
        <v>42219.219999999994</v>
      </c>
      <c r="AI28" s="273"/>
      <c r="AJ28" s="440">
        <f t="shared" ref="AJ28:AK45" ca="1" si="86">OFFSET( INDIRECT( AJ$6 &amp; AJ$9 ), $EO28 - 1, AJ$8 - 1 )</f>
        <v>42.6</v>
      </c>
      <c r="AK28" s="440">
        <f t="shared" ca="1" si="86"/>
        <v>966</v>
      </c>
      <c r="AL28" s="274">
        <f t="shared" ca="1" si="43"/>
        <v>41151.599999999999</v>
      </c>
      <c r="AM28" s="273"/>
      <c r="AN28" s="440">
        <f t="shared" ref="AN28:AO45" ca="1" si="87">OFFSET( INDIRECT( AN$6 &amp; AN$9 ), $EO28 - 1, AN$8 - 1 )</f>
        <v>39.01</v>
      </c>
      <c r="AO28" s="440">
        <f t="shared" ca="1" si="87"/>
        <v>964</v>
      </c>
      <c r="AP28" s="274">
        <f t="shared" ca="1" si="44"/>
        <v>37605.64</v>
      </c>
      <c r="AQ28" s="273"/>
      <c r="AR28" s="440">
        <f t="shared" ref="AR28:AS45" ca="1" si="88">OFFSET( INDIRECT( AR$6 &amp; AR$9 ), $EO28 - 1, AR$8 - 1 )</f>
        <v>39.409999999999997</v>
      </c>
      <c r="AS28" s="440">
        <f t="shared" ca="1" si="88"/>
        <v>962</v>
      </c>
      <c r="AT28" s="274">
        <f t="shared" ca="1" si="45"/>
        <v>37912.42</v>
      </c>
      <c r="AU28" s="273"/>
      <c r="AV28" s="440">
        <f t="shared" ref="AV28:AW45" ca="1" si="89">OFFSET( INDIRECT( AV$6 &amp; AV$9 ), $EO28 - 1, AV$8 - 1 )</f>
        <v>37.67</v>
      </c>
      <c r="AW28" s="440">
        <f t="shared" ca="1" si="89"/>
        <v>934</v>
      </c>
      <c r="AX28" s="274">
        <f t="shared" ca="1" si="46"/>
        <v>35183.78</v>
      </c>
      <c r="AY28" s="273"/>
      <c r="AZ28" s="440">
        <f t="shared" ref="AZ28:BA45" ca="1" si="90">OFFSET( INDIRECT( AZ$6 &amp; AZ$9 ), $EO28 - 1, AZ$8 - 1 )</f>
        <v>36.07</v>
      </c>
      <c r="BA28" s="440">
        <f t="shared" ca="1" si="90"/>
        <v>928</v>
      </c>
      <c r="BB28" s="274">
        <f t="shared" ca="1" si="47"/>
        <v>33472.959999999999</v>
      </c>
      <c r="BC28" s="273"/>
      <c r="BD28" s="440">
        <f t="shared" ref="BD28:BE45" ca="1" si="91">OFFSET( INDIRECT( BD$6 &amp; BD$9 ), $EO28 - 1, BD$8 - 1 )</f>
        <v>35.979999999999997</v>
      </c>
      <c r="BE28" s="440">
        <f t="shared" ca="1" si="91"/>
        <v>924</v>
      </c>
      <c r="BF28" s="274">
        <f t="shared" ca="1" si="48"/>
        <v>33245.519999999997</v>
      </c>
      <c r="BG28" s="273"/>
      <c r="BH28" s="440">
        <f t="shared" ref="BH28:BI45" ca="1" si="92">OFFSET( INDIRECT( BH$6 &amp; BH$9 ), $EO28 - 1, BH$8 - 1 )</f>
        <v>35.49</v>
      </c>
      <c r="BI28" s="440">
        <f t="shared" ca="1" si="92"/>
        <v>925</v>
      </c>
      <c r="BJ28" s="274">
        <f t="shared" ca="1" si="49"/>
        <v>32828.25</v>
      </c>
      <c r="BK28" s="273"/>
      <c r="BL28" s="440">
        <f t="shared" ref="BL28:BM45" ca="1" si="93">OFFSET( INDIRECT( BL$6 &amp; BL$9 ), $EO28 - 1, BL$8 - 1 )</f>
        <v>33.29</v>
      </c>
      <c r="BM28" s="440">
        <f t="shared" ca="1" si="93"/>
        <v>924</v>
      </c>
      <c r="BN28" s="274">
        <f t="shared" ca="1" si="50"/>
        <v>30759.96</v>
      </c>
      <c r="BO28" s="273"/>
      <c r="BP28" s="440">
        <f t="shared" ref="BP28:BQ45" ca="1" si="94">OFFSET( INDIRECT( BP$6 &amp; BP$9 ), $EO28 - 1, BP$8 - 1 )</f>
        <v>36.36</v>
      </c>
      <c r="BQ28" s="440">
        <f t="shared" ca="1" si="94"/>
        <v>923</v>
      </c>
      <c r="BR28" s="274">
        <f t="shared" ca="1" si="51"/>
        <v>33560.28</v>
      </c>
      <c r="BS28" s="273"/>
      <c r="BT28" s="440">
        <f t="shared" ref="BT28:BU45" ca="1" si="95">OFFSET( INDIRECT( BT$6 &amp; BT$9 ), $EO28 - 1, BT$8 - 1 )</f>
        <v>35.86</v>
      </c>
      <c r="BU28" s="440">
        <f t="shared" ca="1" si="95"/>
        <v>890</v>
      </c>
      <c r="BV28" s="274">
        <f t="shared" ca="1" si="52"/>
        <v>31915.399999999998</v>
      </c>
      <c r="BW28" s="273"/>
      <c r="BX28" s="440">
        <f t="shared" ref="BX28:BY45" ca="1" si="96">OFFSET( INDIRECT( BX$6 &amp; BX$9 ), $EO28 - 1, BX$8 - 1 )</f>
        <v>27.77</v>
      </c>
      <c r="BY28" s="440">
        <f t="shared" ca="1" si="96"/>
        <v>913</v>
      </c>
      <c r="BZ28" s="274">
        <f t="shared" ca="1" si="53"/>
        <v>25354.01</v>
      </c>
      <c r="CA28" s="273"/>
      <c r="CB28" s="440">
        <f t="shared" ref="CB28:CC45" ca="1" si="97">OFFSET( INDIRECT( CB$6 &amp; CB$9 ), $EO28 - 1, CB$8 - 1 )</f>
        <v>29.7</v>
      </c>
      <c r="CC28" s="440">
        <f t="shared" ca="1" si="97"/>
        <v>863</v>
      </c>
      <c r="CD28" s="274">
        <f t="shared" ca="1" si="54"/>
        <v>25631.1</v>
      </c>
      <c r="CE28" s="273"/>
      <c r="CF28" s="440">
        <f t="shared" ref="CF28:CG45" ca="1" si="98">OFFSET( INDIRECT( CF$6 &amp; CF$9 ), $EO28 - 1, CF$8 - 1 )</f>
        <v>31.42</v>
      </c>
      <c r="CG28" s="440">
        <f t="shared" ca="1" si="98"/>
        <v>862</v>
      </c>
      <c r="CH28" s="274">
        <f t="shared" ca="1" si="55"/>
        <v>27084.04</v>
      </c>
      <c r="CI28" s="273"/>
      <c r="CJ28" s="440">
        <f t="shared" ref="CJ28:CK45" ca="1" si="99">OFFSET( INDIRECT( CJ$6 &amp; CJ$9 ), $EO28 - 1, CJ$8 - 1 )</f>
        <v>33.61</v>
      </c>
      <c r="CK28" s="440">
        <f t="shared" ca="1" si="99"/>
        <v>861</v>
      </c>
      <c r="CL28" s="274">
        <f t="shared" ca="1" si="56"/>
        <v>28938.21</v>
      </c>
      <c r="CN28" s="440">
        <f t="shared" ref="CN28:CO45" ca="1" si="100">OFFSET( INDIRECT( CN$6 &amp; CN$9 ), $EO28 - 1, CN$8 - 1 )</f>
        <v>37.08</v>
      </c>
      <c r="CO28" s="440">
        <f t="shared" ca="1" si="100"/>
        <v>861</v>
      </c>
      <c r="CP28" s="274">
        <f t="shared" ca="1" si="57"/>
        <v>31925.879999999997</v>
      </c>
      <c r="CR28" s="440">
        <f t="shared" ref="CR28:CS45" ca="1" si="101">OFFSET( INDIRECT( CR$6 &amp; CR$9 ), $EO28 - 1, CR$8 - 1 )</f>
        <v>34.090000000000003</v>
      </c>
      <c r="CS28" s="440">
        <f t="shared" ca="1" si="101"/>
        <v>860</v>
      </c>
      <c r="CT28" s="274">
        <f t="shared" ca="1" si="58"/>
        <v>29317.4</v>
      </c>
      <c r="CV28" s="440">
        <f t="shared" ref="CV28:CW45" ca="1" si="102">OFFSET( INDIRECT( CV$6 &amp; CV$9 ), $EO28 - 1, CV$8 - 1 )</f>
        <v>36.479999999999997</v>
      </c>
      <c r="CW28" s="440">
        <f t="shared" ca="1" si="102"/>
        <v>858</v>
      </c>
      <c r="CX28" s="274">
        <f t="shared" ca="1" si="59"/>
        <v>31299.839999999997</v>
      </c>
      <c r="CZ28" s="440">
        <f t="shared" ref="CZ28:DA45" ca="1" si="103">OFFSET( INDIRECT( CZ$6 &amp; CZ$9 ), $EO28 - 1, CZ$8 - 1 )</f>
        <v>33.56</v>
      </c>
      <c r="DA28" s="440">
        <f t="shared" ca="1" si="103"/>
        <v>856</v>
      </c>
      <c r="DB28" s="274">
        <f t="shared" ca="1" si="60"/>
        <v>28727.360000000001</v>
      </c>
      <c r="DD28" s="440">
        <f t="shared" ref="DD28:DE45" ca="1" si="104">OFFSET( INDIRECT( DD$6 &amp; DD$9 ), $EO28 - 1, DD$8 - 1 )</f>
        <v>27.39</v>
      </c>
      <c r="DE28" s="440">
        <f t="shared" ca="1" si="104"/>
        <v>857</v>
      </c>
      <c r="DF28" s="274">
        <f t="shared" ca="1" si="61"/>
        <v>23473.23</v>
      </c>
      <c r="DH28" s="440">
        <f t="shared" ref="DH28:DI45" ca="1" si="105">OFFSET( INDIRECT( DH$6 &amp; DH$9 ), $EO28 - 1, DH$8 - 1 )</f>
        <v>29.64</v>
      </c>
      <c r="DI28" s="440">
        <f t="shared" ca="1" si="105"/>
        <v>856</v>
      </c>
      <c r="DJ28" s="274">
        <f t="shared" ca="1" si="62"/>
        <v>25371.84</v>
      </c>
      <c r="DL28" s="440">
        <f t="shared" ca="1" si="72"/>
        <v>30.88</v>
      </c>
      <c r="DM28" s="440">
        <f t="shared" ca="1" si="72"/>
        <v>855</v>
      </c>
      <c r="DN28" s="274">
        <f t="shared" ca="1" si="63"/>
        <v>26402.399999999998</v>
      </c>
      <c r="DP28" s="440">
        <f t="shared" ca="1" si="73"/>
        <v>34.479999999999997</v>
      </c>
      <c r="DQ28" s="440">
        <f t="shared" ca="1" si="73"/>
        <v>816</v>
      </c>
      <c r="DR28" s="274">
        <f t="shared" ca="1" si="64"/>
        <v>28135.679999999997</v>
      </c>
      <c r="DT28" s="440">
        <f t="shared" ca="1" si="74"/>
        <v>29.74</v>
      </c>
      <c r="DU28" s="440">
        <f t="shared" ca="1" si="74"/>
        <v>854</v>
      </c>
      <c r="DV28" s="274">
        <f t="shared" ca="1" si="65"/>
        <v>25397.96</v>
      </c>
      <c r="DX28" s="440">
        <f t="shared" ca="1" si="75"/>
        <v>35.58</v>
      </c>
      <c r="DY28" s="440">
        <f t="shared" ca="1" si="75"/>
        <v>853</v>
      </c>
      <c r="DZ28" s="274">
        <f t="shared" ca="1" si="66"/>
        <v>30349.739999999998</v>
      </c>
      <c r="EB28" s="440">
        <f t="shared" ca="1" si="76"/>
        <v>37.625</v>
      </c>
      <c r="EC28" s="440">
        <f t="shared" ca="1" si="76"/>
        <v>705</v>
      </c>
      <c r="ED28" s="274">
        <f t="shared" ca="1" si="67"/>
        <v>26525.625</v>
      </c>
      <c r="EF28" s="251">
        <f t="shared" ca="1" si="77"/>
        <v>39.21</v>
      </c>
      <c r="EG28" s="251">
        <f t="shared" ca="1" si="77"/>
        <v>663</v>
      </c>
      <c r="EH28" s="274">
        <f t="shared" ca="1" si="68"/>
        <v>25996.23</v>
      </c>
      <c r="EJ28" s="251">
        <f t="shared" ca="1" si="78"/>
        <v>43.37</v>
      </c>
      <c r="EK28" s="251">
        <f t="shared" ca="1" si="78"/>
        <v>663</v>
      </c>
      <c r="EL28" s="274">
        <f t="shared" ca="1" si="69"/>
        <v>28754.309999999998</v>
      </c>
      <c r="EO28" s="252">
        <f t="shared" ca="1" si="35"/>
        <v>97</v>
      </c>
    </row>
    <row r="29" spans="2:145" s="234" customFormat="1">
      <c r="B29" s="258">
        <f t="shared" ca="1" si="70"/>
        <v>20</v>
      </c>
      <c r="C29" s="249" t="str">
        <f t="shared" ca="1" si="71"/>
        <v>FirstEnergy Corp.</v>
      </c>
      <c r="D29" s="236" t="str">
        <f t="shared" ca="1" si="71"/>
        <v>FE</v>
      </c>
      <c r="E29" s="236">
        <f t="shared" ca="1" si="71"/>
        <v>4056944</v>
      </c>
      <c r="F29" s="250"/>
      <c r="G29" s="273"/>
      <c r="H29" s="440">
        <f t="shared" ca="1" si="79"/>
        <v>40.07</v>
      </c>
      <c r="I29" s="440">
        <f t="shared" ca="1" si="79"/>
        <v>535</v>
      </c>
      <c r="J29" s="274">
        <f t="shared" ca="1" si="36"/>
        <v>21437.45</v>
      </c>
      <c r="K29" s="273"/>
      <c r="L29" s="440">
        <f t="shared" ca="1" si="80"/>
        <v>48.6</v>
      </c>
      <c r="M29" s="440">
        <f t="shared" ca="1" si="80"/>
        <v>538</v>
      </c>
      <c r="N29" s="274">
        <f t="shared" ca="1" si="37"/>
        <v>26146.799999999999</v>
      </c>
      <c r="O29" s="273"/>
      <c r="P29" s="440">
        <f t="shared" ca="1" si="81"/>
        <v>48.23</v>
      </c>
      <c r="Q29" s="440">
        <f t="shared" ca="1" si="81"/>
        <v>532</v>
      </c>
      <c r="R29" s="274">
        <f t="shared" ca="1" si="38"/>
        <v>25658.359999999997</v>
      </c>
      <c r="S29" s="273"/>
      <c r="T29" s="440">
        <f t="shared" ca="1" si="82"/>
        <v>42.81</v>
      </c>
      <c r="U29" s="440">
        <f t="shared" ca="1" si="82"/>
        <v>530</v>
      </c>
      <c r="V29" s="274">
        <f t="shared" ca="1" si="39"/>
        <v>22689.300000000003</v>
      </c>
      <c r="W29" s="273"/>
      <c r="X29" s="440">
        <f t="shared" ca="1" si="83"/>
        <v>41.61</v>
      </c>
      <c r="Y29" s="440">
        <f t="shared" ca="1" si="83"/>
        <v>492</v>
      </c>
      <c r="Z29" s="274">
        <f t="shared" ca="1" si="40"/>
        <v>20472.12</v>
      </c>
      <c r="AA29" s="273"/>
      <c r="AB29" s="440">
        <f t="shared" ca="1" si="84"/>
        <v>37.549999999999997</v>
      </c>
      <c r="AC29" s="440">
        <f t="shared" ca="1" si="84"/>
        <v>503</v>
      </c>
      <c r="AD29" s="274">
        <f t="shared" ca="1" si="41"/>
        <v>18887.649999999998</v>
      </c>
      <c r="AE29" s="273"/>
      <c r="AF29" s="440">
        <f t="shared" ca="1" si="85"/>
        <v>37.17</v>
      </c>
      <c r="AG29" s="440">
        <f t="shared" ca="1" si="85"/>
        <v>477</v>
      </c>
      <c r="AH29" s="274">
        <f t="shared" ca="1" si="42"/>
        <v>17730.09</v>
      </c>
      <c r="AI29" s="273"/>
      <c r="AJ29" s="440">
        <f t="shared" ca="1" si="86"/>
        <v>35.909999999999997</v>
      </c>
      <c r="AK29" s="440">
        <f t="shared" ca="1" si="86"/>
        <v>476</v>
      </c>
      <c r="AL29" s="274">
        <f t="shared" ca="1" si="43"/>
        <v>17093.16</v>
      </c>
      <c r="AM29" s="273"/>
      <c r="AN29" s="440">
        <f t="shared" ca="1" si="87"/>
        <v>34.01</v>
      </c>
      <c r="AO29" s="440">
        <f t="shared" ca="1" si="87"/>
        <v>445</v>
      </c>
      <c r="AP29" s="274">
        <f t="shared" ca="1" si="44"/>
        <v>15134.449999999999</v>
      </c>
      <c r="AQ29" s="273"/>
      <c r="AR29" s="440">
        <f t="shared" ca="1" si="88"/>
        <v>30.62</v>
      </c>
      <c r="AS29" s="440">
        <f t="shared" ca="1" si="88"/>
        <v>444</v>
      </c>
      <c r="AT29" s="274">
        <f t="shared" ca="1" si="45"/>
        <v>13595.28</v>
      </c>
      <c r="AU29" s="273"/>
      <c r="AV29" s="440">
        <f t="shared" ca="1" si="89"/>
        <v>30.83</v>
      </c>
      <c r="AW29" s="440">
        <f t="shared" ca="1" si="89"/>
        <v>444</v>
      </c>
      <c r="AX29" s="274">
        <f t="shared" ca="1" si="46"/>
        <v>13688.519999999999</v>
      </c>
      <c r="AY29" s="273"/>
      <c r="AZ29" s="440">
        <f t="shared" ca="1" si="90"/>
        <v>29.16</v>
      </c>
      <c r="BA29" s="440">
        <f t="shared" ca="1" si="90"/>
        <v>443</v>
      </c>
      <c r="BB29" s="274">
        <f t="shared" ca="1" si="47"/>
        <v>12917.88</v>
      </c>
      <c r="BC29" s="273"/>
      <c r="BD29" s="440">
        <f t="shared" ca="1" si="91"/>
        <v>31.82</v>
      </c>
      <c r="BE29" s="440">
        <f t="shared" ca="1" si="91"/>
        <v>426</v>
      </c>
      <c r="BF29" s="274">
        <f t="shared" ca="1" si="48"/>
        <v>13555.32</v>
      </c>
      <c r="BG29" s="273"/>
      <c r="BH29" s="440">
        <f t="shared" ca="1" si="92"/>
        <v>30.97</v>
      </c>
      <c r="BI29" s="440">
        <f t="shared" ca="1" si="92"/>
        <v>425</v>
      </c>
      <c r="BJ29" s="274">
        <f t="shared" ca="1" si="49"/>
        <v>13162.25</v>
      </c>
      <c r="BK29" s="273"/>
      <c r="BL29" s="440">
        <f t="shared" ca="1" si="93"/>
        <v>33.08</v>
      </c>
      <c r="BM29" s="440">
        <f t="shared" ca="1" si="93"/>
        <v>425</v>
      </c>
      <c r="BN29" s="274">
        <f t="shared" ca="1" si="50"/>
        <v>14059</v>
      </c>
      <c r="BO29" s="273"/>
      <c r="BP29" s="440">
        <f t="shared" ca="1" si="94"/>
        <v>34.909999999999997</v>
      </c>
      <c r="BQ29" s="440">
        <f t="shared" ca="1" si="94"/>
        <v>424</v>
      </c>
      <c r="BR29" s="274">
        <f t="shared" ca="1" si="51"/>
        <v>14801.839999999998</v>
      </c>
      <c r="BS29" s="273"/>
      <c r="BT29" s="440">
        <f t="shared" ca="1" si="95"/>
        <v>35.97</v>
      </c>
      <c r="BU29" s="440">
        <f t="shared" ca="1" si="95"/>
        <v>422</v>
      </c>
      <c r="BV29" s="274">
        <f t="shared" ca="1" si="52"/>
        <v>15179.34</v>
      </c>
      <c r="BW29" s="273"/>
      <c r="BX29" s="440">
        <f t="shared" ca="1" si="96"/>
        <v>31.73</v>
      </c>
      <c r="BY29" s="440">
        <f t="shared" ca="1" si="96"/>
        <v>423</v>
      </c>
      <c r="BZ29" s="274">
        <f t="shared" ca="1" si="53"/>
        <v>13421.79</v>
      </c>
      <c r="CA29" s="273"/>
      <c r="CB29" s="440">
        <f t="shared" ca="1" si="97"/>
        <v>31.31</v>
      </c>
      <c r="CC29" s="440">
        <f t="shared" ca="1" si="97"/>
        <v>422</v>
      </c>
      <c r="CD29" s="274">
        <f t="shared" ca="1" si="54"/>
        <v>13212.82</v>
      </c>
      <c r="CE29" s="273"/>
      <c r="CF29" s="440">
        <f t="shared" ca="1" si="98"/>
        <v>32.549999999999997</v>
      </c>
      <c r="CG29" s="440">
        <f t="shared" ca="1" si="98"/>
        <v>421</v>
      </c>
      <c r="CH29" s="274">
        <f t="shared" ca="1" si="55"/>
        <v>13703.55</v>
      </c>
      <c r="CI29" s="273"/>
      <c r="CJ29" s="440">
        <f t="shared" ca="1" si="99"/>
        <v>35.06</v>
      </c>
      <c r="CK29" s="440">
        <f t="shared" ca="1" si="99"/>
        <v>421</v>
      </c>
      <c r="CL29" s="274">
        <f t="shared" ca="1" si="56"/>
        <v>14760.26</v>
      </c>
      <c r="CN29" s="440">
        <f t="shared" ca="1" si="100"/>
        <v>38.99</v>
      </c>
      <c r="CO29" s="440">
        <f t="shared" ca="1" si="100"/>
        <v>420</v>
      </c>
      <c r="CP29" s="274">
        <f t="shared" ca="1" si="57"/>
        <v>16375.800000000001</v>
      </c>
      <c r="CR29" s="440">
        <f t="shared" ca="1" si="101"/>
        <v>33.57</v>
      </c>
      <c r="CS29" s="440">
        <f t="shared" ca="1" si="101"/>
        <v>420</v>
      </c>
      <c r="CT29" s="274">
        <f t="shared" ca="1" si="58"/>
        <v>14099.4</v>
      </c>
      <c r="CV29" s="440">
        <f t="shared" ca="1" si="102"/>
        <v>34.72</v>
      </c>
      <c r="CW29" s="440">
        <f t="shared" ca="1" si="102"/>
        <v>419</v>
      </c>
      <c r="CX29" s="274">
        <f t="shared" ca="1" si="59"/>
        <v>14547.68</v>
      </c>
      <c r="CZ29" s="440">
        <f t="shared" ca="1" si="103"/>
        <v>34.03</v>
      </c>
      <c r="DA29" s="440">
        <f t="shared" ca="1" si="103"/>
        <v>418</v>
      </c>
      <c r="DB29" s="274">
        <f t="shared" ca="1" si="60"/>
        <v>14224.54</v>
      </c>
      <c r="DD29" s="440">
        <f t="shared" ca="1" si="104"/>
        <v>32.979999999999997</v>
      </c>
      <c r="DE29" s="440">
        <f t="shared" ca="1" si="104"/>
        <v>418</v>
      </c>
      <c r="DF29" s="274">
        <f t="shared" ca="1" si="61"/>
        <v>13785.64</v>
      </c>
      <c r="DH29" s="440">
        <f t="shared" ca="1" si="105"/>
        <v>36.450000000000003</v>
      </c>
      <c r="DI29" s="440">
        <f t="shared" ca="1" si="105"/>
        <v>418</v>
      </c>
      <c r="DJ29" s="274">
        <f t="shared" ca="1" si="62"/>
        <v>15236.1</v>
      </c>
      <c r="DL29" s="440">
        <f t="shared" ca="1" si="72"/>
        <v>37.340000000000003</v>
      </c>
      <c r="DM29" s="440">
        <f t="shared" ca="1" si="72"/>
        <v>418</v>
      </c>
      <c r="DN29" s="274">
        <f t="shared" ca="1" si="63"/>
        <v>15608.12</v>
      </c>
      <c r="DP29" s="440">
        <f t="shared" ca="1" si="73"/>
        <v>42.2</v>
      </c>
      <c r="DQ29" s="440">
        <f t="shared" ca="1" si="73"/>
        <v>418</v>
      </c>
      <c r="DR29" s="274">
        <f t="shared" ca="1" si="64"/>
        <v>17639.600000000002</v>
      </c>
      <c r="DT29" s="440">
        <f t="shared" ca="1" si="74"/>
        <v>41.76</v>
      </c>
      <c r="DU29" s="440">
        <f t="shared" ca="1" si="74"/>
        <v>417</v>
      </c>
      <c r="DV29" s="274">
        <f t="shared" ca="1" si="65"/>
        <v>17413.919999999998</v>
      </c>
      <c r="DX29" s="440">
        <f t="shared" ca="1" si="75"/>
        <v>44.1</v>
      </c>
      <c r="DY29" s="440">
        <f t="shared" ca="1" si="75"/>
        <v>417</v>
      </c>
      <c r="DZ29" s="274">
        <f t="shared" ca="1" si="66"/>
        <v>18389.7</v>
      </c>
      <c r="EB29" s="440">
        <f t="shared" ca="1" si="76"/>
        <v>49.19</v>
      </c>
      <c r="EC29" s="440">
        <f t="shared" ca="1" si="76"/>
        <v>418</v>
      </c>
      <c r="ED29" s="274">
        <f t="shared" ca="1" si="67"/>
        <v>20561.419999999998</v>
      </c>
      <c r="EF29" s="251">
        <f t="shared" ca="1" si="77"/>
        <v>45.59</v>
      </c>
      <c r="EG29" s="251">
        <f t="shared" ca="1" si="77"/>
        <v>399</v>
      </c>
      <c r="EH29" s="274">
        <f t="shared" ca="1" si="68"/>
        <v>18190.41</v>
      </c>
      <c r="EJ29" s="251">
        <f t="shared" ca="1" si="78"/>
        <v>44.3</v>
      </c>
      <c r="EK29" s="251">
        <f t="shared" ca="1" si="78"/>
        <v>418</v>
      </c>
      <c r="EL29" s="274">
        <f t="shared" ca="1" si="69"/>
        <v>18517.399999999998</v>
      </c>
      <c r="EO29" s="252">
        <f t="shared" ca="1" si="35"/>
        <v>49</v>
      </c>
    </row>
    <row r="30" spans="2:145" s="234" customFormat="1">
      <c r="B30" s="258">
        <f t="shared" ca="1" si="70"/>
        <v>21</v>
      </c>
      <c r="C30" s="249" t="str">
        <f t="shared" ca="1" si="71"/>
        <v>Hawaiian Electric Industries, Inc.</v>
      </c>
      <c r="D30" s="236" t="str">
        <f t="shared" ca="1" si="71"/>
        <v>HE</v>
      </c>
      <c r="E30" s="236">
        <f t="shared" ca="1" si="71"/>
        <v>1031123</v>
      </c>
      <c r="F30" s="250"/>
      <c r="G30" s="273"/>
      <c r="H30" s="440">
        <f t="shared" ca="1" si="79"/>
        <v>43.05</v>
      </c>
      <c r="I30" s="440">
        <f t="shared" ca="1" si="79"/>
        <v>108.949</v>
      </c>
      <c r="J30" s="274">
        <f t="shared" ca="1" si="36"/>
        <v>4690.2544499999995</v>
      </c>
      <c r="K30" s="273"/>
      <c r="L30" s="440">
        <f t="shared" ca="1" si="80"/>
        <v>46.86</v>
      </c>
      <c r="M30" s="440">
        <f t="shared" ca="1" si="80"/>
        <v>108.973</v>
      </c>
      <c r="N30" s="274">
        <f t="shared" ca="1" si="37"/>
        <v>5106.4747799999996</v>
      </c>
      <c r="O30" s="273"/>
      <c r="P30" s="440">
        <f t="shared" ca="1" si="81"/>
        <v>45.61</v>
      </c>
      <c r="Q30" s="440">
        <f t="shared" ca="1" si="81"/>
        <v>108.938</v>
      </c>
      <c r="R30" s="274">
        <f t="shared" ca="1" si="38"/>
        <v>4968.6621800000003</v>
      </c>
      <c r="S30" s="273"/>
      <c r="T30" s="440">
        <f t="shared" ca="1" si="82"/>
        <v>43.55</v>
      </c>
      <c r="U30" s="440">
        <f t="shared" ca="1" si="82"/>
        <v>108.913</v>
      </c>
      <c r="V30" s="274">
        <f t="shared" ca="1" si="39"/>
        <v>4743.1611499999999</v>
      </c>
      <c r="W30" s="273"/>
      <c r="X30" s="440">
        <f t="shared" ca="1" si="83"/>
        <v>40.770000000000003</v>
      </c>
      <c r="Y30" s="440">
        <f t="shared" ca="1" si="83"/>
        <v>108.855</v>
      </c>
      <c r="Z30" s="274">
        <f t="shared" ca="1" si="40"/>
        <v>4438.0183500000003</v>
      </c>
      <c r="AA30" s="273"/>
      <c r="AB30" s="440">
        <f t="shared" ca="1" si="84"/>
        <v>36.619999999999997</v>
      </c>
      <c r="AC30" s="440">
        <f t="shared" ca="1" si="84"/>
        <v>108.879</v>
      </c>
      <c r="AD30" s="274">
        <f t="shared" ca="1" si="41"/>
        <v>3987.1489799999999</v>
      </c>
      <c r="AE30" s="273"/>
      <c r="AF30" s="440">
        <f t="shared" ca="1" si="85"/>
        <v>35.590000000000003</v>
      </c>
      <c r="AG30" s="440">
        <f t="shared" ca="1" si="85"/>
        <v>108.842</v>
      </c>
      <c r="AH30" s="274">
        <f t="shared" ca="1" si="42"/>
        <v>3873.6867800000005</v>
      </c>
      <c r="AI30" s="273"/>
      <c r="AJ30" s="440">
        <f t="shared" ca="1" si="86"/>
        <v>34.299999999999997</v>
      </c>
      <c r="AK30" s="440">
        <f t="shared" ca="1" si="86"/>
        <v>108.818</v>
      </c>
      <c r="AL30" s="274">
        <f t="shared" ca="1" si="43"/>
        <v>3732.4573999999998</v>
      </c>
      <c r="AM30" s="273"/>
      <c r="AN30" s="440">
        <f t="shared" ca="1" si="87"/>
        <v>34.380000000000003</v>
      </c>
      <c r="AO30" s="440">
        <f t="shared" ca="1" si="87"/>
        <v>108.786</v>
      </c>
      <c r="AP30" s="274">
        <f t="shared" ca="1" si="44"/>
        <v>3740.0626800000005</v>
      </c>
      <c r="AQ30" s="273"/>
      <c r="AR30" s="440">
        <f t="shared" ca="1" si="88"/>
        <v>36.15</v>
      </c>
      <c r="AS30" s="440">
        <f t="shared" ca="1" si="88"/>
        <v>108.786</v>
      </c>
      <c r="AT30" s="274">
        <f t="shared" ca="1" si="45"/>
        <v>3932.6138999999998</v>
      </c>
      <c r="AU30" s="273"/>
      <c r="AV30" s="440">
        <f t="shared" ca="1" si="89"/>
        <v>33.369999999999997</v>
      </c>
      <c r="AW30" s="440">
        <f t="shared" ca="1" si="89"/>
        <v>108.75</v>
      </c>
      <c r="AX30" s="274">
        <f t="shared" ca="1" si="46"/>
        <v>3628.9874999999997</v>
      </c>
      <c r="AY30" s="273"/>
      <c r="AZ30" s="440">
        <f t="shared" ca="1" si="90"/>
        <v>32.380000000000003</v>
      </c>
      <c r="BA30" s="440">
        <f t="shared" ca="1" si="90"/>
        <v>108.67400000000001</v>
      </c>
      <c r="BB30" s="274">
        <f t="shared" ca="1" si="47"/>
        <v>3518.8641200000006</v>
      </c>
      <c r="BC30" s="273"/>
      <c r="BD30" s="440">
        <f t="shared" ca="1" si="91"/>
        <v>33.31</v>
      </c>
      <c r="BE30" s="440">
        <f t="shared" ca="1" si="91"/>
        <v>108.102</v>
      </c>
      <c r="BF30" s="274">
        <f t="shared" ca="1" si="48"/>
        <v>3600.8776200000002</v>
      </c>
      <c r="BG30" s="273"/>
      <c r="BH30" s="440">
        <f t="shared" ca="1" si="92"/>
        <v>33.07</v>
      </c>
      <c r="BI30" s="440">
        <f t="shared" ca="1" si="92"/>
        <v>108.268</v>
      </c>
      <c r="BJ30" s="274">
        <f t="shared" ca="1" si="49"/>
        <v>3580.4227599999999</v>
      </c>
      <c r="BK30" s="273"/>
      <c r="BL30" s="440">
        <f t="shared" ca="1" si="93"/>
        <v>29.85</v>
      </c>
      <c r="BM30" s="440">
        <f t="shared" ca="1" si="93"/>
        <v>107.962</v>
      </c>
      <c r="BN30" s="274">
        <f t="shared" ca="1" si="50"/>
        <v>3222.6657000000005</v>
      </c>
      <c r="BO30" s="273"/>
      <c r="BP30" s="440">
        <f t="shared" ca="1" si="94"/>
        <v>32.79</v>
      </c>
      <c r="BQ30" s="440">
        <f t="shared" ca="1" si="94"/>
        <v>107.62</v>
      </c>
      <c r="BR30" s="274">
        <f t="shared" ca="1" si="51"/>
        <v>3528.8598000000002</v>
      </c>
      <c r="BS30" s="273"/>
      <c r="BT30" s="440">
        <f t="shared" ca="1" si="95"/>
        <v>32.4</v>
      </c>
      <c r="BU30" s="440">
        <f t="shared" ca="1" si="95"/>
        <v>106.41800000000001</v>
      </c>
      <c r="BV30" s="274">
        <f t="shared" ca="1" si="52"/>
        <v>3447.9432000000002</v>
      </c>
      <c r="BW30" s="273"/>
      <c r="BX30" s="440">
        <f t="shared" ca="1" si="96"/>
        <v>28.95</v>
      </c>
      <c r="BY30" s="440">
        <f t="shared" ca="1" si="96"/>
        <v>107.45699999999999</v>
      </c>
      <c r="BZ30" s="274">
        <f t="shared" ca="1" si="53"/>
        <v>3110.88015</v>
      </c>
      <c r="CA30" s="273"/>
      <c r="CB30" s="440">
        <f t="shared" ca="1" si="97"/>
        <v>28.69</v>
      </c>
      <c r="CC30" s="440">
        <f t="shared" ca="1" si="97"/>
        <v>107.41800000000001</v>
      </c>
      <c r="CD30" s="274">
        <f t="shared" ca="1" si="54"/>
        <v>3081.8224200000004</v>
      </c>
      <c r="CE30" s="273"/>
      <c r="CF30" s="440">
        <f t="shared" ca="1" si="98"/>
        <v>29.73</v>
      </c>
      <c r="CG30" s="440">
        <f t="shared" ca="1" si="98"/>
        <v>103.28100000000001</v>
      </c>
      <c r="CH30" s="274">
        <f t="shared" ca="1" si="55"/>
        <v>3070.5441300000002</v>
      </c>
      <c r="CI30" s="273"/>
      <c r="CJ30" s="440">
        <f t="shared" ca="1" si="99"/>
        <v>32.119999999999997</v>
      </c>
      <c r="CK30" s="440">
        <f t="shared" ca="1" si="99"/>
        <v>102.56100000000001</v>
      </c>
      <c r="CL30" s="274">
        <f t="shared" ca="1" si="56"/>
        <v>3294.2593200000001</v>
      </c>
      <c r="CN30" s="440">
        <f t="shared" ca="1" si="100"/>
        <v>33.479999999999997</v>
      </c>
      <c r="CO30" s="440">
        <f t="shared" ca="1" si="100"/>
        <v>102.416</v>
      </c>
      <c r="CP30" s="274">
        <f t="shared" ca="1" si="57"/>
        <v>3428.8876799999994</v>
      </c>
      <c r="CR30" s="440">
        <f t="shared" ca="1" si="101"/>
        <v>26.55</v>
      </c>
      <c r="CS30" s="440">
        <f t="shared" ca="1" si="101"/>
        <v>101.495</v>
      </c>
      <c r="CT30" s="274">
        <f t="shared" ca="1" si="58"/>
        <v>2694.6922500000001</v>
      </c>
      <c r="CV30" s="440">
        <f t="shared" ca="1" si="102"/>
        <v>25.32</v>
      </c>
      <c r="CW30" s="440">
        <f t="shared" ca="1" si="102"/>
        <v>101.38200000000001</v>
      </c>
      <c r="CX30" s="274">
        <f t="shared" ca="1" si="59"/>
        <v>2566.99224</v>
      </c>
      <c r="CZ30" s="440">
        <f t="shared" ca="1" si="103"/>
        <v>25.42</v>
      </c>
      <c r="DA30" s="440">
        <f t="shared" ca="1" si="103"/>
        <v>98.968000000000004</v>
      </c>
      <c r="DB30" s="274">
        <f t="shared" ca="1" si="60"/>
        <v>2515.7665600000005</v>
      </c>
      <c r="DD30" s="440">
        <f t="shared" ca="1" si="104"/>
        <v>26.06</v>
      </c>
      <c r="DE30" s="440">
        <f t="shared" ca="1" si="104"/>
        <v>99.203999999999994</v>
      </c>
      <c r="DF30" s="274">
        <f t="shared" ca="1" si="61"/>
        <v>2585.2562399999997</v>
      </c>
      <c r="DH30" s="440">
        <f t="shared" ca="1" si="105"/>
        <v>25.1</v>
      </c>
      <c r="DI30" s="440">
        <f t="shared" ca="1" si="105"/>
        <v>98.66</v>
      </c>
      <c r="DJ30" s="274">
        <f t="shared" ca="1" si="62"/>
        <v>2476.366</v>
      </c>
      <c r="DL30" s="440">
        <f t="shared" ca="1" si="72"/>
        <v>25.31</v>
      </c>
      <c r="DM30" s="440">
        <f t="shared" ca="1" si="72"/>
        <v>98.135000000000005</v>
      </c>
      <c r="DN30" s="274">
        <f t="shared" ca="1" si="63"/>
        <v>2483.7968500000002</v>
      </c>
      <c r="DP30" s="440">
        <f t="shared" ca="1" si="73"/>
        <v>27.71</v>
      </c>
      <c r="DQ30" s="440">
        <f t="shared" ca="1" si="73"/>
        <v>96.908000000000001</v>
      </c>
      <c r="DR30" s="274">
        <f t="shared" ca="1" si="64"/>
        <v>2685.3206800000003</v>
      </c>
      <c r="DT30" s="440">
        <f t="shared" ca="1" si="74"/>
        <v>25.14</v>
      </c>
      <c r="DU30" s="440">
        <f t="shared" ca="1" si="74"/>
        <v>97.156999999999996</v>
      </c>
      <c r="DV30" s="274">
        <f t="shared" ca="1" si="65"/>
        <v>2442.5269800000001</v>
      </c>
      <c r="DX30" s="440">
        <f t="shared" ca="1" si="75"/>
        <v>26.31</v>
      </c>
      <c r="DY30" s="440">
        <f t="shared" ca="1" si="75"/>
        <v>96.692999999999998</v>
      </c>
      <c r="DZ30" s="274">
        <f t="shared" ca="1" si="66"/>
        <v>2543.9928299999997</v>
      </c>
      <c r="EB30" s="440">
        <f t="shared" ca="1" si="76"/>
        <v>28.54</v>
      </c>
      <c r="EC30" s="440">
        <f t="shared" ca="1" si="76"/>
        <v>96.167000000000002</v>
      </c>
      <c r="ED30" s="274">
        <f t="shared" ca="1" si="67"/>
        <v>2744.6061799999998</v>
      </c>
      <c r="EF30" s="251">
        <f t="shared" ca="1" si="77"/>
        <v>25.35</v>
      </c>
      <c r="EG30" s="251">
        <f t="shared" ca="1" si="77"/>
        <v>95.51</v>
      </c>
      <c r="EH30" s="274">
        <f t="shared" ca="1" si="68"/>
        <v>2421.1785000000004</v>
      </c>
      <c r="EJ30" s="251">
        <f t="shared" ca="1" si="78"/>
        <v>26.48</v>
      </c>
      <c r="EK30" s="251">
        <f t="shared" ca="1" si="78"/>
        <v>95.873000000000005</v>
      </c>
      <c r="EL30" s="274">
        <f t="shared" ca="1" si="69"/>
        <v>2538.71704</v>
      </c>
      <c r="EO30" s="252">
        <f t="shared" ca="1" si="35"/>
        <v>37</v>
      </c>
    </row>
    <row r="31" spans="2:145" s="234" customFormat="1">
      <c r="B31" s="258">
        <f t="shared" ca="1" si="70"/>
        <v>22</v>
      </c>
      <c r="C31" s="249" t="str">
        <f t="shared" ca="1" si="71"/>
        <v>IDACORP, Inc.</v>
      </c>
      <c r="D31" s="236" t="str">
        <f t="shared" ca="1" si="71"/>
        <v>IDA</v>
      </c>
      <c r="E31" s="236">
        <f t="shared" ca="1" si="71"/>
        <v>4056949</v>
      </c>
      <c r="F31" s="250"/>
      <c r="G31" s="273"/>
      <c r="H31" s="440">
        <f t="shared" ca="1" si="79"/>
        <v>87.79</v>
      </c>
      <c r="I31" s="440">
        <f t="shared" ca="1" si="79"/>
        <v>50.502000000000002</v>
      </c>
      <c r="J31" s="274">
        <f t="shared" ca="1" si="36"/>
        <v>4433.5705800000005</v>
      </c>
      <c r="K31" s="273"/>
      <c r="L31" s="440">
        <f t="shared" ca="1" si="80"/>
        <v>106.8</v>
      </c>
      <c r="M31" s="440">
        <f t="shared" ca="1" si="80"/>
        <v>50.499000000000002</v>
      </c>
      <c r="N31" s="274">
        <f t="shared" ca="1" si="37"/>
        <v>5393.2932000000001</v>
      </c>
      <c r="O31" s="273"/>
      <c r="P31" s="440">
        <f t="shared" ca="1" si="81"/>
        <v>112.67</v>
      </c>
      <c r="Q31" s="440">
        <f t="shared" ca="1" si="81"/>
        <v>50.499000000000002</v>
      </c>
      <c r="R31" s="274">
        <f t="shared" ca="1" si="38"/>
        <v>5689.7223300000005</v>
      </c>
      <c r="S31" s="273"/>
      <c r="T31" s="440">
        <f t="shared" ca="1" si="82"/>
        <v>100.43</v>
      </c>
      <c r="U31" s="440">
        <f t="shared" ca="1" si="82"/>
        <v>50.509</v>
      </c>
      <c r="V31" s="274">
        <f t="shared" ca="1" si="39"/>
        <v>5072.6188700000002</v>
      </c>
      <c r="W31" s="273"/>
      <c r="X31" s="440">
        <f t="shared" ca="1" si="83"/>
        <v>99.54</v>
      </c>
      <c r="Y31" s="440">
        <f t="shared" ca="1" si="83"/>
        <v>50.432000000000002</v>
      </c>
      <c r="Z31" s="274">
        <f t="shared" ca="1" si="40"/>
        <v>5020.0012800000004</v>
      </c>
      <c r="AA31" s="273"/>
      <c r="AB31" s="440">
        <f t="shared" ca="1" si="84"/>
        <v>93.06</v>
      </c>
      <c r="AC31" s="440">
        <f t="shared" ca="1" si="84"/>
        <v>50.433999999999997</v>
      </c>
      <c r="AD31" s="274">
        <f t="shared" ca="1" si="41"/>
        <v>4693.3880399999998</v>
      </c>
      <c r="AE31" s="273"/>
      <c r="AF31" s="440">
        <f t="shared" ca="1" si="85"/>
        <v>99.23</v>
      </c>
      <c r="AG31" s="440">
        <f t="shared" ca="1" si="85"/>
        <v>50.435000000000002</v>
      </c>
      <c r="AH31" s="274">
        <f t="shared" ca="1" si="42"/>
        <v>5004.6650500000005</v>
      </c>
      <c r="AI31" s="273"/>
      <c r="AJ31" s="440">
        <f t="shared" ca="1" si="86"/>
        <v>92.24</v>
      </c>
      <c r="AK31" s="440">
        <f t="shared" ca="1" si="86"/>
        <v>50.244999999999997</v>
      </c>
      <c r="AL31" s="274">
        <f t="shared" ca="1" si="43"/>
        <v>4634.5987999999998</v>
      </c>
      <c r="AM31" s="273"/>
      <c r="AN31" s="440">
        <f t="shared" ca="1" si="87"/>
        <v>88.27</v>
      </c>
      <c r="AO31" s="440">
        <f t="shared" ca="1" si="87"/>
        <v>50.360999999999997</v>
      </c>
      <c r="AP31" s="274">
        <f t="shared" ca="1" si="44"/>
        <v>4445.3654699999997</v>
      </c>
      <c r="AQ31" s="273"/>
      <c r="AR31" s="440">
        <f t="shared" ca="1" si="88"/>
        <v>91.36</v>
      </c>
      <c r="AS31" s="440">
        <f t="shared" ca="1" si="88"/>
        <v>50.362000000000002</v>
      </c>
      <c r="AT31" s="274">
        <f t="shared" ca="1" si="45"/>
        <v>4601.0723200000002</v>
      </c>
      <c r="AU31" s="273"/>
      <c r="AV31" s="440">
        <f t="shared" ca="1" si="89"/>
        <v>87.93</v>
      </c>
      <c r="AW31" s="440">
        <f t="shared" ca="1" si="89"/>
        <v>50.363</v>
      </c>
      <c r="AX31" s="274">
        <f t="shared" ca="1" si="46"/>
        <v>4428.4185900000002</v>
      </c>
      <c r="AY31" s="273"/>
      <c r="AZ31" s="440">
        <f t="shared" ca="1" si="90"/>
        <v>85.35</v>
      </c>
      <c r="BA31" s="440">
        <f t="shared" ca="1" si="90"/>
        <v>50.356000000000002</v>
      </c>
      <c r="BB31" s="274">
        <f t="shared" ca="1" si="47"/>
        <v>4297.8845999999994</v>
      </c>
      <c r="BC31" s="273"/>
      <c r="BD31" s="440">
        <f t="shared" ca="1" si="91"/>
        <v>82.96</v>
      </c>
      <c r="BE31" s="440">
        <f t="shared" ca="1" si="91"/>
        <v>50.298000000000002</v>
      </c>
      <c r="BF31" s="274">
        <f t="shared" ca="1" si="48"/>
        <v>4172.7220799999996</v>
      </c>
      <c r="BG31" s="273"/>
      <c r="BH31" s="440">
        <f t="shared" ca="1" si="92"/>
        <v>80.55</v>
      </c>
      <c r="BI31" s="440">
        <f t="shared" ca="1" si="92"/>
        <v>50.295999999999999</v>
      </c>
      <c r="BJ31" s="274">
        <f t="shared" ca="1" si="49"/>
        <v>4051.3427999999999</v>
      </c>
      <c r="BK31" s="273"/>
      <c r="BL31" s="440">
        <f t="shared" ca="1" si="93"/>
        <v>78.28</v>
      </c>
      <c r="BM31" s="440">
        <f t="shared" ca="1" si="93"/>
        <v>50.302</v>
      </c>
      <c r="BN31" s="274">
        <f t="shared" ca="1" si="50"/>
        <v>3937.6405599999998</v>
      </c>
      <c r="BO31" s="273"/>
      <c r="BP31" s="440">
        <f t="shared" ca="1" si="94"/>
        <v>81.349999999999994</v>
      </c>
      <c r="BQ31" s="440">
        <f t="shared" ca="1" si="94"/>
        <v>50.298999999999999</v>
      </c>
      <c r="BR31" s="274">
        <f t="shared" ca="1" si="51"/>
        <v>4091.8236499999998</v>
      </c>
      <c r="BS31" s="273"/>
      <c r="BT31" s="440">
        <f t="shared" ca="1" si="95"/>
        <v>74.59</v>
      </c>
      <c r="BU31" s="440">
        <f t="shared" ca="1" si="95"/>
        <v>50.22</v>
      </c>
      <c r="BV31" s="274">
        <f t="shared" ca="1" si="52"/>
        <v>3745.9097999999999</v>
      </c>
      <c r="BW31" s="273"/>
      <c r="BX31" s="440">
        <f t="shared" ca="1" si="96"/>
        <v>68</v>
      </c>
      <c r="BY31" s="440">
        <f t="shared" ca="1" si="96"/>
        <v>50.219000000000001</v>
      </c>
      <c r="BZ31" s="274">
        <f t="shared" ca="1" si="53"/>
        <v>3414.8920000000003</v>
      </c>
      <c r="CA31" s="273"/>
      <c r="CB31" s="440">
        <f t="shared" ca="1" si="97"/>
        <v>64.709999999999994</v>
      </c>
      <c r="CC31" s="440">
        <f t="shared" ca="1" si="97"/>
        <v>50.222000000000001</v>
      </c>
      <c r="CD31" s="274">
        <f t="shared" ca="1" si="54"/>
        <v>3249.8656199999996</v>
      </c>
      <c r="CE31" s="273"/>
      <c r="CF31" s="440">
        <f t="shared" ca="1" si="98"/>
        <v>56.14</v>
      </c>
      <c r="CG31" s="440">
        <f t="shared" ca="1" si="98"/>
        <v>50.22</v>
      </c>
      <c r="CH31" s="274">
        <f t="shared" ca="1" si="55"/>
        <v>2819.3508000000002</v>
      </c>
      <c r="CI31" s="273"/>
      <c r="CJ31" s="440">
        <f t="shared" ca="1" si="99"/>
        <v>62.87</v>
      </c>
      <c r="CK31" s="440">
        <f t="shared" ca="1" si="99"/>
        <v>50.131</v>
      </c>
      <c r="CL31" s="274">
        <f t="shared" ca="1" si="56"/>
        <v>3151.7359699999997</v>
      </c>
      <c r="CN31" s="440">
        <f t="shared" ca="1" si="100"/>
        <v>66.19</v>
      </c>
      <c r="CO31" s="440">
        <f t="shared" ca="1" si="100"/>
        <v>50.128999999999998</v>
      </c>
      <c r="CP31" s="274">
        <f t="shared" ca="1" si="57"/>
        <v>3318.0385099999999</v>
      </c>
      <c r="CR31" s="440">
        <f t="shared" ca="1" si="101"/>
        <v>53.61</v>
      </c>
      <c r="CS31" s="440">
        <f t="shared" ca="1" si="101"/>
        <v>50.133000000000003</v>
      </c>
      <c r="CT31" s="274">
        <f t="shared" ca="1" si="58"/>
        <v>2687.63013</v>
      </c>
      <c r="CV31" s="440">
        <f t="shared" ca="1" si="102"/>
        <v>57.83</v>
      </c>
      <c r="CW31" s="440">
        <f t="shared" ca="1" si="102"/>
        <v>50.131</v>
      </c>
      <c r="CX31" s="274">
        <f t="shared" ca="1" si="59"/>
        <v>2899.07573</v>
      </c>
      <c r="CZ31" s="440">
        <f t="shared" ca="1" si="103"/>
        <v>55.47</v>
      </c>
      <c r="DA31" s="440">
        <f t="shared" ca="1" si="103"/>
        <v>50.052</v>
      </c>
      <c r="DB31" s="274">
        <f t="shared" ca="1" si="60"/>
        <v>2776.3844399999998</v>
      </c>
      <c r="DD31" s="440">
        <f t="shared" ca="1" si="104"/>
        <v>51.84</v>
      </c>
      <c r="DE31" s="440">
        <f t="shared" ca="1" si="104"/>
        <v>50.055999999999997</v>
      </c>
      <c r="DF31" s="274">
        <f t="shared" ca="1" si="61"/>
        <v>2594.9030400000001</v>
      </c>
      <c r="DH31" s="440">
        <f t="shared" ca="1" si="105"/>
        <v>48.4</v>
      </c>
      <c r="DI31" s="440">
        <f t="shared" ca="1" si="105"/>
        <v>50.055999999999997</v>
      </c>
      <c r="DJ31" s="274">
        <f t="shared" ca="1" si="62"/>
        <v>2422.7103999999999</v>
      </c>
      <c r="DL31" s="440">
        <f t="shared" ca="1" si="72"/>
        <v>47.76</v>
      </c>
      <c r="DM31" s="440">
        <f t="shared" ca="1" si="72"/>
        <v>50.039000000000001</v>
      </c>
      <c r="DN31" s="274">
        <f t="shared" ca="1" si="63"/>
        <v>2389.8626399999998</v>
      </c>
      <c r="DP31" s="440">
        <f t="shared" ca="1" si="73"/>
        <v>48.27</v>
      </c>
      <c r="DQ31" s="440">
        <f t="shared" ca="1" si="73"/>
        <v>49.93</v>
      </c>
      <c r="DR31" s="274">
        <f t="shared" ca="1" si="64"/>
        <v>2410.1211000000003</v>
      </c>
      <c r="DT31" s="440">
        <f t="shared" ca="1" si="74"/>
        <v>43.35</v>
      </c>
      <c r="DU31" s="440">
        <f t="shared" ca="1" si="74"/>
        <v>49.966000000000001</v>
      </c>
      <c r="DV31" s="274">
        <f t="shared" ca="1" si="65"/>
        <v>2166.0261</v>
      </c>
      <c r="DX31" s="440">
        <f t="shared" ca="1" si="75"/>
        <v>43.27</v>
      </c>
      <c r="DY31" s="440">
        <f t="shared" ca="1" si="75"/>
        <v>49.927</v>
      </c>
      <c r="DZ31" s="274">
        <f t="shared" ca="1" si="66"/>
        <v>2160.3412900000003</v>
      </c>
      <c r="EB31" s="440">
        <f t="shared" ca="1" si="76"/>
        <v>42.08</v>
      </c>
      <c r="EC31" s="440">
        <f t="shared" ca="1" si="76"/>
        <v>49.86</v>
      </c>
      <c r="ED31" s="274">
        <f t="shared" ca="1" si="67"/>
        <v>2098.1088</v>
      </c>
      <c r="EF31" s="251">
        <f t="shared" ca="1" si="77"/>
        <v>41.12</v>
      </c>
      <c r="EG31" s="251">
        <f t="shared" ca="1" si="77"/>
        <v>49.457000000000001</v>
      </c>
      <c r="EH31" s="274">
        <f t="shared" ca="1" si="68"/>
        <v>2033.67184</v>
      </c>
      <c r="EJ31" s="251">
        <f t="shared" ca="1" si="78"/>
        <v>42.41</v>
      </c>
      <c r="EK31" s="251">
        <f t="shared" ca="1" si="78"/>
        <v>49.52</v>
      </c>
      <c r="EL31" s="274">
        <f t="shared" ca="1" si="69"/>
        <v>2100.1432</v>
      </c>
      <c r="EO31" s="252">
        <f t="shared" ca="1" si="35"/>
        <v>39</v>
      </c>
    </row>
    <row r="32" spans="2:145" s="234" customFormat="1">
      <c r="B32" s="258">
        <f t="shared" ca="1" si="70"/>
        <v>23</v>
      </c>
      <c r="C32" s="249" t="str">
        <f t="shared" ca="1" si="71"/>
        <v>MDU Resources Group, Inc.</v>
      </c>
      <c r="D32" s="236" t="str">
        <f t="shared" ca="1" si="71"/>
        <v>MDU</v>
      </c>
      <c r="E32" s="236">
        <f t="shared" ca="1" si="71"/>
        <v>4010692</v>
      </c>
      <c r="F32" s="250"/>
      <c r="G32" s="273"/>
      <c r="H32" s="440">
        <f t="shared" ca="1" si="79"/>
        <v>21.5</v>
      </c>
      <c r="I32" s="440">
        <f t="shared" ca="1" si="79"/>
        <v>198.61199999999999</v>
      </c>
      <c r="J32" s="274">
        <f t="shared" ca="1" si="36"/>
        <v>4270.1579999999994</v>
      </c>
      <c r="K32" s="273"/>
      <c r="L32" s="440">
        <f t="shared" ca="1" si="80"/>
        <v>29.71</v>
      </c>
      <c r="M32" s="440">
        <f t="shared" ca="1" si="80"/>
        <v>199.34299999999999</v>
      </c>
      <c r="N32" s="274">
        <f t="shared" ca="1" si="37"/>
        <v>5922.4805299999998</v>
      </c>
      <c r="O32" s="273"/>
      <c r="P32" s="440">
        <f t="shared" ca="1" si="81"/>
        <v>28.19</v>
      </c>
      <c r="Q32" s="440">
        <f t="shared" ca="1" si="81"/>
        <v>198.27</v>
      </c>
      <c r="R32" s="274">
        <f t="shared" ca="1" si="38"/>
        <v>5589.2313000000004</v>
      </c>
      <c r="S32" s="273"/>
      <c r="T32" s="440">
        <f t="shared" ca="1" si="82"/>
        <v>25.8</v>
      </c>
      <c r="U32" s="440">
        <f t="shared" ca="1" si="82"/>
        <v>196.40100000000001</v>
      </c>
      <c r="V32" s="274">
        <f t="shared" ca="1" si="39"/>
        <v>5067.1458000000002</v>
      </c>
      <c r="W32" s="273"/>
      <c r="X32" s="440">
        <f t="shared" ca="1" si="83"/>
        <v>25.83</v>
      </c>
      <c r="Y32" s="440">
        <f t="shared" ca="1" si="83"/>
        <v>195.72</v>
      </c>
      <c r="Z32" s="274">
        <f t="shared" ca="1" si="40"/>
        <v>5055.4475999999995</v>
      </c>
      <c r="AA32" s="273"/>
      <c r="AB32" s="440">
        <f t="shared" ca="1" si="84"/>
        <v>23.84</v>
      </c>
      <c r="AC32" s="440">
        <f t="shared" ca="1" si="84"/>
        <v>196.018</v>
      </c>
      <c r="AD32" s="274">
        <f t="shared" ca="1" si="41"/>
        <v>4673.0691200000001</v>
      </c>
      <c r="AE32" s="273"/>
      <c r="AF32" s="440">
        <f t="shared" ca="1" si="85"/>
        <v>25.69</v>
      </c>
      <c r="AG32" s="440">
        <f t="shared" ca="1" si="85"/>
        <v>195.524</v>
      </c>
      <c r="AH32" s="274">
        <f t="shared" ca="1" si="42"/>
        <v>5023.0115599999999</v>
      </c>
      <c r="AI32" s="273"/>
      <c r="AJ32" s="440">
        <f t="shared" ca="1" si="86"/>
        <v>28.68</v>
      </c>
      <c r="AK32" s="440">
        <f t="shared" ca="1" si="86"/>
        <v>195.304</v>
      </c>
      <c r="AL32" s="274">
        <f t="shared" ca="1" si="43"/>
        <v>5601.3187200000002</v>
      </c>
      <c r="AM32" s="273"/>
      <c r="AN32" s="440">
        <f t="shared" ca="1" si="87"/>
        <v>28.16</v>
      </c>
      <c r="AO32" s="440">
        <f t="shared" ca="1" si="87"/>
        <v>195.304</v>
      </c>
      <c r="AP32" s="274">
        <f t="shared" ca="1" si="44"/>
        <v>5499.7606400000004</v>
      </c>
      <c r="AQ32" s="273"/>
      <c r="AR32" s="440">
        <f t="shared" ca="1" si="88"/>
        <v>26.88</v>
      </c>
      <c r="AS32" s="440">
        <f t="shared" ca="1" si="88"/>
        <v>195.304</v>
      </c>
      <c r="AT32" s="274">
        <f t="shared" ca="1" si="45"/>
        <v>5249.7715200000002</v>
      </c>
      <c r="AU32" s="273"/>
      <c r="AV32" s="440">
        <f t="shared" ca="1" si="89"/>
        <v>25.95</v>
      </c>
      <c r="AW32" s="440">
        <f t="shared" ca="1" si="89"/>
        <v>195.304</v>
      </c>
      <c r="AX32" s="274">
        <f t="shared" ca="1" si="46"/>
        <v>5068.1387999999997</v>
      </c>
      <c r="AY32" s="273"/>
      <c r="AZ32" s="440">
        <f t="shared" ca="1" si="90"/>
        <v>26.2</v>
      </c>
      <c r="BA32" s="440">
        <f t="shared" ca="1" si="90"/>
        <v>195.304</v>
      </c>
      <c r="BB32" s="274">
        <f t="shared" ca="1" si="47"/>
        <v>5116.9647999999997</v>
      </c>
      <c r="BC32" s="273"/>
      <c r="BD32" s="440">
        <f t="shared" ca="1" si="91"/>
        <v>27.37</v>
      </c>
      <c r="BE32" s="440">
        <f t="shared" ca="1" si="91"/>
        <v>195.29900000000001</v>
      </c>
      <c r="BF32" s="274">
        <f t="shared" ca="1" si="48"/>
        <v>5345.3336300000001</v>
      </c>
      <c r="BG32" s="273"/>
      <c r="BH32" s="440">
        <f t="shared" ca="1" si="92"/>
        <v>28.77</v>
      </c>
      <c r="BI32" s="440">
        <f t="shared" ca="1" si="92"/>
        <v>195.304</v>
      </c>
      <c r="BJ32" s="274">
        <f t="shared" ca="1" si="49"/>
        <v>5618.8960799999995</v>
      </c>
      <c r="BK32" s="273"/>
      <c r="BL32" s="440">
        <f t="shared" ca="1" si="93"/>
        <v>25.44</v>
      </c>
      <c r="BM32" s="440">
        <f t="shared" ca="1" si="93"/>
        <v>195.304</v>
      </c>
      <c r="BN32" s="274">
        <f t="shared" ca="1" si="50"/>
        <v>4968.5337600000003</v>
      </c>
      <c r="BO32" s="273"/>
      <c r="BP32" s="440">
        <f t="shared" ca="1" si="94"/>
        <v>24</v>
      </c>
      <c r="BQ32" s="440">
        <f t="shared" ca="1" si="94"/>
        <v>195.28399999999999</v>
      </c>
      <c r="BR32" s="274">
        <f t="shared" ca="1" si="51"/>
        <v>4686.8159999999998</v>
      </c>
      <c r="BS32" s="273"/>
      <c r="BT32" s="440">
        <f t="shared" ca="1" si="95"/>
        <v>19.46</v>
      </c>
      <c r="BU32" s="440">
        <f t="shared" ca="1" si="95"/>
        <v>194.928</v>
      </c>
      <c r="BV32" s="274">
        <f t="shared" ca="1" si="52"/>
        <v>3793.2988800000003</v>
      </c>
      <c r="BW32" s="273"/>
      <c r="BX32" s="440">
        <f t="shared" ca="1" si="96"/>
        <v>18.32</v>
      </c>
      <c r="BY32" s="440">
        <f t="shared" ca="1" si="96"/>
        <v>195.15100000000001</v>
      </c>
      <c r="BZ32" s="274">
        <f t="shared" ca="1" si="53"/>
        <v>3575.1663200000003</v>
      </c>
      <c r="CA32" s="273"/>
      <c r="CB32" s="440">
        <f t="shared" ca="1" si="97"/>
        <v>17.2</v>
      </c>
      <c r="CC32" s="440">
        <f t="shared" ca="1" si="97"/>
        <v>194.80500000000001</v>
      </c>
      <c r="CD32" s="274">
        <f t="shared" ca="1" si="54"/>
        <v>3350.6460000000002</v>
      </c>
      <c r="CE32" s="273"/>
      <c r="CF32" s="440">
        <f t="shared" ca="1" si="98"/>
        <v>19.53</v>
      </c>
      <c r="CG32" s="440">
        <f t="shared" ca="1" si="98"/>
        <v>194.47900000000001</v>
      </c>
      <c r="CH32" s="274">
        <f t="shared" ca="1" si="55"/>
        <v>3798.1748700000003</v>
      </c>
      <c r="CI32" s="273"/>
      <c r="CJ32" s="440">
        <f t="shared" ca="1" si="99"/>
        <v>21.34</v>
      </c>
      <c r="CK32" s="440">
        <f t="shared" ca="1" si="99"/>
        <v>194.136</v>
      </c>
      <c r="CL32" s="274">
        <f t="shared" ca="1" si="56"/>
        <v>4142.8622399999995</v>
      </c>
      <c r="CN32" s="440">
        <f t="shared" ca="1" si="100"/>
        <v>23.5</v>
      </c>
      <c r="CO32" s="440">
        <f t="shared" ca="1" si="100"/>
        <v>193.94900000000001</v>
      </c>
      <c r="CP32" s="274">
        <f t="shared" ca="1" si="57"/>
        <v>4557.8015000000005</v>
      </c>
      <c r="CR32" s="440">
        <f t="shared" ca="1" si="101"/>
        <v>27.81</v>
      </c>
      <c r="CS32" s="440">
        <f t="shared" ca="1" si="101"/>
        <v>192.06</v>
      </c>
      <c r="CT32" s="274">
        <f t="shared" ca="1" si="58"/>
        <v>5341.1885999999995</v>
      </c>
      <c r="CV32" s="440">
        <f t="shared" ca="1" si="102"/>
        <v>35.1</v>
      </c>
      <c r="CW32" s="440">
        <f t="shared" ca="1" si="102"/>
        <v>189.82</v>
      </c>
      <c r="CX32" s="274">
        <f t="shared" ca="1" si="59"/>
        <v>6662.6819999999998</v>
      </c>
      <c r="CZ32" s="440">
        <f t="shared" ca="1" si="103"/>
        <v>34.31</v>
      </c>
      <c r="DA32" s="440">
        <f t="shared" ca="1" si="103"/>
        <v>188.85499999999999</v>
      </c>
      <c r="DB32" s="274">
        <f t="shared" ca="1" si="60"/>
        <v>6479.6150500000003</v>
      </c>
      <c r="DD32" s="440">
        <f t="shared" ca="1" si="104"/>
        <v>30.55</v>
      </c>
      <c r="DE32" s="440">
        <f t="shared" ca="1" si="104"/>
        <v>188.83099999999999</v>
      </c>
      <c r="DF32" s="274">
        <f t="shared" ca="1" si="61"/>
        <v>5768.7870499999999</v>
      </c>
      <c r="DH32" s="440">
        <f t="shared" ca="1" si="105"/>
        <v>27.97</v>
      </c>
      <c r="DI32" s="440">
        <f t="shared" ca="1" si="105"/>
        <v>188.83099999999999</v>
      </c>
      <c r="DJ32" s="274">
        <f t="shared" ca="1" si="62"/>
        <v>5281.6030699999992</v>
      </c>
      <c r="DL32" s="440">
        <f t="shared" ca="1" si="72"/>
        <v>25.91</v>
      </c>
      <c r="DM32" s="440">
        <f t="shared" ca="1" si="72"/>
        <v>188.83099999999999</v>
      </c>
      <c r="DN32" s="274">
        <f t="shared" ca="1" si="63"/>
        <v>4892.61121</v>
      </c>
      <c r="DP32" s="440">
        <f t="shared" ca="1" si="73"/>
        <v>24.99</v>
      </c>
      <c r="DQ32" s="440">
        <f t="shared" ca="1" si="73"/>
        <v>188.82599999999999</v>
      </c>
      <c r="DR32" s="274">
        <f t="shared" ca="1" si="64"/>
        <v>4718.7617399999999</v>
      </c>
      <c r="DT32" s="440">
        <f t="shared" ca="1" si="74"/>
        <v>21.24</v>
      </c>
      <c r="DU32" s="440">
        <f t="shared" ca="1" si="74"/>
        <v>188.83099999999999</v>
      </c>
      <c r="DV32" s="274">
        <f t="shared" ca="1" si="65"/>
        <v>4010.7704399999993</v>
      </c>
      <c r="DX32" s="440">
        <f t="shared" ca="1" si="75"/>
        <v>22.04</v>
      </c>
      <c r="DY32" s="440">
        <f t="shared" ca="1" si="75"/>
        <v>188.83099999999999</v>
      </c>
      <c r="DZ32" s="274">
        <f t="shared" ca="1" si="66"/>
        <v>4161.8352399999994</v>
      </c>
      <c r="EB32" s="440">
        <f t="shared" ca="1" si="76"/>
        <v>21.61</v>
      </c>
      <c r="EC32" s="440">
        <f t="shared" ca="1" si="76"/>
        <v>188.81100000000001</v>
      </c>
      <c r="ED32" s="274">
        <f t="shared" ca="1" si="67"/>
        <v>4080.2057100000002</v>
      </c>
      <c r="EF32" s="251">
        <f t="shared" ca="1" si="77"/>
        <v>22.39</v>
      </c>
      <c r="EG32" s="251">
        <f t="shared" ca="1" si="77"/>
        <v>188.76300000000001</v>
      </c>
      <c r="EH32" s="274">
        <f t="shared" ca="1" si="68"/>
        <v>4226.4035700000004</v>
      </c>
      <c r="EJ32" s="251">
        <f t="shared" ca="1" si="78"/>
        <v>21.46</v>
      </c>
      <c r="EK32" s="251">
        <f t="shared" ca="1" si="78"/>
        <v>188.79400000000001</v>
      </c>
      <c r="EL32" s="274">
        <f t="shared" ca="1" si="69"/>
        <v>4051.5192400000005</v>
      </c>
      <c r="EO32" s="252">
        <f t="shared" ca="1" si="35"/>
        <v>112</v>
      </c>
    </row>
    <row r="33" spans="2:145" s="234" customFormat="1">
      <c r="B33" s="258">
        <f t="shared" ca="1" si="70"/>
        <v>24</v>
      </c>
      <c r="C33" s="249" t="str">
        <f t="shared" ca="1" si="71"/>
        <v>MGE Energy, Inc.</v>
      </c>
      <c r="D33" s="236" t="str">
        <f t="shared" ca="1" si="71"/>
        <v>MGEE</v>
      </c>
      <c r="E33" s="236">
        <f t="shared" ca="1" si="71"/>
        <v>4072883</v>
      </c>
      <c r="F33" s="250"/>
      <c r="G33" s="273"/>
      <c r="H33" s="440">
        <f t="shared" ca="1" si="79"/>
        <v>65.47</v>
      </c>
      <c r="I33" s="440">
        <f t="shared" ca="1" si="79"/>
        <v>34.667999999999999</v>
      </c>
      <c r="J33" s="274">
        <f t="shared" ca="1" si="36"/>
        <v>2269.71396</v>
      </c>
      <c r="K33" s="273"/>
      <c r="L33" s="440">
        <f t="shared" ca="1" si="80"/>
        <v>78.819999999999993</v>
      </c>
      <c r="M33" s="440">
        <f t="shared" ca="1" si="80"/>
        <v>34.667999999999999</v>
      </c>
      <c r="N33" s="274">
        <f t="shared" ca="1" si="37"/>
        <v>2732.5317599999998</v>
      </c>
      <c r="O33" s="273"/>
      <c r="P33" s="440">
        <f t="shared" ca="1" si="81"/>
        <v>79.87</v>
      </c>
      <c r="Q33" s="440">
        <f t="shared" ca="1" si="81"/>
        <v>34.667999999999999</v>
      </c>
      <c r="R33" s="274">
        <f t="shared" ca="1" si="38"/>
        <v>2768.93316</v>
      </c>
      <c r="S33" s="273"/>
      <c r="T33" s="440">
        <f t="shared" ca="1" si="82"/>
        <v>73.08</v>
      </c>
      <c r="U33" s="440">
        <f t="shared" ca="1" si="82"/>
        <v>34.667999999999999</v>
      </c>
      <c r="V33" s="274">
        <f t="shared" ca="1" si="39"/>
        <v>2533.5374400000001</v>
      </c>
      <c r="W33" s="273"/>
      <c r="X33" s="440">
        <f t="shared" ca="1" si="83"/>
        <v>67.97</v>
      </c>
      <c r="Y33" s="440">
        <f t="shared" ca="1" si="83"/>
        <v>34.667999999999999</v>
      </c>
      <c r="Z33" s="274">
        <f t="shared" ca="1" si="40"/>
        <v>2356.3839600000001</v>
      </c>
      <c r="AA33" s="273"/>
      <c r="AB33" s="440">
        <f t="shared" ca="1" si="84"/>
        <v>59.96</v>
      </c>
      <c r="AC33" s="440">
        <f t="shared" ca="1" si="84"/>
        <v>34.667999999999999</v>
      </c>
      <c r="AD33" s="274">
        <f t="shared" ca="1" si="41"/>
        <v>2078.69328</v>
      </c>
      <c r="AE33" s="273"/>
      <c r="AF33" s="440">
        <f t="shared" ca="1" si="85"/>
        <v>63.85</v>
      </c>
      <c r="AG33" s="440">
        <f t="shared" ca="1" si="85"/>
        <v>34.667999999999999</v>
      </c>
      <c r="AH33" s="274">
        <f t="shared" ca="1" si="42"/>
        <v>2213.5518000000002</v>
      </c>
      <c r="AI33" s="273"/>
      <c r="AJ33" s="440">
        <f t="shared" ca="1" si="86"/>
        <v>63.05</v>
      </c>
      <c r="AK33" s="440">
        <f t="shared" ca="1" si="86"/>
        <v>34.667999999999999</v>
      </c>
      <c r="AL33" s="274">
        <f t="shared" ca="1" si="43"/>
        <v>2185.8173999999999</v>
      </c>
      <c r="AM33" s="273"/>
      <c r="AN33" s="440">
        <f t="shared" ca="1" si="87"/>
        <v>56.1</v>
      </c>
      <c r="AO33" s="440">
        <f t="shared" ca="1" si="87"/>
        <v>34.667999999999999</v>
      </c>
      <c r="AP33" s="274">
        <f t="shared" ca="1" si="44"/>
        <v>1944.8748000000001</v>
      </c>
      <c r="AQ33" s="273"/>
      <c r="AR33" s="440">
        <f t="shared" ca="1" si="88"/>
        <v>63.1</v>
      </c>
      <c r="AS33" s="440">
        <f t="shared" ca="1" si="88"/>
        <v>34.667999999999999</v>
      </c>
      <c r="AT33" s="274">
        <f t="shared" ca="1" si="45"/>
        <v>2187.5508</v>
      </c>
      <c r="AU33" s="273"/>
      <c r="AV33" s="440">
        <f t="shared" ca="1" si="89"/>
        <v>64.599999999999994</v>
      </c>
      <c r="AW33" s="440">
        <f t="shared" ca="1" si="89"/>
        <v>34.667999999999999</v>
      </c>
      <c r="AX33" s="274">
        <f t="shared" ca="1" si="46"/>
        <v>2239.5527999999999</v>
      </c>
      <c r="AY33" s="273"/>
      <c r="AZ33" s="440">
        <f t="shared" ca="1" si="90"/>
        <v>64.349999999999994</v>
      </c>
      <c r="BA33" s="440">
        <f t="shared" ca="1" si="90"/>
        <v>34.667999999999999</v>
      </c>
      <c r="BB33" s="274">
        <f t="shared" ca="1" si="47"/>
        <v>2230.8857999999996</v>
      </c>
      <c r="BC33" s="273"/>
      <c r="BD33" s="440">
        <f t="shared" ca="1" si="91"/>
        <v>65</v>
      </c>
      <c r="BE33" s="440">
        <f t="shared" ca="1" si="91"/>
        <v>34.667999999999999</v>
      </c>
      <c r="BF33" s="274">
        <f t="shared" ca="1" si="48"/>
        <v>2253.42</v>
      </c>
      <c r="BG33" s="273"/>
      <c r="BH33" s="440">
        <f t="shared" ca="1" si="92"/>
        <v>65.3</v>
      </c>
      <c r="BI33" s="440">
        <f t="shared" ca="1" si="92"/>
        <v>34.667999999999999</v>
      </c>
      <c r="BJ33" s="274">
        <f t="shared" ca="1" si="49"/>
        <v>2263.8204000000001</v>
      </c>
      <c r="BK33" s="273"/>
      <c r="BL33" s="440">
        <f t="shared" ca="1" si="93"/>
        <v>56.51</v>
      </c>
      <c r="BM33" s="440">
        <f t="shared" ca="1" si="93"/>
        <v>34.667999999999999</v>
      </c>
      <c r="BN33" s="274">
        <f t="shared" ca="1" si="50"/>
        <v>1959.0886799999998</v>
      </c>
      <c r="BO33" s="273"/>
      <c r="BP33" s="440">
        <f t="shared" ca="1" si="94"/>
        <v>56.52</v>
      </c>
      <c r="BQ33" s="440">
        <f t="shared" ca="1" si="94"/>
        <v>34.667999999999999</v>
      </c>
      <c r="BR33" s="274">
        <f t="shared" ca="1" si="51"/>
        <v>1959.4353600000002</v>
      </c>
      <c r="BS33" s="273"/>
      <c r="BT33" s="440">
        <f t="shared" ca="1" si="95"/>
        <v>52.25</v>
      </c>
      <c r="BU33" s="440">
        <f t="shared" ca="1" si="95"/>
        <v>34.667999999999999</v>
      </c>
      <c r="BV33" s="274">
        <f t="shared" ca="1" si="52"/>
        <v>1811.403</v>
      </c>
      <c r="BW33" s="273"/>
      <c r="BX33" s="440">
        <f t="shared" ca="1" si="96"/>
        <v>46.4</v>
      </c>
      <c r="BY33" s="440">
        <f t="shared" ca="1" si="96"/>
        <v>34.667999999999999</v>
      </c>
      <c r="BZ33" s="274">
        <f t="shared" ca="1" si="53"/>
        <v>1608.5952</v>
      </c>
      <c r="CA33" s="273"/>
      <c r="CB33" s="440">
        <f t="shared" ca="1" si="97"/>
        <v>41.19</v>
      </c>
      <c r="CC33" s="440">
        <f t="shared" ca="1" si="97"/>
        <v>34.667999999999999</v>
      </c>
      <c r="CD33" s="274">
        <f t="shared" ca="1" si="54"/>
        <v>1427.9749199999999</v>
      </c>
      <c r="CE33" s="273"/>
      <c r="CF33" s="440">
        <f t="shared" ca="1" si="98"/>
        <v>38.729999999999997</v>
      </c>
      <c r="CG33" s="440">
        <f t="shared" ca="1" si="98"/>
        <v>34.667999999999999</v>
      </c>
      <c r="CH33" s="274">
        <f t="shared" ca="1" si="55"/>
        <v>1342.6916399999998</v>
      </c>
      <c r="CI33" s="273"/>
      <c r="CJ33" s="440">
        <f t="shared" ca="1" si="99"/>
        <v>44.32</v>
      </c>
      <c r="CK33" s="440">
        <f t="shared" ca="1" si="99"/>
        <v>34.667999999999999</v>
      </c>
      <c r="CL33" s="274">
        <f t="shared" ca="1" si="56"/>
        <v>1536.48576</v>
      </c>
      <c r="CN33" s="440">
        <f t="shared" ca="1" si="100"/>
        <v>45.61</v>
      </c>
      <c r="CO33" s="440">
        <f t="shared" ca="1" si="100"/>
        <v>34.667999999999999</v>
      </c>
      <c r="CP33" s="274">
        <f t="shared" ca="1" si="57"/>
        <v>1581.20748</v>
      </c>
      <c r="CR33" s="440">
        <f t="shared" ca="1" si="101"/>
        <v>37.26</v>
      </c>
      <c r="CS33" s="440">
        <f t="shared" ca="1" si="101"/>
        <v>34.667999999999999</v>
      </c>
      <c r="CT33" s="274">
        <f t="shared" ca="1" si="58"/>
        <v>1291.7296799999999</v>
      </c>
      <c r="CV33" s="440">
        <f t="shared" ca="1" si="102"/>
        <v>39.51</v>
      </c>
      <c r="CW33" s="440">
        <f t="shared" ca="1" si="102"/>
        <v>34.667999999999999</v>
      </c>
      <c r="CX33" s="274">
        <f t="shared" ca="1" si="59"/>
        <v>1369.7326799999998</v>
      </c>
      <c r="CZ33" s="440">
        <f t="shared" ca="1" si="103"/>
        <v>39.229999999999997</v>
      </c>
      <c r="DA33" s="440">
        <f t="shared" ca="1" si="103"/>
        <v>34.667999999999999</v>
      </c>
      <c r="DB33" s="274">
        <f t="shared" ca="1" si="60"/>
        <v>1360.0256399999998</v>
      </c>
      <c r="DD33" s="440">
        <f t="shared" ca="1" si="104"/>
        <v>38.473333333333336</v>
      </c>
      <c r="DE33" s="440">
        <f t="shared" ca="1" si="104"/>
        <v>34.670999999999999</v>
      </c>
      <c r="DF33" s="274">
        <f t="shared" ca="1" si="61"/>
        <v>1333.90894</v>
      </c>
      <c r="DH33" s="440">
        <f t="shared" ca="1" si="105"/>
        <v>36.366666666666667</v>
      </c>
      <c r="DI33" s="440">
        <f t="shared" ca="1" si="105"/>
        <v>34.670999999999999</v>
      </c>
      <c r="DJ33" s="274">
        <f t="shared" ca="1" si="62"/>
        <v>1260.8687</v>
      </c>
      <c r="DL33" s="440">
        <f t="shared" ca="1" si="72"/>
        <v>36.506666666666668</v>
      </c>
      <c r="DM33" s="440">
        <f t="shared" ca="1" si="72"/>
        <v>34.670999999999999</v>
      </c>
      <c r="DN33" s="274">
        <f t="shared" ca="1" si="63"/>
        <v>1265.72264</v>
      </c>
      <c r="DP33" s="440">
        <f t="shared" ca="1" si="73"/>
        <v>36.96</v>
      </c>
      <c r="DQ33" s="440">
        <f t="shared" ca="1" si="73"/>
        <v>34.670999999999999</v>
      </c>
      <c r="DR33" s="274">
        <f t="shared" ca="1" si="64"/>
        <v>1281.4401600000001</v>
      </c>
      <c r="DT33" s="440">
        <f t="shared" ca="1" si="74"/>
        <v>33.966666666666669</v>
      </c>
      <c r="DU33" s="440">
        <f t="shared" ca="1" si="74"/>
        <v>34.670999999999999</v>
      </c>
      <c r="DV33" s="274">
        <f t="shared" ca="1" si="65"/>
        <v>1177.6583000000001</v>
      </c>
      <c r="DX33" s="440">
        <f t="shared" ca="1" si="75"/>
        <v>35.326666666666668</v>
      </c>
      <c r="DY33" s="440">
        <f t="shared" ca="1" si="75"/>
        <v>34.670999999999999</v>
      </c>
      <c r="DZ33" s="274">
        <f t="shared" ca="1" si="66"/>
        <v>1224.81086</v>
      </c>
      <c r="EB33" s="440">
        <f t="shared" ca="1" si="76"/>
        <v>31.533333333333331</v>
      </c>
      <c r="EC33" s="440">
        <f t="shared" ca="1" si="76"/>
        <v>34.670999999999999</v>
      </c>
      <c r="ED33" s="274">
        <f t="shared" ca="1" si="67"/>
        <v>1093.2921999999999</v>
      </c>
      <c r="EF33" s="251">
        <f t="shared" ca="1" si="77"/>
        <v>29.58</v>
      </c>
      <c r="EG33" s="251">
        <f t="shared" ca="1" si="77"/>
        <v>34.670999999999999</v>
      </c>
      <c r="EH33" s="274">
        <f t="shared" ca="1" si="68"/>
        <v>1025.56818</v>
      </c>
      <c r="EJ33" s="251">
        <f t="shared" ca="1" si="78"/>
        <v>31.180000000000003</v>
      </c>
      <c r="EK33" s="251">
        <f t="shared" ca="1" si="78"/>
        <v>34.670999999999999</v>
      </c>
      <c r="EL33" s="274">
        <f t="shared" ca="1" si="69"/>
        <v>1081.04178</v>
      </c>
      <c r="EO33" s="252">
        <f t="shared" ca="1" si="35"/>
        <v>85</v>
      </c>
    </row>
    <row r="34" spans="2:145" s="234" customFormat="1">
      <c r="B34" s="258">
        <f t="shared" ca="1" si="70"/>
        <v>25</v>
      </c>
      <c r="C34" s="249" t="str">
        <f t="shared" ca="1" si="71"/>
        <v>NextEra Energy, Inc.</v>
      </c>
      <c r="D34" s="236" t="str">
        <f t="shared" ca="1" si="71"/>
        <v>NEE</v>
      </c>
      <c r="E34" s="236">
        <f t="shared" ca="1" si="71"/>
        <v>3010401</v>
      </c>
      <c r="F34" s="250"/>
      <c r="G34" s="273"/>
      <c r="H34" s="440">
        <f t="shared" ca="1" si="79"/>
        <v>240.62</v>
      </c>
      <c r="I34" s="440">
        <f t="shared" ca="1" si="79"/>
        <v>482</v>
      </c>
      <c r="J34" s="274">
        <f t="shared" ca="1" si="36"/>
        <v>115978.84</v>
      </c>
      <c r="K34" s="273"/>
      <c r="L34" s="440">
        <f t="shared" ca="1" si="80"/>
        <v>242.16</v>
      </c>
      <c r="M34" s="440">
        <f t="shared" ca="1" si="80"/>
        <v>481.9</v>
      </c>
      <c r="N34" s="274">
        <f t="shared" ca="1" si="37"/>
        <v>116696.90399999999</v>
      </c>
      <c r="O34" s="273"/>
      <c r="P34" s="440">
        <f t="shared" ca="1" si="81"/>
        <v>232.99</v>
      </c>
      <c r="Q34" s="440">
        <f t="shared" ca="1" si="81"/>
        <v>478.9</v>
      </c>
      <c r="R34" s="274">
        <f t="shared" ca="1" si="38"/>
        <v>111578.91099999999</v>
      </c>
      <c r="S34" s="273"/>
      <c r="T34" s="440">
        <f t="shared" ca="1" si="82"/>
        <v>204.86</v>
      </c>
      <c r="U34" s="440">
        <f t="shared" ca="1" si="82"/>
        <v>478.3</v>
      </c>
      <c r="V34" s="274">
        <f t="shared" ca="1" si="39"/>
        <v>97984.538000000015</v>
      </c>
      <c r="W34" s="273"/>
      <c r="X34" s="440">
        <f t="shared" ca="1" si="83"/>
        <v>193.32</v>
      </c>
      <c r="Y34" s="440">
        <f t="shared" ca="1" si="83"/>
        <v>473.2</v>
      </c>
      <c r="Z34" s="274">
        <f t="shared" ca="1" si="40"/>
        <v>91479.02399999999</v>
      </c>
      <c r="AA34" s="273"/>
      <c r="AB34" s="440">
        <f t="shared" ca="1" si="84"/>
        <v>173.82</v>
      </c>
      <c r="AC34" s="440">
        <f t="shared" ca="1" si="84"/>
        <v>473.1</v>
      </c>
      <c r="AD34" s="274">
        <f t="shared" ca="1" si="41"/>
        <v>82234.241999999998</v>
      </c>
      <c r="AE34" s="273"/>
      <c r="AF34" s="440">
        <f t="shared" ca="1" si="85"/>
        <v>167.6</v>
      </c>
      <c r="AG34" s="440">
        <f t="shared" ca="1" si="85"/>
        <v>471.1</v>
      </c>
      <c r="AH34" s="274">
        <f t="shared" ca="1" si="42"/>
        <v>78956.36</v>
      </c>
      <c r="AI34" s="273"/>
      <c r="AJ34" s="440">
        <f t="shared" ca="1" si="86"/>
        <v>167.03</v>
      </c>
      <c r="AK34" s="440">
        <f t="shared" ca="1" si="86"/>
        <v>470.7</v>
      </c>
      <c r="AL34" s="274">
        <f t="shared" ca="1" si="43"/>
        <v>78621.020999999993</v>
      </c>
      <c r="AM34" s="273"/>
      <c r="AN34" s="440">
        <f t="shared" ca="1" si="87"/>
        <v>163.33000000000001</v>
      </c>
      <c r="AO34" s="440">
        <f t="shared" ca="1" si="87"/>
        <v>470.3</v>
      </c>
      <c r="AP34" s="274">
        <f t="shared" ca="1" si="44"/>
        <v>76814.099000000002</v>
      </c>
      <c r="AQ34" s="273"/>
      <c r="AR34" s="440">
        <f t="shared" ca="1" si="88"/>
        <v>156.19</v>
      </c>
      <c r="AS34" s="440">
        <f t="shared" ca="1" si="88"/>
        <v>469.4</v>
      </c>
      <c r="AT34" s="274">
        <f t="shared" ca="1" si="45"/>
        <v>73315.585999999996</v>
      </c>
      <c r="AU34" s="273"/>
      <c r="AV34" s="440">
        <f t="shared" ca="1" si="89"/>
        <v>146.55000000000001</v>
      </c>
      <c r="AW34" s="440">
        <f t="shared" ca="1" si="89"/>
        <v>467.9</v>
      </c>
      <c r="AX34" s="274">
        <f t="shared" ca="1" si="46"/>
        <v>68570.744999999995</v>
      </c>
      <c r="AY34" s="273"/>
      <c r="AZ34" s="440">
        <f t="shared" ca="1" si="90"/>
        <v>140.13</v>
      </c>
      <c r="BA34" s="440">
        <f t="shared" ca="1" si="90"/>
        <v>467.5</v>
      </c>
      <c r="BB34" s="274">
        <f t="shared" ca="1" si="47"/>
        <v>65510.775000000001</v>
      </c>
      <c r="BC34" s="273"/>
      <c r="BD34" s="440">
        <f t="shared" ca="1" si="91"/>
        <v>128.37</v>
      </c>
      <c r="BE34" s="440">
        <f t="shared" ca="1" si="91"/>
        <v>463.1</v>
      </c>
      <c r="BF34" s="274">
        <f t="shared" ca="1" si="48"/>
        <v>59448.147000000004</v>
      </c>
      <c r="BG34" s="273"/>
      <c r="BH34" s="440">
        <f t="shared" ca="1" si="92"/>
        <v>119.46</v>
      </c>
      <c r="BI34" s="440">
        <f t="shared" ca="1" si="92"/>
        <v>463.3</v>
      </c>
      <c r="BJ34" s="274">
        <f t="shared" ca="1" si="49"/>
        <v>55345.817999999999</v>
      </c>
      <c r="BK34" s="273"/>
      <c r="BL34" s="440">
        <f t="shared" ca="1" si="93"/>
        <v>122.32</v>
      </c>
      <c r="BM34" s="440">
        <f t="shared" ca="1" si="93"/>
        <v>461.3</v>
      </c>
      <c r="BN34" s="274">
        <f t="shared" ca="1" si="50"/>
        <v>56426.216</v>
      </c>
      <c r="BO34" s="273"/>
      <c r="BP34" s="440">
        <f t="shared" ca="1" si="94"/>
        <v>130.4</v>
      </c>
      <c r="BQ34" s="440">
        <f t="shared" ca="1" si="94"/>
        <v>460.5</v>
      </c>
      <c r="BR34" s="274">
        <f t="shared" ca="1" si="51"/>
        <v>60049.200000000004</v>
      </c>
      <c r="BS34" s="273"/>
      <c r="BT34" s="440">
        <f t="shared" ca="1" si="95"/>
        <v>118.34</v>
      </c>
      <c r="BU34" s="440">
        <f t="shared" ca="1" si="95"/>
        <v>450.5</v>
      </c>
      <c r="BV34" s="274">
        <f t="shared" ca="1" si="52"/>
        <v>53312.17</v>
      </c>
      <c r="BW34" s="273"/>
      <c r="BX34" s="440">
        <f t="shared" ca="1" si="96"/>
        <v>103.89</v>
      </c>
      <c r="BY34" s="440">
        <f t="shared" ca="1" si="96"/>
        <v>454.1</v>
      </c>
      <c r="BZ34" s="274">
        <f t="shared" ca="1" si="53"/>
        <v>47176.449000000001</v>
      </c>
      <c r="CA34" s="273"/>
      <c r="CB34" s="440">
        <f t="shared" ca="1" si="97"/>
        <v>97.55</v>
      </c>
      <c r="CC34" s="440">
        <f t="shared" ca="1" si="97"/>
        <v>445.5</v>
      </c>
      <c r="CD34" s="274">
        <f t="shared" ca="1" si="54"/>
        <v>43458.525000000001</v>
      </c>
      <c r="CE34" s="273"/>
      <c r="CF34" s="440">
        <f t="shared" ca="1" si="98"/>
        <v>98.03</v>
      </c>
      <c r="CG34" s="440">
        <f t="shared" ca="1" si="98"/>
        <v>442.3</v>
      </c>
      <c r="CH34" s="274">
        <f t="shared" ca="1" si="55"/>
        <v>43358.669000000002</v>
      </c>
      <c r="CI34" s="273"/>
      <c r="CJ34" s="440">
        <f t="shared" ca="1" si="99"/>
        <v>104.05</v>
      </c>
      <c r="CK34" s="440">
        <f t="shared" ca="1" si="99"/>
        <v>435.6</v>
      </c>
      <c r="CL34" s="274">
        <f t="shared" ca="1" si="56"/>
        <v>45324.18</v>
      </c>
      <c r="CN34" s="440">
        <f t="shared" ca="1" si="100"/>
        <v>106.29</v>
      </c>
      <c r="CO34" s="440">
        <f t="shared" ca="1" si="100"/>
        <v>434.5</v>
      </c>
      <c r="CP34" s="274">
        <f t="shared" ca="1" si="57"/>
        <v>46183.005000000005</v>
      </c>
      <c r="CR34" s="440">
        <f t="shared" ca="1" si="101"/>
        <v>93.88</v>
      </c>
      <c r="CS34" s="440">
        <f t="shared" ca="1" si="101"/>
        <v>434.1</v>
      </c>
      <c r="CT34" s="274">
        <f t="shared" ca="1" si="58"/>
        <v>40753.307999999997</v>
      </c>
      <c r="CV34" s="440">
        <f t="shared" ca="1" si="102"/>
        <v>102.48</v>
      </c>
      <c r="CW34" s="440">
        <f t="shared" ca="1" si="102"/>
        <v>433.5</v>
      </c>
      <c r="CX34" s="274">
        <f t="shared" ca="1" si="59"/>
        <v>44425.08</v>
      </c>
      <c r="CZ34" s="440">
        <f t="shared" ca="1" si="103"/>
        <v>95.62</v>
      </c>
      <c r="DA34" s="440">
        <f t="shared" ca="1" si="103"/>
        <v>424.2</v>
      </c>
      <c r="DB34" s="274">
        <f t="shared" ca="1" si="60"/>
        <v>40562.004000000001</v>
      </c>
      <c r="DD34" s="440">
        <f t="shared" ca="1" si="104"/>
        <v>85.62</v>
      </c>
      <c r="DE34" s="440">
        <f t="shared" ca="1" si="104"/>
        <v>423.8</v>
      </c>
      <c r="DF34" s="274">
        <f t="shared" ca="1" si="61"/>
        <v>36285.756000000001</v>
      </c>
      <c r="DH34" s="440">
        <f t="shared" ca="1" si="105"/>
        <v>80.16</v>
      </c>
      <c r="DI34" s="440">
        <f t="shared" ca="1" si="105"/>
        <v>421.8</v>
      </c>
      <c r="DJ34" s="274">
        <f t="shared" ca="1" si="62"/>
        <v>33811.487999999998</v>
      </c>
      <c r="DL34" s="440">
        <f t="shared" ca="1" si="72"/>
        <v>81.48</v>
      </c>
      <c r="DM34" s="440">
        <f t="shared" ca="1" si="72"/>
        <v>421</v>
      </c>
      <c r="DN34" s="274">
        <f t="shared" ca="1" si="63"/>
        <v>34303.08</v>
      </c>
      <c r="DP34" s="440">
        <f t="shared" ca="1" si="73"/>
        <v>77.680000000000007</v>
      </c>
      <c r="DQ34" s="440">
        <f t="shared" ca="1" si="73"/>
        <v>416.7</v>
      </c>
      <c r="DR34" s="274">
        <f t="shared" ca="1" si="64"/>
        <v>32369.256000000001</v>
      </c>
      <c r="DT34" s="440">
        <f t="shared" ca="1" si="74"/>
        <v>69.19</v>
      </c>
      <c r="DU34" s="440">
        <f t="shared" ca="1" si="74"/>
        <v>419.3</v>
      </c>
      <c r="DV34" s="274">
        <f t="shared" ca="1" si="65"/>
        <v>29011.366999999998</v>
      </c>
      <c r="DX34" s="440">
        <f t="shared" ca="1" si="75"/>
        <v>70.33</v>
      </c>
      <c r="DY34" s="440">
        <f t="shared" ca="1" si="75"/>
        <v>415</v>
      </c>
      <c r="DZ34" s="274">
        <f t="shared" ca="1" si="66"/>
        <v>29186.95</v>
      </c>
      <c r="EB34" s="440">
        <f t="shared" ca="1" si="76"/>
        <v>68.81</v>
      </c>
      <c r="EC34" s="440">
        <f t="shared" ca="1" si="76"/>
        <v>412.3</v>
      </c>
      <c r="ED34" s="274">
        <f t="shared" ca="1" si="67"/>
        <v>28370.363000000001</v>
      </c>
      <c r="EF34" s="251">
        <f t="shared" ca="1" si="77"/>
        <v>61.08</v>
      </c>
      <c r="EG34" s="251">
        <f t="shared" ca="1" si="77"/>
        <v>416.6</v>
      </c>
      <c r="EH34" s="274">
        <f t="shared" ca="1" si="68"/>
        <v>25445.928</v>
      </c>
      <c r="EJ34" s="251">
        <f t="shared" ca="1" si="78"/>
        <v>60.88</v>
      </c>
      <c r="EK34" s="251">
        <f t="shared" ca="1" si="78"/>
        <v>417.4</v>
      </c>
      <c r="EL34" s="274">
        <f t="shared" ca="1" si="69"/>
        <v>25411.311999999998</v>
      </c>
      <c r="EO34" s="252">
        <f t="shared" ca="1" si="35"/>
        <v>32</v>
      </c>
    </row>
    <row r="35" spans="2:145" s="234" customFormat="1">
      <c r="B35" s="258">
        <f t="shared" ca="1" si="70"/>
        <v>26</v>
      </c>
      <c r="C35" s="249" t="str">
        <f t="shared" ca="1" si="71"/>
        <v>NiSource Inc.</v>
      </c>
      <c r="D35" s="236" t="str">
        <f t="shared" ca="1" si="71"/>
        <v>NI</v>
      </c>
      <c r="E35" s="236">
        <f t="shared" ca="1" si="71"/>
        <v>4057051</v>
      </c>
      <c r="F35" s="250"/>
      <c r="G35" s="273"/>
      <c r="H35" s="440">
        <f t="shared" ca="1" si="79"/>
        <v>24.97</v>
      </c>
      <c r="I35" s="440">
        <f t="shared" ca="1" si="79"/>
        <v>374.65</v>
      </c>
      <c r="J35" s="274">
        <f t="shared" ca="1" si="36"/>
        <v>9355.0104999999985</v>
      </c>
      <c r="K35" s="273"/>
      <c r="L35" s="440">
        <f t="shared" ca="1" si="80"/>
        <v>27.84</v>
      </c>
      <c r="M35" s="440">
        <f t="shared" ca="1" si="80"/>
        <v>374.1</v>
      </c>
      <c r="N35" s="274">
        <f t="shared" ca="1" si="37"/>
        <v>10414.944000000001</v>
      </c>
      <c r="O35" s="273"/>
      <c r="P35" s="440">
        <f t="shared" ca="1" si="81"/>
        <v>29.92</v>
      </c>
      <c r="Q35" s="440">
        <f t="shared" ca="1" si="81"/>
        <v>373.89800000000002</v>
      </c>
      <c r="R35" s="274">
        <f t="shared" ca="1" si="38"/>
        <v>11187.028160000002</v>
      </c>
      <c r="S35" s="273"/>
      <c r="T35" s="440">
        <f t="shared" ca="1" si="82"/>
        <v>28.8</v>
      </c>
      <c r="U35" s="440">
        <f t="shared" ca="1" si="82"/>
        <v>373.35599999999999</v>
      </c>
      <c r="V35" s="274">
        <f t="shared" ca="1" si="39"/>
        <v>10752.6528</v>
      </c>
      <c r="W35" s="273"/>
      <c r="X35" s="440">
        <f t="shared" ca="1" si="83"/>
        <v>28.66</v>
      </c>
      <c r="Y35" s="440">
        <f t="shared" ca="1" si="83"/>
        <v>356.5</v>
      </c>
      <c r="Z35" s="274">
        <f t="shared" ca="1" si="40"/>
        <v>10217.290000000001</v>
      </c>
      <c r="AA35" s="273"/>
      <c r="AB35" s="440">
        <f t="shared" ca="1" si="84"/>
        <v>25.35</v>
      </c>
      <c r="AC35" s="440">
        <f t="shared" ca="1" si="84"/>
        <v>363.9</v>
      </c>
      <c r="AD35" s="274">
        <f t="shared" ca="1" si="41"/>
        <v>9224.8649999999998</v>
      </c>
      <c r="AE35" s="273"/>
      <c r="AF35" s="440">
        <f t="shared" ca="1" si="85"/>
        <v>24.92</v>
      </c>
      <c r="AG35" s="440">
        <f t="shared" ca="1" si="85"/>
        <v>354.22899999999998</v>
      </c>
      <c r="AH35" s="274">
        <f t="shared" ca="1" si="42"/>
        <v>8827.3866799999996</v>
      </c>
      <c r="AI35" s="273"/>
      <c r="AJ35" s="440">
        <f t="shared" ca="1" si="86"/>
        <v>26.28</v>
      </c>
      <c r="AK35" s="440">
        <f t="shared" ca="1" si="86"/>
        <v>338.012</v>
      </c>
      <c r="AL35" s="274">
        <f t="shared" ca="1" si="43"/>
        <v>8882.9553599999999</v>
      </c>
      <c r="AM35" s="273"/>
      <c r="AN35" s="440">
        <f t="shared" ca="1" si="87"/>
        <v>23.91</v>
      </c>
      <c r="AO35" s="440">
        <f t="shared" ca="1" si="87"/>
        <v>337.5</v>
      </c>
      <c r="AP35" s="274">
        <f t="shared" ca="1" si="44"/>
        <v>8069.625</v>
      </c>
      <c r="AQ35" s="273"/>
      <c r="AR35" s="440">
        <f t="shared" ca="1" si="88"/>
        <v>25.67</v>
      </c>
      <c r="AS35" s="440">
        <f t="shared" ca="1" si="88"/>
        <v>331.13900000000001</v>
      </c>
      <c r="AT35" s="274">
        <f t="shared" ca="1" si="45"/>
        <v>8500.3381300000001</v>
      </c>
      <c r="AU35" s="273"/>
      <c r="AV35" s="440">
        <f t="shared" ca="1" si="89"/>
        <v>25.59</v>
      </c>
      <c r="AW35" s="440">
        <f t="shared" ca="1" si="89"/>
        <v>325.10000000000002</v>
      </c>
      <c r="AX35" s="274">
        <f t="shared" ca="1" si="46"/>
        <v>8319.3090000000011</v>
      </c>
      <c r="AY35" s="273"/>
      <c r="AZ35" s="440">
        <f t="shared" ca="1" si="90"/>
        <v>25.36</v>
      </c>
      <c r="BA35" s="440">
        <f t="shared" ca="1" si="90"/>
        <v>323.68099999999998</v>
      </c>
      <c r="BB35" s="274">
        <f t="shared" ca="1" si="47"/>
        <v>8208.5501599999989</v>
      </c>
      <c r="BC35" s="273"/>
      <c r="BD35" s="440">
        <f t="shared" ca="1" si="91"/>
        <v>23.79</v>
      </c>
      <c r="BE35" s="440">
        <f t="shared" ca="1" si="91"/>
        <v>321.80500000000001</v>
      </c>
      <c r="BF35" s="274">
        <f t="shared" ca="1" si="48"/>
        <v>7655.7409500000003</v>
      </c>
      <c r="BG35" s="273"/>
      <c r="BH35" s="440">
        <f t="shared" ca="1" si="92"/>
        <v>22.14</v>
      </c>
      <c r="BI35" s="440">
        <f t="shared" ca="1" si="92"/>
        <v>322.31799999999998</v>
      </c>
      <c r="BJ35" s="274">
        <f t="shared" ca="1" si="49"/>
        <v>7136.1205199999995</v>
      </c>
      <c r="BK35" s="273"/>
      <c r="BL35" s="440">
        <f t="shared" ca="1" si="93"/>
        <v>24.11</v>
      </c>
      <c r="BM35" s="440">
        <f t="shared" ca="1" si="93"/>
        <v>321.72500000000002</v>
      </c>
      <c r="BN35" s="274">
        <f t="shared" ca="1" si="50"/>
        <v>7756.7897499999999</v>
      </c>
      <c r="BO35" s="273"/>
      <c r="BP35" s="440">
        <f t="shared" ca="1" si="94"/>
        <v>26.52</v>
      </c>
      <c r="BQ35" s="440">
        <f t="shared" ca="1" si="94"/>
        <v>320.28100000000001</v>
      </c>
      <c r="BR35" s="274">
        <f t="shared" ca="1" si="51"/>
        <v>8493.8521199999996</v>
      </c>
      <c r="BS35" s="273"/>
      <c r="BT35" s="440">
        <f t="shared" ca="1" si="95"/>
        <v>23.56</v>
      </c>
      <c r="BU35" s="440">
        <f t="shared" ca="1" si="95"/>
        <v>317.74599999999998</v>
      </c>
      <c r="BV35" s="274">
        <f t="shared" ca="1" si="52"/>
        <v>7486.0957599999992</v>
      </c>
      <c r="BW35" s="273"/>
      <c r="BX35" s="440">
        <f t="shared" ca="1" si="96"/>
        <v>19.510000000000002</v>
      </c>
      <c r="BY35" s="440">
        <f t="shared" ca="1" si="96"/>
        <v>318.08999999999997</v>
      </c>
      <c r="BZ35" s="274">
        <f t="shared" ca="1" si="53"/>
        <v>6205.9359000000004</v>
      </c>
      <c r="CA35" s="273"/>
      <c r="CB35" s="440">
        <f t="shared" ca="1" si="97"/>
        <v>18.55</v>
      </c>
      <c r="CC35" s="440">
        <f t="shared" ca="1" si="97"/>
        <v>317.5</v>
      </c>
      <c r="CD35" s="274">
        <f t="shared" ca="1" si="54"/>
        <v>5889.625</v>
      </c>
      <c r="CE35" s="273"/>
      <c r="CF35" s="440">
        <f t="shared" ca="1" si="98"/>
        <v>45.59</v>
      </c>
      <c r="CG35" s="440">
        <f t="shared" ca="1" si="98"/>
        <v>316.58699999999999</v>
      </c>
      <c r="CH35" s="274">
        <f t="shared" ca="1" si="55"/>
        <v>14433.20133</v>
      </c>
      <c r="CI35" s="273"/>
      <c r="CJ35" s="440">
        <f t="shared" ca="1" si="99"/>
        <v>44.16</v>
      </c>
      <c r="CK35" s="440">
        <f t="shared" ca="1" si="99"/>
        <v>315.8</v>
      </c>
      <c r="CL35" s="274">
        <f t="shared" ca="1" si="56"/>
        <v>13945.727999999999</v>
      </c>
      <c r="CN35" s="440">
        <f t="shared" ca="1" si="100"/>
        <v>42.42</v>
      </c>
      <c r="CO35" s="440">
        <f t="shared" ca="1" si="100"/>
        <v>315.41800000000001</v>
      </c>
      <c r="CP35" s="274">
        <f t="shared" ca="1" si="57"/>
        <v>13380.031560000001</v>
      </c>
      <c r="CR35" s="440">
        <f t="shared" ca="1" si="101"/>
        <v>40.98</v>
      </c>
      <c r="CS35" s="440">
        <f t="shared" ca="1" si="101"/>
        <v>315.01299999999998</v>
      </c>
      <c r="CT35" s="274">
        <f t="shared" ca="1" si="58"/>
        <v>12909.232739999998</v>
      </c>
      <c r="CV35" s="440">
        <f t="shared" ca="1" si="102"/>
        <v>39.340000000000003</v>
      </c>
      <c r="CW35" s="440">
        <f t="shared" ca="1" si="102"/>
        <v>314.22199999999998</v>
      </c>
      <c r="CX35" s="274">
        <f t="shared" ca="1" si="59"/>
        <v>12361.493480000001</v>
      </c>
      <c r="CZ35" s="440">
        <f t="shared" ca="1" si="103"/>
        <v>35.53</v>
      </c>
      <c r="DA35" s="440">
        <f t="shared" ca="1" si="103"/>
        <v>312.40199999999999</v>
      </c>
      <c r="DB35" s="274">
        <f t="shared" ca="1" si="60"/>
        <v>11099.64306</v>
      </c>
      <c r="DD35" s="440">
        <f t="shared" ca="1" si="104"/>
        <v>32.880000000000003</v>
      </c>
      <c r="DE35" s="440">
        <f t="shared" ca="1" si="104"/>
        <v>312.84199999999998</v>
      </c>
      <c r="DF35" s="274">
        <f t="shared" ca="1" si="61"/>
        <v>10286.24496</v>
      </c>
      <c r="DH35" s="440">
        <f t="shared" ca="1" si="105"/>
        <v>30.89</v>
      </c>
      <c r="DI35" s="440">
        <f t="shared" ca="1" si="105"/>
        <v>312.17700000000002</v>
      </c>
      <c r="DJ35" s="274">
        <f t="shared" ca="1" si="62"/>
        <v>9643.1475300000002</v>
      </c>
      <c r="DL35" s="440">
        <f t="shared" ca="1" si="72"/>
        <v>28.64</v>
      </c>
      <c r="DM35" s="440">
        <f t="shared" ca="1" si="72"/>
        <v>311.12</v>
      </c>
      <c r="DN35" s="274">
        <f t="shared" ca="1" si="63"/>
        <v>8910.4768000000004</v>
      </c>
      <c r="DP35" s="440">
        <f t="shared" ca="1" si="73"/>
        <v>29.34</v>
      </c>
      <c r="DQ35" s="440">
        <f t="shared" ca="1" si="73"/>
        <v>291.92700000000002</v>
      </c>
      <c r="DR35" s="274">
        <f t="shared" ca="1" si="64"/>
        <v>8565.1381799999999</v>
      </c>
      <c r="DT35" s="440">
        <f t="shared" ca="1" si="74"/>
        <v>24.89</v>
      </c>
      <c r="DU35" s="440">
        <f t="shared" ca="1" si="74"/>
        <v>290.32799999999997</v>
      </c>
      <c r="DV35" s="274">
        <f t="shared" ca="1" si="65"/>
        <v>7226.2639199999994</v>
      </c>
      <c r="DX35" s="440">
        <f t="shared" ca="1" si="75"/>
        <v>25.48</v>
      </c>
      <c r="DY35" s="440">
        <f t="shared" ca="1" si="75"/>
        <v>284.37</v>
      </c>
      <c r="DZ35" s="274">
        <f t="shared" ca="1" si="66"/>
        <v>7245.7476000000006</v>
      </c>
      <c r="EB35" s="440">
        <f t="shared" ca="1" si="76"/>
        <v>24.75</v>
      </c>
      <c r="EC35" s="440">
        <f t="shared" ca="1" si="76"/>
        <v>282.92500000000001</v>
      </c>
      <c r="ED35" s="274">
        <f t="shared" ca="1" si="67"/>
        <v>7002.3937500000002</v>
      </c>
      <c r="EF35" s="251">
        <f t="shared" ca="1" si="77"/>
        <v>24.35</v>
      </c>
      <c r="EG35" s="251">
        <f t="shared" ca="1" si="77"/>
        <v>280.44200000000001</v>
      </c>
      <c r="EH35" s="274">
        <f t="shared" ca="1" si="68"/>
        <v>6828.7627000000002</v>
      </c>
      <c r="EJ35" s="251">
        <f t="shared" ca="1" si="78"/>
        <v>23.81</v>
      </c>
      <c r="EK35" s="251">
        <f t="shared" ca="1" si="78"/>
        <v>280.76499999999999</v>
      </c>
      <c r="EL35" s="274">
        <f t="shared" ca="1" si="69"/>
        <v>6685.0146499999992</v>
      </c>
      <c r="EO35" s="252">
        <f t="shared" ca="1" si="35"/>
        <v>89</v>
      </c>
    </row>
    <row r="36" spans="2:145" s="234" customFormat="1">
      <c r="B36" s="258">
        <f t="shared" ca="1" si="70"/>
        <v>27</v>
      </c>
      <c r="C36" s="249" t="str">
        <f t="shared" ca="1" si="71"/>
        <v>NorthWestern Corporation</v>
      </c>
      <c r="D36" s="236" t="str">
        <f t="shared" ca="1" si="71"/>
        <v>NWE</v>
      </c>
      <c r="E36" s="236">
        <f t="shared" ca="1" si="71"/>
        <v>4057053</v>
      </c>
      <c r="F36" s="250"/>
      <c r="G36" s="273"/>
      <c r="H36" s="440">
        <f t="shared" ca="1" si="79"/>
        <v>59.83</v>
      </c>
      <c r="I36" s="440">
        <f t="shared" ca="1" si="79"/>
        <v>50.428559999999997</v>
      </c>
      <c r="J36" s="274">
        <f t="shared" ca="1" si="36"/>
        <v>3017.1407447999995</v>
      </c>
      <c r="K36" s="273"/>
      <c r="L36" s="440">
        <f t="shared" ca="1" si="80"/>
        <v>71.67</v>
      </c>
      <c r="M36" s="440">
        <f t="shared" ca="1" si="80"/>
        <v>50.443866</v>
      </c>
      <c r="N36" s="274">
        <f t="shared" ca="1" si="37"/>
        <v>3615.3118762200002</v>
      </c>
      <c r="O36" s="273"/>
      <c r="P36" s="440">
        <f t="shared" ca="1" si="81"/>
        <v>75.05</v>
      </c>
      <c r="Q36" s="440">
        <f t="shared" ca="1" si="81"/>
        <v>50.440685000000002</v>
      </c>
      <c r="R36" s="274">
        <f t="shared" ca="1" si="38"/>
        <v>3785.5734092500002</v>
      </c>
      <c r="S36" s="273"/>
      <c r="T36" s="440">
        <f t="shared" ca="1" si="82"/>
        <v>72.150000000000006</v>
      </c>
      <c r="U36" s="440">
        <f t="shared" ca="1" si="82"/>
        <v>50.380839000000002</v>
      </c>
      <c r="V36" s="274">
        <f t="shared" ca="1" si="39"/>
        <v>3634.9775338500003</v>
      </c>
      <c r="W36" s="273"/>
      <c r="X36" s="440">
        <f t="shared" ca="1" si="83"/>
        <v>70.41</v>
      </c>
      <c r="Y36" s="440">
        <f t="shared" ca="1" si="83"/>
        <v>49.984561999999997</v>
      </c>
      <c r="Z36" s="274">
        <f t="shared" ca="1" si="40"/>
        <v>3519.4130104199994</v>
      </c>
      <c r="AA36" s="273"/>
      <c r="AB36" s="440">
        <f t="shared" ca="1" si="84"/>
        <v>59.44</v>
      </c>
      <c r="AC36" s="440">
        <f t="shared" ca="1" si="84"/>
        <v>50.317813000000001</v>
      </c>
      <c r="AD36" s="274">
        <f t="shared" ca="1" si="41"/>
        <v>2990.8908047199998</v>
      </c>
      <c r="AE36" s="273"/>
      <c r="AF36" s="440">
        <f t="shared" ca="1" si="85"/>
        <v>58.66</v>
      </c>
      <c r="AG36" s="440">
        <f t="shared" ca="1" si="85"/>
        <v>49.869176000000003</v>
      </c>
      <c r="AH36" s="274">
        <f t="shared" ca="1" si="42"/>
        <v>2925.32586416</v>
      </c>
      <c r="AI36" s="273"/>
      <c r="AJ36" s="440">
        <f t="shared" ca="1" si="86"/>
        <v>57.25</v>
      </c>
      <c r="AK36" s="440">
        <f t="shared" ca="1" si="86"/>
        <v>49.416229999999999</v>
      </c>
      <c r="AL36" s="274">
        <f t="shared" ca="1" si="43"/>
        <v>2829.0791675</v>
      </c>
      <c r="AM36" s="273"/>
      <c r="AN36" s="440">
        <f t="shared" ca="1" si="87"/>
        <v>53.8</v>
      </c>
      <c r="AO36" s="440">
        <f t="shared" ca="1" si="87"/>
        <v>48.902000000000001</v>
      </c>
      <c r="AP36" s="274">
        <f t="shared" ca="1" si="44"/>
        <v>2630.9276</v>
      </c>
      <c r="AQ36" s="273"/>
      <c r="AR36" s="440">
        <f t="shared" ca="1" si="88"/>
        <v>59.7</v>
      </c>
      <c r="AS36" s="440">
        <f t="shared" ca="1" si="88"/>
        <v>48.486899000000001</v>
      </c>
      <c r="AT36" s="274">
        <f t="shared" ca="1" si="45"/>
        <v>2894.6678703000002</v>
      </c>
      <c r="AU36" s="273"/>
      <c r="AV36" s="440">
        <f t="shared" ca="1" si="89"/>
        <v>56.94</v>
      </c>
      <c r="AW36" s="440">
        <f t="shared" ca="1" si="89"/>
        <v>48.450639000000002</v>
      </c>
      <c r="AX36" s="274">
        <f t="shared" ca="1" si="46"/>
        <v>2758.7793846600002</v>
      </c>
      <c r="AY36" s="273"/>
      <c r="AZ36" s="440">
        <f t="shared" ca="1" si="90"/>
        <v>61.02</v>
      </c>
      <c r="BA36" s="440">
        <f t="shared" ca="1" si="90"/>
        <v>48.385738000000003</v>
      </c>
      <c r="BB36" s="274">
        <f t="shared" ca="1" si="47"/>
        <v>2952.4977327600004</v>
      </c>
      <c r="BC36" s="273"/>
      <c r="BD36" s="440">
        <f t="shared" ca="1" si="91"/>
        <v>58.7</v>
      </c>
      <c r="BE36" s="440">
        <f t="shared" ca="1" si="91"/>
        <v>48.298895999999999</v>
      </c>
      <c r="BF36" s="274">
        <f t="shared" ca="1" si="48"/>
        <v>2835.1451952000002</v>
      </c>
      <c r="BG36" s="273"/>
      <c r="BH36" s="440">
        <f t="shared" ca="1" si="92"/>
        <v>56.87</v>
      </c>
      <c r="BI36" s="440">
        <f t="shared" ca="1" si="92"/>
        <v>48.314782999999998</v>
      </c>
      <c r="BJ36" s="274">
        <f t="shared" ca="1" si="49"/>
        <v>2747.6617092099996</v>
      </c>
      <c r="BK36" s="273"/>
      <c r="BL36" s="440">
        <f t="shared" ca="1" si="93"/>
        <v>57.53</v>
      </c>
      <c r="BM36" s="440">
        <f t="shared" ca="1" si="93"/>
        <v>48.308655999999999</v>
      </c>
      <c r="BN36" s="274">
        <f t="shared" ca="1" si="50"/>
        <v>2779.1969796799999</v>
      </c>
      <c r="BO36" s="273"/>
      <c r="BP36" s="440">
        <f t="shared" ca="1" si="94"/>
        <v>63.07</v>
      </c>
      <c r="BQ36" s="440">
        <f t="shared" ca="1" si="94"/>
        <v>48.242306999999997</v>
      </c>
      <c r="BR36" s="274">
        <f t="shared" ca="1" si="51"/>
        <v>3042.64230249</v>
      </c>
      <c r="BS36" s="273"/>
      <c r="BT36" s="440">
        <f t="shared" ca="1" si="95"/>
        <v>61.75</v>
      </c>
      <c r="BU36" s="440">
        <f t="shared" ca="1" si="95"/>
        <v>47.298349999999999</v>
      </c>
      <c r="BV36" s="274">
        <f t="shared" ca="1" si="52"/>
        <v>2920.6731125000001</v>
      </c>
      <c r="BW36" s="273"/>
      <c r="BX36" s="440">
        <f t="shared" ca="1" si="96"/>
        <v>54.25</v>
      </c>
      <c r="BY36" s="440">
        <f t="shared" ca="1" si="96"/>
        <v>47.065081999999997</v>
      </c>
      <c r="BZ36" s="274">
        <f t="shared" ca="1" si="53"/>
        <v>2553.2806984999997</v>
      </c>
      <c r="CA36" s="273"/>
      <c r="CB36" s="440">
        <f t="shared" ca="1" si="97"/>
        <v>53.83</v>
      </c>
      <c r="CC36" s="440">
        <f t="shared" ca="1" si="97"/>
        <v>47.043734999999998</v>
      </c>
      <c r="CD36" s="274">
        <f t="shared" ca="1" si="54"/>
        <v>2532.3642550499999</v>
      </c>
      <c r="CE36" s="273"/>
      <c r="CF36" s="440">
        <f t="shared" ca="1" si="98"/>
        <v>48.75</v>
      </c>
      <c r="CG36" s="440">
        <f t="shared" ca="1" si="98"/>
        <v>46.976989000000003</v>
      </c>
      <c r="CH36" s="274">
        <f t="shared" ca="1" si="55"/>
        <v>2290.1282137500002</v>
      </c>
      <c r="CI36" s="273"/>
      <c r="CJ36" s="440">
        <f t="shared" ca="1" si="99"/>
        <v>53.79</v>
      </c>
      <c r="CK36" s="440">
        <f t="shared" ca="1" si="99"/>
        <v>43.451000000000001</v>
      </c>
      <c r="CL36" s="274">
        <f t="shared" ca="1" si="56"/>
        <v>2337.2292899999998</v>
      </c>
      <c r="CN36" s="440">
        <f t="shared" ca="1" si="100"/>
        <v>56.58</v>
      </c>
      <c r="CO36" s="440">
        <f t="shared" ca="1" si="100"/>
        <v>39.141148000000001</v>
      </c>
      <c r="CP36" s="274">
        <f t="shared" ca="1" si="57"/>
        <v>2214.6061538399999</v>
      </c>
      <c r="CR36" s="440">
        <f t="shared" ca="1" si="101"/>
        <v>45.36</v>
      </c>
      <c r="CS36" s="440">
        <f t="shared" ca="1" si="101"/>
        <v>39.137307</v>
      </c>
      <c r="CT36" s="274">
        <f t="shared" ca="1" si="58"/>
        <v>1775.2682455199999</v>
      </c>
      <c r="CV36" s="440">
        <f t="shared" ca="1" si="102"/>
        <v>52.19</v>
      </c>
      <c r="CW36" s="440">
        <f t="shared" ca="1" si="102"/>
        <v>38.855778999999998</v>
      </c>
      <c r="CX36" s="274">
        <f t="shared" ca="1" si="59"/>
        <v>2027.8831060099999</v>
      </c>
      <c r="CZ36" s="440">
        <f t="shared" ca="1" si="103"/>
        <v>47.43</v>
      </c>
      <c r="DA36" s="440">
        <f t="shared" ca="1" si="103"/>
        <v>38.144852</v>
      </c>
      <c r="DB36" s="274">
        <f t="shared" ca="1" si="60"/>
        <v>1809.2103303599999</v>
      </c>
      <c r="DD36" s="440">
        <f t="shared" ca="1" si="104"/>
        <v>43.32</v>
      </c>
      <c r="DE36" s="440">
        <f t="shared" ca="1" si="104"/>
        <v>38.459484000000003</v>
      </c>
      <c r="DF36" s="274">
        <f t="shared" ca="1" si="61"/>
        <v>1666.0648468800002</v>
      </c>
      <c r="DH36" s="440">
        <f t="shared" ca="1" si="105"/>
        <v>44.92</v>
      </c>
      <c r="DI36" s="440">
        <f t="shared" ca="1" si="105"/>
        <v>38.092292</v>
      </c>
      <c r="DJ36" s="274">
        <f t="shared" ca="1" si="62"/>
        <v>1711.10575664</v>
      </c>
      <c r="DL36" s="440">
        <f t="shared" ca="1" si="72"/>
        <v>39.9</v>
      </c>
      <c r="DM36" s="440">
        <f t="shared" ca="1" si="72"/>
        <v>37.384428999999997</v>
      </c>
      <c r="DN36" s="274">
        <f t="shared" ca="1" si="63"/>
        <v>1491.6387170999999</v>
      </c>
      <c r="DP36" s="440">
        <f t="shared" ca="1" si="73"/>
        <v>39.86</v>
      </c>
      <c r="DQ36" s="440">
        <f t="shared" ca="1" si="73"/>
        <v>36.847427000000003</v>
      </c>
      <c r="DR36" s="274">
        <f t="shared" ca="1" si="64"/>
        <v>1468.73844022</v>
      </c>
      <c r="DT36" s="440">
        <f t="shared" ca="1" si="74"/>
        <v>34.729999999999997</v>
      </c>
      <c r="DU36" s="440">
        <f t="shared" ca="1" si="74"/>
        <v>37.201051</v>
      </c>
      <c r="DV36" s="274">
        <f t="shared" ca="1" si="65"/>
        <v>1291.9925012299998</v>
      </c>
      <c r="DX36" s="440">
        <f t="shared" ca="1" si="75"/>
        <v>36.229999999999997</v>
      </c>
      <c r="DY36" s="440">
        <f t="shared" ca="1" si="75"/>
        <v>36.634653</v>
      </c>
      <c r="DZ36" s="274">
        <f t="shared" ca="1" si="66"/>
        <v>1327.2734781899999</v>
      </c>
      <c r="EB36" s="440">
        <f t="shared" ca="1" si="76"/>
        <v>36.700000000000003</v>
      </c>
      <c r="EC36" s="440">
        <f t="shared" ca="1" si="76"/>
        <v>36.328360000000004</v>
      </c>
      <c r="ED36" s="274">
        <f t="shared" ca="1" si="67"/>
        <v>1333.2508120000002</v>
      </c>
      <c r="EF36" s="251">
        <f t="shared" ca="1" si="77"/>
        <v>35.46</v>
      </c>
      <c r="EG36" s="251">
        <f t="shared" ca="1" si="77"/>
        <v>36.258462999999999</v>
      </c>
      <c r="EH36" s="274">
        <f t="shared" ca="1" si="68"/>
        <v>1285.7250979800001</v>
      </c>
      <c r="EJ36" s="251">
        <f t="shared" ca="1" si="78"/>
        <v>35.79</v>
      </c>
      <c r="EK36" s="251">
        <f t="shared" ca="1" si="78"/>
        <v>36.262245999999998</v>
      </c>
      <c r="EL36" s="274">
        <f t="shared" ca="1" si="69"/>
        <v>1297.8257843399999</v>
      </c>
      <c r="EO36" s="252">
        <f t="shared" ca="1" si="35"/>
        <v>93</v>
      </c>
    </row>
    <row r="37" spans="2:145" s="234" customFormat="1">
      <c r="B37" s="258">
        <f t="shared" ca="1" si="70"/>
        <v>28</v>
      </c>
      <c r="C37" s="249" t="str">
        <f t="shared" ca="1" si="71"/>
        <v>OGE Energy Corp.</v>
      </c>
      <c r="D37" s="236" t="str">
        <f t="shared" ca="1" si="71"/>
        <v>OGE</v>
      </c>
      <c r="E37" s="236">
        <f t="shared" ca="1" si="71"/>
        <v>4057055</v>
      </c>
      <c r="F37" s="250"/>
      <c r="G37" s="273"/>
      <c r="H37" s="440">
        <f t="shared" ca="1" si="79"/>
        <v>30.73</v>
      </c>
      <c r="I37" s="440">
        <f t="shared" ca="1" si="79"/>
        <v>200.1</v>
      </c>
      <c r="J37" s="274">
        <f t="shared" ca="1" si="36"/>
        <v>6149.0730000000003</v>
      </c>
      <c r="K37" s="273"/>
      <c r="L37" s="440">
        <f t="shared" ca="1" si="80"/>
        <v>44.47</v>
      </c>
      <c r="M37" s="440">
        <f t="shared" ca="1" si="80"/>
        <v>200.2</v>
      </c>
      <c r="N37" s="274">
        <f t="shared" ca="1" si="37"/>
        <v>8902.8939999999984</v>
      </c>
      <c r="O37" s="273"/>
      <c r="P37" s="440">
        <f t="shared" ca="1" si="81"/>
        <v>45.38</v>
      </c>
      <c r="Q37" s="440">
        <f t="shared" ca="1" si="81"/>
        <v>200.2</v>
      </c>
      <c r="R37" s="274">
        <f t="shared" ca="1" si="38"/>
        <v>9085.0759999999991</v>
      </c>
      <c r="S37" s="273"/>
      <c r="T37" s="440">
        <f t="shared" ca="1" si="82"/>
        <v>42.56</v>
      </c>
      <c r="U37" s="440">
        <f t="shared" ca="1" si="82"/>
        <v>199.9</v>
      </c>
      <c r="V37" s="274">
        <f t="shared" ca="1" si="39"/>
        <v>8507.7440000000006</v>
      </c>
      <c r="W37" s="273"/>
      <c r="X37" s="440">
        <f t="shared" ca="1" si="83"/>
        <v>43.12</v>
      </c>
      <c r="Y37" s="440">
        <f t="shared" ca="1" si="83"/>
        <v>199.7</v>
      </c>
      <c r="Z37" s="274">
        <f t="shared" ca="1" si="40"/>
        <v>8611.0639999999985</v>
      </c>
      <c r="AA37" s="273"/>
      <c r="AB37" s="440">
        <f t="shared" ca="1" si="84"/>
        <v>39.19</v>
      </c>
      <c r="AC37" s="440">
        <f t="shared" ca="1" si="84"/>
        <v>199.7</v>
      </c>
      <c r="AD37" s="274">
        <f t="shared" ca="1" si="41"/>
        <v>7826.2429999999995</v>
      </c>
      <c r="AE37" s="273"/>
      <c r="AF37" s="440">
        <f t="shared" ca="1" si="85"/>
        <v>36.32</v>
      </c>
      <c r="AG37" s="440">
        <f t="shared" ca="1" si="85"/>
        <v>199.7</v>
      </c>
      <c r="AH37" s="274">
        <f t="shared" ca="1" si="42"/>
        <v>7253.1039999999994</v>
      </c>
      <c r="AI37" s="273"/>
      <c r="AJ37" s="440">
        <f t="shared" ca="1" si="86"/>
        <v>35.21</v>
      </c>
      <c r="AK37" s="440">
        <f t="shared" ca="1" si="86"/>
        <v>199.7</v>
      </c>
      <c r="AL37" s="274">
        <f t="shared" ca="1" si="43"/>
        <v>7031.4369999999999</v>
      </c>
      <c r="AM37" s="273"/>
      <c r="AN37" s="440">
        <f t="shared" ca="1" si="87"/>
        <v>32.770000000000003</v>
      </c>
      <c r="AO37" s="440">
        <f t="shared" ca="1" si="87"/>
        <v>199.7</v>
      </c>
      <c r="AP37" s="274">
        <f t="shared" ca="1" si="44"/>
        <v>6544.1689999999999</v>
      </c>
      <c r="AQ37" s="273"/>
      <c r="AR37" s="440">
        <f t="shared" ca="1" si="88"/>
        <v>32.909999999999997</v>
      </c>
      <c r="AS37" s="440">
        <f t="shared" ca="1" si="88"/>
        <v>199.7</v>
      </c>
      <c r="AT37" s="274">
        <f t="shared" ca="1" si="45"/>
        <v>6572.1269999999986</v>
      </c>
      <c r="AU37" s="273"/>
      <c r="AV37" s="440">
        <f t="shared" ca="1" si="89"/>
        <v>36.03</v>
      </c>
      <c r="AW37" s="440">
        <f t="shared" ca="1" si="89"/>
        <v>199.7</v>
      </c>
      <c r="AX37" s="274">
        <f t="shared" ca="1" si="46"/>
        <v>7195.1909999999998</v>
      </c>
      <c r="AY37" s="273"/>
      <c r="AZ37" s="440">
        <f t="shared" ca="1" si="90"/>
        <v>34.79</v>
      </c>
      <c r="BA37" s="440">
        <f t="shared" ca="1" si="90"/>
        <v>199.7</v>
      </c>
      <c r="BB37" s="274">
        <f t="shared" ca="1" si="47"/>
        <v>6947.5629999999992</v>
      </c>
      <c r="BC37" s="273"/>
      <c r="BD37" s="440">
        <f t="shared" ca="1" si="91"/>
        <v>34.979999999999997</v>
      </c>
      <c r="BE37" s="440">
        <f t="shared" ca="1" si="91"/>
        <v>199.7</v>
      </c>
      <c r="BF37" s="274">
        <f t="shared" ca="1" si="48"/>
        <v>6985.5059999999994</v>
      </c>
      <c r="BG37" s="273"/>
      <c r="BH37" s="440">
        <f t="shared" ca="1" si="92"/>
        <v>33.450000000000003</v>
      </c>
      <c r="BI37" s="440">
        <f t="shared" ca="1" si="92"/>
        <v>199.7</v>
      </c>
      <c r="BJ37" s="274">
        <f t="shared" ca="1" si="49"/>
        <v>6679.9650000000001</v>
      </c>
      <c r="BK37" s="273"/>
      <c r="BL37" s="440">
        <f t="shared" ca="1" si="93"/>
        <v>31.62</v>
      </c>
      <c r="BM37" s="440">
        <f t="shared" ca="1" si="93"/>
        <v>199.7</v>
      </c>
      <c r="BN37" s="274">
        <f t="shared" ca="1" si="50"/>
        <v>6314.5140000000001</v>
      </c>
      <c r="BO37" s="273"/>
      <c r="BP37" s="440">
        <f t="shared" ca="1" si="94"/>
        <v>32.75</v>
      </c>
      <c r="BQ37" s="440">
        <f t="shared" ca="1" si="94"/>
        <v>199.7</v>
      </c>
      <c r="BR37" s="274">
        <f t="shared" ca="1" si="51"/>
        <v>6540.1749999999993</v>
      </c>
      <c r="BS37" s="273"/>
      <c r="BT37" s="440">
        <f t="shared" ca="1" si="95"/>
        <v>28.63</v>
      </c>
      <c r="BU37" s="440">
        <f t="shared" ca="1" si="95"/>
        <v>199.6</v>
      </c>
      <c r="BV37" s="274">
        <f t="shared" ca="1" si="52"/>
        <v>5714.5479999999998</v>
      </c>
      <c r="BW37" s="273"/>
      <c r="BX37" s="440">
        <f t="shared" ca="1" si="96"/>
        <v>26.29</v>
      </c>
      <c r="BY37" s="440">
        <f t="shared" ca="1" si="96"/>
        <v>199.7</v>
      </c>
      <c r="BZ37" s="274">
        <f t="shared" ca="1" si="53"/>
        <v>5250.1129999999994</v>
      </c>
      <c r="CA37" s="273"/>
      <c r="CB37" s="440">
        <f t="shared" ca="1" si="97"/>
        <v>27.36</v>
      </c>
      <c r="CC37" s="440">
        <f t="shared" ca="1" si="97"/>
        <v>199.6</v>
      </c>
      <c r="CD37" s="274">
        <f t="shared" ca="1" si="54"/>
        <v>5461.0559999999996</v>
      </c>
      <c r="CE37" s="273"/>
      <c r="CF37" s="440">
        <f t="shared" ca="1" si="98"/>
        <v>28.57</v>
      </c>
      <c r="CG37" s="440">
        <f t="shared" ca="1" si="98"/>
        <v>199.5</v>
      </c>
      <c r="CH37" s="274">
        <f t="shared" ca="1" si="55"/>
        <v>5699.7150000000001</v>
      </c>
      <c r="CI37" s="273"/>
      <c r="CJ37" s="440">
        <f t="shared" ca="1" si="99"/>
        <v>31.61</v>
      </c>
      <c r="CK37" s="440">
        <f t="shared" ca="1" si="99"/>
        <v>199.4</v>
      </c>
      <c r="CL37" s="274">
        <f t="shared" ca="1" si="56"/>
        <v>6303.0339999999997</v>
      </c>
      <c r="CN37" s="440">
        <f t="shared" ca="1" si="100"/>
        <v>35.479999999999997</v>
      </c>
      <c r="CO37" s="440">
        <f t="shared" ca="1" si="100"/>
        <v>199.3</v>
      </c>
      <c r="CP37" s="274">
        <f t="shared" ca="1" si="57"/>
        <v>7071.1639999999998</v>
      </c>
      <c r="CR37" s="440">
        <f t="shared" ca="1" si="101"/>
        <v>37.11</v>
      </c>
      <c r="CS37" s="440">
        <f t="shared" ca="1" si="101"/>
        <v>199.2</v>
      </c>
      <c r="CT37" s="274">
        <f t="shared" ca="1" si="58"/>
        <v>7392.3119999999999</v>
      </c>
      <c r="CV37" s="440">
        <f t="shared" ca="1" si="102"/>
        <v>39.08</v>
      </c>
      <c r="CW37" s="440">
        <f t="shared" ca="1" si="102"/>
        <v>198.8</v>
      </c>
      <c r="CX37" s="274">
        <f t="shared" ca="1" si="59"/>
        <v>7769.1040000000003</v>
      </c>
      <c r="CZ37" s="440">
        <f t="shared" ca="1" si="103"/>
        <v>36.76</v>
      </c>
      <c r="DA37" s="440">
        <f t="shared" ca="1" si="103"/>
        <v>198.2</v>
      </c>
      <c r="DB37" s="274">
        <f t="shared" ca="1" si="60"/>
        <v>7285.8319999999994</v>
      </c>
      <c r="DD37" s="440">
        <f t="shared" ca="1" si="104"/>
        <v>33.9</v>
      </c>
      <c r="DE37" s="440">
        <f t="shared" ca="1" si="104"/>
        <v>198.4</v>
      </c>
      <c r="DF37" s="274">
        <f t="shared" ca="1" si="61"/>
        <v>6725.76</v>
      </c>
      <c r="DH37" s="440">
        <f t="shared" ca="1" si="105"/>
        <v>36.090000000000003</v>
      </c>
      <c r="DI37" s="440">
        <f t="shared" ca="1" si="105"/>
        <v>198.3</v>
      </c>
      <c r="DJ37" s="274">
        <f t="shared" ca="1" si="62"/>
        <v>7156.6470000000008</v>
      </c>
      <c r="DL37" s="440">
        <f t="shared" ca="1" si="72"/>
        <v>34.1</v>
      </c>
      <c r="DM37" s="440">
        <f t="shared" ca="1" si="72"/>
        <v>197.8</v>
      </c>
      <c r="DN37" s="274">
        <f t="shared" ca="1" si="63"/>
        <v>6744.9800000000005</v>
      </c>
      <c r="DP37" s="440">
        <f t="shared" ca="1" si="73"/>
        <v>34.99</v>
      </c>
      <c r="DQ37" s="440">
        <f t="shared" ca="1" si="73"/>
        <v>197.2</v>
      </c>
      <c r="DR37" s="274">
        <f t="shared" ca="1" si="64"/>
        <v>6900.0280000000002</v>
      </c>
      <c r="DT37" s="440">
        <f t="shared" ca="1" si="74"/>
        <v>28.155000000000001</v>
      </c>
      <c r="DU37" s="440">
        <f t="shared" ca="1" si="74"/>
        <v>197.4</v>
      </c>
      <c r="DV37" s="274">
        <f t="shared" ca="1" si="65"/>
        <v>5557.7970000000005</v>
      </c>
      <c r="DX37" s="440">
        <f t="shared" ca="1" si="75"/>
        <v>27.73</v>
      </c>
      <c r="DY37" s="440">
        <f t="shared" ca="1" si="75"/>
        <v>197.2</v>
      </c>
      <c r="DZ37" s="274">
        <f t="shared" ca="1" si="66"/>
        <v>5468.3559999999998</v>
      </c>
      <c r="EB37" s="440">
        <f t="shared" ca="1" si="76"/>
        <v>25.895</v>
      </c>
      <c r="EC37" s="440">
        <f t="shared" ca="1" si="76"/>
        <v>196.6</v>
      </c>
      <c r="ED37" s="274">
        <f t="shared" ca="1" si="67"/>
        <v>5090.9569999999994</v>
      </c>
      <c r="EF37" s="251">
        <f t="shared" ca="1" si="77"/>
        <v>26.75</v>
      </c>
      <c r="EG37" s="251">
        <f t="shared" ca="1" si="77"/>
        <v>195.8</v>
      </c>
      <c r="EH37" s="274">
        <f t="shared" ca="1" si="68"/>
        <v>5237.6500000000005</v>
      </c>
      <c r="EJ37" s="251">
        <f t="shared" ca="1" si="78"/>
        <v>28.355</v>
      </c>
      <c r="EK37" s="251">
        <f t="shared" ca="1" si="78"/>
        <v>196</v>
      </c>
      <c r="EL37" s="274">
        <f t="shared" ca="1" si="69"/>
        <v>5557.58</v>
      </c>
      <c r="EO37" s="252">
        <f t="shared" ca="1" si="35"/>
        <v>50</v>
      </c>
    </row>
    <row r="38" spans="2:145" s="234" customFormat="1">
      <c r="B38" s="258">
        <f t="shared" ca="1" si="70"/>
        <v>29</v>
      </c>
      <c r="C38" s="249" t="str">
        <f t="shared" ca="1" si="71"/>
        <v>Otter Tail Corporation</v>
      </c>
      <c r="D38" s="236" t="str">
        <f t="shared" ca="1" si="71"/>
        <v>OTTR</v>
      </c>
      <c r="E38" s="236">
        <f t="shared" ca="1" si="71"/>
        <v>4057017</v>
      </c>
      <c r="F38" s="250"/>
      <c r="G38" s="273"/>
      <c r="H38" s="440">
        <f t="shared" ca="1" si="79"/>
        <v>44.46</v>
      </c>
      <c r="I38" s="440">
        <f t="shared" ca="1" si="79"/>
        <v>39.720846999999999</v>
      </c>
      <c r="J38" s="274">
        <f t="shared" ca="1" si="36"/>
        <v>1765.9888576200001</v>
      </c>
      <c r="K38" s="273"/>
      <c r="L38" s="440">
        <f t="shared" ca="1" si="80"/>
        <v>51.29</v>
      </c>
      <c r="M38" s="440">
        <f t="shared" ca="1" si="80"/>
        <v>39.714672</v>
      </c>
      <c r="N38" s="274">
        <f t="shared" ca="1" si="37"/>
        <v>2036.96552688</v>
      </c>
      <c r="O38" s="273"/>
      <c r="P38" s="440">
        <f t="shared" ca="1" si="81"/>
        <v>53.75</v>
      </c>
      <c r="Q38" s="440">
        <f t="shared" ca="1" si="81"/>
        <v>39.712035999999998</v>
      </c>
      <c r="R38" s="274">
        <f t="shared" ca="1" si="38"/>
        <v>2134.5219349999998</v>
      </c>
      <c r="S38" s="273"/>
      <c r="T38" s="440">
        <f t="shared" ca="1" si="82"/>
        <v>52.81</v>
      </c>
      <c r="U38" s="440">
        <f t="shared" ca="1" si="82"/>
        <v>39.657321000000003</v>
      </c>
      <c r="V38" s="274">
        <f t="shared" ca="1" si="39"/>
        <v>2094.3031220100002</v>
      </c>
      <c r="W38" s="273"/>
      <c r="X38" s="440">
        <f t="shared" ca="1" si="83"/>
        <v>49.82</v>
      </c>
      <c r="Y38" s="440">
        <f t="shared" ca="1" si="83"/>
        <v>39.599944000000001</v>
      </c>
      <c r="Z38" s="274">
        <f t="shared" ca="1" si="40"/>
        <v>1972.8692100800001</v>
      </c>
      <c r="AA38" s="273"/>
      <c r="AB38" s="440">
        <f t="shared" ca="1" si="84"/>
        <v>49.64</v>
      </c>
      <c r="AC38" s="440">
        <f t="shared" ca="1" si="84"/>
        <v>39.621524000000001</v>
      </c>
      <c r="AD38" s="274">
        <f t="shared" ca="1" si="41"/>
        <v>1966.8124513600001</v>
      </c>
      <c r="AE38" s="273"/>
      <c r="AF38" s="440">
        <f t="shared" ca="1" si="85"/>
        <v>47.9</v>
      </c>
      <c r="AG38" s="440">
        <f t="shared" ca="1" si="85"/>
        <v>39.605716999999999</v>
      </c>
      <c r="AH38" s="274">
        <f t="shared" ca="1" si="42"/>
        <v>1897.1138443</v>
      </c>
      <c r="AI38" s="273"/>
      <c r="AJ38" s="440">
        <f t="shared" ca="1" si="86"/>
        <v>47.6</v>
      </c>
      <c r="AK38" s="440">
        <f t="shared" ca="1" si="86"/>
        <v>39.550874</v>
      </c>
      <c r="AL38" s="274">
        <f t="shared" ca="1" si="43"/>
        <v>1882.6216024</v>
      </c>
      <c r="AM38" s="273"/>
      <c r="AN38" s="440">
        <f t="shared" ca="1" si="87"/>
        <v>43.35</v>
      </c>
      <c r="AO38" s="440">
        <f t="shared" ca="1" si="87"/>
        <v>39.507795999999999</v>
      </c>
      <c r="AP38" s="274">
        <f t="shared" ca="1" si="44"/>
        <v>1712.6629565999999</v>
      </c>
      <c r="AQ38" s="273"/>
      <c r="AR38" s="440">
        <f t="shared" ca="1" si="88"/>
        <v>44.45</v>
      </c>
      <c r="AS38" s="440">
        <f t="shared" ca="1" si="88"/>
        <v>39.507581000000002</v>
      </c>
      <c r="AT38" s="274">
        <f t="shared" ca="1" si="45"/>
        <v>1756.1119754500003</v>
      </c>
      <c r="AU38" s="273"/>
      <c r="AV38" s="440">
        <f t="shared" ca="1" si="89"/>
        <v>43.35</v>
      </c>
      <c r="AW38" s="440">
        <f t="shared" ca="1" si="89"/>
        <v>39.462865000000001</v>
      </c>
      <c r="AX38" s="274">
        <f t="shared" ca="1" si="46"/>
        <v>1710.71519775</v>
      </c>
      <c r="AY38" s="273"/>
      <c r="AZ38" s="440">
        <f t="shared" ca="1" si="90"/>
        <v>39.6</v>
      </c>
      <c r="BA38" s="440">
        <f t="shared" ca="1" si="90"/>
        <v>39.350802000000002</v>
      </c>
      <c r="BB38" s="274">
        <f t="shared" ca="1" si="47"/>
        <v>1558.2917592000001</v>
      </c>
      <c r="BC38" s="273"/>
      <c r="BD38" s="440">
        <f t="shared" ca="1" si="91"/>
        <v>37.9</v>
      </c>
      <c r="BE38" s="440">
        <f t="shared" ca="1" si="91"/>
        <v>38.546458999999999</v>
      </c>
      <c r="BF38" s="274">
        <f t="shared" ca="1" si="48"/>
        <v>1460.9107961</v>
      </c>
      <c r="BG38" s="273"/>
      <c r="BH38" s="440">
        <f t="shared" ca="1" si="92"/>
        <v>40.799999999999997</v>
      </c>
      <c r="BI38" s="440">
        <f t="shared" ca="1" si="92"/>
        <v>38.832659</v>
      </c>
      <c r="BJ38" s="274">
        <f t="shared" ca="1" si="49"/>
        <v>1584.3724871999998</v>
      </c>
      <c r="BK38" s="273"/>
      <c r="BL38" s="440">
        <f t="shared" ca="1" si="93"/>
        <v>34.590000000000003</v>
      </c>
      <c r="BM38" s="440">
        <f t="shared" ca="1" si="93"/>
        <v>38.179371000000003</v>
      </c>
      <c r="BN38" s="274">
        <f t="shared" ca="1" si="50"/>
        <v>1320.6244428900002</v>
      </c>
      <c r="BO38" s="273"/>
      <c r="BP38" s="440">
        <f t="shared" ca="1" si="94"/>
        <v>33.49</v>
      </c>
      <c r="BQ38" s="440">
        <f t="shared" ca="1" si="94"/>
        <v>37.936942999999999</v>
      </c>
      <c r="BR38" s="274">
        <f t="shared" ca="1" si="51"/>
        <v>1270.50822107</v>
      </c>
      <c r="BS38" s="273"/>
      <c r="BT38" s="440">
        <f t="shared" ca="1" si="95"/>
        <v>29.62</v>
      </c>
      <c r="BU38" s="440">
        <f t="shared" ca="1" si="95"/>
        <v>37.494985999999997</v>
      </c>
      <c r="BV38" s="274">
        <f t="shared" ca="1" si="52"/>
        <v>1110.6014853199999</v>
      </c>
      <c r="BW38" s="273"/>
      <c r="BX38" s="440">
        <f t="shared" ca="1" si="96"/>
        <v>26.63</v>
      </c>
      <c r="BY38" s="440">
        <f t="shared" ca="1" si="96"/>
        <v>37.575412999999998</v>
      </c>
      <c r="BZ38" s="274">
        <f t="shared" ca="1" si="53"/>
        <v>1000.6332481899999</v>
      </c>
      <c r="CA38" s="273"/>
      <c r="CB38" s="440">
        <f t="shared" ca="1" si="97"/>
        <v>26.06</v>
      </c>
      <c r="CC38" s="440">
        <f t="shared" ca="1" si="97"/>
        <v>37.433318</v>
      </c>
      <c r="CD38" s="274">
        <f t="shared" ca="1" si="54"/>
        <v>975.5122670799999</v>
      </c>
      <c r="CE38" s="273"/>
      <c r="CF38" s="440">
        <f t="shared" ca="1" si="98"/>
        <v>26.6</v>
      </c>
      <c r="CG38" s="440">
        <f t="shared" ca="1" si="98"/>
        <v>37.243118000000003</v>
      </c>
      <c r="CH38" s="274">
        <f t="shared" ca="1" si="55"/>
        <v>990.66693880000014</v>
      </c>
      <c r="CI38" s="273"/>
      <c r="CJ38" s="440">
        <f t="shared" ca="1" si="99"/>
        <v>32.17</v>
      </c>
      <c r="CK38" s="440">
        <f t="shared" ca="1" si="99"/>
        <v>36.811087999999998</v>
      </c>
      <c r="CL38" s="274">
        <f t="shared" ca="1" si="56"/>
        <v>1184.2127009599999</v>
      </c>
      <c r="CN38" s="440">
        <f t="shared" ca="1" si="100"/>
        <v>30.96</v>
      </c>
      <c r="CO38" s="440">
        <f t="shared" ca="1" si="100"/>
        <v>36.596395999999999</v>
      </c>
      <c r="CP38" s="274">
        <f t="shared" ca="1" si="57"/>
        <v>1133.0244201600001</v>
      </c>
      <c r="CR38" s="440">
        <f t="shared" ca="1" si="101"/>
        <v>26.67</v>
      </c>
      <c r="CS38" s="440">
        <f t="shared" ca="1" si="101"/>
        <v>36.409753000000002</v>
      </c>
      <c r="CT38" s="274">
        <f t="shared" ca="1" si="58"/>
        <v>971.04811251000012</v>
      </c>
      <c r="CV38" s="440">
        <f t="shared" ca="1" si="102"/>
        <v>30.29</v>
      </c>
      <c r="CW38" s="440">
        <f t="shared" ca="1" si="102"/>
        <v>36.240349999999999</v>
      </c>
      <c r="CX38" s="274">
        <f t="shared" ca="1" si="59"/>
        <v>1097.7202015</v>
      </c>
      <c r="CZ38" s="440">
        <f t="shared" ca="1" si="103"/>
        <v>30.79</v>
      </c>
      <c r="DA38" s="440">
        <f t="shared" ca="1" si="103"/>
        <v>36.151364000000001</v>
      </c>
      <c r="DB38" s="274">
        <f t="shared" ca="1" si="60"/>
        <v>1113.1004975599999</v>
      </c>
      <c r="DD38" s="440">
        <f t="shared" ca="1" si="104"/>
        <v>29.27</v>
      </c>
      <c r="DE38" s="440">
        <f t="shared" ca="1" si="104"/>
        <v>36.179507000000001</v>
      </c>
      <c r="DF38" s="274">
        <f t="shared" ca="1" si="61"/>
        <v>1058.97416989</v>
      </c>
      <c r="DH38" s="440">
        <f t="shared" ca="1" si="105"/>
        <v>27.6</v>
      </c>
      <c r="DI38" s="440">
        <f t="shared" ca="1" si="105"/>
        <v>36.170352999999999</v>
      </c>
      <c r="DJ38" s="274">
        <f t="shared" ca="1" si="62"/>
        <v>998.30174280000006</v>
      </c>
      <c r="DL38" s="440">
        <f t="shared" ca="1" si="72"/>
        <v>28.4</v>
      </c>
      <c r="DM38" s="440">
        <f t="shared" ca="1" si="72"/>
        <v>36.075130999999999</v>
      </c>
      <c r="DN38" s="274">
        <f t="shared" ca="1" si="63"/>
        <v>1024.5337204</v>
      </c>
      <c r="DP38" s="440">
        <f t="shared" ca="1" si="73"/>
        <v>31.14</v>
      </c>
      <c r="DQ38" s="440">
        <f t="shared" ca="1" si="73"/>
        <v>36.047984</v>
      </c>
      <c r="DR38" s="274">
        <f t="shared" ca="1" si="64"/>
        <v>1122.53422176</v>
      </c>
      <c r="DT38" s="440">
        <f t="shared" ca="1" si="74"/>
        <v>25</v>
      </c>
      <c r="DU38" s="440">
        <f t="shared" ca="1" si="74"/>
        <v>36.061022000000001</v>
      </c>
      <c r="DV38" s="274">
        <f t="shared" ca="1" si="65"/>
        <v>901.52555000000007</v>
      </c>
      <c r="DX38" s="440">
        <f t="shared" ca="1" si="75"/>
        <v>23.86</v>
      </c>
      <c r="DY38" s="440">
        <f t="shared" ca="1" si="75"/>
        <v>36.031447</v>
      </c>
      <c r="DZ38" s="274">
        <f t="shared" ca="1" si="66"/>
        <v>859.71032542</v>
      </c>
      <c r="EB38" s="440">
        <f t="shared" ca="1" si="76"/>
        <v>22.86</v>
      </c>
      <c r="EC38" s="440">
        <f t="shared" ca="1" si="76"/>
        <v>35.995179</v>
      </c>
      <c r="ED38" s="274">
        <f t="shared" ca="1" si="67"/>
        <v>822.84979193999993</v>
      </c>
      <c r="EF38" s="251">
        <f t="shared" ca="1" si="77"/>
        <v>21.7</v>
      </c>
      <c r="EG38" s="251">
        <f t="shared" ca="1" si="77"/>
        <v>35.922154999999997</v>
      </c>
      <c r="EH38" s="274">
        <f t="shared" ca="1" si="68"/>
        <v>779.51076349999994</v>
      </c>
      <c r="EJ38" s="251">
        <f t="shared" ca="1" si="78"/>
        <v>22.02</v>
      </c>
      <c r="EK38" s="251">
        <f t="shared" ca="1" si="78"/>
        <v>35.933002999999999</v>
      </c>
      <c r="EL38" s="274">
        <f t="shared" ca="1" si="69"/>
        <v>791.24472605999995</v>
      </c>
      <c r="EO38" s="252">
        <f t="shared" ref="EO38:EO59" ca="1" si="106">MATCH( $D38, INDIRECT( EO$6 &amp; EO$9 ), 0 )</f>
        <v>51</v>
      </c>
    </row>
    <row r="39" spans="2:145" s="234" customFormat="1">
      <c r="B39" s="258">
        <f t="shared" ca="1" si="70"/>
        <v>30</v>
      </c>
      <c r="C39" s="249" t="str">
        <f t="shared" ca="1" si="71"/>
        <v>PG&amp;E Corporation</v>
      </c>
      <c r="D39" s="236" t="str">
        <f t="shared" ca="1" si="71"/>
        <v>PCG</v>
      </c>
      <c r="E39" s="236">
        <f t="shared" ca="1" si="71"/>
        <v>4057057</v>
      </c>
      <c r="F39" s="250"/>
      <c r="G39" s="273"/>
      <c r="H39" s="440">
        <f t="shared" ca="1" si="79"/>
        <v>8.99</v>
      </c>
      <c r="I39" s="440">
        <f t="shared" ca="1" si="79"/>
        <v>528</v>
      </c>
      <c r="J39" s="274">
        <f t="shared" ca="1" si="36"/>
        <v>4746.72</v>
      </c>
      <c r="K39" s="273"/>
      <c r="L39" s="440">
        <f t="shared" ca="1" si="80"/>
        <v>10.87</v>
      </c>
      <c r="M39" s="440">
        <f t="shared" ca="1" si="80"/>
        <v>529</v>
      </c>
      <c r="N39" s="274">
        <f t="shared" ca="1" si="37"/>
        <v>5750.23</v>
      </c>
      <c r="O39" s="273"/>
      <c r="P39" s="440">
        <f t="shared" ca="1" si="81"/>
        <v>10</v>
      </c>
      <c r="Q39" s="440">
        <f t="shared" ca="1" si="81"/>
        <v>529</v>
      </c>
      <c r="R39" s="274">
        <f t="shared" ca="1" si="38"/>
        <v>5290</v>
      </c>
      <c r="S39" s="273"/>
      <c r="T39" s="440">
        <f t="shared" ca="1" si="82"/>
        <v>22.92</v>
      </c>
      <c r="U39" s="440">
        <f t="shared" ca="1" si="82"/>
        <v>526</v>
      </c>
      <c r="V39" s="274">
        <f t="shared" ca="1" si="39"/>
        <v>12055.92</v>
      </c>
      <c r="W39" s="273"/>
      <c r="X39" s="440">
        <f t="shared" ca="1" si="83"/>
        <v>17.8</v>
      </c>
      <c r="Y39" s="440">
        <f t="shared" ca="1" si="83"/>
        <v>517</v>
      </c>
      <c r="Z39" s="274">
        <f t="shared" ca="1" si="40"/>
        <v>9202.6</v>
      </c>
      <c r="AA39" s="273"/>
      <c r="AB39" s="440">
        <f t="shared" ca="1" si="84"/>
        <v>23.75</v>
      </c>
      <c r="AC39" s="440">
        <f t="shared" ca="1" si="84"/>
        <v>517</v>
      </c>
      <c r="AD39" s="274">
        <f t="shared" ca="1" si="41"/>
        <v>12278.75</v>
      </c>
      <c r="AE39" s="273"/>
      <c r="AF39" s="440">
        <f t="shared" ca="1" si="85"/>
        <v>46.01</v>
      </c>
      <c r="AG39" s="440">
        <f t="shared" ca="1" si="85"/>
        <v>516</v>
      </c>
      <c r="AH39" s="274">
        <f t="shared" ca="1" si="42"/>
        <v>23741.16</v>
      </c>
      <c r="AI39" s="273"/>
      <c r="AJ39" s="440">
        <f t="shared" ca="1" si="86"/>
        <v>42.56</v>
      </c>
      <c r="AK39" s="440">
        <f t="shared" ca="1" si="86"/>
        <v>515</v>
      </c>
      <c r="AL39" s="274">
        <f t="shared" ca="1" si="43"/>
        <v>21918.400000000001</v>
      </c>
      <c r="AM39" s="273"/>
      <c r="AN39" s="440">
        <f t="shared" ca="1" si="87"/>
        <v>43.93</v>
      </c>
      <c r="AO39" s="440">
        <f t="shared" ca="1" si="87"/>
        <v>515</v>
      </c>
      <c r="AP39" s="274">
        <f t="shared" ca="1" si="44"/>
        <v>22623.95</v>
      </c>
      <c r="AQ39" s="273"/>
      <c r="AR39" s="440">
        <f t="shared" ca="1" si="88"/>
        <v>44.83</v>
      </c>
      <c r="AS39" s="440">
        <f t="shared" ca="1" si="88"/>
        <v>513</v>
      </c>
      <c r="AT39" s="274">
        <f t="shared" ca="1" si="45"/>
        <v>22997.79</v>
      </c>
      <c r="AU39" s="273"/>
      <c r="AV39" s="440">
        <f t="shared" ca="1" si="89"/>
        <v>68.09</v>
      </c>
      <c r="AW39" s="440">
        <f t="shared" ca="1" si="89"/>
        <v>511</v>
      </c>
      <c r="AX39" s="274">
        <f t="shared" ca="1" si="46"/>
        <v>34793.990000000005</v>
      </c>
      <c r="AY39" s="273"/>
      <c r="AZ39" s="440">
        <f t="shared" ca="1" si="90"/>
        <v>66.37</v>
      </c>
      <c r="BA39" s="440">
        <f t="shared" ca="1" si="90"/>
        <v>508</v>
      </c>
      <c r="BB39" s="274">
        <f t="shared" ca="1" si="47"/>
        <v>33715.96</v>
      </c>
      <c r="BC39" s="273"/>
      <c r="BD39" s="440">
        <f t="shared" ca="1" si="91"/>
        <v>66.36</v>
      </c>
      <c r="BE39" s="440">
        <f t="shared" ca="1" si="91"/>
        <v>499</v>
      </c>
      <c r="BF39" s="274">
        <f t="shared" ca="1" si="48"/>
        <v>33113.64</v>
      </c>
      <c r="BG39" s="273"/>
      <c r="BH39" s="440">
        <f t="shared" ca="1" si="92"/>
        <v>60.77</v>
      </c>
      <c r="BI39" s="440">
        <f t="shared" ca="1" si="92"/>
        <v>501</v>
      </c>
      <c r="BJ39" s="274">
        <f t="shared" ca="1" si="49"/>
        <v>30445.77</v>
      </c>
      <c r="BK39" s="273"/>
      <c r="BL39" s="440">
        <f t="shared" ca="1" si="93"/>
        <v>61.17</v>
      </c>
      <c r="BM39" s="440">
        <f t="shared" ca="1" si="93"/>
        <v>497</v>
      </c>
      <c r="BN39" s="274">
        <f t="shared" ca="1" si="50"/>
        <v>30401.49</v>
      </c>
      <c r="BO39" s="273"/>
      <c r="BP39" s="440">
        <f t="shared" ca="1" si="94"/>
        <v>63.92</v>
      </c>
      <c r="BQ39" s="440">
        <f t="shared" ca="1" si="94"/>
        <v>493</v>
      </c>
      <c r="BR39" s="274">
        <f t="shared" ca="1" si="51"/>
        <v>31512.560000000001</v>
      </c>
      <c r="BS39" s="273"/>
      <c r="BT39" s="440">
        <f t="shared" ca="1" si="95"/>
        <v>59.72</v>
      </c>
      <c r="BU39" s="440">
        <f t="shared" ca="1" si="95"/>
        <v>484</v>
      </c>
      <c r="BV39" s="274">
        <f t="shared" ca="1" si="52"/>
        <v>28904.48</v>
      </c>
      <c r="BW39" s="273"/>
      <c r="BX39" s="440">
        <f t="shared" ca="1" si="96"/>
        <v>53.19</v>
      </c>
      <c r="BY39" s="440">
        <f t="shared" ca="1" si="96"/>
        <v>486</v>
      </c>
      <c r="BZ39" s="274">
        <f t="shared" ca="1" si="53"/>
        <v>25850.34</v>
      </c>
      <c r="CA39" s="273"/>
      <c r="CB39" s="440">
        <f t="shared" ca="1" si="97"/>
        <v>52.8</v>
      </c>
      <c r="CC39" s="440">
        <f t="shared" ca="1" si="97"/>
        <v>480</v>
      </c>
      <c r="CD39" s="274">
        <f t="shared" ca="1" si="54"/>
        <v>25344</v>
      </c>
      <c r="CE39" s="273"/>
      <c r="CF39" s="440">
        <f t="shared" ca="1" si="98"/>
        <v>49.1</v>
      </c>
      <c r="CG39" s="440">
        <f t="shared" ca="1" si="98"/>
        <v>477</v>
      </c>
      <c r="CH39" s="274">
        <f t="shared" ca="1" si="55"/>
        <v>23420.7</v>
      </c>
      <c r="CI39" s="273"/>
      <c r="CJ39" s="440">
        <f t="shared" ca="1" si="99"/>
        <v>53.07</v>
      </c>
      <c r="CK39" s="440">
        <f t="shared" ca="1" si="99"/>
        <v>474</v>
      </c>
      <c r="CL39" s="274">
        <f t="shared" ca="1" si="56"/>
        <v>25155.18</v>
      </c>
      <c r="CN39" s="440">
        <f t="shared" ca="1" si="100"/>
        <v>53.24</v>
      </c>
      <c r="CO39" s="440">
        <f t="shared" ca="1" si="100"/>
        <v>472</v>
      </c>
      <c r="CP39" s="274">
        <f t="shared" ca="1" si="57"/>
        <v>25129.280000000002</v>
      </c>
      <c r="CR39" s="440">
        <f t="shared" ca="1" si="101"/>
        <v>45.04</v>
      </c>
      <c r="CS39" s="440">
        <f t="shared" ca="1" si="101"/>
        <v>467</v>
      </c>
      <c r="CT39" s="274">
        <f t="shared" ca="1" si="58"/>
        <v>21033.68</v>
      </c>
      <c r="CV39" s="440">
        <f t="shared" ca="1" si="102"/>
        <v>48.02</v>
      </c>
      <c r="CW39" s="440">
        <f t="shared" ca="1" si="102"/>
        <v>459</v>
      </c>
      <c r="CX39" s="274">
        <f t="shared" ca="1" si="59"/>
        <v>22041.18</v>
      </c>
      <c r="CZ39" s="440">
        <f t="shared" ca="1" si="103"/>
        <v>43.2</v>
      </c>
      <c r="DA39" s="440">
        <f t="shared" ca="1" si="103"/>
        <v>444</v>
      </c>
      <c r="DB39" s="274">
        <f t="shared" ca="1" si="60"/>
        <v>19180.800000000003</v>
      </c>
      <c r="DD39" s="440">
        <f t="shared" ca="1" si="104"/>
        <v>40.28</v>
      </c>
      <c r="DE39" s="440">
        <f t="shared" ca="1" si="104"/>
        <v>446</v>
      </c>
      <c r="DF39" s="274">
        <f t="shared" ca="1" si="61"/>
        <v>17964.88</v>
      </c>
      <c r="DH39" s="440">
        <f t="shared" ca="1" si="105"/>
        <v>40.92</v>
      </c>
      <c r="DI39" s="440">
        <f t="shared" ca="1" si="105"/>
        <v>442</v>
      </c>
      <c r="DJ39" s="274">
        <f t="shared" ca="1" si="62"/>
        <v>18086.64</v>
      </c>
      <c r="DL39" s="440">
        <f t="shared" ca="1" si="72"/>
        <v>45.73</v>
      </c>
      <c r="DM39" s="440">
        <f t="shared" ca="1" si="72"/>
        <v>434</v>
      </c>
      <c r="DN39" s="274">
        <f t="shared" ca="1" si="63"/>
        <v>19846.82</v>
      </c>
      <c r="DP39" s="440">
        <f t="shared" ca="1" si="73"/>
        <v>44.53</v>
      </c>
      <c r="DQ39" s="440">
        <f t="shared" ca="1" si="73"/>
        <v>424</v>
      </c>
      <c r="DR39" s="274">
        <f t="shared" ca="1" si="64"/>
        <v>18880.72</v>
      </c>
      <c r="DT39" s="440">
        <f t="shared" ca="1" si="74"/>
        <v>40.18</v>
      </c>
      <c r="DU39" s="440">
        <f t="shared" ca="1" si="74"/>
        <v>428</v>
      </c>
      <c r="DV39" s="274">
        <f t="shared" ca="1" si="65"/>
        <v>17197.04</v>
      </c>
      <c r="DX39" s="440">
        <f t="shared" ca="1" si="75"/>
        <v>42.67</v>
      </c>
      <c r="DY39" s="440">
        <f t="shared" ca="1" si="75"/>
        <v>423</v>
      </c>
      <c r="DZ39" s="274">
        <f t="shared" ca="1" si="66"/>
        <v>18049.41</v>
      </c>
      <c r="EB39" s="440">
        <f t="shared" ca="1" si="76"/>
        <v>45.27</v>
      </c>
      <c r="EC39" s="440">
        <f t="shared" ca="1" si="76"/>
        <v>414</v>
      </c>
      <c r="ED39" s="274">
        <f t="shared" ca="1" si="67"/>
        <v>18741.780000000002</v>
      </c>
      <c r="EF39" s="251">
        <f t="shared" ca="1" si="77"/>
        <v>43.41</v>
      </c>
      <c r="EG39" s="251">
        <f t="shared" ca="1" si="77"/>
        <v>401</v>
      </c>
      <c r="EH39" s="274">
        <f t="shared" ca="1" si="68"/>
        <v>17407.41</v>
      </c>
      <c r="EJ39" s="251">
        <f t="shared" ca="1" si="78"/>
        <v>41.22</v>
      </c>
      <c r="EK39" s="251">
        <f t="shared" ca="1" si="78"/>
        <v>403</v>
      </c>
      <c r="EL39" s="274">
        <f t="shared" ca="1" si="69"/>
        <v>16611.66</v>
      </c>
      <c r="EO39" s="252">
        <f t="shared" ca="1" si="106"/>
        <v>95</v>
      </c>
    </row>
    <row r="40" spans="2:145" s="234" customFormat="1">
      <c r="B40" s="258">
        <f t="shared" ca="1" si="70"/>
        <v>31</v>
      </c>
      <c r="C40" s="249" t="str">
        <f t="shared" ca="1" si="71"/>
        <v>Pinnacle West Capital Corporation</v>
      </c>
      <c r="D40" s="236" t="str">
        <f t="shared" ca="1" si="71"/>
        <v>PNW</v>
      </c>
      <c r="E40" s="236">
        <f t="shared" ca="1" si="71"/>
        <v>4056951</v>
      </c>
      <c r="F40" s="250"/>
      <c r="G40" s="273"/>
      <c r="H40" s="440">
        <f t="shared" ca="1" si="79"/>
        <v>75.790000000000006</v>
      </c>
      <c r="I40" s="440">
        <f t="shared" ca="1" si="79"/>
        <v>112.442818</v>
      </c>
      <c r="J40" s="274">
        <f t="shared" ca="1" si="36"/>
        <v>8522.0411762200001</v>
      </c>
      <c r="K40" s="273"/>
      <c r="L40" s="440">
        <f t="shared" ca="1" si="80"/>
        <v>89.93</v>
      </c>
      <c r="M40" s="440">
        <f t="shared" ca="1" si="80"/>
        <v>112.46299999999999</v>
      </c>
      <c r="N40" s="274">
        <f t="shared" ca="1" si="37"/>
        <v>10113.79759</v>
      </c>
      <c r="O40" s="273"/>
      <c r="P40" s="440">
        <f t="shared" ca="1" si="81"/>
        <v>97.07</v>
      </c>
      <c r="Q40" s="440">
        <f t="shared" ca="1" si="81"/>
        <v>112.337</v>
      </c>
      <c r="R40" s="274">
        <f t="shared" ca="1" si="38"/>
        <v>10904.552589999999</v>
      </c>
      <c r="S40" s="273"/>
      <c r="T40" s="440">
        <f t="shared" ca="1" si="82"/>
        <v>94.09</v>
      </c>
      <c r="U40" s="440">
        <f t="shared" ca="1" si="82"/>
        <v>112.337</v>
      </c>
      <c r="V40" s="274">
        <f t="shared" ca="1" si="39"/>
        <v>10569.788330000001</v>
      </c>
      <c r="W40" s="273"/>
      <c r="X40" s="440">
        <f t="shared" ca="1" si="83"/>
        <v>95.58</v>
      </c>
      <c r="Y40" s="440">
        <f t="shared" ca="1" si="83"/>
        <v>112.129017</v>
      </c>
      <c r="Z40" s="274">
        <f t="shared" ca="1" si="40"/>
        <v>10717.29144486</v>
      </c>
      <c r="AA40" s="273"/>
      <c r="AB40" s="440">
        <f t="shared" ca="1" si="84"/>
        <v>85.2</v>
      </c>
      <c r="AC40" s="440">
        <f t="shared" ca="1" si="84"/>
        <v>112.148</v>
      </c>
      <c r="AD40" s="274">
        <f t="shared" ca="1" si="41"/>
        <v>9555.0095999999994</v>
      </c>
      <c r="AE40" s="273"/>
      <c r="AF40" s="440">
        <f t="shared" ca="1" si="85"/>
        <v>79.180000000000007</v>
      </c>
      <c r="AG40" s="440">
        <f t="shared" ca="1" si="85"/>
        <v>112.11499999999999</v>
      </c>
      <c r="AH40" s="274">
        <f t="shared" ca="1" si="42"/>
        <v>8877.2656999999999</v>
      </c>
      <c r="AI40" s="273"/>
      <c r="AJ40" s="440">
        <f t="shared" ca="1" si="86"/>
        <v>80.56</v>
      </c>
      <c r="AK40" s="440">
        <f t="shared" ca="1" si="86"/>
        <v>112.017</v>
      </c>
      <c r="AL40" s="274">
        <f t="shared" ca="1" si="43"/>
        <v>9024.0895199999995</v>
      </c>
      <c r="AM40" s="273"/>
      <c r="AN40" s="440">
        <f t="shared" ca="1" si="87"/>
        <v>79.8</v>
      </c>
      <c r="AO40" s="440">
        <f t="shared" ca="1" si="87"/>
        <v>111.943</v>
      </c>
      <c r="AP40" s="274">
        <f t="shared" ca="1" si="44"/>
        <v>8933.0514000000003</v>
      </c>
      <c r="AQ40" s="273"/>
      <c r="AR40" s="440">
        <f t="shared" ca="1" si="88"/>
        <v>85.18</v>
      </c>
      <c r="AS40" s="440">
        <f t="shared" ca="1" si="88"/>
        <v>111.83499999999999</v>
      </c>
      <c r="AT40" s="274">
        <f t="shared" ca="1" si="45"/>
        <v>9526.1053000000011</v>
      </c>
      <c r="AU40" s="273"/>
      <c r="AV40" s="440">
        <f t="shared" ca="1" si="89"/>
        <v>84.56</v>
      </c>
      <c r="AW40" s="440">
        <f t="shared" ca="1" si="89"/>
        <v>111.797</v>
      </c>
      <c r="AX40" s="274">
        <f t="shared" ca="1" si="46"/>
        <v>9453.5543199999993</v>
      </c>
      <c r="AY40" s="273"/>
      <c r="AZ40" s="440">
        <f t="shared" ca="1" si="90"/>
        <v>85.16</v>
      </c>
      <c r="BA40" s="440">
        <f t="shared" ca="1" si="90"/>
        <v>111.72799999999999</v>
      </c>
      <c r="BB40" s="274">
        <f t="shared" ca="1" si="47"/>
        <v>9514.75648</v>
      </c>
      <c r="BC40" s="273"/>
      <c r="BD40" s="440">
        <f t="shared" ca="1" si="91"/>
        <v>83.38</v>
      </c>
      <c r="BE40" s="440">
        <f t="shared" ca="1" si="91"/>
        <v>111.40872899999999</v>
      </c>
      <c r="BF40" s="274">
        <f t="shared" ca="1" si="48"/>
        <v>9289.2598240199986</v>
      </c>
      <c r="BG40" s="273"/>
      <c r="BH40" s="440">
        <f t="shared" ca="1" si="92"/>
        <v>78.03</v>
      </c>
      <c r="BI40" s="440">
        <f t="shared" ca="1" si="92"/>
        <v>111.416</v>
      </c>
      <c r="BJ40" s="274">
        <f t="shared" ca="1" si="49"/>
        <v>8693.7904799999997</v>
      </c>
      <c r="BK40" s="273"/>
      <c r="BL40" s="440">
        <f t="shared" ca="1" si="93"/>
        <v>75.989999999999995</v>
      </c>
      <c r="BM40" s="440">
        <f t="shared" ca="1" si="93"/>
        <v>111.36799999999999</v>
      </c>
      <c r="BN40" s="274">
        <f t="shared" ca="1" si="50"/>
        <v>8462.8543199999986</v>
      </c>
      <c r="BO40" s="273"/>
      <c r="BP40" s="440">
        <f t="shared" ca="1" si="94"/>
        <v>81.06</v>
      </c>
      <c r="BQ40" s="440">
        <f t="shared" ca="1" si="94"/>
        <v>111.29600000000001</v>
      </c>
      <c r="BR40" s="274">
        <f t="shared" ca="1" si="51"/>
        <v>9021.6537600000011</v>
      </c>
      <c r="BS40" s="273"/>
      <c r="BT40" s="440">
        <f t="shared" ca="1" si="95"/>
        <v>75.069999999999993</v>
      </c>
      <c r="BU40" s="440">
        <f t="shared" ca="1" si="95"/>
        <v>111.025944</v>
      </c>
      <c r="BV40" s="274">
        <f t="shared" ca="1" si="52"/>
        <v>8334.7176160799991</v>
      </c>
      <c r="BW40" s="273"/>
      <c r="BX40" s="440">
        <f t="shared" ca="1" si="96"/>
        <v>64.48</v>
      </c>
      <c r="BY40" s="440">
        <f t="shared" ca="1" si="96"/>
        <v>111.036</v>
      </c>
      <c r="BZ40" s="274">
        <f t="shared" ca="1" si="53"/>
        <v>7159.6012800000008</v>
      </c>
      <c r="CA40" s="273"/>
      <c r="CB40" s="440">
        <f t="shared" ca="1" si="97"/>
        <v>64.14</v>
      </c>
      <c r="CC40" s="440">
        <f t="shared" ca="1" si="97"/>
        <v>110.986</v>
      </c>
      <c r="CD40" s="274">
        <f t="shared" ca="1" si="54"/>
        <v>7118.6420400000006</v>
      </c>
      <c r="CE40" s="273"/>
      <c r="CF40" s="440">
        <f t="shared" ca="1" si="98"/>
        <v>56.89</v>
      </c>
      <c r="CG40" s="440">
        <f t="shared" ca="1" si="98"/>
        <v>110.916</v>
      </c>
      <c r="CH40" s="274">
        <f t="shared" ca="1" si="55"/>
        <v>6310.0112399999998</v>
      </c>
      <c r="CI40" s="273"/>
      <c r="CJ40" s="440">
        <f t="shared" ca="1" si="99"/>
        <v>63.75</v>
      </c>
      <c r="CK40" s="440">
        <f t="shared" ca="1" si="99"/>
        <v>110.765</v>
      </c>
      <c r="CL40" s="274">
        <f t="shared" ca="1" si="56"/>
        <v>7061.2687500000002</v>
      </c>
      <c r="CN40" s="440">
        <f t="shared" ca="1" si="100"/>
        <v>68.31</v>
      </c>
      <c r="CO40" s="440">
        <f t="shared" ca="1" si="100"/>
        <v>110.68600000000001</v>
      </c>
      <c r="CP40" s="274">
        <f t="shared" ca="1" si="57"/>
        <v>7560.9606600000006</v>
      </c>
      <c r="CR40" s="440">
        <f t="shared" ca="1" si="101"/>
        <v>54.64</v>
      </c>
      <c r="CS40" s="440">
        <f t="shared" ca="1" si="101"/>
        <v>110.565</v>
      </c>
      <c r="CT40" s="274">
        <f t="shared" ca="1" si="58"/>
        <v>6041.2716</v>
      </c>
      <c r="CV40" s="440">
        <f t="shared" ca="1" si="102"/>
        <v>57.84</v>
      </c>
      <c r="CW40" s="440">
        <f t="shared" ca="1" si="102"/>
        <v>110.25700000000001</v>
      </c>
      <c r="CX40" s="274">
        <f t="shared" ca="1" si="59"/>
        <v>6377.2648800000006</v>
      </c>
      <c r="CZ40" s="440">
        <f t="shared" ca="1" si="103"/>
        <v>54.66</v>
      </c>
      <c r="DA40" s="440">
        <f t="shared" ca="1" si="103"/>
        <v>109.98416</v>
      </c>
      <c r="DB40" s="274">
        <f t="shared" ca="1" si="60"/>
        <v>6011.7341855999994</v>
      </c>
      <c r="DD40" s="440">
        <f t="shared" ca="1" si="104"/>
        <v>52.92</v>
      </c>
      <c r="DE40" s="440">
        <f t="shared" ca="1" si="104"/>
        <v>110.009</v>
      </c>
      <c r="DF40" s="274">
        <f t="shared" ca="1" si="61"/>
        <v>5821.6762800000006</v>
      </c>
      <c r="DH40" s="440">
        <f t="shared" ca="1" si="105"/>
        <v>54.74</v>
      </c>
      <c r="DI40" s="440">
        <f t="shared" ca="1" si="105"/>
        <v>109.962</v>
      </c>
      <c r="DJ40" s="274">
        <f t="shared" ca="1" si="62"/>
        <v>6019.31988</v>
      </c>
      <c r="DL40" s="440">
        <f t="shared" ca="1" si="72"/>
        <v>55.47</v>
      </c>
      <c r="DM40" s="440">
        <f t="shared" ca="1" si="72"/>
        <v>109.83199999999999</v>
      </c>
      <c r="DN40" s="274">
        <f t="shared" ca="1" si="63"/>
        <v>6092.3810399999993</v>
      </c>
      <c r="DP40" s="440">
        <f t="shared" ca="1" si="73"/>
        <v>57.89</v>
      </c>
      <c r="DQ40" s="440">
        <f t="shared" ca="1" si="73"/>
        <v>109.510296</v>
      </c>
      <c r="DR40" s="274">
        <f t="shared" ca="1" si="64"/>
        <v>6339.5510354400003</v>
      </c>
      <c r="DT40" s="440">
        <f t="shared" ca="1" si="74"/>
        <v>50.98</v>
      </c>
      <c r="DU40" s="440">
        <f t="shared" ca="1" si="74"/>
        <v>109.55500000000001</v>
      </c>
      <c r="DV40" s="274">
        <f t="shared" ca="1" si="65"/>
        <v>5585.1139000000003</v>
      </c>
      <c r="DX40" s="440">
        <f t="shared" ca="1" si="75"/>
        <v>52.8</v>
      </c>
      <c r="DY40" s="440">
        <f t="shared" ca="1" si="75"/>
        <v>109.491</v>
      </c>
      <c r="DZ40" s="274">
        <f t="shared" ca="1" si="66"/>
        <v>5781.1247999999996</v>
      </c>
      <c r="EB40" s="440">
        <f t="shared" ca="1" si="76"/>
        <v>51.704999999999998</v>
      </c>
      <c r="EC40" s="440">
        <f t="shared" ca="1" si="76"/>
        <v>109.29900000000001</v>
      </c>
      <c r="ED40" s="274">
        <f t="shared" ca="1" si="67"/>
        <v>5651.304795</v>
      </c>
      <c r="EF40" s="251">
        <f t="shared" ca="1" si="77"/>
        <v>47.9</v>
      </c>
      <c r="EG40" s="251">
        <f t="shared" ca="1" si="77"/>
        <v>109.05284</v>
      </c>
      <c r="EH40" s="274">
        <f t="shared" ca="1" si="68"/>
        <v>5223.6310359999998</v>
      </c>
      <c r="EJ40" s="251">
        <f t="shared" ca="1" si="78"/>
        <v>48.18</v>
      </c>
      <c r="EK40" s="251">
        <f t="shared" ca="1" si="78"/>
        <v>109.128</v>
      </c>
      <c r="EL40" s="274">
        <f t="shared" ca="1" si="69"/>
        <v>5257.7870400000002</v>
      </c>
      <c r="EO40" s="252">
        <f t="shared" ca="1" si="106"/>
        <v>54</v>
      </c>
    </row>
    <row r="41" spans="2:145" s="234" customFormat="1">
      <c r="B41" s="258">
        <f t="shared" ca="1" si="70"/>
        <v>32</v>
      </c>
      <c r="C41" s="249" t="str">
        <f t="shared" ca="1" si="71"/>
        <v>PNM Resources, Inc.</v>
      </c>
      <c r="D41" s="236" t="str">
        <f t="shared" ca="1" si="71"/>
        <v>PNM</v>
      </c>
      <c r="E41" s="236">
        <f t="shared" ca="1" si="71"/>
        <v>4006880</v>
      </c>
      <c r="F41" s="250"/>
      <c r="G41" s="273"/>
      <c r="H41" s="440">
        <f t="shared" ca="1" si="79"/>
        <v>38</v>
      </c>
      <c r="I41" s="440">
        <f t="shared" ca="1" si="79"/>
        <v>79.930999999999997</v>
      </c>
      <c r="J41" s="274">
        <f t="shared" ca="1" si="36"/>
        <v>3037.3779999999997</v>
      </c>
      <c r="K41" s="273"/>
      <c r="L41" s="440">
        <f t="shared" ca="1" si="80"/>
        <v>50.71</v>
      </c>
      <c r="M41" s="440">
        <f t="shared" ca="1" si="80"/>
        <v>80.000506000000001</v>
      </c>
      <c r="N41" s="274">
        <f t="shared" ca="1" si="37"/>
        <v>4056.8256592600001</v>
      </c>
      <c r="O41" s="273"/>
      <c r="P41" s="440">
        <f t="shared" ca="1" si="81"/>
        <v>52.08</v>
      </c>
      <c r="Q41" s="440">
        <f t="shared" ca="1" si="81"/>
        <v>79.917269000000005</v>
      </c>
      <c r="R41" s="274">
        <f t="shared" ca="1" si="38"/>
        <v>4162.0913695199997</v>
      </c>
      <c r="S41" s="273"/>
      <c r="T41" s="440">
        <f t="shared" ca="1" si="82"/>
        <v>50.91</v>
      </c>
      <c r="U41" s="440">
        <f t="shared" ca="1" si="82"/>
        <v>79.893000000000001</v>
      </c>
      <c r="V41" s="274">
        <f t="shared" ca="1" si="39"/>
        <v>4067.3526299999999</v>
      </c>
      <c r="W41" s="273"/>
      <c r="X41" s="440">
        <f t="shared" ca="1" si="83"/>
        <v>47.34</v>
      </c>
      <c r="Y41" s="440">
        <f t="shared" ca="1" si="83"/>
        <v>79.89</v>
      </c>
      <c r="Z41" s="274">
        <f t="shared" ca="1" si="40"/>
        <v>3781.9926000000005</v>
      </c>
      <c r="AA41" s="273"/>
      <c r="AB41" s="440">
        <f t="shared" ca="1" si="84"/>
        <v>41.09</v>
      </c>
      <c r="AC41" s="440">
        <f t="shared" ca="1" si="84"/>
        <v>79.869</v>
      </c>
      <c r="AD41" s="274">
        <f t="shared" ca="1" si="41"/>
        <v>3281.8172100000002</v>
      </c>
      <c r="AE41" s="273"/>
      <c r="AF41" s="440">
        <f t="shared" ca="1" si="85"/>
        <v>39.450000000000003</v>
      </c>
      <c r="AG41" s="440">
        <f t="shared" ca="1" si="85"/>
        <v>79.864999999999995</v>
      </c>
      <c r="AH41" s="274">
        <f t="shared" ca="1" si="42"/>
        <v>3150.67425</v>
      </c>
      <c r="AI41" s="273"/>
      <c r="AJ41" s="440">
        <f t="shared" ca="1" si="86"/>
        <v>38.9</v>
      </c>
      <c r="AK41" s="440">
        <f t="shared" ca="1" si="86"/>
        <v>79.858999999999995</v>
      </c>
      <c r="AL41" s="274">
        <f t="shared" ca="1" si="43"/>
        <v>3106.5150999999996</v>
      </c>
      <c r="AM41" s="273"/>
      <c r="AN41" s="440">
        <f t="shared" ca="1" si="87"/>
        <v>38.25</v>
      </c>
      <c r="AO41" s="440">
        <f t="shared" ca="1" si="87"/>
        <v>80.169385000000005</v>
      </c>
      <c r="AP41" s="274">
        <f t="shared" ca="1" si="44"/>
        <v>3066.4789762500004</v>
      </c>
      <c r="AQ41" s="273"/>
      <c r="AR41" s="440">
        <f t="shared" ca="1" si="88"/>
        <v>40.450000000000003</v>
      </c>
      <c r="AS41" s="440">
        <f t="shared" ca="1" si="88"/>
        <v>79.938000000000002</v>
      </c>
      <c r="AT41" s="274">
        <f t="shared" ca="1" si="45"/>
        <v>3233.4921000000004</v>
      </c>
      <c r="AU41" s="273"/>
      <c r="AV41" s="440">
        <f t="shared" ca="1" si="89"/>
        <v>40.299999999999997</v>
      </c>
      <c r="AW41" s="440">
        <f t="shared" ca="1" si="89"/>
        <v>79.905000000000001</v>
      </c>
      <c r="AX41" s="274">
        <f t="shared" ca="1" si="46"/>
        <v>3220.1714999999999</v>
      </c>
      <c r="AY41" s="273"/>
      <c r="AZ41" s="440">
        <f t="shared" ca="1" si="90"/>
        <v>38.25</v>
      </c>
      <c r="BA41" s="440">
        <f t="shared" ca="1" si="90"/>
        <v>79.766000000000005</v>
      </c>
      <c r="BB41" s="274">
        <f t="shared" ca="1" si="47"/>
        <v>3051.0495000000001</v>
      </c>
      <c r="BC41" s="273"/>
      <c r="BD41" s="440">
        <f t="shared" ca="1" si="91"/>
        <v>37</v>
      </c>
      <c r="BE41" s="440">
        <f t="shared" ca="1" si="91"/>
        <v>79.757999999999996</v>
      </c>
      <c r="BF41" s="274">
        <f t="shared" ca="1" si="48"/>
        <v>2951.0459999999998</v>
      </c>
      <c r="BG41" s="273"/>
      <c r="BH41" s="440">
        <f t="shared" ca="1" si="92"/>
        <v>34.299999999999997</v>
      </c>
      <c r="BI41" s="440">
        <f t="shared" ca="1" si="92"/>
        <v>79.75</v>
      </c>
      <c r="BJ41" s="274">
        <f t="shared" ca="1" si="49"/>
        <v>2735.4249999999997</v>
      </c>
      <c r="BK41" s="273"/>
      <c r="BL41" s="440">
        <f t="shared" ca="1" si="93"/>
        <v>32.72</v>
      </c>
      <c r="BM41" s="440">
        <f t="shared" ca="1" si="93"/>
        <v>79.751000000000005</v>
      </c>
      <c r="BN41" s="274">
        <f t="shared" ca="1" si="50"/>
        <v>2609.4527200000002</v>
      </c>
      <c r="BO41" s="273"/>
      <c r="BP41" s="440">
        <f t="shared" ca="1" si="94"/>
        <v>35.44</v>
      </c>
      <c r="BQ41" s="440">
        <f t="shared" ca="1" si="94"/>
        <v>79.757999999999996</v>
      </c>
      <c r="BR41" s="274">
        <f t="shared" ca="1" si="51"/>
        <v>2826.6235199999996</v>
      </c>
      <c r="BS41" s="273"/>
      <c r="BT41" s="440">
        <f t="shared" ca="1" si="95"/>
        <v>33.72</v>
      </c>
      <c r="BU41" s="440">
        <f t="shared" ca="1" si="95"/>
        <v>79.759</v>
      </c>
      <c r="BV41" s="274">
        <f t="shared" ca="1" si="52"/>
        <v>2689.4734800000001</v>
      </c>
      <c r="BW41" s="273"/>
      <c r="BX41" s="440">
        <f t="shared" ca="1" si="96"/>
        <v>30.57</v>
      </c>
      <c r="BY41" s="440">
        <f t="shared" ca="1" si="96"/>
        <v>79.754000000000005</v>
      </c>
      <c r="BZ41" s="274">
        <f t="shared" ca="1" si="53"/>
        <v>2438.07978</v>
      </c>
      <c r="CA41" s="273"/>
      <c r="CB41" s="440">
        <f t="shared" ca="1" si="97"/>
        <v>28.05</v>
      </c>
      <c r="CC41" s="440">
        <f t="shared" ca="1" si="97"/>
        <v>79.753</v>
      </c>
      <c r="CD41" s="274">
        <f t="shared" ca="1" si="54"/>
        <v>2237.0716499999999</v>
      </c>
      <c r="CE41" s="273"/>
      <c r="CF41" s="440">
        <f t="shared" ca="1" si="98"/>
        <v>24.6</v>
      </c>
      <c r="CG41" s="440">
        <f t="shared" ca="1" si="98"/>
        <v>79.766000000000005</v>
      </c>
      <c r="CH41" s="274">
        <f t="shared" ca="1" si="55"/>
        <v>1962.2436000000002</v>
      </c>
      <c r="CI41" s="273"/>
      <c r="CJ41" s="440">
        <f t="shared" ca="1" si="99"/>
        <v>29.2</v>
      </c>
      <c r="CK41" s="440">
        <f t="shared" ca="1" si="99"/>
        <v>79.787999999999997</v>
      </c>
      <c r="CL41" s="274">
        <f t="shared" ca="1" si="56"/>
        <v>2329.8096</v>
      </c>
      <c r="CN41" s="440">
        <f t="shared" ca="1" si="100"/>
        <v>29.63</v>
      </c>
      <c r="CO41" s="440">
        <f t="shared" ca="1" si="100"/>
        <v>79.766000000000005</v>
      </c>
      <c r="CP41" s="274">
        <f t="shared" ca="1" si="57"/>
        <v>2363.4665800000002</v>
      </c>
      <c r="CR41" s="440">
        <f t="shared" ca="1" si="101"/>
        <v>24.91</v>
      </c>
      <c r="CS41" s="440">
        <f t="shared" ca="1" si="101"/>
        <v>79.763999999999996</v>
      </c>
      <c r="CT41" s="274">
        <f t="shared" ca="1" si="58"/>
        <v>1986.9212399999999</v>
      </c>
      <c r="CV41" s="440">
        <f t="shared" ca="1" si="102"/>
        <v>29.33</v>
      </c>
      <c r="CW41" s="440">
        <f t="shared" ca="1" si="102"/>
        <v>79.835999999999999</v>
      </c>
      <c r="CX41" s="274">
        <f t="shared" ca="1" si="59"/>
        <v>2341.58988</v>
      </c>
      <c r="CZ41" s="440">
        <f t="shared" ca="1" si="103"/>
        <v>27.03</v>
      </c>
      <c r="DA41" s="440">
        <f t="shared" ca="1" si="103"/>
        <v>79.844999999999999</v>
      </c>
      <c r="DB41" s="274">
        <f t="shared" ca="1" si="60"/>
        <v>2158.2103499999998</v>
      </c>
      <c r="DD41" s="440">
        <f t="shared" ca="1" si="104"/>
        <v>24.12</v>
      </c>
      <c r="DE41" s="440">
        <f t="shared" ca="1" si="104"/>
        <v>79.831000000000003</v>
      </c>
      <c r="DF41" s="274">
        <f t="shared" ca="1" si="61"/>
        <v>1925.5237200000001</v>
      </c>
      <c r="DH41" s="440">
        <f t="shared" ca="1" si="105"/>
        <v>22.63</v>
      </c>
      <c r="DI41" s="440">
        <f t="shared" ca="1" si="105"/>
        <v>79.847999999999999</v>
      </c>
      <c r="DJ41" s="274">
        <f t="shared" ca="1" si="62"/>
        <v>1806.9602399999999</v>
      </c>
      <c r="DL41" s="440">
        <f t="shared" ca="1" si="72"/>
        <v>22.19</v>
      </c>
      <c r="DM41" s="440">
        <f t="shared" ca="1" si="72"/>
        <v>79.864999999999995</v>
      </c>
      <c r="DN41" s="274">
        <f t="shared" ca="1" si="63"/>
        <v>1772.20435</v>
      </c>
      <c r="DP41" s="440">
        <f t="shared" ca="1" si="73"/>
        <v>23.29</v>
      </c>
      <c r="DQ41" s="440">
        <f t="shared" ca="1" si="73"/>
        <v>79.799000000000007</v>
      </c>
      <c r="DR41" s="274">
        <f t="shared" ca="1" si="64"/>
        <v>1858.5187100000001</v>
      </c>
      <c r="DT41" s="440">
        <f t="shared" ca="1" si="74"/>
        <v>20.51</v>
      </c>
      <c r="DU41" s="440">
        <f t="shared" ca="1" si="74"/>
        <v>79.768000000000001</v>
      </c>
      <c r="DV41" s="274">
        <f t="shared" ca="1" si="65"/>
        <v>1636.04168</v>
      </c>
      <c r="DX41" s="440">
        <f t="shared" ca="1" si="75"/>
        <v>21.03</v>
      </c>
      <c r="DY41" s="440">
        <f t="shared" ca="1" si="75"/>
        <v>79.808000000000007</v>
      </c>
      <c r="DZ41" s="274">
        <f t="shared" ca="1" si="66"/>
        <v>1678.3622400000002</v>
      </c>
      <c r="EB41" s="440">
        <f t="shared" ca="1" si="76"/>
        <v>19.54</v>
      </c>
      <c r="EC41" s="440">
        <f t="shared" ca="1" si="76"/>
        <v>79.853999999999999</v>
      </c>
      <c r="ED41" s="274">
        <f t="shared" ca="1" si="67"/>
        <v>1560.3471599999998</v>
      </c>
      <c r="EF41" s="251">
        <f t="shared" ca="1" si="77"/>
        <v>18.3</v>
      </c>
      <c r="EG41" s="251">
        <f t="shared" ca="1" si="77"/>
        <v>89.200999999999993</v>
      </c>
      <c r="EH41" s="274">
        <f t="shared" ca="1" si="68"/>
        <v>1632.3782999999999</v>
      </c>
      <c r="EJ41" s="251">
        <f t="shared" ca="1" si="78"/>
        <v>18.239999999999998</v>
      </c>
      <c r="EK41" s="251">
        <f t="shared" ca="1" si="78"/>
        <v>91.2</v>
      </c>
      <c r="EL41" s="274">
        <f t="shared" ca="1" si="69"/>
        <v>1663.4879999999998</v>
      </c>
      <c r="EO41" s="252">
        <f t="shared" ca="1" si="106"/>
        <v>99</v>
      </c>
    </row>
    <row r="42" spans="2:145" s="234" customFormat="1">
      <c r="B42" s="258">
        <f t="shared" ca="1" si="70"/>
        <v>33</v>
      </c>
      <c r="C42" s="249" t="str">
        <f t="shared" ca="1" si="71"/>
        <v>Portland General Electric Company</v>
      </c>
      <c r="D42" s="236" t="str">
        <f t="shared" ca="1" si="71"/>
        <v>POR</v>
      </c>
      <c r="E42" s="236">
        <f t="shared" ca="1" si="71"/>
        <v>4057019</v>
      </c>
      <c r="F42" s="250"/>
      <c r="G42" s="273"/>
      <c r="H42" s="440">
        <f t="shared" ca="1" si="79"/>
        <v>47.94</v>
      </c>
      <c r="I42" s="440">
        <f t="shared" ca="1" si="79"/>
        <v>89.352999999999994</v>
      </c>
      <c r="J42" s="274">
        <f t="shared" ca="1" si="36"/>
        <v>4283.5828199999996</v>
      </c>
      <c r="K42" s="273"/>
      <c r="L42" s="440">
        <f t="shared" ca="1" si="80"/>
        <v>55.79</v>
      </c>
      <c r="M42" s="440">
        <f t="shared" ca="1" si="80"/>
        <v>89.372</v>
      </c>
      <c r="N42" s="274">
        <f t="shared" ca="1" si="37"/>
        <v>4986.0638799999997</v>
      </c>
      <c r="O42" s="273"/>
      <c r="P42" s="440">
        <f t="shared" ca="1" si="81"/>
        <v>56.37</v>
      </c>
      <c r="Q42" s="440">
        <f t="shared" ca="1" si="81"/>
        <v>89.356999999999999</v>
      </c>
      <c r="R42" s="274">
        <f t="shared" ca="1" si="38"/>
        <v>5037.0540899999996</v>
      </c>
      <c r="S42" s="273"/>
      <c r="T42" s="440">
        <f t="shared" ca="1" si="82"/>
        <v>54.17</v>
      </c>
      <c r="U42" s="440">
        <f t="shared" ca="1" si="82"/>
        <v>89.308999999999997</v>
      </c>
      <c r="V42" s="274">
        <f t="shared" ca="1" si="39"/>
        <v>4837.8685299999997</v>
      </c>
      <c r="W42" s="273"/>
      <c r="X42" s="440">
        <f t="shared" ca="1" si="83"/>
        <v>51.84</v>
      </c>
      <c r="Y42" s="440">
        <f t="shared" ca="1" si="83"/>
        <v>89.215000000000003</v>
      </c>
      <c r="Z42" s="274">
        <f t="shared" ca="1" si="40"/>
        <v>4624.9056</v>
      </c>
      <c r="AA42" s="273"/>
      <c r="AB42" s="440">
        <f t="shared" ca="1" si="84"/>
        <v>45.85</v>
      </c>
      <c r="AC42" s="440">
        <f t="shared" ca="1" si="84"/>
        <v>89.239000000000004</v>
      </c>
      <c r="AD42" s="274">
        <f t="shared" ca="1" si="41"/>
        <v>4091.6081500000005</v>
      </c>
      <c r="AE42" s="273"/>
      <c r="AF42" s="440">
        <f t="shared" ca="1" si="85"/>
        <v>45.61</v>
      </c>
      <c r="AG42" s="440">
        <f t="shared" ca="1" si="85"/>
        <v>89.215000000000003</v>
      </c>
      <c r="AH42" s="274">
        <f t="shared" ca="1" si="42"/>
        <v>4069.0961500000003</v>
      </c>
      <c r="AI42" s="273"/>
      <c r="AJ42" s="440">
        <f t="shared" ca="1" si="86"/>
        <v>42.76</v>
      </c>
      <c r="AK42" s="440">
        <f t="shared" ca="1" si="86"/>
        <v>89.16</v>
      </c>
      <c r="AL42" s="274">
        <f t="shared" ca="1" si="43"/>
        <v>3812.4815999999996</v>
      </c>
      <c r="AM42" s="273"/>
      <c r="AN42" s="440">
        <f t="shared" ca="1" si="87"/>
        <v>40.51</v>
      </c>
      <c r="AO42" s="440">
        <f t="shared" ca="1" si="87"/>
        <v>89.055999999999997</v>
      </c>
      <c r="AP42" s="274">
        <f t="shared" ca="1" si="44"/>
        <v>3607.6585599999999</v>
      </c>
      <c r="AQ42" s="273"/>
      <c r="AR42" s="440">
        <f t="shared" ca="1" si="88"/>
        <v>45.58</v>
      </c>
      <c r="AS42" s="440">
        <f t="shared" ca="1" si="88"/>
        <v>89.064999999999998</v>
      </c>
      <c r="AT42" s="274">
        <f t="shared" ca="1" si="45"/>
        <v>4059.5826999999999</v>
      </c>
      <c r="AU42" s="273"/>
      <c r="AV42" s="440">
        <f t="shared" ca="1" si="89"/>
        <v>45.64</v>
      </c>
      <c r="AW42" s="440">
        <f t="shared" ca="1" si="89"/>
        <v>89.063000000000002</v>
      </c>
      <c r="AX42" s="274">
        <f t="shared" ca="1" si="46"/>
        <v>4064.8353200000001</v>
      </c>
      <c r="AY42" s="273"/>
      <c r="AZ42" s="440">
        <f t="shared" ca="1" si="90"/>
        <v>45.69</v>
      </c>
      <c r="BA42" s="440">
        <f t="shared" ca="1" si="90"/>
        <v>89.003</v>
      </c>
      <c r="BB42" s="274">
        <f t="shared" ca="1" si="47"/>
        <v>4066.5470699999996</v>
      </c>
      <c r="BC42" s="273"/>
      <c r="BD42" s="440">
        <f t="shared" ca="1" si="91"/>
        <v>44.42</v>
      </c>
      <c r="BE42" s="440">
        <f t="shared" ca="1" si="91"/>
        <v>88.896000000000001</v>
      </c>
      <c r="BF42" s="274">
        <f t="shared" ca="1" si="48"/>
        <v>3948.7603200000003</v>
      </c>
      <c r="BG42" s="273"/>
      <c r="BH42" s="440">
        <f t="shared" ca="1" si="92"/>
        <v>43.33</v>
      </c>
      <c r="BI42" s="440">
        <f t="shared" ca="1" si="92"/>
        <v>88.921000000000006</v>
      </c>
      <c r="BJ42" s="274">
        <f t="shared" ca="1" si="49"/>
        <v>3852.9469300000001</v>
      </c>
      <c r="BK42" s="273"/>
      <c r="BL42" s="440">
        <f t="shared" ca="1" si="93"/>
        <v>42.59</v>
      </c>
      <c r="BM42" s="440">
        <f t="shared" ca="1" si="93"/>
        <v>88.902000000000001</v>
      </c>
      <c r="BN42" s="274">
        <f t="shared" ca="1" si="50"/>
        <v>3786.3361800000002</v>
      </c>
      <c r="BO42" s="273"/>
      <c r="BP42" s="440">
        <f t="shared" ca="1" si="94"/>
        <v>44.12</v>
      </c>
      <c r="BQ42" s="440">
        <f t="shared" ca="1" si="94"/>
        <v>88.832999999999998</v>
      </c>
      <c r="BR42" s="274">
        <f t="shared" ca="1" si="51"/>
        <v>3919.3119599999995</v>
      </c>
      <c r="BS42" s="273"/>
      <c r="BT42" s="440">
        <f t="shared" ca="1" si="95"/>
        <v>39.49</v>
      </c>
      <c r="BU42" s="440">
        <f t="shared" ca="1" si="95"/>
        <v>84.18</v>
      </c>
      <c r="BV42" s="274">
        <f t="shared" ca="1" si="52"/>
        <v>3324.2682000000004</v>
      </c>
      <c r="BW42" s="273"/>
      <c r="BX42" s="440">
        <f t="shared" ca="1" si="96"/>
        <v>36.369999999999997</v>
      </c>
      <c r="BY42" s="440">
        <f t="shared" ca="1" si="96"/>
        <v>88.766000000000005</v>
      </c>
      <c r="BZ42" s="274">
        <f t="shared" ca="1" si="53"/>
        <v>3228.4194200000002</v>
      </c>
      <c r="CA42" s="273"/>
      <c r="CB42" s="440">
        <f t="shared" ca="1" si="97"/>
        <v>36.97</v>
      </c>
      <c r="CC42" s="440">
        <f t="shared" ca="1" si="97"/>
        <v>80.745000000000005</v>
      </c>
      <c r="CD42" s="274">
        <f t="shared" ca="1" si="54"/>
        <v>2985.1426500000002</v>
      </c>
      <c r="CE42" s="273"/>
      <c r="CF42" s="440">
        <f t="shared" ca="1" si="98"/>
        <v>33.159999999999997</v>
      </c>
      <c r="CG42" s="440">
        <f t="shared" ca="1" si="98"/>
        <v>78.271000000000001</v>
      </c>
      <c r="CH42" s="274">
        <f t="shared" ca="1" si="55"/>
        <v>2595.4663599999999</v>
      </c>
      <c r="CI42" s="273"/>
      <c r="CJ42" s="440">
        <f t="shared" ca="1" si="99"/>
        <v>37.090000000000003</v>
      </c>
      <c r="CK42" s="440">
        <f t="shared" ca="1" si="99"/>
        <v>78.209999999999994</v>
      </c>
      <c r="CL42" s="274">
        <f t="shared" ca="1" si="56"/>
        <v>2900.8089</v>
      </c>
      <c r="CN42" s="440">
        <f t="shared" ca="1" si="100"/>
        <v>37.83</v>
      </c>
      <c r="CO42" s="440">
        <f t="shared" ca="1" si="100"/>
        <v>78.203000000000003</v>
      </c>
      <c r="CP42" s="274">
        <f t="shared" ca="1" si="57"/>
        <v>2958.4194899999998</v>
      </c>
      <c r="CR42" s="440">
        <f t="shared" ca="1" si="101"/>
        <v>32.119999999999997</v>
      </c>
      <c r="CS42" s="440">
        <f t="shared" ca="1" si="101"/>
        <v>78.183000000000007</v>
      </c>
      <c r="CT42" s="274">
        <f t="shared" ca="1" si="58"/>
        <v>2511.2379599999999</v>
      </c>
      <c r="CV42" s="440">
        <f t="shared" ca="1" si="102"/>
        <v>34.67</v>
      </c>
      <c r="CW42" s="440">
        <f t="shared" ca="1" si="102"/>
        <v>78.992000000000004</v>
      </c>
      <c r="CX42" s="274">
        <f t="shared" ca="1" si="59"/>
        <v>2738.6526400000002</v>
      </c>
      <c r="CZ42" s="440">
        <f t="shared" ca="1" si="103"/>
        <v>32.340000000000003</v>
      </c>
      <c r="DA42" s="440">
        <f t="shared" ca="1" si="103"/>
        <v>76.820999999999998</v>
      </c>
      <c r="DB42" s="274">
        <f t="shared" ca="1" si="60"/>
        <v>2484.3911400000002</v>
      </c>
      <c r="DD42" s="440">
        <f t="shared" ca="1" si="104"/>
        <v>30.2</v>
      </c>
      <c r="DE42" s="440">
        <f t="shared" ca="1" si="104"/>
        <v>77.637</v>
      </c>
      <c r="DF42" s="274">
        <f t="shared" ca="1" si="61"/>
        <v>2344.6374000000001</v>
      </c>
      <c r="DH42" s="440">
        <f t="shared" ca="1" si="105"/>
        <v>28.23</v>
      </c>
      <c r="DI42" s="440">
        <f t="shared" ca="1" si="105"/>
        <v>75.935000000000002</v>
      </c>
      <c r="DJ42" s="274">
        <f t="shared" ca="1" si="62"/>
        <v>2143.6450500000001</v>
      </c>
      <c r="DL42" s="440">
        <f t="shared" ca="1" si="72"/>
        <v>30.59</v>
      </c>
      <c r="DM42" s="440">
        <f t="shared" ca="1" si="72"/>
        <v>75.608000000000004</v>
      </c>
      <c r="DN42" s="274">
        <f t="shared" ca="1" si="63"/>
        <v>2312.84872</v>
      </c>
      <c r="DP42" s="440">
        <f t="shared" ca="1" si="73"/>
        <v>30.33</v>
      </c>
      <c r="DQ42" s="440">
        <f t="shared" ca="1" si="73"/>
        <v>75.498000000000005</v>
      </c>
      <c r="DR42" s="274">
        <f t="shared" ca="1" si="64"/>
        <v>2289.8543399999999</v>
      </c>
      <c r="DT42" s="440">
        <f t="shared" ca="1" si="74"/>
        <v>27.36</v>
      </c>
      <c r="DU42" s="440">
        <f t="shared" ca="1" si="74"/>
        <v>75.528000000000006</v>
      </c>
      <c r="DV42" s="274">
        <f t="shared" ca="1" si="65"/>
        <v>2066.4460800000002</v>
      </c>
      <c r="DX42" s="440">
        <f t="shared" ca="1" si="75"/>
        <v>27.04</v>
      </c>
      <c r="DY42" s="440">
        <f t="shared" ca="1" si="75"/>
        <v>75.507000000000005</v>
      </c>
      <c r="DZ42" s="274">
        <f t="shared" ca="1" si="66"/>
        <v>2041.70928</v>
      </c>
      <c r="EB42" s="440">
        <f t="shared" ca="1" si="76"/>
        <v>26.66</v>
      </c>
      <c r="EC42" s="440">
        <f t="shared" ca="1" si="76"/>
        <v>75.423000000000002</v>
      </c>
      <c r="ED42" s="274">
        <f t="shared" ca="1" si="67"/>
        <v>2010.77718</v>
      </c>
      <c r="EF42" s="251">
        <f t="shared" ca="1" si="77"/>
        <v>24.98</v>
      </c>
      <c r="EG42" s="251">
        <f t="shared" ca="1" si="77"/>
        <v>75.332999999999998</v>
      </c>
      <c r="EH42" s="274">
        <f t="shared" ca="1" si="68"/>
        <v>1881.81834</v>
      </c>
      <c r="EJ42" s="251">
        <f t="shared" ca="1" si="78"/>
        <v>25.3</v>
      </c>
      <c r="EK42" s="251">
        <f t="shared" ca="1" si="78"/>
        <v>75.341999999999999</v>
      </c>
      <c r="EL42" s="274">
        <f t="shared" ca="1" si="69"/>
        <v>1906.1526000000001</v>
      </c>
      <c r="EO42" s="252">
        <f t="shared" ca="1" si="106"/>
        <v>113</v>
      </c>
    </row>
    <row r="43" spans="2:145" s="234" customFormat="1">
      <c r="B43" s="258">
        <f t="shared" ca="1" si="70"/>
        <v>34</v>
      </c>
      <c r="C43" s="249" t="str">
        <f t="shared" ca="1" si="71"/>
        <v>PPL Corporation</v>
      </c>
      <c r="D43" s="236" t="str">
        <f t="shared" ca="1" si="71"/>
        <v>PPL</v>
      </c>
      <c r="E43" s="236">
        <f t="shared" ca="1" si="71"/>
        <v>4057058</v>
      </c>
      <c r="F43" s="250"/>
      <c r="G43" s="273"/>
      <c r="H43" s="440">
        <f t="shared" ca="1" si="79"/>
        <v>24.68</v>
      </c>
      <c r="I43" s="440">
        <f t="shared" ca="1" si="79"/>
        <v>728.51199999999994</v>
      </c>
      <c r="J43" s="274">
        <f t="shared" ca="1" si="36"/>
        <v>17979.676159999999</v>
      </c>
      <c r="K43" s="273"/>
      <c r="L43" s="440">
        <f t="shared" ca="1" si="80"/>
        <v>35.880000000000003</v>
      </c>
      <c r="M43" s="440">
        <f t="shared" ca="1" si="80"/>
        <v>722.25900000000001</v>
      </c>
      <c r="N43" s="274">
        <f t="shared" ca="1" si="37"/>
        <v>25914.652920000004</v>
      </c>
      <c r="O43" s="273"/>
      <c r="P43" s="440">
        <f t="shared" ca="1" si="81"/>
        <v>31.49</v>
      </c>
      <c r="Q43" s="440">
        <f t="shared" ca="1" si="81"/>
        <v>721.78499999999997</v>
      </c>
      <c r="R43" s="274">
        <f t="shared" ca="1" si="38"/>
        <v>22729.009649999996</v>
      </c>
      <c r="S43" s="273"/>
      <c r="T43" s="440">
        <f t="shared" ca="1" si="82"/>
        <v>31.01</v>
      </c>
      <c r="U43" s="440">
        <f t="shared" ca="1" si="82"/>
        <v>721.02300000000002</v>
      </c>
      <c r="V43" s="274">
        <f t="shared" ca="1" si="39"/>
        <v>22358.92323</v>
      </c>
      <c r="W43" s="273"/>
      <c r="X43" s="440">
        <f t="shared" ca="1" si="83"/>
        <v>31.74</v>
      </c>
      <c r="Y43" s="440">
        <f t="shared" ca="1" si="83"/>
        <v>704.43899999999996</v>
      </c>
      <c r="Z43" s="274">
        <f t="shared" ca="1" si="40"/>
        <v>22358.893859999996</v>
      </c>
      <c r="AA43" s="273"/>
      <c r="AB43" s="440">
        <f t="shared" ca="1" si="84"/>
        <v>28.33</v>
      </c>
      <c r="AC43" s="440">
        <f t="shared" ca="1" si="84"/>
        <v>703.73</v>
      </c>
      <c r="AD43" s="274">
        <f t="shared" ca="1" si="41"/>
        <v>19936.670900000001</v>
      </c>
      <c r="AE43" s="273"/>
      <c r="AF43" s="440">
        <f t="shared" ca="1" si="85"/>
        <v>29.26</v>
      </c>
      <c r="AG43" s="440">
        <f t="shared" ca="1" si="85"/>
        <v>699.00599999999997</v>
      </c>
      <c r="AH43" s="274">
        <f t="shared" ca="1" si="42"/>
        <v>20452.915560000001</v>
      </c>
      <c r="AI43" s="273"/>
      <c r="AJ43" s="440">
        <f t="shared" ca="1" si="86"/>
        <v>28.55</v>
      </c>
      <c r="AK43" s="440">
        <f t="shared" ca="1" si="86"/>
        <v>694.51400000000001</v>
      </c>
      <c r="AL43" s="274">
        <f t="shared" ca="1" si="43"/>
        <v>19828.3747</v>
      </c>
      <c r="AM43" s="273"/>
      <c r="AN43" s="440">
        <f t="shared" ca="1" si="87"/>
        <v>28.29</v>
      </c>
      <c r="AO43" s="440">
        <f t="shared" ca="1" si="87"/>
        <v>689.56299999999999</v>
      </c>
      <c r="AP43" s="274">
        <f t="shared" ca="1" si="44"/>
        <v>19507.737269999998</v>
      </c>
      <c r="AQ43" s="273"/>
      <c r="AR43" s="440">
        <f t="shared" ca="1" si="88"/>
        <v>30.95</v>
      </c>
      <c r="AS43" s="440">
        <f t="shared" ca="1" si="88"/>
        <v>686.56299999999999</v>
      </c>
      <c r="AT43" s="274">
        <f t="shared" ca="1" si="45"/>
        <v>21249.12485</v>
      </c>
      <c r="AU43" s="273"/>
      <c r="AV43" s="440">
        <f t="shared" ca="1" si="89"/>
        <v>37.950000000000003</v>
      </c>
      <c r="AW43" s="440">
        <f t="shared" ca="1" si="89"/>
        <v>683.84100000000001</v>
      </c>
      <c r="AX43" s="274">
        <f t="shared" ca="1" si="46"/>
        <v>25951.765950000001</v>
      </c>
      <c r="AY43" s="273"/>
      <c r="AZ43" s="440">
        <f t="shared" ca="1" si="90"/>
        <v>38.659999999999997</v>
      </c>
      <c r="BA43" s="440">
        <f t="shared" ca="1" si="90"/>
        <v>680.88199999999995</v>
      </c>
      <c r="BB43" s="274">
        <f t="shared" ca="1" si="47"/>
        <v>26322.898119999994</v>
      </c>
      <c r="BC43" s="273"/>
      <c r="BD43" s="440">
        <f t="shared" ca="1" si="91"/>
        <v>37.39</v>
      </c>
      <c r="BE43" s="440">
        <f t="shared" ca="1" si="91"/>
        <v>677.59199999999998</v>
      </c>
      <c r="BF43" s="274">
        <f t="shared" ca="1" si="48"/>
        <v>25335.16488</v>
      </c>
      <c r="BG43" s="273"/>
      <c r="BH43" s="440">
        <f t="shared" ca="1" si="92"/>
        <v>34.049999999999997</v>
      </c>
      <c r="BI43" s="440">
        <f t="shared" ca="1" si="92"/>
        <v>678.11400000000003</v>
      </c>
      <c r="BJ43" s="274">
        <f t="shared" ca="1" si="49"/>
        <v>23089.7817</v>
      </c>
      <c r="BK43" s="273"/>
      <c r="BL43" s="440">
        <f t="shared" ca="1" si="93"/>
        <v>34.57</v>
      </c>
      <c r="BM43" s="440">
        <f t="shared" ca="1" si="93"/>
        <v>677.14499999999998</v>
      </c>
      <c r="BN43" s="274">
        <f t="shared" ca="1" si="50"/>
        <v>23408.90265</v>
      </c>
      <c r="BO43" s="273"/>
      <c r="BP43" s="440">
        <f t="shared" ca="1" si="94"/>
        <v>37.75</v>
      </c>
      <c r="BQ43" s="440">
        <f t="shared" ca="1" si="94"/>
        <v>675.44100000000003</v>
      </c>
      <c r="BR43" s="274">
        <f t="shared" ca="1" si="51"/>
        <v>25497.89775</v>
      </c>
      <c r="BS43" s="273"/>
      <c r="BT43" s="440">
        <f t="shared" ca="1" si="95"/>
        <v>38.07</v>
      </c>
      <c r="BU43" s="440">
        <f t="shared" ca="1" si="95"/>
        <v>669.81399999999996</v>
      </c>
      <c r="BV43" s="274">
        <f t="shared" ca="1" si="52"/>
        <v>25499.81898</v>
      </c>
      <c r="BW43" s="273"/>
      <c r="BX43" s="440">
        <f t="shared" ca="1" si="96"/>
        <v>34.130000000000003</v>
      </c>
      <c r="BY43" s="440">
        <f t="shared" ca="1" si="96"/>
        <v>670.76300000000003</v>
      </c>
      <c r="BZ43" s="274">
        <f t="shared" ca="1" si="53"/>
        <v>22893.141190000002</v>
      </c>
      <c r="CA43" s="273"/>
      <c r="CB43" s="440">
        <f t="shared" ca="1" si="97"/>
        <v>32.89</v>
      </c>
      <c r="CC43" s="440">
        <f t="shared" ca="1" si="97"/>
        <v>668.41499999999996</v>
      </c>
      <c r="CD43" s="274">
        <f t="shared" ca="1" si="54"/>
        <v>21984.16935</v>
      </c>
      <c r="CE43" s="273"/>
      <c r="CF43" s="440">
        <f t="shared" ca="1" si="98"/>
        <v>29.47</v>
      </c>
      <c r="CG43" s="440">
        <f t="shared" ca="1" si="98"/>
        <v>666.97400000000005</v>
      </c>
      <c r="CH43" s="274">
        <f t="shared" ca="1" si="55"/>
        <v>19655.72378</v>
      </c>
      <c r="CI43" s="273"/>
      <c r="CJ43" s="440">
        <f t="shared" ca="1" si="99"/>
        <v>33.659999999999997</v>
      </c>
      <c r="CK43" s="440">
        <f t="shared" ca="1" si="99"/>
        <v>665.20500000000004</v>
      </c>
      <c r="CL43" s="274">
        <f t="shared" ca="1" si="56"/>
        <v>22390.800299999999</v>
      </c>
      <c r="CN43" s="440">
        <f t="shared" ca="1" si="100"/>
        <v>36.33</v>
      </c>
      <c r="CO43" s="440">
        <f t="shared" ca="1" si="100"/>
        <v>664.43200000000002</v>
      </c>
      <c r="CP43" s="274">
        <f t="shared" ca="1" si="57"/>
        <v>24138.814559999999</v>
      </c>
      <c r="CR43" s="440">
        <f t="shared" ca="1" si="101"/>
        <v>32.840000000000003</v>
      </c>
      <c r="CS43" s="440">
        <f t="shared" ca="1" si="101"/>
        <v>653.13199999999995</v>
      </c>
      <c r="CT43" s="274">
        <f t="shared" ca="1" si="58"/>
        <v>21448.854879999999</v>
      </c>
      <c r="CV43" s="440">
        <f t="shared" ca="1" si="102"/>
        <v>35.53</v>
      </c>
      <c r="CW43" s="440">
        <f t="shared" ca="1" si="102"/>
        <v>630.74900000000002</v>
      </c>
      <c r="CX43" s="274">
        <f t="shared" ca="1" si="59"/>
        <v>22410.511970000003</v>
      </c>
      <c r="CZ43" s="440">
        <f t="shared" ca="1" si="103"/>
        <v>33.14</v>
      </c>
      <c r="DA43" s="440">
        <f t="shared" ca="1" si="103"/>
        <v>608.98299999999995</v>
      </c>
      <c r="DB43" s="274">
        <f t="shared" ca="1" si="60"/>
        <v>20181.696619999999</v>
      </c>
      <c r="DD43" s="440">
        <f t="shared" ca="1" si="104"/>
        <v>30.09</v>
      </c>
      <c r="DE43" s="440">
        <f t="shared" ca="1" si="104"/>
        <v>631.04600000000005</v>
      </c>
      <c r="DF43" s="274">
        <f t="shared" ca="1" si="61"/>
        <v>18988.174140000003</v>
      </c>
      <c r="DH43" s="440">
        <f t="shared" ca="1" si="105"/>
        <v>30.38</v>
      </c>
      <c r="DI43" s="440">
        <f t="shared" ca="1" si="105"/>
        <v>589.83399999999995</v>
      </c>
      <c r="DJ43" s="274">
        <f t="shared" ca="1" si="62"/>
        <v>17919.156919999998</v>
      </c>
      <c r="DL43" s="440">
        <f t="shared" ca="1" si="72"/>
        <v>30.26</v>
      </c>
      <c r="DM43" s="440">
        <f t="shared" ca="1" si="72"/>
        <v>582.65</v>
      </c>
      <c r="DN43" s="274">
        <f t="shared" ca="1" si="63"/>
        <v>17630.989000000001</v>
      </c>
      <c r="DP43" s="440">
        <f t="shared" ca="1" si="73"/>
        <v>31.31</v>
      </c>
      <c r="DQ43" s="440">
        <f t="shared" ca="1" si="73"/>
        <v>580.27599999999995</v>
      </c>
      <c r="DR43" s="274">
        <f t="shared" ca="1" si="64"/>
        <v>18168.441559999999</v>
      </c>
      <c r="DT43" s="440">
        <f t="shared" ca="1" si="74"/>
        <v>28.63</v>
      </c>
      <c r="DU43" s="440">
        <f t="shared" ca="1" si="74"/>
        <v>580.58500000000004</v>
      </c>
      <c r="DV43" s="274">
        <f t="shared" ca="1" si="65"/>
        <v>16622.148550000002</v>
      </c>
      <c r="DX43" s="440">
        <f t="shared" ca="1" si="75"/>
        <v>29.05</v>
      </c>
      <c r="DY43" s="440">
        <f t="shared" ca="1" si="75"/>
        <v>579.88099999999997</v>
      </c>
      <c r="DZ43" s="274">
        <f t="shared" ca="1" si="66"/>
        <v>16845.54305</v>
      </c>
      <c r="EB43" s="440">
        <f t="shared" ca="1" si="76"/>
        <v>27.79</v>
      </c>
      <c r="EC43" s="440">
        <f t="shared" ca="1" si="76"/>
        <v>579.04100000000005</v>
      </c>
      <c r="ED43" s="274">
        <f t="shared" ca="1" si="67"/>
        <v>16091.54939</v>
      </c>
      <c r="EF43" s="251">
        <f t="shared" ca="1" si="77"/>
        <v>28.26</v>
      </c>
      <c r="EG43" s="251">
        <f t="shared" ca="1" si="77"/>
        <v>550.39499999999998</v>
      </c>
      <c r="EH43" s="274">
        <f t="shared" ca="1" si="68"/>
        <v>15554.162700000001</v>
      </c>
      <c r="EJ43" s="251">
        <f t="shared" ca="1" si="78"/>
        <v>29.42</v>
      </c>
      <c r="EK43" s="251">
        <f t="shared" ca="1" si="78"/>
        <v>577.59500000000003</v>
      </c>
      <c r="EL43" s="274">
        <f t="shared" ca="1" si="69"/>
        <v>16992.8449</v>
      </c>
      <c r="EO43" s="252">
        <f t="shared" ca="1" si="106"/>
        <v>53</v>
      </c>
    </row>
    <row r="44" spans="2:145" s="234" customFormat="1">
      <c r="B44" s="258">
        <f t="shared" ca="1" si="70"/>
        <v>35</v>
      </c>
      <c r="C44" s="249" t="str">
        <f t="shared" ca="1" si="71"/>
        <v>Public Service Enterprise Group Incorporated</v>
      </c>
      <c r="D44" s="236" t="str">
        <f t="shared" ca="1" si="71"/>
        <v>PEG</v>
      </c>
      <c r="E44" s="236">
        <f t="shared" ca="1" si="71"/>
        <v>4050911</v>
      </c>
      <c r="F44" s="250"/>
      <c r="G44" s="273"/>
      <c r="H44" s="440">
        <f t="shared" ca="1" si="79"/>
        <v>44.91</v>
      </c>
      <c r="I44" s="440">
        <f t="shared" ca="1" si="79"/>
        <v>504</v>
      </c>
      <c r="J44" s="274">
        <f t="shared" ca="1" si="36"/>
        <v>22634.639999999999</v>
      </c>
      <c r="K44" s="273"/>
      <c r="L44" s="440">
        <f t="shared" ca="1" si="80"/>
        <v>59.05</v>
      </c>
      <c r="M44" s="440">
        <f t="shared" ca="1" si="80"/>
        <v>504</v>
      </c>
      <c r="N44" s="274">
        <f t="shared" ca="1" si="37"/>
        <v>29761.199999999997</v>
      </c>
      <c r="O44" s="273"/>
      <c r="P44" s="440">
        <f t="shared" ca="1" si="81"/>
        <v>62.08</v>
      </c>
      <c r="Q44" s="440">
        <f t="shared" ca="1" si="81"/>
        <v>504</v>
      </c>
      <c r="R44" s="274">
        <f t="shared" ca="1" si="38"/>
        <v>31288.32</v>
      </c>
      <c r="S44" s="273"/>
      <c r="T44" s="440">
        <f t="shared" ca="1" si="82"/>
        <v>58.82</v>
      </c>
      <c r="U44" s="440">
        <f t="shared" ca="1" si="82"/>
        <v>504</v>
      </c>
      <c r="V44" s="274">
        <f t="shared" ca="1" si="39"/>
        <v>29645.279999999999</v>
      </c>
      <c r="W44" s="273"/>
      <c r="X44" s="440">
        <f t="shared" ca="1" si="83"/>
        <v>59.41</v>
      </c>
      <c r="Y44" s="440">
        <f t="shared" ca="1" si="83"/>
        <v>504</v>
      </c>
      <c r="Z44" s="274">
        <f t="shared" ca="1" si="40"/>
        <v>29942.639999999999</v>
      </c>
      <c r="AA44" s="273"/>
      <c r="AB44" s="440">
        <f t="shared" ca="1" si="84"/>
        <v>52.05</v>
      </c>
      <c r="AC44" s="440">
        <f t="shared" ca="1" si="84"/>
        <v>504</v>
      </c>
      <c r="AD44" s="274">
        <f t="shared" ca="1" si="41"/>
        <v>26233.199999999997</v>
      </c>
      <c r="AE44" s="273"/>
      <c r="AF44" s="440">
        <f t="shared" ca="1" si="85"/>
        <v>52.79</v>
      </c>
      <c r="AG44" s="440">
        <f t="shared" ca="1" si="85"/>
        <v>504</v>
      </c>
      <c r="AH44" s="274">
        <f t="shared" ca="1" si="42"/>
        <v>26606.16</v>
      </c>
      <c r="AI44" s="273"/>
      <c r="AJ44" s="440">
        <f t="shared" ca="1" si="86"/>
        <v>54.14</v>
      </c>
      <c r="AK44" s="440">
        <f t="shared" ca="1" si="86"/>
        <v>504</v>
      </c>
      <c r="AL44" s="274">
        <f t="shared" ca="1" si="43"/>
        <v>27286.560000000001</v>
      </c>
      <c r="AM44" s="273"/>
      <c r="AN44" s="440">
        <f t="shared" ca="1" si="87"/>
        <v>50.24</v>
      </c>
      <c r="AO44" s="440">
        <f t="shared" ca="1" si="87"/>
        <v>505</v>
      </c>
      <c r="AP44" s="274">
        <f t="shared" ca="1" si="44"/>
        <v>25371.200000000001</v>
      </c>
      <c r="AQ44" s="273"/>
      <c r="AR44" s="440">
        <f t="shared" ca="1" si="88"/>
        <v>51.5</v>
      </c>
      <c r="AS44" s="440">
        <f t="shared" ca="1" si="88"/>
        <v>505</v>
      </c>
      <c r="AT44" s="274">
        <f t="shared" ca="1" si="45"/>
        <v>26007.5</v>
      </c>
      <c r="AU44" s="273"/>
      <c r="AV44" s="440">
        <f t="shared" ca="1" si="89"/>
        <v>46.25</v>
      </c>
      <c r="AW44" s="440">
        <f t="shared" ca="1" si="89"/>
        <v>505</v>
      </c>
      <c r="AX44" s="274">
        <f t="shared" ca="1" si="46"/>
        <v>23356.25</v>
      </c>
      <c r="AY44" s="273"/>
      <c r="AZ44" s="440">
        <f t="shared" ca="1" si="90"/>
        <v>43.01</v>
      </c>
      <c r="BA44" s="440">
        <f t="shared" ca="1" si="90"/>
        <v>505</v>
      </c>
      <c r="BB44" s="274">
        <f t="shared" ca="1" si="47"/>
        <v>21720.05</v>
      </c>
      <c r="BC44" s="273"/>
      <c r="BD44" s="440">
        <f t="shared" ca="1" si="91"/>
        <v>44.35</v>
      </c>
      <c r="BE44" s="440">
        <f t="shared" ca="1" si="91"/>
        <v>505</v>
      </c>
      <c r="BF44" s="274">
        <f t="shared" ca="1" si="48"/>
        <v>22396.75</v>
      </c>
      <c r="BG44" s="273"/>
      <c r="BH44" s="440">
        <f t="shared" ca="1" si="92"/>
        <v>43.88</v>
      </c>
      <c r="BI44" s="440">
        <f t="shared" ca="1" si="92"/>
        <v>505</v>
      </c>
      <c r="BJ44" s="274">
        <f t="shared" ca="1" si="49"/>
        <v>22159.4</v>
      </c>
      <c r="BK44" s="273"/>
      <c r="BL44" s="440">
        <f t="shared" ca="1" si="93"/>
        <v>41.87</v>
      </c>
      <c r="BM44" s="440">
        <f t="shared" ca="1" si="93"/>
        <v>505</v>
      </c>
      <c r="BN44" s="274">
        <f t="shared" ca="1" si="50"/>
        <v>21144.35</v>
      </c>
      <c r="BO44" s="273"/>
      <c r="BP44" s="440">
        <f t="shared" ca="1" si="94"/>
        <v>46.61</v>
      </c>
      <c r="BQ44" s="440">
        <f t="shared" ca="1" si="94"/>
        <v>505</v>
      </c>
      <c r="BR44" s="274">
        <f t="shared" ca="1" si="51"/>
        <v>23538.05</v>
      </c>
      <c r="BS44" s="273"/>
      <c r="BT44" s="440">
        <f t="shared" ca="1" si="95"/>
        <v>47.14</v>
      </c>
      <c r="BU44" s="440">
        <f t="shared" ca="1" si="95"/>
        <v>505</v>
      </c>
      <c r="BV44" s="274">
        <f t="shared" ca="1" si="52"/>
        <v>23805.7</v>
      </c>
      <c r="BW44" s="273"/>
      <c r="BX44" s="440">
        <f t="shared" ca="1" si="96"/>
        <v>38.69</v>
      </c>
      <c r="BY44" s="440">
        <f t="shared" ca="1" si="96"/>
        <v>505</v>
      </c>
      <c r="BZ44" s="274">
        <f t="shared" ca="1" si="53"/>
        <v>19538.449999999997</v>
      </c>
      <c r="CA44" s="273"/>
      <c r="CB44" s="440">
        <f t="shared" ca="1" si="97"/>
        <v>42.16</v>
      </c>
      <c r="CC44" s="440">
        <f t="shared" ca="1" si="97"/>
        <v>506</v>
      </c>
      <c r="CD44" s="274">
        <f t="shared" ca="1" si="54"/>
        <v>21332.959999999999</v>
      </c>
      <c r="CE44" s="273"/>
      <c r="CF44" s="440">
        <f t="shared" ca="1" si="98"/>
        <v>39.28</v>
      </c>
      <c r="CG44" s="440">
        <f t="shared" ca="1" si="98"/>
        <v>506</v>
      </c>
      <c r="CH44" s="274">
        <f t="shared" ca="1" si="55"/>
        <v>19875.68</v>
      </c>
      <c r="CI44" s="273"/>
      <c r="CJ44" s="440">
        <f t="shared" ca="1" si="99"/>
        <v>41.92</v>
      </c>
      <c r="CK44" s="440">
        <f t="shared" ca="1" si="99"/>
        <v>506</v>
      </c>
      <c r="CL44" s="274">
        <f t="shared" ca="1" si="56"/>
        <v>21211.52</v>
      </c>
      <c r="CN44" s="440">
        <f t="shared" ca="1" si="100"/>
        <v>41.41</v>
      </c>
      <c r="CO44" s="440">
        <f t="shared" ca="1" si="100"/>
        <v>505.86200000000002</v>
      </c>
      <c r="CP44" s="274">
        <f t="shared" ca="1" si="57"/>
        <v>20947.745419999999</v>
      </c>
      <c r="CR44" s="440">
        <f t="shared" ca="1" si="101"/>
        <v>37.24</v>
      </c>
      <c r="CS44" s="440">
        <f t="shared" ca="1" si="101"/>
        <v>505.875</v>
      </c>
      <c r="CT44" s="274">
        <f t="shared" ca="1" si="58"/>
        <v>18838.785</v>
      </c>
      <c r="CV44" s="440">
        <f t="shared" ca="1" si="102"/>
        <v>40.79</v>
      </c>
      <c r="CW44" s="440">
        <f t="shared" ca="1" si="102"/>
        <v>506.077</v>
      </c>
      <c r="CX44" s="274">
        <f t="shared" ca="1" si="59"/>
        <v>20642.880829999998</v>
      </c>
      <c r="CZ44" s="440">
        <f t="shared" ca="1" si="103"/>
        <v>38.14</v>
      </c>
      <c r="DA44" s="440">
        <f t="shared" ca="1" si="103"/>
        <v>505.88900000000001</v>
      </c>
      <c r="DB44" s="274">
        <f t="shared" ca="1" si="60"/>
        <v>19294.606459999999</v>
      </c>
      <c r="DD44" s="440">
        <f t="shared" ca="1" si="104"/>
        <v>32.04</v>
      </c>
      <c r="DE44" s="440">
        <f t="shared" ca="1" si="104"/>
        <v>505.858</v>
      </c>
      <c r="DF44" s="274">
        <f t="shared" ca="1" si="61"/>
        <v>16207.69032</v>
      </c>
      <c r="DH44" s="440">
        <f t="shared" ca="1" si="105"/>
        <v>32.93</v>
      </c>
      <c r="DI44" s="440">
        <f t="shared" ca="1" si="105"/>
        <v>505.9</v>
      </c>
      <c r="DJ44" s="274">
        <f t="shared" ca="1" si="62"/>
        <v>16659.287</v>
      </c>
      <c r="DL44" s="440">
        <f t="shared" ca="1" si="72"/>
        <v>32.659999999999997</v>
      </c>
      <c r="DM44" s="440">
        <f t="shared" ca="1" si="72"/>
        <v>505.94200000000001</v>
      </c>
      <c r="DN44" s="274">
        <f t="shared" ca="1" si="63"/>
        <v>16524.065719999999</v>
      </c>
      <c r="DP44" s="440">
        <f t="shared" ca="1" si="73"/>
        <v>34.340000000000003</v>
      </c>
      <c r="DQ44" s="440">
        <f t="shared" ca="1" si="73"/>
        <v>505.93299999999999</v>
      </c>
      <c r="DR44" s="274">
        <f t="shared" ca="1" si="64"/>
        <v>17373.739220000003</v>
      </c>
      <c r="DT44" s="440">
        <f t="shared" ca="1" si="74"/>
        <v>30.6</v>
      </c>
      <c r="DU44" s="440">
        <f t="shared" ca="1" si="74"/>
        <v>505.91399999999999</v>
      </c>
      <c r="DV44" s="274">
        <f t="shared" ca="1" si="65"/>
        <v>15480.9684</v>
      </c>
      <c r="DX44" s="440">
        <f t="shared" ca="1" si="75"/>
        <v>32.18</v>
      </c>
      <c r="DY44" s="440">
        <f t="shared" ca="1" si="75"/>
        <v>505.90300000000002</v>
      </c>
      <c r="DZ44" s="274">
        <f t="shared" ca="1" si="66"/>
        <v>16279.95854</v>
      </c>
      <c r="EB44" s="440">
        <f t="shared" ca="1" si="76"/>
        <v>32.5</v>
      </c>
      <c r="EC44" s="440">
        <f t="shared" ca="1" si="76"/>
        <v>506.01</v>
      </c>
      <c r="ED44" s="274">
        <f t="shared" ca="1" si="67"/>
        <v>16445.325000000001</v>
      </c>
      <c r="EF44" s="251">
        <f t="shared" ca="1" si="77"/>
        <v>30.61</v>
      </c>
      <c r="EG44" s="251">
        <f t="shared" ca="1" si="77"/>
        <v>505.94900000000001</v>
      </c>
      <c r="EH44" s="274">
        <f t="shared" ca="1" si="68"/>
        <v>15487.098889999999</v>
      </c>
      <c r="EJ44" s="251">
        <f t="shared" ca="1" si="78"/>
        <v>33.01</v>
      </c>
      <c r="EK44" s="251">
        <f t="shared" ca="1" si="78"/>
        <v>505.90899999999999</v>
      </c>
      <c r="EL44" s="274">
        <f t="shared" ca="1" si="69"/>
        <v>16700.056089999998</v>
      </c>
      <c r="EO44" s="252">
        <f t="shared" ca="1" si="106"/>
        <v>100</v>
      </c>
    </row>
    <row r="45" spans="2:145" s="234" customFormat="1">
      <c r="B45" s="258">
        <f t="shared" ca="1" si="70"/>
        <v>36</v>
      </c>
      <c r="C45" s="249" t="str">
        <f t="shared" ca="1" si="71"/>
        <v>Sempra Energy</v>
      </c>
      <c r="D45" s="236" t="str">
        <f t="shared" ca="1" si="71"/>
        <v>SRE</v>
      </c>
      <c r="E45" s="236">
        <f t="shared" ca="1" si="71"/>
        <v>4057062</v>
      </c>
      <c r="F45" s="250"/>
      <c r="G45" s="273"/>
      <c r="H45" s="440">
        <f t="shared" ca="1" si="79"/>
        <v>112.99</v>
      </c>
      <c r="I45" s="440">
        <f t="shared" ca="1" si="79"/>
        <v>277.904</v>
      </c>
      <c r="J45" s="274">
        <f t="shared" ca="1" si="36"/>
        <v>31400.372959999997</v>
      </c>
      <c r="K45" s="273"/>
      <c r="L45" s="440">
        <f t="shared" ca="1" si="80"/>
        <v>151.47999999999999</v>
      </c>
      <c r="M45" s="440">
        <f t="shared" ca="1" si="80"/>
        <v>277.36</v>
      </c>
      <c r="N45" s="274">
        <f t="shared" ca="1" si="37"/>
        <v>42014.4928</v>
      </c>
      <c r="O45" s="273"/>
      <c r="P45" s="440">
        <f t="shared" ca="1" si="81"/>
        <v>147.61000000000001</v>
      </c>
      <c r="Q45" s="440">
        <f t="shared" ca="1" si="81"/>
        <v>274.98700000000002</v>
      </c>
      <c r="R45" s="274">
        <f t="shared" ca="1" si="38"/>
        <v>40590.831070000007</v>
      </c>
      <c r="S45" s="273"/>
      <c r="T45" s="440">
        <f t="shared" ca="1" si="82"/>
        <v>137.44</v>
      </c>
      <c r="U45" s="440">
        <f t="shared" ca="1" si="82"/>
        <v>274.67399999999998</v>
      </c>
      <c r="V45" s="274">
        <f t="shared" ca="1" si="39"/>
        <v>37751.194559999996</v>
      </c>
      <c r="W45" s="273"/>
      <c r="X45" s="440">
        <f t="shared" ca="1" si="83"/>
        <v>125.86</v>
      </c>
      <c r="Y45" s="440">
        <f t="shared" ca="1" si="83"/>
        <v>268.30720000000002</v>
      </c>
      <c r="Z45" s="274">
        <f t="shared" ca="1" si="40"/>
        <v>33769.144192</v>
      </c>
      <c r="AA45" s="273"/>
      <c r="AB45" s="440">
        <f t="shared" ca="1" si="84"/>
        <v>108.19</v>
      </c>
      <c r="AC45" s="440">
        <f t="shared" ca="1" si="84"/>
        <v>273.94400000000002</v>
      </c>
      <c r="AD45" s="274">
        <f t="shared" ca="1" si="41"/>
        <v>29638.001360000002</v>
      </c>
      <c r="AE45" s="273"/>
      <c r="AF45" s="440">
        <f t="shared" ca="1" si="85"/>
        <v>113.75</v>
      </c>
      <c r="AG45" s="440">
        <f t="shared" ca="1" si="85"/>
        <v>265.83699999999999</v>
      </c>
      <c r="AH45" s="274">
        <f t="shared" ca="1" si="42"/>
        <v>30238.958749999998</v>
      </c>
      <c r="AI45" s="273"/>
      <c r="AJ45" s="440">
        <f t="shared" ca="1" si="86"/>
        <v>116.11</v>
      </c>
      <c r="AK45" s="440">
        <f t="shared" ca="1" si="86"/>
        <v>257.93200000000002</v>
      </c>
      <c r="AL45" s="274">
        <f t="shared" ca="1" si="43"/>
        <v>29948.484520000002</v>
      </c>
      <c r="AM45" s="273"/>
      <c r="AN45" s="440">
        <f t="shared" ca="1" si="87"/>
        <v>111.22</v>
      </c>
      <c r="AO45" s="440">
        <f t="shared" ca="1" si="87"/>
        <v>251.9</v>
      </c>
      <c r="AP45" s="274">
        <f t="shared" ca="1" si="44"/>
        <v>28016.317999999999</v>
      </c>
      <c r="AQ45" s="273"/>
      <c r="AR45" s="440">
        <f t="shared" ca="1" si="88"/>
        <v>106.92</v>
      </c>
      <c r="AS45" s="440">
        <f t="shared" ca="1" si="88"/>
        <v>251.96199999999999</v>
      </c>
      <c r="AT45" s="274">
        <f t="shared" ca="1" si="45"/>
        <v>26939.777040000001</v>
      </c>
      <c r="AU45" s="273"/>
      <c r="AV45" s="440">
        <f t="shared" ca="1" si="89"/>
        <v>114.13</v>
      </c>
      <c r="AW45" s="440">
        <f t="shared" ca="1" si="89"/>
        <v>251.447</v>
      </c>
      <c r="AX45" s="274">
        <f t="shared" ca="1" si="46"/>
        <v>28697.646109999998</v>
      </c>
      <c r="AY45" s="273"/>
      <c r="AZ45" s="440">
        <f t="shared" ca="1" si="90"/>
        <v>112.75</v>
      </c>
      <c r="BA45" s="440">
        <f t="shared" ca="1" si="90"/>
        <v>251.131</v>
      </c>
      <c r="BB45" s="274">
        <f t="shared" ca="1" si="47"/>
        <v>28315.020250000001</v>
      </c>
      <c r="BC45" s="273"/>
      <c r="BD45" s="440">
        <f t="shared" ca="1" si="91"/>
        <v>110.5</v>
      </c>
      <c r="BE45" s="440">
        <f t="shared" ca="1" si="91"/>
        <v>250.21700000000001</v>
      </c>
      <c r="BF45" s="274">
        <f t="shared" ca="1" si="48"/>
        <v>27648.978500000001</v>
      </c>
      <c r="BG45" s="273"/>
      <c r="BH45" s="440">
        <f t="shared" ca="1" si="92"/>
        <v>100.64</v>
      </c>
      <c r="BI45" s="440">
        <f t="shared" ca="1" si="92"/>
        <v>250.386</v>
      </c>
      <c r="BJ45" s="274">
        <f t="shared" ca="1" si="49"/>
        <v>25198.847040000001</v>
      </c>
      <c r="BK45" s="273"/>
      <c r="BL45" s="440">
        <f t="shared" ca="1" si="93"/>
        <v>107.19</v>
      </c>
      <c r="BM45" s="440">
        <f t="shared" ca="1" si="93"/>
        <v>250.096</v>
      </c>
      <c r="BN45" s="274">
        <f t="shared" ca="1" si="50"/>
        <v>26807.790239999998</v>
      </c>
      <c r="BO45" s="273"/>
      <c r="BP45" s="440">
        <f t="shared" ca="1" si="94"/>
        <v>114.02</v>
      </c>
      <c r="BQ45" s="440">
        <f t="shared" ca="1" si="94"/>
        <v>249.73400000000001</v>
      </c>
      <c r="BR45" s="274">
        <f t="shared" ca="1" si="51"/>
        <v>28474.670679999999</v>
      </c>
      <c r="BS45" s="273"/>
      <c r="BT45" s="440">
        <f t="shared" ca="1" si="95"/>
        <v>104.05</v>
      </c>
      <c r="BU45" s="440">
        <f t="shared" ca="1" si="95"/>
        <v>248.249</v>
      </c>
      <c r="BV45" s="274">
        <f t="shared" ca="1" si="52"/>
        <v>25830.30845</v>
      </c>
      <c r="BW45" s="273"/>
      <c r="BX45" s="440">
        <f t="shared" ca="1" si="96"/>
        <v>94.01</v>
      </c>
      <c r="BY45" s="440">
        <f t="shared" ca="1" si="96"/>
        <v>248.43199999999999</v>
      </c>
      <c r="BZ45" s="274">
        <f t="shared" ca="1" si="53"/>
        <v>23355.09232</v>
      </c>
      <c r="CA45" s="273"/>
      <c r="CB45" s="440">
        <f t="shared" ca="1" si="97"/>
        <v>96.72</v>
      </c>
      <c r="CC45" s="440">
        <f t="shared" ca="1" si="97"/>
        <v>248.108</v>
      </c>
      <c r="CD45" s="274">
        <f t="shared" ca="1" si="54"/>
        <v>23997.00576</v>
      </c>
      <c r="CE45" s="273"/>
      <c r="CF45" s="440">
        <f t="shared" ca="1" si="98"/>
        <v>98.94</v>
      </c>
      <c r="CG45" s="440">
        <f t="shared" ca="1" si="98"/>
        <v>247.72200000000001</v>
      </c>
      <c r="CH45" s="274">
        <f t="shared" ca="1" si="55"/>
        <v>24509.614679999999</v>
      </c>
      <c r="CI45" s="273"/>
      <c r="CJ45" s="440">
        <f t="shared" ca="1" si="99"/>
        <v>109.02</v>
      </c>
      <c r="CK45" s="440">
        <f t="shared" ca="1" si="99"/>
        <v>246.4</v>
      </c>
      <c r="CL45" s="274">
        <f t="shared" ca="1" si="56"/>
        <v>26862.527999999998</v>
      </c>
      <c r="CN45" s="440">
        <f t="shared" ca="1" si="100"/>
        <v>111.36</v>
      </c>
      <c r="CO45" s="440">
        <f t="shared" ca="1" si="100"/>
        <v>246.137</v>
      </c>
      <c r="CP45" s="274">
        <f t="shared" ca="1" si="57"/>
        <v>27409.816320000002</v>
      </c>
      <c r="CR45" s="440">
        <f t="shared" ca="1" si="101"/>
        <v>105.38</v>
      </c>
      <c r="CS45" s="440">
        <f t="shared" ca="1" si="101"/>
        <v>245.68799999999999</v>
      </c>
      <c r="CT45" s="274">
        <f t="shared" ca="1" si="58"/>
        <v>25890.601439999999</v>
      </c>
      <c r="CV45" s="440">
        <f t="shared" ca="1" si="102"/>
        <v>104.71</v>
      </c>
      <c r="CW45" s="440">
        <f t="shared" ca="1" si="102"/>
        <v>245.27699999999999</v>
      </c>
      <c r="CX45" s="274">
        <f t="shared" ca="1" si="59"/>
        <v>25682.954669999996</v>
      </c>
      <c r="CZ45" s="440">
        <f t="shared" ca="1" si="103"/>
        <v>96.76</v>
      </c>
      <c r="DA45" s="440">
        <f t="shared" ca="1" si="103"/>
        <v>243.863</v>
      </c>
      <c r="DB45" s="274">
        <f t="shared" ca="1" si="60"/>
        <v>23596.18388</v>
      </c>
      <c r="DD45" s="440">
        <f t="shared" ca="1" si="104"/>
        <v>89.76</v>
      </c>
      <c r="DE45" s="440">
        <f t="shared" ca="1" si="104"/>
        <v>244.14</v>
      </c>
      <c r="DF45" s="274">
        <f t="shared" ca="1" si="61"/>
        <v>21914.006399999998</v>
      </c>
      <c r="DH45" s="440">
        <f t="shared" ca="1" si="105"/>
        <v>85.6</v>
      </c>
      <c r="DI45" s="440">
        <f t="shared" ca="1" si="105"/>
        <v>243.60300000000001</v>
      </c>
      <c r="DJ45" s="274">
        <f t="shared" ca="1" si="62"/>
        <v>20852.416799999999</v>
      </c>
      <c r="DL45" s="440">
        <f t="shared" ca="1" si="72"/>
        <v>81.760000000000005</v>
      </c>
      <c r="DM45" s="440">
        <f t="shared" ca="1" si="72"/>
        <v>243.29400000000001</v>
      </c>
      <c r="DN45" s="274">
        <f t="shared" ca="1" si="63"/>
        <v>19891.71744</v>
      </c>
      <c r="DP45" s="440">
        <f t="shared" ca="1" si="73"/>
        <v>79.94</v>
      </c>
      <c r="DQ45" s="440">
        <f t="shared" ca="1" si="73"/>
        <v>241.34700000000001</v>
      </c>
      <c r="DR45" s="274">
        <f t="shared" ca="1" si="64"/>
        <v>19293.279180000001</v>
      </c>
      <c r="DT45" s="440">
        <f t="shared" ca="1" si="74"/>
        <v>70.94</v>
      </c>
      <c r="DU45" s="440">
        <f t="shared" ca="1" si="74"/>
        <v>241.68899999999999</v>
      </c>
      <c r="DV45" s="274">
        <f t="shared" ca="1" si="65"/>
        <v>17145.417659999999</v>
      </c>
      <c r="DX45" s="440">
        <f t="shared" ca="1" si="75"/>
        <v>64.489999999999995</v>
      </c>
      <c r="DY45" s="440">
        <f t="shared" ca="1" si="75"/>
        <v>241.14099999999999</v>
      </c>
      <c r="DZ45" s="274">
        <f t="shared" ca="1" si="66"/>
        <v>15551.183089999999</v>
      </c>
      <c r="EB45" s="440">
        <f t="shared" ca="1" si="76"/>
        <v>68.89</v>
      </c>
      <c r="EC45" s="440">
        <f t="shared" ca="1" si="76"/>
        <v>240.566</v>
      </c>
      <c r="ED45" s="274">
        <f t="shared" ca="1" si="67"/>
        <v>16572.59174</v>
      </c>
      <c r="EF45" s="251">
        <f t="shared" ca="1" si="77"/>
        <v>59.96</v>
      </c>
      <c r="EG45" s="251">
        <f t="shared" ca="1" si="77"/>
        <v>239.72</v>
      </c>
      <c r="EH45" s="274">
        <f t="shared" ca="1" si="68"/>
        <v>14373.611199999999</v>
      </c>
      <c r="EJ45" s="251">
        <f t="shared" ca="1" si="78"/>
        <v>55</v>
      </c>
      <c r="EK45" s="251">
        <f t="shared" ca="1" si="78"/>
        <v>239.54499999999999</v>
      </c>
      <c r="EL45" s="274">
        <f t="shared" ca="1" si="69"/>
        <v>13174.974999999999</v>
      </c>
      <c r="EO45" s="252">
        <f t="shared" ca="1" si="106"/>
        <v>103</v>
      </c>
    </row>
    <row r="46" spans="2:145" s="234" customFormat="1">
      <c r="B46" s="258">
        <f t="shared" ca="1" si="70"/>
        <v>37</v>
      </c>
      <c r="C46" s="249" t="str">
        <f t="shared" ref="C46:E59" ca="1" si="107">OFFSET( INDIRECT( C$6 &amp; C$7 ), $B46 - 1, 0 )</f>
        <v>Southern Company</v>
      </c>
      <c r="D46" s="236" t="str">
        <f t="shared" ca="1" si="107"/>
        <v>SO</v>
      </c>
      <c r="E46" s="236">
        <f t="shared" ca="1" si="107"/>
        <v>4004298</v>
      </c>
      <c r="F46" s="250"/>
      <c r="G46" s="273"/>
      <c r="H46" s="440">
        <f t="shared" ref="H46:I59" ca="1" si="108">OFFSET( INDIRECT( H$6 &amp; H$9 ), $EO46 - 1, H$8 - 1 )</f>
        <v>54.14</v>
      </c>
      <c r="I46" s="440">
        <f t="shared" ca="1" si="108"/>
        <v>1046.0229999999999</v>
      </c>
      <c r="J46" s="274">
        <f t="shared" ca="1" si="36"/>
        <v>56631.685219999999</v>
      </c>
      <c r="K46" s="273"/>
      <c r="L46" s="440">
        <f t="shared" ref="L46:M59" ca="1" si="109">OFFSET( INDIRECT( L$6 &amp; L$9 ), $EO46 - 1, L$8 - 1 )</f>
        <v>63.7</v>
      </c>
      <c r="M46" s="440">
        <f t="shared" ca="1" si="109"/>
        <v>1048</v>
      </c>
      <c r="N46" s="274">
        <f t="shared" ca="1" si="37"/>
        <v>66757.600000000006</v>
      </c>
      <c r="O46" s="273"/>
      <c r="P46" s="440">
        <f t="shared" ref="P46:Q59" ca="1" si="110">OFFSET( INDIRECT( P$6 &amp; P$9 ), $EO46 - 1, P$8 - 1 )</f>
        <v>61.77</v>
      </c>
      <c r="Q46" s="440">
        <f t="shared" ca="1" si="110"/>
        <v>1044</v>
      </c>
      <c r="R46" s="274">
        <f t="shared" ca="1" si="38"/>
        <v>64487.880000000005</v>
      </c>
      <c r="S46" s="273"/>
      <c r="T46" s="440">
        <f t="shared" ref="T46:U59" ca="1" si="111">OFFSET( INDIRECT( T$6 &amp; T$9 ), $EO46 - 1, T$8 - 1 )</f>
        <v>55.28</v>
      </c>
      <c r="U46" s="440">
        <f t="shared" ca="1" si="111"/>
        <v>1038</v>
      </c>
      <c r="V46" s="274">
        <f t="shared" ca="1" si="39"/>
        <v>57380.639999999999</v>
      </c>
      <c r="W46" s="273"/>
      <c r="X46" s="440">
        <f t="shared" ref="X46:Y59" ca="1" si="112">OFFSET( INDIRECT( X$6 &amp; X$9 ), $EO46 - 1, X$8 - 1 )</f>
        <v>51.68</v>
      </c>
      <c r="Y46" s="440">
        <f t="shared" ca="1" si="112"/>
        <v>1020.247</v>
      </c>
      <c r="Z46" s="274">
        <f t="shared" ca="1" si="40"/>
        <v>52726.364959999999</v>
      </c>
      <c r="AA46" s="273"/>
      <c r="AB46" s="440">
        <f t="shared" ref="AB46:AC59" ca="1" si="113">OFFSET( INDIRECT( AB$6 &amp; AB$9 ), $EO46 - 1, AB$8 - 1 )</f>
        <v>43.92</v>
      </c>
      <c r="AC46" s="440">
        <f t="shared" ca="1" si="113"/>
        <v>1023</v>
      </c>
      <c r="AD46" s="274">
        <f t="shared" ca="1" si="41"/>
        <v>44930.16</v>
      </c>
      <c r="AE46" s="273"/>
      <c r="AF46" s="440">
        <f t="shared" ref="AF46:AG59" ca="1" si="114">OFFSET( INDIRECT( AF$6 &amp; AF$9 ), $EO46 - 1, AF$8 - 1 )</f>
        <v>43.6</v>
      </c>
      <c r="AG46" s="440">
        <f t="shared" ca="1" si="114"/>
        <v>1014</v>
      </c>
      <c r="AH46" s="274">
        <f t="shared" ca="1" si="42"/>
        <v>44210.400000000001</v>
      </c>
      <c r="AI46" s="273"/>
      <c r="AJ46" s="440">
        <f t="shared" ref="AJ46:AK59" ca="1" si="115">OFFSET( INDIRECT( AJ$6 &amp; AJ$9 ), $EO46 - 1, AJ$8 - 1 )</f>
        <v>46.31</v>
      </c>
      <c r="AK46" s="440">
        <f t="shared" ca="1" si="115"/>
        <v>1011</v>
      </c>
      <c r="AL46" s="274">
        <f t="shared" ca="1" si="43"/>
        <v>46819.41</v>
      </c>
      <c r="AM46" s="273"/>
      <c r="AN46" s="440">
        <f t="shared" ref="AN46:AO59" ca="1" si="116">OFFSET( INDIRECT( AN$6 &amp; AN$9 ), $EO46 - 1, AN$8 - 1 )</f>
        <v>44.66</v>
      </c>
      <c r="AO46" s="440">
        <f t="shared" ca="1" si="116"/>
        <v>1007.3440000000001</v>
      </c>
      <c r="AP46" s="274">
        <f t="shared" ca="1" si="44"/>
        <v>44987.983039999999</v>
      </c>
      <c r="AQ46" s="273"/>
      <c r="AR46" s="440">
        <f t="shared" ref="AR46:AS59" ca="1" si="117">OFFSET( INDIRECT( AR$6 &amp; AR$9 ), $EO46 - 1, AR$8 - 1 )</f>
        <v>48.09</v>
      </c>
      <c r="AS46" s="440">
        <f t="shared" ca="1" si="117"/>
        <v>1003</v>
      </c>
      <c r="AT46" s="274">
        <f t="shared" ca="1" si="45"/>
        <v>48234.270000000004</v>
      </c>
      <c r="AU46" s="273"/>
      <c r="AV46" s="440">
        <f t="shared" ref="AV46:AW59" ca="1" si="118">OFFSET( INDIRECT( AV$6 &amp; AV$9 ), $EO46 - 1, AV$8 - 1 )</f>
        <v>49.14</v>
      </c>
      <c r="AW46" s="440">
        <f t="shared" ca="1" si="118"/>
        <v>998</v>
      </c>
      <c r="AX46" s="274">
        <f t="shared" ca="1" si="46"/>
        <v>49041.72</v>
      </c>
      <c r="AY46" s="273"/>
      <c r="AZ46" s="440">
        <f t="shared" ref="AZ46:BA59" ca="1" si="119">OFFSET( INDIRECT( AZ$6 &amp; AZ$9 ), $EO46 - 1, AZ$8 - 1 )</f>
        <v>47.88</v>
      </c>
      <c r="BA46" s="440">
        <f t="shared" ca="1" si="119"/>
        <v>993</v>
      </c>
      <c r="BB46" s="274">
        <f t="shared" ca="1" si="47"/>
        <v>47544.840000000004</v>
      </c>
      <c r="BC46" s="273"/>
      <c r="BD46" s="440">
        <f t="shared" ref="BD46:BE59" ca="1" si="120">OFFSET( INDIRECT( BD$6 &amp; BD$9 ), $EO46 - 1, BD$8 - 1 )</f>
        <v>49.78</v>
      </c>
      <c r="BE46" s="440">
        <f t="shared" ca="1" si="120"/>
        <v>951.33199999999999</v>
      </c>
      <c r="BF46" s="274">
        <f t="shared" ca="1" si="48"/>
        <v>47357.306960000002</v>
      </c>
      <c r="BG46" s="273"/>
      <c r="BH46" s="440">
        <f t="shared" ref="BH46:BI59" ca="1" si="121">OFFSET( INDIRECT( BH$6 &amp; BH$9 ), $EO46 - 1, BH$8 - 1 )</f>
        <v>49.19</v>
      </c>
      <c r="BI46" s="440">
        <f t="shared" ca="1" si="121"/>
        <v>968</v>
      </c>
      <c r="BJ46" s="274">
        <f t="shared" ca="1" si="49"/>
        <v>47615.92</v>
      </c>
      <c r="BK46" s="273"/>
      <c r="BL46" s="440">
        <f t="shared" ref="BL46:BM59" ca="1" si="122">OFFSET( INDIRECT( BL$6 &amp; BL$9 ), $EO46 - 1, BL$8 - 1 )</f>
        <v>51.3</v>
      </c>
      <c r="BM46" s="440">
        <f t="shared" ca="1" si="122"/>
        <v>934</v>
      </c>
      <c r="BN46" s="274">
        <f t="shared" ca="1" si="50"/>
        <v>47914.2</v>
      </c>
      <c r="BO46" s="273"/>
      <c r="BP46" s="440">
        <f t="shared" ref="BP46:BQ59" ca="1" si="123">OFFSET( INDIRECT( BP$6 &amp; BP$9 ), $EO46 - 1, BP$8 - 1 )</f>
        <v>53.63</v>
      </c>
      <c r="BQ46" s="440">
        <f t="shared" ca="1" si="123"/>
        <v>916</v>
      </c>
      <c r="BR46" s="274">
        <f t="shared" ca="1" si="51"/>
        <v>49125.08</v>
      </c>
      <c r="BS46" s="273"/>
      <c r="BT46" s="440">
        <f t="shared" ref="BT46:BU59" ca="1" si="124">OFFSET( INDIRECT( BT$6 &amp; BT$9 ), $EO46 - 1, BT$8 - 1 )</f>
        <v>51.73</v>
      </c>
      <c r="BU46" s="440">
        <f t="shared" ca="1" si="124"/>
        <v>910.024</v>
      </c>
      <c r="BV46" s="274">
        <f t="shared" ca="1" si="52"/>
        <v>47075.541519999999</v>
      </c>
      <c r="BW46" s="273"/>
      <c r="BX46" s="440">
        <f t="shared" ref="BX46:BY59" ca="1" si="125">OFFSET( INDIRECT( BX$6 &amp; BX$9 ), $EO46 - 1, BX$8 - 1 )</f>
        <v>46.79</v>
      </c>
      <c r="BY46" s="440">
        <f t="shared" ca="1" si="125"/>
        <v>910</v>
      </c>
      <c r="BZ46" s="274">
        <f t="shared" ca="1" si="53"/>
        <v>42578.9</v>
      </c>
      <c r="CA46" s="273"/>
      <c r="CB46" s="440">
        <f t="shared" ref="CB46:CC59" ca="1" si="126">OFFSET( INDIRECT( CB$6 &amp; CB$9 ), $EO46 - 1, CB$8 - 1 )</f>
        <v>44.7</v>
      </c>
      <c r="CC46" s="440">
        <f t="shared" ca="1" si="126"/>
        <v>909</v>
      </c>
      <c r="CD46" s="274">
        <f t="shared" ca="1" si="54"/>
        <v>40632.300000000003</v>
      </c>
      <c r="CE46" s="273"/>
      <c r="CF46" s="440">
        <f t="shared" ref="CF46:CG59" ca="1" si="127">OFFSET( INDIRECT( CF$6 &amp; CF$9 ), $EO46 - 1, CF$8 - 1 )</f>
        <v>41.9</v>
      </c>
      <c r="CG46" s="440">
        <f t="shared" ca="1" si="127"/>
        <v>910</v>
      </c>
      <c r="CH46" s="274">
        <f t="shared" ca="1" si="55"/>
        <v>38129</v>
      </c>
      <c r="CI46" s="273"/>
      <c r="CJ46" s="440">
        <f t="shared" ref="CJ46:CK59" ca="1" si="128">OFFSET( INDIRECT( CJ$6 &amp; CJ$9 ), $EO46 - 1, CJ$8 - 1 )</f>
        <v>44.28</v>
      </c>
      <c r="CK46" s="440">
        <f t="shared" ca="1" si="128"/>
        <v>906.77599999999995</v>
      </c>
      <c r="CL46" s="274">
        <f t="shared" ca="1" si="56"/>
        <v>40152.041279999998</v>
      </c>
      <c r="CN46" s="440">
        <f t="shared" ref="CN46:CO59" ca="1" si="129">OFFSET( INDIRECT( CN$6 &amp; CN$9 ), $EO46 - 1, CN$8 - 1 )</f>
        <v>49.11</v>
      </c>
      <c r="CO46" s="440">
        <f t="shared" ca="1" si="129"/>
        <v>898</v>
      </c>
      <c r="CP46" s="274">
        <f t="shared" ca="1" si="57"/>
        <v>44100.78</v>
      </c>
      <c r="CR46" s="440">
        <f t="shared" ref="CR46:CS59" ca="1" si="130">OFFSET( INDIRECT( CR$6 &amp; CR$9 ), $EO46 - 1, CR$8 - 1 )</f>
        <v>43.65</v>
      </c>
      <c r="CS46" s="440">
        <f t="shared" ca="1" si="130"/>
        <v>895</v>
      </c>
      <c r="CT46" s="274">
        <f t="shared" ca="1" si="58"/>
        <v>39066.75</v>
      </c>
      <c r="CV46" s="440">
        <f t="shared" ref="CV46:CW59" ca="1" si="131">OFFSET( INDIRECT( CV$6 &amp; CV$9 ), $EO46 - 1, CV$8 - 1 )</f>
        <v>45.38</v>
      </c>
      <c r="CW46" s="440">
        <f t="shared" ca="1" si="131"/>
        <v>890</v>
      </c>
      <c r="CX46" s="274">
        <f t="shared" ca="1" si="59"/>
        <v>40388.200000000004</v>
      </c>
      <c r="CZ46" s="440">
        <f t="shared" ref="CZ46:DA59" ca="1" si="132">OFFSET( INDIRECT( CZ$6 &amp; CZ$9 ), $EO46 - 1, CZ$8 - 1 )</f>
        <v>43.94</v>
      </c>
      <c r="DA46" s="440">
        <f t="shared" ca="1" si="132"/>
        <v>876.755</v>
      </c>
      <c r="DB46" s="274">
        <f t="shared" ca="1" si="60"/>
        <v>38524.614699999998</v>
      </c>
      <c r="DD46" s="440">
        <f t="shared" ref="DD46:DE59" ca="1" si="133">OFFSET( INDIRECT( DD$6 &amp; DD$9 ), $EO46 - 1, DD$8 - 1 )</f>
        <v>41.11</v>
      </c>
      <c r="DE46" s="440">
        <f t="shared" ca="1" si="133"/>
        <v>878</v>
      </c>
      <c r="DF46" s="274">
        <f t="shared" ca="1" si="61"/>
        <v>36094.58</v>
      </c>
      <c r="DH46" s="440">
        <f t="shared" ref="DH46:DI59" ca="1" si="134">OFFSET( INDIRECT( DH$6 &amp; DH$9 ), $EO46 - 1, DH$8 - 1 )</f>
        <v>41.18</v>
      </c>
      <c r="DI46" s="440">
        <f t="shared" ca="1" si="134"/>
        <v>874</v>
      </c>
      <c r="DJ46" s="274">
        <f t="shared" ca="1" si="62"/>
        <v>35991.32</v>
      </c>
      <c r="DL46" s="440">
        <f t="shared" ref="DL46:DM59" ca="1" si="135">OFFSET( INDIRECT( DL$6 &amp; DL$9 ), $EO46 - 1, DL$8 - 1 )</f>
        <v>44.13</v>
      </c>
      <c r="DM46" s="440">
        <f t="shared" ca="1" si="135"/>
        <v>870</v>
      </c>
      <c r="DN46" s="274">
        <f t="shared" ca="1" si="63"/>
        <v>38393.100000000006</v>
      </c>
      <c r="DP46" s="440">
        <f t="shared" ref="DP46:DQ59" ca="1" si="136">OFFSET( INDIRECT( DP$6 &amp; DP$9 ), $EO46 - 1, DP$8 - 1 )</f>
        <v>46.92</v>
      </c>
      <c r="DQ46" s="440">
        <f t="shared" ca="1" si="136"/>
        <v>871.38800000000003</v>
      </c>
      <c r="DR46" s="274">
        <f t="shared" ca="1" si="64"/>
        <v>40885.524960000002</v>
      </c>
      <c r="DT46" s="440">
        <f t="shared" ref="DT46:DU59" ca="1" si="137">OFFSET( INDIRECT( DT$6 &amp; DT$9 ), $EO46 - 1, DT$8 - 1 )</f>
        <v>42.81</v>
      </c>
      <c r="DU46" s="440">
        <f t="shared" ca="1" si="137"/>
        <v>876</v>
      </c>
      <c r="DV46" s="274">
        <f t="shared" ca="1" si="65"/>
        <v>37501.560000000005</v>
      </c>
      <c r="DX46" s="440">
        <f t="shared" ref="DX46:DY59" ca="1" si="138">OFFSET( INDIRECT( DX$6 &amp; DX$9 ), $EO46 - 1, DX$8 - 1 )</f>
        <v>46.09</v>
      </c>
      <c r="DY46" s="440">
        <f t="shared" ca="1" si="138"/>
        <v>872</v>
      </c>
      <c r="DZ46" s="274">
        <f t="shared" ca="1" si="66"/>
        <v>40190.480000000003</v>
      </c>
      <c r="EB46" s="440">
        <f t="shared" ref="EB46:EC59" ca="1" si="139">OFFSET( INDIRECT( EB$6 &amp; EB$9 ), $EO46 - 1, EB$8 - 1 )</f>
        <v>46.24</v>
      </c>
      <c r="EC46" s="440">
        <f t="shared" ca="1" si="139"/>
        <v>868</v>
      </c>
      <c r="ED46" s="274">
        <f t="shared" ca="1" si="67"/>
        <v>40136.32</v>
      </c>
      <c r="EF46" s="251">
        <f t="shared" ref="EF46:EG59" ca="1" si="140">OFFSET( INDIRECT( EF$6 &amp; EF$9 ), $EO46 - 1, EF$8 - 1 )</f>
        <v>44.93</v>
      </c>
      <c r="EG46" s="251">
        <f t="shared" ca="1" si="140"/>
        <v>856.89800000000002</v>
      </c>
      <c r="EH46" s="274">
        <f t="shared" ca="1" si="68"/>
        <v>38500.42714</v>
      </c>
      <c r="EJ46" s="251">
        <f t="shared" ref="EJ46:EK59" ca="1" si="141">OFFSET( INDIRECT( EJ$6 &amp; EJ$9 ), $EO46 - 1, EJ$8 - 1 )</f>
        <v>46.29</v>
      </c>
      <c r="EK46" s="251">
        <f t="shared" ca="1" si="141"/>
        <v>860</v>
      </c>
      <c r="EL46" s="274">
        <f t="shared" ca="1" si="69"/>
        <v>39809.4</v>
      </c>
      <c r="EO46" s="252">
        <f t="shared" ca="1" si="106"/>
        <v>59</v>
      </c>
    </row>
    <row r="47" spans="2:145" s="234" customFormat="1">
      <c r="B47" s="258">
        <f t="shared" ca="1" si="70"/>
        <v>38</v>
      </c>
      <c r="C47" s="249" t="str">
        <f t="shared" ca="1" si="107"/>
        <v>Unitil Corporation</v>
      </c>
      <c r="D47" s="236" t="str">
        <f t="shared" ca="1" si="107"/>
        <v>UTL</v>
      </c>
      <c r="E47" s="236">
        <f t="shared" ca="1" si="107"/>
        <v>4056953</v>
      </c>
      <c r="F47" s="250"/>
      <c r="G47" s="273"/>
      <c r="H47" s="440">
        <f t="shared" ca="1" si="108"/>
        <v>52.32</v>
      </c>
      <c r="I47" s="440">
        <f t="shared" ca="1" si="108"/>
        <v>14.894</v>
      </c>
      <c r="J47" s="274">
        <f t="shared" ca="1" si="36"/>
        <v>779.25408000000004</v>
      </c>
      <c r="K47" s="273"/>
      <c r="L47" s="440">
        <f t="shared" ca="1" si="109"/>
        <v>61.82</v>
      </c>
      <c r="M47" s="440">
        <f t="shared" ca="1" si="109"/>
        <v>14.898</v>
      </c>
      <c r="N47" s="274">
        <f t="shared" ca="1" si="37"/>
        <v>920.99436000000003</v>
      </c>
      <c r="O47" s="273"/>
      <c r="P47" s="440">
        <f t="shared" ca="1" si="110"/>
        <v>63.44</v>
      </c>
      <c r="Q47" s="440">
        <f t="shared" ca="1" si="110"/>
        <v>14.891999999999999</v>
      </c>
      <c r="R47" s="274">
        <f t="shared" ca="1" si="38"/>
        <v>944.74847999999997</v>
      </c>
      <c r="S47" s="273"/>
      <c r="T47" s="440">
        <f t="shared" ca="1" si="111"/>
        <v>59.89</v>
      </c>
      <c r="U47" s="440">
        <f t="shared" ca="1" si="111"/>
        <v>14.875</v>
      </c>
      <c r="V47" s="274">
        <f t="shared" ca="1" si="39"/>
        <v>890.86374999999998</v>
      </c>
      <c r="W47" s="273"/>
      <c r="X47" s="440">
        <f t="shared" ca="1" si="112"/>
        <v>54.17</v>
      </c>
      <c r="Y47" s="440">
        <f t="shared" ca="1" si="112"/>
        <v>14.824</v>
      </c>
      <c r="Z47" s="274">
        <f t="shared" ca="1" si="40"/>
        <v>803.01607999999999</v>
      </c>
      <c r="AA47" s="273"/>
      <c r="AB47" s="440">
        <f t="shared" ca="1" si="113"/>
        <v>50.64</v>
      </c>
      <c r="AC47" s="440">
        <f t="shared" ca="1" si="113"/>
        <v>14.829000000000001</v>
      </c>
      <c r="AD47" s="274">
        <f t="shared" ca="1" si="41"/>
        <v>750.94056</v>
      </c>
      <c r="AE47" s="273"/>
      <c r="AF47" s="440">
        <f t="shared" ca="1" si="114"/>
        <v>50.9</v>
      </c>
      <c r="AG47" s="440">
        <f t="shared" ca="1" si="114"/>
        <v>14.821999999999999</v>
      </c>
      <c r="AH47" s="274">
        <f t="shared" ca="1" si="42"/>
        <v>754.43979999999999</v>
      </c>
      <c r="AI47" s="273"/>
      <c r="AJ47" s="440">
        <f t="shared" ca="1" si="115"/>
        <v>51.04</v>
      </c>
      <c r="AK47" s="440">
        <f t="shared" ca="1" si="115"/>
        <v>14.803000000000001</v>
      </c>
      <c r="AL47" s="274">
        <f t="shared" ca="1" si="43"/>
        <v>755.54512</v>
      </c>
      <c r="AM47" s="273"/>
      <c r="AN47" s="440">
        <f t="shared" ca="1" si="116"/>
        <v>46.41</v>
      </c>
      <c r="AO47" s="440">
        <f t="shared" ca="1" si="116"/>
        <v>14.212</v>
      </c>
      <c r="AP47" s="274">
        <f t="shared" ca="1" si="44"/>
        <v>659.57891999999993</v>
      </c>
      <c r="AQ47" s="273"/>
      <c r="AR47" s="440">
        <f t="shared" ca="1" si="117"/>
        <v>45.62</v>
      </c>
      <c r="AS47" s="440">
        <f t="shared" ca="1" si="117"/>
        <v>14.067</v>
      </c>
      <c r="AT47" s="274">
        <f t="shared" ca="1" si="45"/>
        <v>641.73653999999999</v>
      </c>
      <c r="AU47" s="273"/>
      <c r="AV47" s="440">
        <f t="shared" ca="1" si="118"/>
        <v>49.46</v>
      </c>
      <c r="AW47" s="440">
        <f t="shared" ca="1" si="118"/>
        <v>14.06</v>
      </c>
      <c r="AX47" s="274">
        <f t="shared" ca="1" si="46"/>
        <v>695.4076</v>
      </c>
      <c r="AY47" s="273"/>
      <c r="AZ47" s="440">
        <f t="shared" ca="1" si="119"/>
        <v>48.31</v>
      </c>
      <c r="BA47" s="440">
        <f t="shared" ca="1" si="119"/>
        <v>14.042</v>
      </c>
      <c r="BB47" s="274">
        <f t="shared" ca="1" si="47"/>
        <v>678.36901999999998</v>
      </c>
      <c r="BC47" s="273"/>
      <c r="BD47" s="440">
        <f t="shared" ca="1" si="120"/>
        <v>45.03</v>
      </c>
      <c r="BE47" s="440">
        <f t="shared" ca="1" si="120"/>
        <v>13.99</v>
      </c>
      <c r="BF47" s="274">
        <f t="shared" ca="1" si="48"/>
        <v>629.96969999999999</v>
      </c>
      <c r="BG47" s="273"/>
      <c r="BH47" s="440">
        <f t="shared" ca="1" si="121"/>
        <v>45.34</v>
      </c>
      <c r="BI47" s="440">
        <f t="shared" ca="1" si="121"/>
        <v>13.993</v>
      </c>
      <c r="BJ47" s="274">
        <f t="shared" ca="1" si="49"/>
        <v>634.44262000000003</v>
      </c>
      <c r="BK47" s="273"/>
      <c r="BL47" s="440">
        <f t="shared" ca="1" si="122"/>
        <v>39.06</v>
      </c>
      <c r="BM47" s="440">
        <f t="shared" ca="1" si="122"/>
        <v>13.984999999999999</v>
      </c>
      <c r="BN47" s="274">
        <f t="shared" ca="1" si="50"/>
        <v>546.25409999999999</v>
      </c>
      <c r="BO47" s="273"/>
      <c r="BP47" s="440">
        <f t="shared" ca="1" si="123"/>
        <v>42.67</v>
      </c>
      <c r="BQ47" s="440">
        <f t="shared" ca="1" si="123"/>
        <v>13.968</v>
      </c>
      <c r="BR47" s="274">
        <f t="shared" ca="1" si="51"/>
        <v>596.01456000000007</v>
      </c>
      <c r="BS47" s="273"/>
      <c r="BT47" s="440">
        <f t="shared" ca="1" si="124"/>
        <v>42.49</v>
      </c>
      <c r="BU47" s="440">
        <f t="shared" ca="1" si="124"/>
        <v>13.917</v>
      </c>
      <c r="BV47" s="274">
        <f t="shared" ca="1" si="52"/>
        <v>591.33333000000005</v>
      </c>
      <c r="BW47" s="273"/>
      <c r="BX47" s="440">
        <f t="shared" ca="1" si="125"/>
        <v>35.880000000000003</v>
      </c>
      <c r="BY47" s="440">
        <f t="shared" ca="1" si="125"/>
        <v>13.922000000000001</v>
      </c>
      <c r="BZ47" s="274">
        <f t="shared" ca="1" si="53"/>
        <v>499.52136000000007</v>
      </c>
      <c r="CA47" s="273"/>
      <c r="CB47" s="440">
        <f t="shared" ca="1" si="126"/>
        <v>36.880000000000003</v>
      </c>
      <c r="CC47" s="440">
        <f t="shared" ca="1" si="126"/>
        <v>13.912000000000001</v>
      </c>
      <c r="CD47" s="274">
        <f t="shared" ca="1" si="54"/>
        <v>513.07456000000002</v>
      </c>
      <c r="CE47" s="273"/>
      <c r="CF47" s="440">
        <f t="shared" ca="1" si="127"/>
        <v>33.020000000000003</v>
      </c>
      <c r="CG47" s="440">
        <f t="shared" ca="1" si="127"/>
        <v>13.9</v>
      </c>
      <c r="CH47" s="274">
        <f t="shared" ca="1" si="55"/>
        <v>458.97800000000007</v>
      </c>
      <c r="CI47" s="273"/>
      <c r="CJ47" s="440">
        <f t="shared" ca="1" si="128"/>
        <v>34.770000000000003</v>
      </c>
      <c r="CK47" s="440">
        <f t="shared" ca="1" si="128"/>
        <v>13.972</v>
      </c>
      <c r="CL47" s="274">
        <f t="shared" ca="1" si="56"/>
        <v>485.80644000000001</v>
      </c>
      <c r="CN47" s="440">
        <f t="shared" ca="1" si="129"/>
        <v>36.67</v>
      </c>
      <c r="CO47" s="440">
        <f t="shared" ca="1" si="129"/>
        <v>13.8</v>
      </c>
      <c r="CP47" s="274">
        <f t="shared" ca="1" si="57"/>
        <v>506.04600000000005</v>
      </c>
      <c r="CR47" s="440">
        <f t="shared" ca="1" si="130"/>
        <v>31.09</v>
      </c>
      <c r="CS47" s="440">
        <f t="shared" ca="1" si="130"/>
        <v>13.8</v>
      </c>
      <c r="CT47" s="274">
        <f t="shared" ca="1" si="58"/>
        <v>429.04200000000003</v>
      </c>
      <c r="CV47" s="440">
        <f t="shared" ca="1" si="131"/>
        <v>33.83</v>
      </c>
      <c r="CW47" s="440">
        <f t="shared" ca="1" si="131"/>
        <v>13.8</v>
      </c>
      <c r="CX47" s="274">
        <f t="shared" ca="1" si="59"/>
        <v>466.85399999999998</v>
      </c>
      <c r="CZ47" s="440">
        <f t="shared" ca="1" si="132"/>
        <v>32.840000000000003</v>
      </c>
      <c r="DA47" s="440">
        <f t="shared" ca="1" si="132"/>
        <v>13.772855</v>
      </c>
      <c r="DB47" s="274">
        <f t="shared" ca="1" si="60"/>
        <v>452.30055820000007</v>
      </c>
      <c r="DD47" s="440">
        <f t="shared" ca="1" si="133"/>
        <v>30.49</v>
      </c>
      <c r="DE47" s="440">
        <f t="shared" ca="1" si="133"/>
        <v>13.776999999999999</v>
      </c>
      <c r="DF47" s="274">
        <f t="shared" ca="1" si="61"/>
        <v>420.06072999999998</v>
      </c>
      <c r="DH47" s="440">
        <f t="shared" ca="1" si="134"/>
        <v>29.27</v>
      </c>
      <c r="DI47" s="440">
        <f t="shared" ca="1" si="134"/>
        <v>13.768000000000001</v>
      </c>
      <c r="DJ47" s="274">
        <f t="shared" ca="1" si="62"/>
        <v>402.98936000000003</v>
      </c>
      <c r="DL47" s="440">
        <f t="shared" ca="1" si="135"/>
        <v>28.88</v>
      </c>
      <c r="DM47" s="440">
        <f t="shared" ca="1" si="135"/>
        <v>13.747999999999999</v>
      </c>
      <c r="DN47" s="274">
        <f t="shared" ca="1" si="63"/>
        <v>397.04223999999999</v>
      </c>
      <c r="DP47" s="440">
        <f t="shared" ca="1" si="136"/>
        <v>28.13</v>
      </c>
      <c r="DQ47" s="440">
        <f t="shared" ca="1" si="136"/>
        <v>12.669</v>
      </c>
      <c r="DR47" s="274">
        <f t="shared" ca="1" si="64"/>
        <v>356.37896999999998</v>
      </c>
      <c r="DT47" s="440">
        <f t="shared" ca="1" si="137"/>
        <v>25.92</v>
      </c>
      <c r="DU47" s="440">
        <f t="shared" ca="1" si="137"/>
        <v>13.707000000000001</v>
      </c>
      <c r="DV47" s="274">
        <f t="shared" ca="1" si="65"/>
        <v>355.28544000000005</v>
      </c>
      <c r="DX47" s="440">
        <f t="shared" ca="1" si="138"/>
        <v>27.22</v>
      </c>
      <c r="DY47" s="440">
        <f t="shared" ca="1" si="138"/>
        <v>12.331</v>
      </c>
      <c r="DZ47" s="274">
        <f t="shared" ca="1" si="66"/>
        <v>335.64981999999998</v>
      </c>
      <c r="EB47" s="440">
        <f t="shared" ca="1" si="139"/>
        <v>26.5</v>
      </c>
      <c r="EC47" s="440">
        <f t="shared" ca="1" si="139"/>
        <v>10.917</v>
      </c>
      <c r="ED47" s="274">
        <f t="shared" ca="1" si="67"/>
        <v>289.3005</v>
      </c>
      <c r="EF47" s="251">
        <f t="shared" ca="1" si="140"/>
        <v>26.83</v>
      </c>
      <c r="EG47" s="251">
        <f t="shared" ca="1" si="140"/>
        <v>10.88</v>
      </c>
      <c r="EH47" s="274">
        <f t="shared" ca="1" si="68"/>
        <v>291.91039999999998</v>
      </c>
      <c r="EJ47" s="251">
        <f t="shared" ca="1" si="141"/>
        <v>28.38</v>
      </c>
      <c r="EK47" s="251">
        <f t="shared" ca="1" si="141"/>
        <v>10.887</v>
      </c>
      <c r="EL47" s="274">
        <f t="shared" ca="1" si="69"/>
        <v>308.97305999999998</v>
      </c>
      <c r="EO47" s="252">
        <f t="shared" ca="1" si="106"/>
        <v>67</v>
      </c>
    </row>
    <row r="48" spans="2:145" s="234" customFormat="1">
      <c r="B48" s="258">
        <f t="shared" ca="1" si="70"/>
        <v>39</v>
      </c>
      <c r="C48" s="249" t="str">
        <f t="shared" ca="1" si="107"/>
        <v>WEC Energy Group, Inc.</v>
      </c>
      <c r="D48" s="236" t="str">
        <f t="shared" ca="1" si="107"/>
        <v>WEC</v>
      </c>
      <c r="E48" s="236">
        <f t="shared" ca="1" si="107"/>
        <v>4009725</v>
      </c>
      <c r="F48" s="250"/>
      <c r="G48" s="273"/>
      <c r="H48" s="440">
        <f t="shared" ca="1" si="108"/>
        <v>88.13</v>
      </c>
      <c r="I48" s="440">
        <f t="shared" ca="1" si="108"/>
        <v>315.39999999999998</v>
      </c>
      <c r="J48" s="274">
        <f t="shared" ca="1" si="36"/>
        <v>27796.201999999997</v>
      </c>
      <c r="K48" s="273"/>
      <c r="L48" s="440">
        <f t="shared" ca="1" si="109"/>
        <v>92.23</v>
      </c>
      <c r="M48" s="440">
        <f t="shared" ca="1" si="109"/>
        <v>315.39999999999998</v>
      </c>
      <c r="N48" s="274">
        <f t="shared" ca="1" si="37"/>
        <v>29089.342000000001</v>
      </c>
      <c r="O48" s="273"/>
      <c r="P48" s="440">
        <f t="shared" ca="1" si="110"/>
        <v>95.1</v>
      </c>
      <c r="Q48" s="440">
        <f t="shared" ca="1" si="110"/>
        <v>315.39999999999998</v>
      </c>
      <c r="R48" s="274">
        <f t="shared" ca="1" si="38"/>
        <v>29994.539999999997</v>
      </c>
      <c r="S48" s="273"/>
      <c r="T48" s="440">
        <f t="shared" ca="1" si="111"/>
        <v>83.37</v>
      </c>
      <c r="U48" s="440">
        <f t="shared" ca="1" si="111"/>
        <v>315.5</v>
      </c>
      <c r="V48" s="274">
        <f t="shared" ca="1" si="39"/>
        <v>26303.235000000001</v>
      </c>
      <c r="W48" s="273"/>
      <c r="X48" s="440">
        <f t="shared" ca="1" si="112"/>
        <v>79.08</v>
      </c>
      <c r="Y48" s="440">
        <f t="shared" ca="1" si="112"/>
        <v>315.5</v>
      </c>
      <c r="Z48" s="274">
        <f t="shared" ca="1" si="40"/>
        <v>24949.739999999998</v>
      </c>
      <c r="AA48" s="273"/>
      <c r="AB48" s="440">
        <f t="shared" ca="1" si="113"/>
        <v>69.260000000000005</v>
      </c>
      <c r="AC48" s="440">
        <f t="shared" ca="1" si="113"/>
        <v>315.5</v>
      </c>
      <c r="AD48" s="274">
        <f t="shared" ca="1" si="41"/>
        <v>21851.530000000002</v>
      </c>
      <c r="AE48" s="273"/>
      <c r="AF48" s="440">
        <f t="shared" ca="1" si="114"/>
        <v>66.760000000000005</v>
      </c>
      <c r="AG48" s="440">
        <f t="shared" ca="1" si="114"/>
        <v>315.5</v>
      </c>
      <c r="AH48" s="274">
        <f t="shared" ca="1" si="42"/>
        <v>21062.780000000002</v>
      </c>
      <c r="AI48" s="273"/>
      <c r="AJ48" s="440">
        <f t="shared" ca="1" si="115"/>
        <v>64.650000000000006</v>
      </c>
      <c r="AK48" s="440">
        <f t="shared" ca="1" si="115"/>
        <v>315.5</v>
      </c>
      <c r="AL48" s="274">
        <f t="shared" ca="1" si="43"/>
        <v>20397.075000000001</v>
      </c>
      <c r="AM48" s="273"/>
      <c r="AN48" s="440">
        <f t="shared" ca="1" si="116"/>
        <v>62.7</v>
      </c>
      <c r="AO48" s="440">
        <f t="shared" ca="1" si="116"/>
        <v>315.60000000000002</v>
      </c>
      <c r="AP48" s="274">
        <f t="shared" ca="1" si="44"/>
        <v>19788.120000000003</v>
      </c>
      <c r="AQ48" s="273"/>
      <c r="AR48" s="440">
        <f t="shared" ca="1" si="117"/>
        <v>66.430000000000007</v>
      </c>
      <c r="AS48" s="440">
        <f t="shared" ca="1" si="117"/>
        <v>315.60000000000002</v>
      </c>
      <c r="AT48" s="274">
        <f t="shared" ca="1" si="45"/>
        <v>20965.308000000005</v>
      </c>
      <c r="AU48" s="273"/>
      <c r="AV48" s="440">
        <f t="shared" ca="1" si="118"/>
        <v>62.78</v>
      </c>
      <c r="AW48" s="440">
        <f t="shared" ca="1" si="118"/>
        <v>315.60000000000002</v>
      </c>
      <c r="AX48" s="274">
        <f t="shared" ca="1" si="46"/>
        <v>19813.368000000002</v>
      </c>
      <c r="AY48" s="273"/>
      <c r="AZ48" s="440">
        <f t="shared" ca="1" si="119"/>
        <v>61.38</v>
      </c>
      <c r="BA48" s="440">
        <f t="shared" ca="1" si="119"/>
        <v>315.60000000000002</v>
      </c>
      <c r="BB48" s="274">
        <f t="shared" ca="1" si="47"/>
        <v>19371.528000000002</v>
      </c>
      <c r="BC48" s="273"/>
      <c r="BD48" s="440">
        <f t="shared" ca="1" si="120"/>
        <v>60.63</v>
      </c>
      <c r="BE48" s="440">
        <f t="shared" ca="1" si="120"/>
        <v>315.60000000000002</v>
      </c>
      <c r="BF48" s="274">
        <f t="shared" ca="1" si="48"/>
        <v>19134.828000000001</v>
      </c>
      <c r="BG48" s="273"/>
      <c r="BH48" s="440">
        <f t="shared" ca="1" si="121"/>
        <v>58.65</v>
      </c>
      <c r="BI48" s="440">
        <f t="shared" ca="1" si="121"/>
        <v>315.60000000000002</v>
      </c>
      <c r="BJ48" s="274">
        <f t="shared" ca="1" si="49"/>
        <v>18509.940000000002</v>
      </c>
      <c r="BK48" s="273"/>
      <c r="BL48" s="440">
        <f t="shared" ca="1" si="122"/>
        <v>59.88</v>
      </c>
      <c r="BM48" s="440">
        <f t="shared" ca="1" si="122"/>
        <v>315.60000000000002</v>
      </c>
      <c r="BN48" s="274">
        <f t="shared" ca="1" si="50"/>
        <v>18898.128000000001</v>
      </c>
      <c r="BO48" s="273"/>
      <c r="BP48" s="440">
        <f t="shared" ca="1" si="123"/>
        <v>65.3</v>
      </c>
      <c r="BQ48" s="440">
        <f t="shared" ca="1" si="123"/>
        <v>315.7</v>
      </c>
      <c r="BR48" s="274">
        <f t="shared" ca="1" si="51"/>
        <v>20615.21</v>
      </c>
      <c r="BS48" s="273"/>
      <c r="BT48" s="440">
        <f t="shared" ca="1" si="124"/>
        <v>60.07</v>
      </c>
      <c r="BU48" s="440">
        <f t="shared" ca="1" si="124"/>
        <v>271.10000000000002</v>
      </c>
      <c r="BV48" s="274">
        <f t="shared" ca="1" si="52"/>
        <v>16284.977000000001</v>
      </c>
      <c r="BW48" s="273"/>
      <c r="BX48" s="440">
        <f t="shared" ca="1" si="125"/>
        <v>51.31</v>
      </c>
      <c r="BY48" s="440">
        <f t="shared" ca="1" si="125"/>
        <v>315.7</v>
      </c>
      <c r="BZ48" s="274">
        <f t="shared" ca="1" si="53"/>
        <v>16198.567000000001</v>
      </c>
      <c r="CA48" s="273"/>
      <c r="CB48" s="440">
        <f t="shared" ca="1" si="126"/>
        <v>52.22</v>
      </c>
      <c r="CC48" s="440">
        <f t="shared" ca="1" si="126"/>
        <v>227.5</v>
      </c>
      <c r="CD48" s="274">
        <f t="shared" ca="1" si="54"/>
        <v>11880.05</v>
      </c>
      <c r="CE48" s="273"/>
      <c r="CF48" s="440">
        <f t="shared" ca="1" si="127"/>
        <v>44.97</v>
      </c>
      <c r="CG48" s="440">
        <f t="shared" ca="1" si="127"/>
        <v>225.5</v>
      </c>
      <c r="CH48" s="274">
        <f t="shared" ca="1" si="55"/>
        <v>10140.735000000001</v>
      </c>
      <c r="CI48" s="273"/>
      <c r="CJ48" s="440">
        <f t="shared" ca="1" si="128"/>
        <v>49.5</v>
      </c>
      <c r="CK48" s="440">
        <f t="shared" ca="1" si="128"/>
        <v>225.5</v>
      </c>
      <c r="CL48" s="274">
        <f t="shared" ca="1" si="56"/>
        <v>11162.25</v>
      </c>
      <c r="CN48" s="440">
        <f t="shared" ca="1" si="129"/>
        <v>52.74</v>
      </c>
      <c r="CO48" s="440">
        <f t="shared" ca="1" si="129"/>
        <v>225.5</v>
      </c>
      <c r="CP48" s="274">
        <f t="shared" ca="1" si="57"/>
        <v>11892.87</v>
      </c>
      <c r="CR48" s="440">
        <f t="shared" ca="1" si="130"/>
        <v>43</v>
      </c>
      <c r="CS48" s="440">
        <f t="shared" ca="1" si="130"/>
        <v>225.5</v>
      </c>
      <c r="CT48" s="274">
        <f t="shared" ca="1" si="58"/>
        <v>9696.5</v>
      </c>
      <c r="CV48" s="440">
        <f t="shared" ca="1" si="131"/>
        <v>46.92</v>
      </c>
      <c r="CW48" s="440">
        <f t="shared" ca="1" si="131"/>
        <v>225.8</v>
      </c>
      <c r="CX48" s="274">
        <f t="shared" ca="1" si="59"/>
        <v>10594.536</v>
      </c>
      <c r="CZ48" s="440">
        <f t="shared" ca="1" si="132"/>
        <v>46.55</v>
      </c>
      <c r="DA48" s="440">
        <f t="shared" ca="1" si="132"/>
        <v>227.6</v>
      </c>
      <c r="DB48" s="274">
        <f t="shared" ca="1" si="60"/>
        <v>10594.779999999999</v>
      </c>
      <c r="DD48" s="440">
        <f t="shared" ca="1" si="133"/>
        <v>41.34</v>
      </c>
      <c r="DE48" s="440">
        <f t="shared" ca="1" si="133"/>
        <v>226.8</v>
      </c>
      <c r="DF48" s="274">
        <f t="shared" ca="1" si="61"/>
        <v>9375.9120000000021</v>
      </c>
      <c r="DH48" s="440">
        <f t="shared" ca="1" si="134"/>
        <v>40.380000000000003</v>
      </c>
      <c r="DI48" s="440">
        <f t="shared" ca="1" si="134"/>
        <v>228.4</v>
      </c>
      <c r="DJ48" s="274">
        <f t="shared" ca="1" si="62"/>
        <v>9222.7920000000013</v>
      </c>
      <c r="DL48" s="440">
        <f t="shared" ca="1" si="135"/>
        <v>40.99</v>
      </c>
      <c r="DM48" s="440">
        <f t="shared" ca="1" si="135"/>
        <v>228.9</v>
      </c>
      <c r="DN48" s="274">
        <f t="shared" ca="1" si="63"/>
        <v>9382.6110000000008</v>
      </c>
      <c r="DP48" s="440">
        <f t="shared" ca="1" si="136"/>
        <v>42.89</v>
      </c>
      <c r="DQ48" s="440">
        <f t="shared" ca="1" si="136"/>
        <v>230.2</v>
      </c>
      <c r="DR48" s="274">
        <f t="shared" ca="1" si="64"/>
        <v>9873.2780000000002</v>
      </c>
      <c r="DT48" s="440">
        <f t="shared" ca="1" si="137"/>
        <v>36.85</v>
      </c>
      <c r="DU48" s="440">
        <f t="shared" ca="1" si="137"/>
        <v>230.4</v>
      </c>
      <c r="DV48" s="274">
        <f t="shared" ca="1" si="65"/>
        <v>8490.24</v>
      </c>
      <c r="DX48" s="440">
        <f t="shared" ca="1" si="138"/>
        <v>37.67</v>
      </c>
      <c r="DY48" s="440">
        <f t="shared" ca="1" si="138"/>
        <v>230.4</v>
      </c>
      <c r="DZ48" s="274">
        <f t="shared" ca="1" si="66"/>
        <v>8679.1680000000015</v>
      </c>
      <c r="EB48" s="440">
        <f t="shared" ca="1" si="139"/>
        <v>39.57</v>
      </c>
      <c r="EC48" s="440">
        <f t="shared" ca="1" si="139"/>
        <v>230.5</v>
      </c>
      <c r="ED48" s="274">
        <f t="shared" ca="1" si="67"/>
        <v>9120.8850000000002</v>
      </c>
      <c r="EF48" s="251">
        <f t="shared" ca="1" si="140"/>
        <v>35.21</v>
      </c>
      <c r="EG48" s="251">
        <f t="shared" ca="1" si="140"/>
        <v>232.6</v>
      </c>
      <c r="EH48" s="274">
        <f t="shared" ca="1" si="68"/>
        <v>8189.8459999999995</v>
      </c>
      <c r="EJ48" s="251">
        <f t="shared" ca="1" si="141"/>
        <v>34.979999999999997</v>
      </c>
      <c r="EK48" s="251">
        <f t="shared" ca="1" si="141"/>
        <v>232.2</v>
      </c>
      <c r="EL48" s="274">
        <f t="shared" ca="1" si="69"/>
        <v>8122.3559999999989</v>
      </c>
      <c r="EO48" s="252">
        <f t="shared" ca="1" si="106"/>
        <v>110</v>
      </c>
    </row>
    <row r="49" spans="1:192" s="234" customFormat="1">
      <c r="B49" s="258">
        <f t="shared" ca="1" si="70"/>
        <v>40</v>
      </c>
      <c r="C49" s="249" t="str">
        <f t="shared" ca="1" si="107"/>
        <v>Xcel Energy Inc.</v>
      </c>
      <c r="D49" s="236" t="str">
        <f t="shared" ca="1" si="107"/>
        <v>XEL</v>
      </c>
      <c r="E49" s="236">
        <f t="shared" ca="1" si="107"/>
        <v>4025308</v>
      </c>
      <c r="F49" s="250"/>
      <c r="G49" s="273"/>
      <c r="H49" s="440">
        <f t="shared" ca="1" si="108"/>
        <v>60.3</v>
      </c>
      <c r="I49" s="440">
        <f t="shared" ca="1" si="108"/>
        <v>519</v>
      </c>
      <c r="J49" s="274">
        <f t="shared" ca="1" si="36"/>
        <v>31295.699999999997</v>
      </c>
      <c r="K49" s="273"/>
      <c r="L49" s="440">
        <f t="shared" ca="1" si="109"/>
        <v>63.49</v>
      </c>
      <c r="M49" s="440">
        <f t="shared" ca="1" si="109"/>
        <v>519</v>
      </c>
      <c r="N49" s="274">
        <f t="shared" ca="1" si="37"/>
        <v>32951.31</v>
      </c>
      <c r="O49" s="273"/>
      <c r="P49" s="440">
        <f t="shared" ca="1" si="110"/>
        <v>64.89</v>
      </c>
      <c r="Q49" s="440">
        <f t="shared" ca="1" si="110"/>
        <v>516</v>
      </c>
      <c r="R49" s="274">
        <f t="shared" ca="1" si="38"/>
        <v>33483.24</v>
      </c>
      <c r="S49" s="273"/>
      <c r="T49" s="440">
        <f t="shared" ca="1" si="111"/>
        <v>59.49</v>
      </c>
      <c r="U49" s="440">
        <f t="shared" ca="1" si="111"/>
        <v>515</v>
      </c>
      <c r="V49" s="274">
        <f t="shared" ca="1" si="39"/>
        <v>30637.350000000002</v>
      </c>
      <c r="W49" s="273"/>
      <c r="X49" s="440">
        <f t="shared" ca="1" si="112"/>
        <v>56.21</v>
      </c>
      <c r="Y49" s="440">
        <f t="shared" ca="1" si="112"/>
        <v>511</v>
      </c>
      <c r="Z49" s="274">
        <f t="shared" ca="1" si="40"/>
        <v>28723.31</v>
      </c>
      <c r="AA49" s="273"/>
      <c r="AB49" s="440">
        <f t="shared" ca="1" si="113"/>
        <v>49.27</v>
      </c>
      <c r="AC49" s="440">
        <f t="shared" ca="1" si="113"/>
        <v>510</v>
      </c>
      <c r="AD49" s="274">
        <f t="shared" ca="1" si="41"/>
        <v>25127.7</v>
      </c>
      <c r="AE49" s="273"/>
      <c r="AF49" s="440">
        <f t="shared" ca="1" si="114"/>
        <v>47.21</v>
      </c>
      <c r="AG49" s="440">
        <f t="shared" ca="1" si="114"/>
        <v>510</v>
      </c>
      <c r="AH49" s="274">
        <f t="shared" ca="1" si="42"/>
        <v>24077.100000000002</v>
      </c>
      <c r="AI49" s="273"/>
      <c r="AJ49" s="440">
        <f t="shared" ca="1" si="115"/>
        <v>45.68</v>
      </c>
      <c r="AK49" s="440">
        <f t="shared" ca="1" si="115"/>
        <v>509</v>
      </c>
      <c r="AL49" s="274">
        <f t="shared" ca="1" si="43"/>
        <v>23251.119999999999</v>
      </c>
      <c r="AM49" s="273"/>
      <c r="AN49" s="440">
        <f t="shared" ca="1" si="116"/>
        <v>45.48</v>
      </c>
      <c r="AO49" s="440">
        <f t="shared" ca="1" si="116"/>
        <v>509</v>
      </c>
      <c r="AP49" s="274">
        <f t="shared" ca="1" si="44"/>
        <v>23149.32</v>
      </c>
      <c r="AQ49" s="273"/>
      <c r="AR49" s="440">
        <f t="shared" ca="1" si="117"/>
        <v>48.11</v>
      </c>
      <c r="AS49" s="440">
        <f t="shared" ca="1" si="117"/>
        <v>508.58100000000002</v>
      </c>
      <c r="AT49" s="274">
        <f t="shared" ca="1" si="45"/>
        <v>24467.831910000001</v>
      </c>
      <c r="AU49" s="273"/>
      <c r="AV49" s="440">
        <f t="shared" ca="1" si="118"/>
        <v>47.32</v>
      </c>
      <c r="AW49" s="440">
        <f t="shared" ca="1" si="118"/>
        <v>508.54199999999997</v>
      </c>
      <c r="AX49" s="274">
        <f t="shared" ca="1" si="46"/>
        <v>24064.207439999998</v>
      </c>
      <c r="AY49" s="273"/>
      <c r="AZ49" s="440">
        <f t="shared" ca="1" si="119"/>
        <v>45.88</v>
      </c>
      <c r="BA49" s="440">
        <f t="shared" ca="1" si="119"/>
        <v>508.27800000000002</v>
      </c>
      <c r="BB49" s="274">
        <f t="shared" ca="1" si="47"/>
        <v>23319.794640000004</v>
      </c>
      <c r="BC49" s="273"/>
      <c r="BD49" s="440">
        <f t="shared" ca="1" si="120"/>
        <v>44.45</v>
      </c>
      <c r="BE49" s="440">
        <f t="shared" ca="1" si="120"/>
        <v>508.79399999999998</v>
      </c>
      <c r="BF49" s="274">
        <f t="shared" ca="1" si="48"/>
        <v>22615.8933</v>
      </c>
      <c r="BG49" s="273"/>
      <c r="BH49" s="440">
        <f t="shared" ca="1" si="121"/>
        <v>40.700000000000003</v>
      </c>
      <c r="BI49" s="440">
        <f t="shared" ca="1" si="121"/>
        <v>508.94099999999997</v>
      </c>
      <c r="BJ49" s="274">
        <f t="shared" ca="1" si="49"/>
        <v>20713.898700000002</v>
      </c>
      <c r="BK49" s="273"/>
      <c r="BL49" s="440">
        <f t="shared" ca="1" si="122"/>
        <v>41.14</v>
      </c>
      <c r="BM49" s="440">
        <f t="shared" ca="1" si="122"/>
        <v>508.93</v>
      </c>
      <c r="BN49" s="274">
        <f t="shared" ca="1" si="50"/>
        <v>20937.3802</v>
      </c>
      <c r="BO49" s="273"/>
      <c r="BP49" s="440">
        <f t="shared" ca="1" si="123"/>
        <v>44.78</v>
      </c>
      <c r="BQ49" s="440">
        <f t="shared" ca="1" si="123"/>
        <v>508.66699999999997</v>
      </c>
      <c r="BR49" s="274">
        <f t="shared" ca="1" si="51"/>
        <v>22778.108260000001</v>
      </c>
      <c r="BS49" s="273"/>
      <c r="BT49" s="440">
        <f t="shared" ca="1" si="124"/>
        <v>41.82</v>
      </c>
      <c r="BU49" s="440">
        <f t="shared" ca="1" si="124"/>
        <v>507.76799999999997</v>
      </c>
      <c r="BV49" s="274">
        <f t="shared" ca="1" si="52"/>
        <v>21234.857759999999</v>
      </c>
      <c r="BW49" s="273"/>
      <c r="BX49" s="440">
        <f t="shared" ca="1" si="125"/>
        <v>35.909999999999997</v>
      </c>
      <c r="BY49" s="440">
        <f t="shared" ca="1" si="125"/>
        <v>508.03100000000001</v>
      </c>
      <c r="BZ49" s="274">
        <f t="shared" ca="1" si="53"/>
        <v>18243.393209999998</v>
      </c>
      <c r="CA49" s="273"/>
      <c r="CB49" s="440">
        <f t="shared" ca="1" si="126"/>
        <v>35.409999999999997</v>
      </c>
      <c r="CC49" s="440">
        <f t="shared" ca="1" si="126"/>
        <v>507.70699999999999</v>
      </c>
      <c r="CD49" s="274">
        <f t="shared" ca="1" si="54"/>
        <v>17977.904869999998</v>
      </c>
      <c r="CE49" s="273"/>
      <c r="CF49" s="440">
        <f t="shared" ca="1" si="127"/>
        <v>32.18</v>
      </c>
      <c r="CG49" s="440">
        <f t="shared" ca="1" si="127"/>
        <v>506.983</v>
      </c>
      <c r="CH49" s="274">
        <f t="shared" ca="1" si="55"/>
        <v>16314.712939999999</v>
      </c>
      <c r="CI49" s="273"/>
      <c r="CJ49" s="440">
        <f t="shared" ca="1" si="128"/>
        <v>34.81</v>
      </c>
      <c r="CK49" s="440">
        <f t="shared" ca="1" si="128"/>
        <v>506.411</v>
      </c>
      <c r="CL49" s="274">
        <f t="shared" ca="1" si="56"/>
        <v>17628.16691</v>
      </c>
      <c r="CN49" s="440">
        <f t="shared" ca="1" si="129"/>
        <v>35.92</v>
      </c>
      <c r="CO49" s="440">
        <f t="shared" ca="1" si="129"/>
        <v>506.08199999999999</v>
      </c>
      <c r="CP49" s="274">
        <f t="shared" ca="1" si="57"/>
        <v>18178.46544</v>
      </c>
      <c r="CR49" s="440">
        <f t="shared" ca="1" si="130"/>
        <v>30.4</v>
      </c>
      <c r="CS49" s="440">
        <f t="shared" ca="1" si="130"/>
        <v>503.27199999999999</v>
      </c>
      <c r="CT49" s="274">
        <f t="shared" ca="1" si="58"/>
        <v>15299.468799999999</v>
      </c>
      <c r="CV49" s="440">
        <f t="shared" ca="1" si="131"/>
        <v>32.229999999999997</v>
      </c>
      <c r="CW49" s="440">
        <f t="shared" ca="1" si="131"/>
        <v>499.52300000000002</v>
      </c>
      <c r="CX49" s="274">
        <f t="shared" ca="1" si="59"/>
        <v>16099.626289999998</v>
      </c>
      <c r="CZ49" s="440">
        <f t="shared" ca="1" si="132"/>
        <v>30.36</v>
      </c>
      <c r="DA49" s="440">
        <f t="shared" ca="1" si="132"/>
        <v>496.07299999999998</v>
      </c>
      <c r="DB49" s="274">
        <f t="shared" ca="1" si="60"/>
        <v>15060.776279999998</v>
      </c>
      <c r="DD49" s="440">
        <f t="shared" ca="1" si="133"/>
        <v>27.94</v>
      </c>
      <c r="DE49" s="440">
        <f t="shared" ca="1" si="133"/>
        <v>498.149</v>
      </c>
      <c r="DF49" s="274">
        <f t="shared" ca="1" si="61"/>
        <v>13918.283060000002</v>
      </c>
      <c r="DH49" s="440">
        <f t="shared" ca="1" si="134"/>
        <v>27.61</v>
      </c>
      <c r="DI49" s="440">
        <f t="shared" ca="1" si="134"/>
        <v>497.74700000000001</v>
      </c>
      <c r="DJ49" s="274">
        <f t="shared" ca="1" si="62"/>
        <v>13742.794669999999</v>
      </c>
      <c r="DL49" s="440">
        <f t="shared" ca="1" si="135"/>
        <v>28.34</v>
      </c>
      <c r="DM49" s="440">
        <f t="shared" ca="1" si="135"/>
        <v>489.78100000000001</v>
      </c>
      <c r="DN49" s="274">
        <f t="shared" ca="1" si="63"/>
        <v>13880.393540000001</v>
      </c>
      <c r="DP49" s="440">
        <f t="shared" ca="1" si="136"/>
        <v>29.7</v>
      </c>
      <c r="DQ49" s="440">
        <f t="shared" ca="1" si="136"/>
        <v>487.899</v>
      </c>
      <c r="DR49" s="274">
        <f t="shared" ca="1" si="64"/>
        <v>14490.6003</v>
      </c>
      <c r="DT49" s="440">
        <f t="shared" ca="1" si="137"/>
        <v>26.71</v>
      </c>
      <c r="DU49" s="440">
        <f t="shared" ca="1" si="137"/>
        <v>488.084</v>
      </c>
      <c r="DV49" s="274">
        <f t="shared" ca="1" si="65"/>
        <v>13036.72364</v>
      </c>
      <c r="DX49" s="440">
        <f t="shared" ca="1" si="138"/>
        <v>27.71</v>
      </c>
      <c r="DY49" s="440">
        <f t="shared" ca="1" si="138"/>
        <v>487.71699999999998</v>
      </c>
      <c r="DZ49" s="274">
        <f t="shared" ca="1" si="66"/>
        <v>13514.638070000001</v>
      </c>
      <c r="EB49" s="440">
        <f t="shared" ca="1" si="139"/>
        <v>28.41</v>
      </c>
      <c r="EC49" s="440">
        <f t="shared" ca="1" si="139"/>
        <v>487.36</v>
      </c>
      <c r="ED49" s="274">
        <f t="shared" ca="1" si="67"/>
        <v>13845.8976</v>
      </c>
      <c r="EF49" s="251">
        <f t="shared" ca="1" si="140"/>
        <v>26.47</v>
      </c>
      <c r="EG49" s="251">
        <f t="shared" ca="1" si="140"/>
        <v>485.03899999999999</v>
      </c>
      <c r="EH49" s="274">
        <f t="shared" ca="1" si="68"/>
        <v>12838.982329999999</v>
      </c>
      <c r="EJ49" s="251">
        <f t="shared" ca="1" si="141"/>
        <v>27.64</v>
      </c>
      <c r="EK49" s="251">
        <f t="shared" ca="1" si="141"/>
        <v>485.34399999999999</v>
      </c>
      <c r="EL49" s="274">
        <f t="shared" ca="1" si="69"/>
        <v>13414.908160000001</v>
      </c>
      <c r="EO49" s="252">
        <f t="shared" ca="1" si="106"/>
        <v>92</v>
      </c>
    </row>
    <row r="50" spans="1:192" s="234" customFormat="1">
      <c r="B50" s="258">
        <f t="shared" ca="1" si="70"/>
        <v>41</v>
      </c>
      <c r="C50" s="249">
        <f t="shared" ca="1" si="107"/>
        <v>0</v>
      </c>
      <c r="D50" s="236">
        <f t="shared" ca="1" si="107"/>
        <v>0</v>
      </c>
      <c r="E50" s="236">
        <f t="shared" ca="1" si="107"/>
        <v>0</v>
      </c>
      <c r="F50" s="250"/>
      <c r="G50" s="273"/>
      <c r="H50" s="440" t="e">
        <f t="shared" ca="1" si="108"/>
        <v>#N/A</v>
      </c>
      <c r="I50" s="440" t="e">
        <f t="shared" ca="1" si="108"/>
        <v>#N/A</v>
      </c>
      <c r="J50" s="274" t="e">
        <f t="shared" ca="1" si="36"/>
        <v>#N/A</v>
      </c>
      <c r="K50" s="273"/>
      <c r="L50" s="440" t="e">
        <f t="shared" ca="1" si="109"/>
        <v>#N/A</v>
      </c>
      <c r="M50" s="440" t="e">
        <f t="shared" ca="1" si="109"/>
        <v>#N/A</v>
      </c>
      <c r="N50" s="274" t="e">
        <f t="shared" ca="1" si="37"/>
        <v>#N/A</v>
      </c>
      <c r="O50" s="273"/>
      <c r="P50" s="440" t="e">
        <f t="shared" ca="1" si="110"/>
        <v>#N/A</v>
      </c>
      <c r="Q50" s="440" t="e">
        <f t="shared" ca="1" si="110"/>
        <v>#N/A</v>
      </c>
      <c r="R50" s="274" t="e">
        <f t="shared" ca="1" si="38"/>
        <v>#N/A</v>
      </c>
      <c r="S50" s="273"/>
      <c r="T50" s="440" t="e">
        <f t="shared" ca="1" si="111"/>
        <v>#N/A</v>
      </c>
      <c r="U50" s="440" t="e">
        <f t="shared" ca="1" si="111"/>
        <v>#N/A</v>
      </c>
      <c r="V50" s="274" t="e">
        <f t="shared" ca="1" si="39"/>
        <v>#N/A</v>
      </c>
      <c r="W50" s="273"/>
      <c r="X50" s="440" t="e">
        <f t="shared" ca="1" si="112"/>
        <v>#N/A</v>
      </c>
      <c r="Y50" s="440" t="e">
        <f t="shared" ca="1" si="112"/>
        <v>#N/A</v>
      </c>
      <c r="Z50" s="274" t="e">
        <f t="shared" ca="1" si="40"/>
        <v>#N/A</v>
      </c>
      <c r="AA50" s="273"/>
      <c r="AB50" s="440" t="e">
        <f t="shared" ca="1" si="113"/>
        <v>#N/A</v>
      </c>
      <c r="AC50" s="440" t="e">
        <f t="shared" ca="1" si="113"/>
        <v>#N/A</v>
      </c>
      <c r="AD50" s="274" t="e">
        <f t="shared" ca="1" si="41"/>
        <v>#N/A</v>
      </c>
      <c r="AE50" s="273"/>
      <c r="AF50" s="440" t="e">
        <f t="shared" ca="1" si="114"/>
        <v>#N/A</v>
      </c>
      <c r="AG50" s="440" t="e">
        <f t="shared" ca="1" si="114"/>
        <v>#N/A</v>
      </c>
      <c r="AH50" s="274" t="e">
        <f t="shared" ca="1" si="42"/>
        <v>#N/A</v>
      </c>
      <c r="AI50" s="273"/>
      <c r="AJ50" s="440" t="e">
        <f t="shared" ca="1" si="115"/>
        <v>#N/A</v>
      </c>
      <c r="AK50" s="440" t="e">
        <f t="shared" ca="1" si="115"/>
        <v>#N/A</v>
      </c>
      <c r="AL50" s="274" t="e">
        <f t="shared" ca="1" si="43"/>
        <v>#N/A</v>
      </c>
      <c r="AM50" s="273"/>
      <c r="AN50" s="440" t="e">
        <f t="shared" ca="1" si="116"/>
        <v>#N/A</v>
      </c>
      <c r="AO50" s="440" t="e">
        <f t="shared" ca="1" si="116"/>
        <v>#N/A</v>
      </c>
      <c r="AP50" s="274" t="e">
        <f t="shared" ca="1" si="44"/>
        <v>#N/A</v>
      </c>
      <c r="AQ50" s="273"/>
      <c r="AR50" s="440" t="e">
        <f t="shared" ca="1" si="117"/>
        <v>#N/A</v>
      </c>
      <c r="AS50" s="440" t="e">
        <f t="shared" ca="1" si="117"/>
        <v>#N/A</v>
      </c>
      <c r="AT50" s="274" t="e">
        <f t="shared" ca="1" si="45"/>
        <v>#N/A</v>
      </c>
      <c r="AU50" s="273"/>
      <c r="AV50" s="440" t="e">
        <f t="shared" ca="1" si="118"/>
        <v>#N/A</v>
      </c>
      <c r="AW50" s="440" t="e">
        <f t="shared" ca="1" si="118"/>
        <v>#N/A</v>
      </c>
      <c r="AX50" s="274" t="e">
        <f t="shared" ca="1" si="46"/>
        <v>#N/A</v>
      </c>
      <c r="AY50" s="273"/>
      <c r="AZ50" s="440" t="e">
        <f t="shared" ca="1" si="119"/>
        <v>#N/A</v>
      </c>
      <c r="BA50" s="440" t="e">
        <f t="shared" ca="1" si="119"/>
        <v>#N/A</v>
      </c>
      <c r="BB50" s="274" t="e">
        <f t="shared" ca="1" si="47"/>
        <v>#N/A</v>
      </c>
      <c r="BC50" s="273"/>
      <c r="BD50" s="440" t="e">
        <f t="shared" ca="1" si="120"/>
        <v>#N/A</v>
      </c>
      <c r="BE50" s="440" t="e">
        <f t="shared" ca="1" si="120"/>
        <v>#N/A</v>
      </c>
      <c r="BF50" s="274" t="e">
        <f t="shared" ca="1" si="48"/>
        <v>#N/A</v>
      </c>
      <c r="BG50" s="273"/>
      <c r="BH50" s="440" t="e">
        <f t="shared" ca="1" si="121"/>
        <v>#N/A</v>
      </c>
      <c r="BI50" s="440" t="e">
        <f t="shared" ca="1" si="121"/>
        <v>#N/A</v>
      </c>
      <c r="BJ50" s="274" t="e">
        <f t="shared" ca="1" si="49"/>
        <v>#N/A</v>
      </c>
      <c r="BK50" s="273"/>
      <c r="BL50" s="440" t="e">
        <f t="shared" ca="1" si="122"/>
        <v>#N/A</v>
      </c>
      <c r="BM50" s="440" t="e">
        <f t="shared" ca="1" si="122"/>
        <v>#N/A</v>
      </c>
      <c r="BN50" s="274" t="e">
        <f t="shared" ca="1" si="50"/>
        <v>#N/A</v>
      </c>
      <c r="BO50" s="273"/>
      <c r="BP50" s="440" t="e">
        <f t="shared" ca="1" si="123"/>
        <v>#N/A</v>
      </c>
      <c r="BQ50" s="440" t="e">
        <f t="shared" ca="1" si="123"/>
        <v>#N/A</v>
      </c>
      <c r="BR50" s="274" t="e">
        <f t="shared" ca="1" si="51"/>
        <v>#N/A</v>
      </c>
      <c r="BS50" s="273"/>
      <c r="BT50" s="440" t="e">
        <f t="shared" ca="1" si="124"/>
        <v>#N/A</v>
      </c>
      <c r="BU50" s="440" t="e">
        <f t="shared" ca="1" si="124"/>
        <v>#N/A</v>
      </c>
      <c r="BV50" s="274" t="e">
        <f t="shared" ca="1" si="52"/>
        <v>#N/A</v>
      </c>
      <c r="BW50" s="273"/>
      <c r="BX50" s="440" t="e">
        <f t="shared" ca="1" si="125"/>
        <v>#N/A</v>
      </c>
      <c r="BY50" s="440" t="e">
        <f t="shared" ca="1" si="125"/>
        <v>#N/A</v>
      </c>
      <c r="BZ50" s="274" t="e">
        <f t="shared" ca="1" si="53"/>
        <v>#N/A</v>
      </c>
      <c r="CA50" s="273"/>
      <c r="CB50" s="440" t="e">
        <f t="shared" ca="1" si="126"/>
        <v>#N/A</v>
      </c>
      <c r="CC50" s="440" t="e">
        <f t="shared" ca="1" si="126"/>
        <v>#N/A</v>
      </c>
      <c r="CD50" s="274" t="e">
        <f t="shared" ca="1" si="54"/>
        <v>#N/A</v>
      </c>
      <c r="CE50" s="273"/>
      <c r="CF50" s="440" t="e">
        <f t="shared" ca="1" si="127"/>
        <v>#N/A</v>
      </c>
      <c r="CG50" s="440" t="e">
        <f t="shared" ca="1" si="127"/>
        <v>#N/A</v>
      </c>
      <c r="CH50" s="274" t="e">
        <f t="shared" ca="1" si="55"/>
        <v>#N/A</v>
      </c>
      <c r="CI50" s="273"/>
      <c r="CJ50" s="440" t="e">
        <f t="shared" ca="1" si="128"/>
        <v>#N/A</v>
      </c>
      <c r="CK50" s="440" t="e">
        <f t="shared" ca="1" si="128"/>
        <v>#N/A</v>
      </c>
      <c r="CL50" s="274" t="e">
        <f t="shared" ca="1" si="56"/>
        <v>#N/A</v>
      </c>
      <c r="CN50" s="440" t="e">
        <f t="shared" ca="1" si="129"/>
        <v>#N/A</v>
      </c>
      <c r="CO50" s="440" t="e">
        <f t="shared" ca="1" si="129"/>
        <v>#N/A</v>
      </c>
      <c r="CP50" s="274" t="e">
        <f t="shared" ca="1" si="57"/>
        <v>#N/A</v>
      </c>
      <c r="CR50" s="440" t="e">
        <f t="shared" ca="1" si="130"/>
        <v>#N/A</v>
      </c>
      <c r="CS50" s="440" t="e">
        <f t="shared" ca="1" si="130"/>
        <v>#N/A</v>
      </c>
      <c r="CT50" s="274" t="e">
        <f t="shared" ca="1" si="58"/>
        <v>#N/A</v>
      </c>
      <c r="CV50" s="440" t="e">
        <f t="shared" ca="1" si="131"/>
        <v>#N/A</v>
      </c>
      <c r="CW50" s="440" t="e">
        <f t="shared" ca="1" si="131"/>
        <v>#N/A</v>
      </c>
      <c r="CX50" s="274" t="e">
        <f t="shared" ca="1" si="59"/>
        <v>#N/A</v>
      </c>
      <c r="CZ50" s="440" t="e">
        <f t="shared" ca="1" si="132"/>
        <v>#N/A</v>
      </c>
      <c r="DA50" s="440" t="e">
        <f t="shared" ca="1" si="132"/>
        <v>#N/A</v>
      </c>
      <c r="DB50" s="274" t="e">
        <f t="shared" ca="1" si="60"/>
        <v>#N/A</v>
      </c>
      <c r="DD50" s="440" t="e">
        <f t="shared" ca="1" si="133"/>
        <v>#N/A</v>
      </c>
      <c r="DE50" s="440" t="e">
        <f t="shared" ca="1" si="133"/>
        <v>#N/A</v>
      </c>
      <c r="DF50" s="274" t="e">
        <f t="shared" ca="1" si="61"/>
        <v>#N/A</v>
      </c>
      <c r="DH50" s="440" t="e">
        <f t="shared" ca="1" si="134"/>
        <v>#N/A</v>
      </c>
      <c r="DI50" s="440" t="e">
        <f t="shared" ca="1" si="134"/>
        <v>#N/A</v>
      </c>
      <c r="DJ50" s="274" t="e">
        <f t="shared" ca="1" si="62"/>
        <v>#N/A</v>
      </c>
      <c r="DL50" s="440" t="e">
        <f t="shared" ca="1" si="135"/>
        <v>#N/A</v>
      </c>
      <c r="DM50" s="440" t="e">
        <f t="shared" ca="1" si="135"/>
        <v>#N/A</v>
      </c>
      <c r="DN50" s="274" t="e">
        <f t="shared" ca="1" si="63"/>
        <v>#N/A</v>
      </c>
      <c r="DP50" s="440" t="e">
        <f t="shared" ca="1" si="136"/>
        <v>#N/A</v>
      </c>
      <c r="DQ50" s="440" t="e">
        <f t="shared" ca="1" si="136"/>
        <v>#N/A</v>
      </c>
      <c r="DR50" s="274" t="e">
        <f t="shared" ca="1" si="64"/>
        <v>#N/A</v>
      </c>
      <c r="DT50" s="440" t="e">
        <f t="shared" ca="1" si="137"/>
        <v>#N/A</v>
      </c>
      <c r="DU50" s="440" t="e">
        <f t="shared" ca="1" si="137"/>
        <v>#N/A</v>
      </c>
      <c r="DV50" s="274" t="e">
        <f t="shared" ca="1" si="65"/>
        <v>#N/A</v>
      </c>
      <c r="DX50" s="440" t="e">
        <f t="shared" ca="1" si="138"/>
        <v>#N/A</v>
      </c>
      <c r="DY50" s="440" t="e">
        <f t="shared" ca="1" si="138"/>
        <v>#N/A</v>
      </c>
      <c r="DZ50" s="274" t="e">
        <f t="shared" ca="1" si="66"/>
        <v>#N/A</v>
      </c>
      <c r="EB50" s="440" t="e">
        <f t="shared" ca="1" si="139"/>
        <v>#N/A</v>
      </c>
      <c r="EC50" s="440" t="e">
        <f t="shared" ca="1" si="139"/>
        <v>#N/A</v>
      </c>
      <c r="ED50" s="274" t="e">
        <f t="shared" ca="1" si="67"/>
        <v>#N/A</v>
      </c>
      <c r="EF50" s="251" t="e">
        <f t="shared" ca="1" si="140"/>
        <v>#N/A</v>
      </c>
      <c r="EG50" s="251" t="e">
        <f t="shared" ca="1" si="140"/>
        <v>#N/A</v>
      </c>
      <c r="EH50" s="274" t="e">
        <f t="shared" ca="1" si="68"/>
        <v>#N/A</v>
      </c>
      <c r="EJ50" s="251" t="e">
        <f t="shared" ca="1" si="141"/>
        <v>#N/A</v>
      </c>
      <c r="EK50" s="251" t="e">
        <f t="shared" ca="1" si="141"/>
        <v>#N/A</v>
      </c>
      <c r="EL50" s="274" t="e">
        <f t="shared" ca="1" si="69"/>
        <v>#N/A</v>
      </c>
      <c r="EO50" s="252" t="e">
        <f t="shared" ca="1" si="106"/>
        <v>#N/A</v>
      </c>
    </row>
    <row r="51" spans="1:192" s="234" customFormat="1">
      <c r="B51" s="258">
        <f t="shared" ca="1" si="70"/>
        <v>42</v>
      </c>
      <c r="C51" s="249">
        <f t="shared" ca="1" si="107"/>
        <v>0</v>
      </c>
      <c r="D51" s="236">
        <f t="shared" ca="1" si="107"/>
        <v>0</v>
      </c>
      <c r="E51" s="236">
        <f t="shared" ca="1" si="107"/>
        <v>0</v>
      </c>
      <c r="F51" s="250"/>
      <c r="G51" s="273"/>
      <c r="H51" s="440" t="e">
        <f t="shared" ca="1" si="108"/>
        <v>#N/A</v>
      </c>
      <c r="I51" s="440" t="e">
        <f t="shared" ca="1" si="108"/>
        <v>#N/A</v>
      </c>
      <c r="J51" s="274" t="e">
        <f t="shared" ca="1" si="36"/>
        <v>#N/A</v>
      </c>
      <c r="K51" s="273"/>
      <c r="L51" s="440" t="e">
        <f t="shared" ca="1" si="109"/>
        <v>#N/A</v>
      </c>
      <c r="M51" s="440" t="e">
        <f t="shared" ca="1" si="109"/>
        <v>#N/A</v>
      </c>
      <c r="N51" s="274" t="e">
        <f t="shared" ca="1" si="37"/>
        <v>#N/A</v>
      </c>
      <c r="O51" s="273"/>
      <c r="P51" s="440" t="e">
        <f t="shared" ca="1" si="110"/>
        <v>#N/A</v>
      </c>
      <c r="Q51" s="440" t="e">
        <f t="shared" ca="1" si="110"/>
        <v>#N/A</v>
      </c>
      <c r="R51" s="274" t="e">
        <f t="shared" ca="1" si="38"/>
        <v>#N/A</v>
      </c>
      <c r="S51" s="273"/>
      <c r="T51" s="440" t="e">
        <f t="shared" ca="1" si="111"/>
        <v>#N/A</v>
      </c>
      <c r="U51" s="440" t="e">
        <f t="shared" ca="1" si="111"/>
        <v>#N/A</v>
      </c>
      <c r="V51" s="274" t="e">
        <f t="shared" ca="1" si="39"/>
        <v>#N/A</v>
      </c>
      <c r="W51" s="273"/>
      <c r="X51" s="440" t="e">
        <f t="shared" ca="1" si="112"/>
        <v>#N/A</v>
      </c>
      <c r="Y51" s="440" t="e">
        <f t="shared" ca="1" si="112"/>
        <v>#N/A</v>
      </c>
      <c r="Z51" s="274" t="e">
        <f t="shared" ca="1" si="40"/>
        <v>#N/A</v>
      </c>
      <c r="AA51" s="273"/>
      <c r="AB51" s="440" t="e">
        <f t="shared" ca="1" si="113"/>
        <v>#N/A</v>
      </c>
      <c r="AC51" s="440" t="e">
        <f t="shared" ca="1" si="113"/>
        <v>#N/A</v>
      </c>
      <c r="AD51" s="274" t="e">
        <f t="shared" ca="1" si="41"/>
        <v>#N/A</v>
      </c>
      <c r="AE51" s="273"/>
      <c r="AF51" s="440" t="e">
        <f t="shared" ca="1" si="114"/>
        <v>#N/A</v>
      </c>
      <c r="AG51" s="440" t="e">
        <f t="shared" ca="1" si="114"/>
        <v>#N/A</v>
      </c>
      <c r="AH51" s="274" t="e">
        <f t="shared" ca="1" si="42"/>
        <v>#N/A</v>
      </c>
      <c r="AI51" s="273"/>
      <c r="AJ51" s="440" t="e">
        <f t="shared" ca="1" si="115"/>
        <v>#N/A</v>
      </c>
      <c r="AK51" s="440" t="e">
        <f t="shared" ca="1" si="115"/>
        <v>#N/A</v>
      </c>
      <c r="AL51" s="274" t="e">
        <f t="shared" ca="1" si="43"/>
        <v>#N/A</v>
      </c>
      <c r="AM51" s="273"/>
      <c r="AN51" s="440" t="e">
        <f t="shared" ca="1" si="116"/>
        <v>#N/A</v>
      </c>
      <c r="AO51" s="440" t="e">
        <f t="shared" ca="1" si="116"/>
        <v>#N/A</v>
      </c>
      <c r="AP51" s="274" t="e">
        <f t="shared" ca="1" si="44"/>
        <v>#N/A</v>
      </c>
      <c r="AQ51" s="273"/>
      <c r="AR51" s="440" t="e">
        <f t="shared" ca="1" si="117"/>
        <v>#N/A</v>
      </c>
      <c r="AS51" s="440" t="e">
        <f t="shared" ca="1" si="117"/>
        <v>#N/A</v>
      </c>
      <c r="AT51" s="274" t="e">
        <f t="shared" ca="1" si="45"/>
        <v>#N/A</v>
      </c>
      <c r="AU51" s="273"/>
      <c r="AV51" s="440" t="e">
        <f t="shared" ca="1" si="118"/>
        <v>#N/A</v>
      </c>
      <c r="AW51" s="440" t="e">
        <f t="shared" ca="1" si="118"/>
        <v>#N/A</v>
      </c>
      <c r="AX51" s="274" t="e">
        <f t="shared" ca="1" si="46"/>
        <v>#N/A</v>
      </c>
      <c r="AY51" s="273"/>
      <c r="AZ51" s="440" t="e">
        <f t="shared" ca="1" si="119"/>
        <v>#N/A</v>
      </c>
      <c r="BA51" s="440" t="e">
        <f t="shared" ca="1" si="119"/>
        <v>#N/A</v>
      </c>
      <c r="BB51" s="274" t="e">
        <f t="shared" ca="1" si="47"/>
        <v>#N/A</v>
      </c>
      <c r="BC51" s="273"/>
      <c r="BD51" s="440" t="e">
        <f t="shared" ca="1" si="120"/>
        <v>#N/A</v>
      </c>
      <c r="BE51" s="440" t="e">
        <f t="shared" ca="1" si="120"/>
        <v>#N/A</v>
      </c>
      <c r="BF51" s="274" t="e">
        <f t="shared" ca="1" si="48"/>
        <v>#N/A</v>
      </c>
      <c r="BG51" s="273"/>
      <c r="BH51" s="440" t="e">
        <f t="shared" ca="1" si="121"/>
        <v>#N/A</v>
      </c>
      <c r="BI51" s="440" t="e">
        <f t="shared" ca="1" si="121"/>
        <v>#N/A</v>
      </c>
      <c r="BJ51" s="274" t="e">
        <f t="shared" ca="1" si="49"/>
        <v>#N/A</v>
      </c>
      <c r="BK51" s="273"/>
      <c r="BL51" s="440" t="e">
        <f t="shared" ca="1" si="122"/>
        <v>#N/A</v>
      </c>
      <c r="BM51" s="440" t="e">
        <f t="shared" ca="1" si="122"/>
        <v>#N/A</v>
      </c>
      <c r="BN51" s="274" t="e">
        <f t="shared" ca="1" si="50"/>
        <v>#N/A</v>
      </c>
      <c r="BO51" s="273"/>
      <c r="BP51" s="440" t="e">
        <f t="shared" ca="1" si="123"/>
        <v>#N/A</v>
      </c>
      <c r="BQ51" s="440" t="e">
        <f t="shared" ca="1" si="123"/>
        <v>#N/A</v>
      </c>
      <c r="BR51" s="274" t="e">
        <f t="shared" ca="1" si="51"/>
        <v>#N/A</v>
      </c>
      <c r="BS51" s="273"/>
      <c r="BT51" s="440" t="e">
        <f t="shared" ca="1" si="124"/>
        <v>#N/A</v>
      </c>
      <c r="BU51" s="440" t="e">
        <f t="shared" ca="1" si="124"/>
        <v>#N/A</v>
      </c>
      <c r="BV51" s="274" t="e">
        <f t="shared" ca="1" si="52"/>
        <v>#N/A</v>
      </c>
      <c r="BW51" s="273"/>
      <c r="BX51" s="440" t="e">
        <f t="shared" ca="1" si="125"/>
        <v>#N/A</v>
      </c>
      <c r="BY51" s="440" t="e">
        <f t="shared" ca="1" si="125"/>
        <v>#N/A</v>
      </c>
      <c r="BZ51" s="274" t="e">
        <f t="shared" ca="1" si="53"/>
        <v>#N/A</v>
      </c>
      <c r="CA51" s="273"/>
      <c r="CB51" s="440" t="e">
        <f t="shared" ca="1" si="126"/>
        <v>#N/A</v>
      </c>
      <c r="CC51" s="440" t="e">
        <f t="shared" ca="1" si="126"/>
        <v>#N/A</v>
      </c>
      <c r="CD51" s="274" t="e">
        <f t="shared" ca="1" si="54"/>
        <v>#N/A</v>
      </c>
      <c r="CE51" s="273"/>
      <c r="CF51" s="440" t="e">
        <f t="shared" ca="1" si="127"/>
        <v>#N/A</v>
      </c>
      <c r="CG51" s="440" t="e">
        <f t="shared" ca="1" si="127"/>
        <v>#N/A</v>
      </c>
      <c r="CH51" s="274" t="e">
        <f t="shared" ca="1" si="55"/>
        <v>#N/A</v>
      </c>
      <c r="CI51" s="273"/>
      <c r="CJ51" s="440" t="e">
        <f t="shared" ca="1" si="128"/>
        <v>#N/A</v>
      </c>
      <c r="CK51" s="440" t="e">
        <f t="shared" ca="1" si="128"/>
        <v>#N/A</v>
      </c>
      <c r="CL51" s="274" t="e">
        <f t="shared" ca="1" si="56"/>
        <v>#N/A</v>
      </c>
      <c r="CN51" s="440" t="e">
        <f t="shared" ca="1" si="129"/>
        <v>#N/A</v>
      </c>
      <c r="CO51" s="440" t="e">
        <f t="shared" ca="1" si="129"/>
        <v>#N/A</v>
      </c>
      <c r="CP51" s="274" t="e">
        <f t="shared" ca="1" si="57"/>
        <v>#N/A</v>
      </c>
      <c r="CR51" s="440" t="e">
        <f t="shared" ca="1" si="130"/>
        <v>#N/A</v>
      </c>
      <c r="CS51" s="440" t="e">
        <f t="shared" ca="1" si="130"/>
        <v>#N/A</v>
      </c>
      <c r="CT51" s="274" t="e">
        <f t="shared" ca="1" si="58"/>
        <v>#N/A</v>
      </c>
      <c r="CV51" s="440" t="e">
        <f t="shared" ca="1" si="131"/>
        <v>#N/A</v>
      </c>
      <c r="CW51" s="440" t="e">
        <f t="shared" ca="1" si="131"/>
        <v>#N/A</v>
      </c>
      <c r="CX51" s="274" t="e">
        <f t="shared" ca="1" si="59"/>
        <v>#N/A</v>
      </c>
      <c r="CZ51" s="440" t="e">
        <f t="shared" ca="1" si="132"/>
        <v>#N/A</v>
      </c>
      <c r="DA51" s="440" t="e">
        <f t="shared" ca="1" si="132"/>
        <v>#N/A</v>
      </c>
      <c r="DB51" s="274" t="e">
        <f t="shared" ca="1" si="60"/>
        <v>#N/A</v>
      </c>
      <c r="DD51" s="440" t="e">
        <f t="shared" ca="1" si="133"/>
        <v>#N/A</v>
      </c>
      <c r="DE51" s="440" t="e">
        <f t="shared" ca="1" si="133"/>
        <v>#N/A</v>
      </c>
      <c r="DF51" s="274" t="e">
        <f t="shared" ca="1" si="61"/>
        <v>#N/A</v>
      </c>
      <c r="DH51" s="440" t="e">
        <f t="shared" ca="1" si="134"/>
        <v>#N/A</v>
      </c>
      <c r="DI51" s="440" t="e">
        <f t="shared" ca="1" si="134"/>
        <v>#N/A</v>
      </c>
      <c r="DJ51" s="274" t="e">
        <f t="shared" ca="1" si="62"/>
        <v>#N/A</v>
      </c>
      <c r="DL51" s="440" t="e">
        <f t="shared" ca="1" si="135"/>
        <v>#N/A</v>
      </c>
      <c r="DM51" s="440" t="e">
        <f t="shared" ca="1" si="135"/>
        <v>#N/A</v>
      </c>
      <c r="DN51" s="274" t="e">
        <f t="shared" ca="1" si="63"/>
        <v>#N/A</v>
      </c>
      <c r="DP51" s="440" t="e">
        <f t="shared" ca="1" si="136"/>
        <v>#N/A</v>
      </c>
      <c r="DQ51" s="440" t="e">
        <f t="shared" ca="1" si="136"/>
        <v>#N/A</v>
      </c>
      <c r="DR51" s="274" t="e">
        <f t="shared" ca="1" si="64"/>
        <v>#N/A</v>
      </c>
      <c r="DT51" s="440" t="e">
        <f t="shared" ca="1" si="137"/>
        <v>#N/A</v>
      </c>
      <c r="DU51" s="440" t="e">
        <f t="shared" ca="1" si="137"/>
        <v>#N/A</v>
      </c>
      <c r="DV51" s="274" t="e">
        <f t="shared" ca="1" si="65"/>
        <v>#N/A</v>
      </c>
      <c r="DX51" s="440" t="e">
        <f t="shared" ca="1" si="138"/>
        <v>#N/A</v>
      </c>
      <c r="DY51" s="440" t="e">
        <f t="shared" ca="1" si="138"/>
        <v>#N/A</v>
      </c>
      <c r="DZ51" s="274" t="e">
        <f t="shared" ca="1" si="66"/>
        <v>#N/A</v>
      </c>
      <c r="EB51" s="440" t="e">
        <f t="shared" ca="1" si="139"/>
        <v>#N/A</v>
      </c>
      <c r="EC51" s="440" t="e">
        <f t="shared" ca="1" si="139"/>
        <v>#N/A</v>
      </c>
      <c r="ED51" s="274" t="e">
        <f t="shared" ca="1" si="67"/>
        <v>#N/A</v>
      </c>
      <c r="EF51" s="251" t="e">
        <f t="shared" ca="1" si="140"/>
        <v>#N/A</v>
      </c>
      <c r="EG51" s="251" t="e">
        <f t="shared" ca="1" si="140"/>
        <v>#N/A</v>
      </c>
      <c r="EH51" s="274" t="e">
        <f t="shared" ca="1" si="68"/>
        <v>#N/A</v>
      </c>
      <c r="EJ51" s="251" t="e">
        <f t="shared" ca="1" si="141"/>
        <v>#N/A</v>
      </c>
      <c r="EK51" s="251" t="e">
        <f t="shared" ca="1" si="141"/>
        <v>#N/A</v>
      </c>
      <c r="EL51" s="274" t="e">
        <f t="shared" ca="1" si="69"/>
        <v>#N/A</v>
      </c>
      <c r="EO51" s="252" t="e">
        <f t="shared" ca="1" si="106"/>
        <v>#N/A</v>
      </c>
    </row>
    <row r="52" spans="1:192" s="234" customFormat="1">
      <c r="B52" s="258">
        <f t="shared" ca="1" si="70"/>
        <v>43</v>
      </c>
      <c r="C52" s="249">
        <f t="shared" ca="1" si="107"/>
        <v>0</v>
      </c>
      <c r="D52" s="236">
        <f t="shared" ca="1" si="107"/>
        <v>0</v>
      </c>
      <c r="E52" s="236">
        <f t="shared" ca="1" si="107"/>
        <v>0</v>
      </c>
      <c r="F52" s="250"/>
      <c r="G52" s="273"/>
      <c r="H52" s="440" t="e">
        <f t="shared" ca="1" si="108"/>
        <v>#N/A</v>
      </c>
      <c r="I52" s="440" t="e">
        <f t="shared" ca="1" si="108"/>
        <v>#N/A</v>
      </c>
      <c r="J52" s="274" t="e">
        <f t="shared" ca="1" si="36"/>
        <v>#N/A</v>
      </c>
      <c r="K52" s="273"/>
      <c r="L52" s="440" t="e">
        <f t="shared" ca="1" si="109"/>
        <v>#N/A</v>
      </c>
      <c r="M52" s="440" t="e">
        <f t="shared" ca="1" si="109"/>
        <v>#N/A</v>
      </c>
      <c r="N52" s="274" t="e">
        <f t="shared" ca="1" si="37"/>
        <v>#N/A</v>
      </c>
      <c r="O52" s="273"/>
      <c r="P52" s="440" t="e">
        <f t="shared" ca="1" si="110"/>
        <v>#N/A</v>
      </c>
      <c r="Q52" s="440" t="e">
        <f t="shared" ca="1" si="110"/>
        <v>#N/A</v>
      </c>
      <c r="R52" s="274" t="e">
        <f t="shared" ca="1" si="38"/>
        <v>#N/A</v>
      </c>
      <c r="S52" s="273"/>
      <c r="T52" s="440" t="e">
        <f t="shared" ca="1" si="111"/>
        <v>#N/A</v>
      </c>
      <c r="U52" s="440" t="e">
        <f t="shared" ca="1" si="111"/>
        <v>#N/A</v>
      </c>
      <c r="V52" s="274" t="e">
        <f t="shared" ca="1" si="39"/>
        <v>#N/A</v>
      </c>
      <c r="W52" s="273"/>
      <c r="X52" s="440" t="e">
        <f t="shared" ca="1" si="112"/>
        <v>#N/A</v>
      </c>
      <c r="Y52" s="440" t="e">
        <f t="shared" ca="1" si="112"/>
        <v>#N/A</v>
      </c>
      <c r="Z52" s="274" t="e">
        <f t="shared" ca="1" si="40"/>
        <v>#N/A</v>
      </c>
      <c r="AA52" s="273"/>
      <c r="AB52" s="440" t="e">
        <f t="shared" ca="1" si="113"/>
        <v>#N/A</v>
      </c>
      <c r="AC52" s="440" t="e">
        <f t="shared" ca="1" si="113"/>
        <v>#N/A</v>
      </c>
      <c r="AD52" s="274" t="e">
        <f t="shared" ca="1" si="41"/>
        <v>#N/A</v>
      </c>
      <c r="AE52" s="273"/>
      <c r="AF52" s="440" t="e">
        <f t="shared" ca="1" si="114"/>
        <v>#N/A</v>
      </c>
      <c r="AG52" s="440" t="e">
        <f t="shared" ca="1" si="114"/>
        <v>#N/A</v>
      </c>
      <c r="AH52" s="274" t="e">
        <f t="shared" ca="1" si="42"/>
        <v>#N/A</v>
      </c>
      <c r="AI52" s="273"/>
      <c r="AJ52" s="440" t="e">
        <f t="shared" ca="1" si="115"/>
        <v>#N/A</v>
      </c>
      <c r="AK52" s="440" t="e">
        <f t="shared" ca="1" si="115"/>
        <v>#N/A</v>
      </c>
      <c r="AL52" s="274" t="e">
        <f t="shared" ca="1" si="43"/>
        <v>#N/A</v>
      </c>
      <c r="AM52" s="273"/>
      <c r="AN52" s="440" t="e">
        <f t="shared" ca="1" si="116"/>
        <v>#N/A</v>
      </c>
      <c r="AO52" s="440" t="e">
        <f t="shared" ca="1" si="116"/>
        <v>#N/A</v>
      </c>
      <c r="AP52" s="274" t="e">
        <f t="shared" ca="1" si="44"/>
        <v>#N/A</v>
      </c>
      <c r="AQ52" s="273"/>
      <c r="AR52" s="440" t="e">
        <f t="shared" ca="1" si="117"/>
        <v>#N/A</v>
      </c>
      <c r="AS52" s="440" t="e">
        <f t="shared" ca="1" si="117"/>
        <v>#N/A</v>
      </c>
      <c r="AT52" s="274" t="e">
        <f t="shared" ca="1" si="45"/>
        <v>#N/A</v>
      </c>
      <c r="AU52" s="273"/>
      <c r="AV52" s="440" t="e">
        <f t="shared" ca="1" si="118"/>
        <v>#N/A</v>
      </c>
      <c r="AW52" s="440" t="e">
        <f t="shared" ca="1" si="118"/>
        <v>#N/A</v>
      </c>
      <c r="AX52" s="274" t="e">
        <f t="shared" ca="1" si="46"/>
        <v>#N/A</v>
      </c>
      <c r="AY52" s="273"/>
      <c r="AZ52" s="440" t="e">
        <f t="shared" ca="1" si="119"/>
        <v>#N/A</v>
      </c>
      <c r="BA52" s="440" t="e">
        <f t="shared" ca="1" si="119"/>
        <v>#N/A</v>
      </c>
      <c r="BB52" s="274" t="e">
        <f t="shared" ca="1" si="47"/>
        <v>#N/A</v>
      </c>
      <c r="BC52" s="273"/>
      <c r="BD52" s="440" t="e">
        <f t="shared" ca="1" si="120"/>
        <v>#N/A</v>
      </c>
      <c r="BE52" s="440" t="e">
        <f t="shared" ca="1" si="120"/>
        <v>#N/A</v>
      </c>
      <c r="BF52" s="274" t="e">
        <f t="shared" ca="1" si="48"/>
        <v>#N/A</v>
      </c>
      <c r="BG52" s="273"/>
      <c r="BH52" s="440" t="e">
        <f t="shared" ca="1" si="121"/>
        <v>#N/A</v>
      </c>
      <c r="BI52" s="440" t="e">
        <f t="shared" ca="1" si="121"/>
        <v>#N/A</v>
      </c>
      <c r="BJ52" s="274" t="e">
        <f t="shared" ca="1" si="49"/>
        <v>#N/A</v>
      </c>
      <c r="BK52" s="273"/>
      <c r="BL52" s="440" t="e">
        <f t="shared" ca="1" si="122"/>
        <v>#N/A</v>
      </c>
      <c r="BM52" s="440" t="e">
        <f t="shared" ca="1" si="122"/>
        <v>#N/A</v>
      </c>
      <c r="BN52" s="274" t="e">
        <f t="shared" ca="1" si="50"/>
        <v>#N/A</v>
      </c>
      <c r="BO52" s="273"/>
      <c r="BP52" s="440" t="e">
        <f t="shared" ca="1" si="123"/>
        <v>#N/A</v>
      </c>
      <c r="BQ52" s="440" t="e">
        <f t="shared" ca="1" si="123"/>
        <v>#N/A</v>
      </c>
      <c r="BR52" s="274" t="e">
        <f t="shared" ca="1" si="51"/>
        <v>#N/A</v>
      </c>
      <c r="BS52" s="273"/>
      <c r="BT52" s="440" t="e">
        <f t="shared" ca="1" si="124"/>
        <v>#N/A</v>
      </c>
      <c r="BU52" s="440" t="e">
        <f t="shared" ca="1" si="124"/>
        <v>#N/A</v>
      </c>
      <c r="BV52" s="274" t="e">
        <f t="shared" ca="1" si="52"/>
        <v>#N/A</v>
      </c>
      <c r="BW52" s="273"/>
      <c r="BX52" s="440" t="e">
        <f t="shared" ca="1" si="125"/>
        <v>#N/A</v>
      </c>
      <c r="BY52" s="440" t="e">
        <f t="shared" ca="1" si="125"/>
        <v>#N/A</v>
      </c>
      <c r="BZ52" s="274" t="e">
        <f t="shared" ca="1" si="53"/>
        <v>#N/A</v>
      </c>
      <c r="CA52" s="273"/>
      <c r="CB52" s="440" t="e">
        <f t="shared" ca="1" si="126"/>
        <v>#N/A</v>
      </c>
      <c r="CC52" s="440" t="e">
        <f t="shared" ca="1" si="126"/>
        <v>#N/A</v>
      </c>
      <c r="CD52" s="274" t="e">
        <f t="shared" ca="1" si="54"/>
        <v>#N/A</v>
      </c>
      <c r="CE52" s="273"/>
      <c r="CF52" s="440" t="e">
        <f t="shared" ca="1" si="127"/>
        <v>#N/A</v>
      </c>
      <c r="CG52" s="440" t="e">
        <f t="shared" ca="1" si="127"/>
        <v>#N/A</v>
      </c>
      <c r="CH52" s="274" t="e">
        <f t="shared" ca="1" si="55"/>
        <v>#N/A</v>
      </c>
      <c r="CI52" s="273"/>
      <c r="CJ52" s="440" t="e">
        <f t="shared" ca="1" si="128"/>
        <v>#N/A</v>
      </c>
      <c r="CK52" s="440" t="e">
        <f t="shared" ca="1" si="128"/>
        <v>#N/A</v>
      </c>
      <c r="CL52" s="274" t="e">
        <f t="shared" ca="1" si="56"/>
        <v>#N/A</v>
      </c>
      <c r="CN52" s="440" t="e">
        <f t="shared" ca="1" si="129"/>
        <v>#N/A</v>
      </c>
      <c r="CO52" s="440" t="e">
        <f t="shared" ca="1" si="129"/>
        <v>#N/A</v>
      </c>
      <c r="CP52" s="274" t="e">
        <f t="shared" ca="1" si="57"/>
        <v>#N/A</v>
      </c>
      <c r="CR52" s="440" t="e">
        <f t="shared" ca="1" si="130"/>
        <v>#N/A</v>
      </c>
      <c r="CS52" s="440" t="e">
        <f t="shared" ca="1" si="130"/>
        <v>#N/A</v>
      </c>
      <c r="CT52" s="274" t="e">
        <f t="shared" ca="1" si="58"/>
        <v>#N/A</v>
      </c>
      <c r="CV52" s="440" t="e">
        <f t="shared" ca="1" si="131"/>
        <v>#N/A</v>
      </c>
      <c r="CW52" s="440" t="e">
        <f t="shared" ca="1" si="131"/>
        <v>#N/A</v>
      </c>
      <c r="CX52" s="274" t="e">
        <f t="shared" ca="1" si="59"/>
        <v>#N/A</v>
      </c>
      <c r="CZ52" s="440" t="e">
        <f t="shared" ca="1" si="132"/>
        <v>#N/A</v>
      </c>
      <c r="DA52" s="440" t="e">
        <f t="shared" ca="1" si="132"/>
        <v>#N/A</v>
      </c>
      <c r="DB52" s="274" t="e">
        <f t="shared" ca="1" si="60"/>
        <v>#N/A</v>
      </c>
      <c r="DD52" s="440" t="e">
        <f t="shared" ca="1" si="133"/>
        <v>#N/A</v>
      </c>
      <c r="DE52" s="440" t="e">
        <f t="shared" ca="1" si="133"/>
        <v>#N/A</v>
      </c>
      <c r="DF52" s="274" t="e">
        <f t="shared" ca="1" si="61"/>
        <v>#N/A</v>
      </c>
      <c r="DH52" s="440" t="e">
        <f t="shared" ca="1" si="134"/>
        <v>#N/A</v>
      </c>
      <c r="DI52" s="440" t="e">
        <f t="shared" ca="1" si="134"/>
        <v>#N/A</v>
      </c>
      <c r="DJ52" s="274" t="e">
        <f t="shared" ca="1" si="62"/>
        <v>#N/A</v>
      </c>
      <c r="DL52" s="440" t="e">
        <f t="shared" ca="1" si="135"/>
        <v>#N/A</v>
      </c>
      <c r="DM52" s="440" t="e">
        <f t="shared" ca="1" si="135"/>
        <v>#N/A</v>
      </c>
      <c r="DN52" s="274" t="e">
        <f t="shared" ca="1" si="63"/>
        <v>#N/A</v>
      </c>
      <c r="DP52" s="440" t="e">
        <f t="shared" ca="1" si="136"/>
        <v>#N/A</v>
      </c>
      <c r="DQ52" s="440" t="e">
        <f t="shared" ca="1" si="136"/>
        <v>#N/A</v>
      </c>
      <c r="DR52" s="274" t="e">
        <f t="shared" ca="1" si="64"/>
        <v>#N/A</v>
      </c>
      <c r="DT52" s="440" t="e">
        <f t="shared" ca="1" si="137"/>
        <v>#N/A</v>
      </c>
      <c r="DU52" s="440" t="e">
        <f t="shared" ca="1" si="137"/>
        <v>#N/A</v>
      </c>
      <c r="DV52" s="274" t="e">
        <f t="shared" ca="1" si="65"/>
        <v>#N/A</v>
      </c>
      <c r="DX52" s="440" t="e">
        <f t="shared" ca="1" si="138"/>
        <v>#N/A</v>
      </c>
      <c r="DY52" s="440" t="e">
        <f t="shared" ca="1" si="138"/>
        <v>#N/A</v>
      </c>
      <c r="DZ52" s="274" t="e">
        <f t="shared" ca="1" si="66"/>
        <v>#N/A</v>
      </c>
      <c r="EB52" s="440" t="e">
        <f t="shared" ca="1" si="139"/>
        <v>#N/A</v>
      </c>
      <c r="EC52" s="440" t="e">
        <f t="shared" ca="1" si="139"/>
        <v>#N/A</v>
      </c>
      <c r="ED52" s="274" t="e">
        <f t="shared" ca="1" si="67"/>
        <v>#N/A</v>
      </c>
      <c r="EF52" s="251" t="e">
        <f t="shared" ca="1" si="140"/>
        <v>#N/A</v>
      </c>
      <c r="EG52" s="251" t="e">
        <f t="shared" ca="1" si="140"/>
        <v>#N/A</v>
      </c>
      <c r="EH52" s="274" t="e">
        <f t="shared" ca="1" si="68"/>
        <v>#N/A</v>
      </c>
      <c r="EJ52" s="251" t="e">
        <f t="shared" ca="1" si="141"/>
        <v>#N/A</v>
      </c>
      <c r="EK52" s="251" t="e">
        <f t="shared" ca="1" si="141"/>
        <v>#N/A</v>
      </c>
      <c r="EL52" s="274" t="e">
        <f t="shared" ca="1" si="69"/>
        <v>#N/A</v>
      </c>
      <c r="EO52" s="252" t="e">
        <f t="shared" ca="1" si="106"/>
        <v>#N/A</v>
      </c>
    </row>
    <row r="53" spans="1:192" s="234" customFormat="1">
      <c r="B53" s="258">
        <f t="shared" ca="1" si="70"/>
        <v>44</v>
      </c>
      <c r="C53" s="249">
        <f t="shared" ca="1" si="107"/>
        <v>0</v>
      </c>
      <c r="D53" s="236">
        <f t="shared" ca="1" si="107"/>
        <v>0</v>
      </c>
      <c r="E53" s="236">
        <f t="shared" ca="1" si="107"/>
        <v>0</v>
      </c>
      <c r="F53" s="250"/>
      <c r="G53" s="273"/>
      <c r="H53" s="440" t="e">
        <f t="shared" ca="1" si="108"/>
        <v>#N/A</v>
      </c>
      <c r="I53" s="440" t="e">
        <f t="shared" ca="1" si="108"/>
        <v>#N/A</v>
      </c>
      <c r="J53" s="274" t="e">
        <f t="shared" ca="1" si="36"/>
        <v>#N/A</v>
      </c>
      <c r="K53" s="273"/>
      <c r="L53" s="440" t="e">
        <f t="shared" ca="1" si="109"/>
        <v>#N/A</v>
      </c>
      <c r="M53" s="440" t="e">
        <f t="shared" ca="1" si="109"/>
        <v>#N/A</v>
      </c>
      <c r="N53" s="274" t="e">
        <f t="shared" ca="1" si="37"/>
        <v>#N/A</v>
      </c>
      <c r="O53" s="273"/>
      <c r="P53" s="440" t="e">
        <f t="shared" ca="1" si="110"/>
        <v>#N/A</v>
      </c>
      <c r="Q53" s="440" t="e">
        <f t="shared" ca="1" si="110"/>
        <v>#N/A</v>
      </c>
      <c r="R53" s="274" t="e">
        <f t="shared" ca="1" si="38"/>
        <v>#N/A</v>
      </c>
      <c r="S53" s="273"/>
      <c r="T53" s="440" t="e">
        <f t="shared" ca="1" si="111"/>
        <v>#N/A</v>
      </c>
      <c r="U53" s="440" t="e">
        <f t="shared" ca="1" si="111"/>
        <v>#N/A</v>
      </c>
      <c r="V53" s="274" t="e">
        <f t="shared" ca="1" si="39"/>
        <v>#N/A</v>
      </c>
      <c r="W53" s="273"/>
      <c r="X53" s="440" t="e">
        <f t="shared" ca="1" si="112"/>
        <v>#N/A</v>
      </c>
      <c r="Y53" s="440" t="e">
        <f t="shared" ca="1" si="112"/>
        <v>#N/A</v>
      </c>
      <c r="Z53" s="274" t="e">
        <f t="shared" ca="1" si="40"/>
        <v>#N/A</v>
      </c>
      <c r="AA53" s="273"/>
      <c r="AB53" s="440" t="e">
        <f t="shared" ca="1" si="113"/>
        <v>#N/A</v>
      </c>
      <c r="AC53" s="440" t="e">
        <f t="shared" ca="1" si="113"/>
        <v>#N/A</v>
      </c>
      <c r="AD53" s="274" t="e">
        <f t="shared" ca="1" si="41"/>
        <v>#N/A</v>
      </c>
      <c r="AE53" s="273"/>
      <c r="AF53" s="440" t="e">
        <f t="shared" ca="1" si="114"/>
        <v>#N/A</v>
      </c>
      <c r="AG53" s="440" t="e">
        <f t="shared" ca="1" si="114"/>
        <v>#N/A</v>
      </c>
      <c r="AH53" s="274" t="e">
        <f t="shared" ca="1" si="42"/>
        <v>#N/A</v>
      </c>
      <c r="AI53" s="273"/>
      <c r="AJ53" s="440" t="e">
        <f t="shared" ca="1" si="115"/>
        <v>#N/A</v>
      </c>
      <c r="AK53" s="440" t="e">
        <f t="shared" ca="1" si="115"/>
        <v>#N/A</v>
      </c>
      <c r="AL53" s="274" t="e">
        <f t="shared" ca="1" si="43"/>
        <v>#N/A</v>
      </c>
      <c r="AM53" s="273"/>
      <c r="AN53" s="440" t="e">
        <f t="shared" ca="1" si="116"/>
        <v>#N/A</v>
      </c>
      <c r="AO53" s="440" t="e">
        <f t="shared" ca="1" si="116"/>
        <v>#N/A</v>
      </c>
      <c r="AP53" s="274" t="e">
        <f t="shared" ca="1" si="44"/>
        <v>#N/A</v>
      </c>
      <c r="AQ53" s="273"/>
      <c r="AR53" s="440" t="e">
        <f t="shared" ca="1" si="117"/>
        <v>#N/A</v>
      </c>
      <c r="AS53" s="440" t="e">
        <f t="shared" ca="1" si="117"/>
        <v>#N/A</v>
      </c>
      <c r="AT53" s="274" t="e">
        <f t="shared" ca="1" si="45"/>
        <v>#N/A</v>
      </c>
      <c r="AU53" s="273"/>
      <c r="AV53" s="440" t="e">
        <f t="shared" ca="1" si="118"/>
        <v>#N/A</v>
      </c>
      <c r="AW53" s="440" t="e">
        <f t="shared" ca="1" si="118"/>
        <v>#N/A</v>
      </c>
      <c r="AX53" s="274" t="e">
        <f t="shared" ca="1" si="46"/>
        <v>#N/A</v>
      </c>
      <c r="AY53" s="273"/>
      <c r="AZ53" s="440" t="e">
        <f t="shared" ca="1" si="119"/>
        <v>#N/A</v>
      </c>
      <c r="BA53" s="440" t="e">
        <f t="shared" ca="1" si="119"/>
        <v>#N/A</v>
      </c>
      <c r="BB53" s="274" t="e">
        <f t="shared" ca="1" si="47"/>
        <v>#N/A</v>
      </c>
      <c r="BC53" s="273"/>
      <c r="BD53" s="440" t="e">
        <f t="shared" ca="1" si="120"/>
        <v>#N/A</v>
      </c>
      <c r="BE53" s="440" t="e">
        <f t="shared" ca="1" si="120"/>
        <v>#N/A</v>
      </c>
      <c r="BF53" s="274" t="e">
        <f t="shared" ca="1" si="48"/>
        <v>#N/A</v>
      </c>
      <c r="BG53" s="273"/>
      <c r="BH53" s="440" t="e">
        <f t="shared" ca="1" si="121"/>
        <v>#N/A</v>
      </c>
      <c r="BI53" s="440" t="e">
        <f t="shared" ca="1" si="121"/>
        <v>#N/A</v>
      </c>
      <c r="BJ53" s="274" t="e">
        <f t="shared" ca="1" si="49"/>
        <v>#N/A</v>
      </c>
      <c r="BK53" s="273"/>
      <c r="BL53" s="440" t="e">
        <f t="shared" ca="1" si="122"/>
        <v>#N/A</v>
      </c>
      <c r="BM53" s="440" t="e">
        <f t="shared" ca="1" si="122"/>
        <v>#N/A</v>
      </c>
      <c r="BN53" s="274" t="e">
        <f t="shared" ca="1" si="50"/>
        <v>#N/A</v>
      </c>
      <c r="BO53" s="273"/>
      <c r="BP53" s="440" t="e">
        <f t="shared" ca="1" si="123"/>
        <v>#N/A</v>
      </c>
      <c r="BQ53" s="440" t="e">
        <f t="shared" ca="1" si="123"/>
        <v>#N/A</v>
      </c>
      <c r="BR53" s="274" t="e">
        <f t="shared" ca="1" si="51"/>
        <v>#N/A</v>
      </c>
      <c r="BS53" s="273"/>
      <c r="BT53" s="440" t="e">
        <f t="shared" ca="1" si="124"/>
        <v>#N/A</v>
      </c>
      <c r="BU53" s="440" t="e">
        <f t="shared" ca="1" si="124"/>
        <v>#N/A</v>
      </c>
      <c r="BV53" s="274" t="e">
        <f t="shared" ca="1" si="52"/>
        <v>#N/A</v>
      </c>
      <c r="BW53" s="273"/>
      <c r="BX53" s="440" t="e">
        <f t="shared" ca="1" si="125"/>
        <v>#N/A</v>
      </c>
      <c r="BY53" s="440" t="e">
        <f t="shared" ca="1" si="125"/>
        <v>#N/A</v>
      </c>
      <c r="BZ53" s="274" t="e">
        <f t="shared" ca="1" si="53"/>
        <v>#N/A</v>
      </c>
      <c r="CA53" s="273"/>
      <c r="CB53" s="440" t="e">
        <f t="shared" ca="1" si="126"/>
        <v>#N/A</v>
      </c>
      <c r="CC53" s="440" t="e">
        <f t="shared" ca="1" si="126"/>
        <v>#N/A</v>
      </c>
      <c r="CD53" s="274" t="e">
        <f t="shared" ca="1" si="54"/>
        <v>#N/A</v>
      </c>
      <c r="CE53" s="273"/>
      <c r="CF53" s="440" t="e">
        <f t="shared" ca="1" si="127"/>
        <v>#N/A</v>
      </c>
      <c r="CG53" s="440" t="e">
        <f t="shared" ca="1" si="127"/>
        <v>#N/A</v>
      </c>
      <c r="CH53" s="274" t="e">
        <f t="shared" ca="1" si="55"/>
        <v>#N/A</v>
      </c>
      <c r="CI53" s="273"/>
      <c r="CJ53" s="440" t="e">
        <f t="shared" ca="1" si="128"/>
        <v>#N/A</v>
      </c>
      <c r="CK53" s="440" t="e">
        <f t="shared" ca="1" si="128"/>
        <v>#N/A</v>
      </c>
      <c r="CL53" s="274" t="e">
        <f t="shared" ca="1" si="56"/>
        <v>#N/A</v>
      </c>
      <c r="CN53" s="440" t="e">
        <f t="shared" ca="1" si="129"/>
        <v>#N/A</v>
      </c>
      <c r="CO53" s="440" t="e">
        <f t="shared" ca="1" si="129"/>
        <v>#N/A</v>
      </c>
      <c r="CP53" s="274" t="e">
        <f t="shared" ca="1" si="57"/>
        <v>#N/A</v>
      </c>
      <c r="CR53" s="440" t="e">
        <f t="shared" ca="1" si="130"/>
        <v>#N/A</v>
      </c>
      <c r="CS53" s="440" t="e">
        <f t="shared" ca="1" si="130"/>
        <v>#N/A</v>
      </c>
      <c r="CT53" s="274" t="e">
        <f t="shared" ca="1" si="58"/>
        <v>#N/A</v>
      </c>
      <c r="CV53" s="440" t="e">
        <f t="shared" ca="1" si="131"/>
        <v>#N/A</v>
      </c>
      <c r="CW53" s="440" t="e">
        <f t="shared" ca="1" si="131"/>
        <v>#N/A</v>
      </c>
      <c r="CX53" s="274" t="e">
        <f t="shared" ca="1" si="59"/>
        <v>#N/A</v>
      </c>
      <c r="CZ53" s="440" t="e">
        <f t="shared" ca="1" si="132"/>
        <v>#N/A</v>
      </c>
      <c r="DA53" s="440" t="e">
        <f t="shared" ca="1" si="132"/>
        <v>#N/A</v>
      </c>
      <c r="DB53" s="274" t="e">
        <f t="shared" ca="1" si="60"/>
        <v>#N/A</v>
      </c>
      <c r="DD53" s="440" t="e">
        <f t="shared" ca="1" si="133"/>
        <v>#N/A</v>
      </c>
      <c r="DE53" s="440" t="e">
        <f t="shared" ca="1" si="133"/>
        <v>#N/A</v>
      </c>
      <c r="DF53" s="274" t="e">
        <f t="shared" ca="1" si="61"/>
        <v>#N/A</v>
      </c>
      <c r="DH53" s="440" t="e">
        <f t="shared" ca="1" si="134"/>
        <v>#N/A</v>
      </c>
      <c r="DI53" s="440" t="e">
        <f t="shared" ca="1" si="134"/>
        <v>#N/A</v>
      </c>
      <c r="DJ53" s="274" t="e">
        <f t="shared" ca="1" si="62"/>
        <v>#N/A</v>
      </c>
      <c r="DL53" s="440" t="e">
        <f t="shared" ca="1" si="135"/>
        <v>#N/A</v>
      </c>
      <c r="DM53" s="440" t="e">
        <f t="shared" ca="1" si="135"/>
        <v>#N/A</v>
      </c>
      <c r="DN53" s="274" t="e">
        <f t="shared" ca="1" si="63"/>
        <v>#N/A</v>
      </c>
      <c r="DP53" s="440" t="e">
        <f t="shared" ca="1" si="136"/>
        <v>#N/A</v>
      </c>
      <c r="DQ53" s="440" t="e">
        <f t="shared" ca="1" si="136"/>
        <v>#N/A</v>
      </c>
      <c r="DR53" s="274" t="e">
        <f t="shared" ca="1" si="64"/>
        <v>#N/A</v>
      </c>
      <c r="DT53" s="440" t="e">
        <f t="shared" ca="1" si="137"/>
        <v>#N/A</v>
      </c>
      <c r="DU53" s="440" t="e">
        <f t="shared" ca="1" si="137"/>
        <v>#N/A</v>
      </c>
      <c r="DV53" s="274" t="e">
        <f t="shared" ca="1" si="65"/>
        <v>#N/A</v>
      </c>
      <c r="DX53" s="440" t="e">
        <f t="shared" ca="1" si="138"/>
        <v>#N/A</v>
      </c>
      <c r="DY53" s="440" t="e">
        <f t="shared" ca="1" si="138"/>
        <v>#N/A</v>
      </c>
      <c r="DZ53" s="274" t="e">
        <f t="shared" ca="1" si="66"/>
        <v>#N/A</v>
      </c>
      <c r="EB53" s="440" t="e">
        <f t="shared" ca="1" si="139"/>
        <v>#N/A</v>
      </c>
      <c r="EC53" s="440" t="e">
        <f t="shared" ca="1" si="139"/>
        <v>#N/A</v>
      </c>
      <c r="ED53" s="274" t="e">
        <f t="shared" ca="1" si="67"/>
        <v>#N/A</v>
      </c>
      <c r="EF53" s="251" t="e">
        <f t="shared" ca="1" si="140"/>
        <v>#N/A</v>
      </c>
      <c r="EG53" s="251" t="e">
        <f t="shared" ca="1" si="140"/>
        <v>#N/A</v>
      </c>
      <c r="EH53" s="274" t="e">
        <f t="shared" ca="1" si="68"/>
        <v>#N/A</v>
      </c>
      <c r="EJ53" s="251" t="e">
        <f t="shared" ca="1" si="141"/>
        <v>#N/A</v>
      </c>
      <c r="EK53" s="251" t="e">
        <f t="shared" ca="1" si="141"/>
        <v>#N/A</v>
      </c>
      <c r="EL53" s="274" t="e">
        <f t="shared" ca="1" si="69"/>
        <v>#N/A</v>
      </c>
      <c r="EO53" s="252" t="e">
        <f t="shared" ca="1" si="106"/>
        <v>#N/A</v>
      </c>
    </row>
    <row r="54" spans="1:192" s="234" customFormat="1">
      <c r="B54" s="258">
        <f t="shared" ca="1" si="70"/>
        <v>45</v>
      </c>
      <c r="C54" s="249">
        <f t="shared" ca="1" si="107"/>
        <v>0</v>
      </c>
      <c r="D54" s="236">
        <f t="shared" ca="1" si="107"/>
        <v>0</v>
      </c>
      <c r="E54" s="236">
        <f t="shared" ca="1" si="107"/>
        <v>0</v>
      </c>
      <c r="F54" s="250"/>
      <c r="G54" s="273"/>
      <c r="H54" s="440" t="e">
        <f t="shared" ca="1" si="108"/>
        <v>#N/A</v>
      </c>
      <c r="I54" s="440" t="e">
        <f t="shared" ca="1" si="108"/>
        <v>#N/A</v>
      </c>
      <c r="J54" s="274" t="e">
        <f t="shared" ca="1" si="36"/>
        <v>#N/A</v>
      </c>
      <c r="K54" s="273"/>
      <c r="L54" s="440" t="e">
        <f t="shared" ca="1" si="109"/>
        <v>#N/A</v>
      </c>
      <c r="M54" s="440" t="e">
        <f t="shared" ca="1" si="109"/>
        <v>#N/A</v>
      </c>
      <c r="N54" s="274" t="e">
        <f t="shared" ca="1" si="37"/>
        <v>#N/A</v>
      </c>
      <c r="O54" s="273"/>
      <c r="P54" s="440" t="e">
        <f t="shared" ca="1" si="110"/>
        <v>#N/A</v>
      </c>
      <c r="Q54" s="440" t="e">
        <f t="shared" ca="1" si="110"/>
        <v>#N/A</v>
      </c>
      <c r="R54" s="274" t="e">
        <f t="shared" ca="1" si="38"/>
        <v>#N/A</v>
      </c>
      <c r="S54" s="273"/>
      <c r="T54" s="440" t="e">
        <f t="shared" ca="1" si="111"/>
        <v>#N/A</v>
      </c>
      <c r="U54" s="440" t="e">
        <f t="shared" ca="1" si="111"/>
        <v>#N/A</v>
      </c>
      <c r="V54" s="274" t="e">
        <f t="shared" ca="1" si="39"/>
        <v>#N/A</v>
      </c>
      <c r="W54" s="273"/>
      <c r="X54" s="440" t="e">
        <f t="shared" ca="1" si="112"/>
        <v>#N/A</v>
      </c>
      <c r="Y54" s="440" t="e">
        <f t="shared" ca="1" si="112"/>
        <v>#N/A</v>
      </c>
      <c r="Z54" s="274" t="e">
        <f t="shared" ca="1" si="40"/>
        <v>#N/A</v>
      </c>
      <c r="AA54" s="273"/>
      <c r="AB54" s="440" t="e">
        <f t="shared" ca="1" si="113"/>
        <v>#N/A</v>
      </c>
      <c r="AC54" s="440" t="e">
        <f t="shared" ca="1" si="113"/>
        <v>#N/A</v>
      </c>
      <c r="AD54" s="274" t="e">
        <f t="shared" ca="1" si="41"/>
        <v>#N/A</v>
      </c>
      <c r="AE54" s="273"/>
      <c r="AF54" s="440" t="e">
        <f t="shared" ca="1" si="114"/>
        <v>#N/A</v>
      </c>
      <c r="AG54" s="440" t="e">
        <f t="shared" ca="1" si="114"/>
        <v>#N/A</v>
      </c>
      <c r="AH54" s="274" t="e">
        <f t="shared" ca="1" si="42"/>
        <v>#N/A</v>
      </c>
      <c r="AI54" s="273"/>
      <c r="AJ54" s="440" t="e">
        <f t="shared" ca="1" si="115"/>
        <v>#N/A</v>
      </c>
      <c r="AK54" s="440" t="e">
        <f t="shared" ca="1" si="115"/>
        <v>#N/A</v>
      </c>
      <c r="AL54" s="274" t="e">
        <f t="shared" ca="1" si="43"/>
        <v>#N/A</v>
      </c>
      <c r="AM54" s="273"/>
      <c r="AN54" s="440" t="e">
        <f t="shared" ca="1" si="116"/>
        <v>#N/A</v>
      </c>
      <c r="AO54" s="440" t="e">
        <f t="shared" ca="1" si="116"/>
        <v>#N/A</v>
      </c>
      <c r="AP54" s="274" t="e">
        <f t="shared" ca="1" si="44"/>
        <v>#N/A</v>
      </c>
      <c r="AQ54" s="273"/>
      <c r="AR54" s="440" t="e">
        <f t="shared" ca="1" si="117"/>
        <v>#N/A</v>
      </c>
      <c r="AS54" s="440" t="e">
        <f t="shared" ca="1" si="117"/>
        <v>#N/A</v>
      </c>
      <c r="AT54" s="274" t="e">
        <f t="shared" ca="1" si="45"/>
        <v>#N/A</v>
      </c>
      <c r="AU54" s="273"/>
      <c r="AV54" s="440" t="e">
        <f t="shared" ca="1" si="118"/>
        <v>#N/A</v>
      </c>
      <c r="AW54" s="440" t="e">
        <f t="shared" ca="1" si="118"/>
        <v>#N/A</v>
      </c>
      <c r="AX54" s="274" t="e">
        <f t="shared" ca="1" si="46"/>
        <v>#N/A</v>
      </c>
      <c r="AY54" s="273"/>
      <c r="AZ54" s="440" t="e">
        <f t="shared" ca="1" si="119"/>
        <v>#N/A</v>
      </c>
      <c r="BA54" s="440" t="e">
        <f t="shared" ca="1" si="119"/>
        <v>#N/A</v>
      </c>
      <c r="BB54" s="274" t="e">
        <f t="shared" ca="1" si="47"/>
        <v>#N/A</v>
      </c>
      <c r="BC54" s="273"/>
      <c r="BD54" s="440" t="e">
        <f t="shared" ca="1" si="120"/>
        <v>#N/A</v>
      </c>
      <c r="BE54" s="440" t="e">
        <f t="shared" ca="1" si="120"/>
        <v>#N/A</v>
      </c>
      <c r="BF54" s="274" t="e">
        <f t="shared" ca="1" si="48"/>
        <v>#N/A</v>
      </c>
      <c r="BG54" s="273"/>
      <c r="BH54" s="440" t="e">
        <f t="shared" ca="1" si="121"/>
        <v>#N/A</v>
      </c>
      <c r="BI54" s="440" t="e">
        <f t="shared" ca="1" si="121"/>
        <v>#N/A</v>
      </c>
      <c r="BJ54" s="274" t="e">
        <f t="shared" ca="1" si="49"/>
        <v>#N/A</v>
      </c>
      <c r="BK54" s="273"/>
      <c r="BL54" s="440" t="e">
        <f t="shared" ca="1" si="122"/>
        <v>#N/A</v>
      </c>
      <c r="BM54" s="440" t="e">
        <f t="shared" ca="1" si="122"/>
        <v>#N/A</v>
      </c>
      <c r="BN54" s="274" t="e">
        <f t="shared" ca="1" si="50"/>
        <v>#N/A</v>
      </c>
      <c r="BO54" s="273"/>
      <c r="BP54" s="440" t="e">
        <f t="shared" ca="1" si="123"/>
        <v>#N/A</v>
      </c>
      <c r="BQ54" s="440" t="e">
        <f t="shared" ca="1" si="123"/>
        <v>#N/A</v>
      </c>
      <c r="BR54" s="274" t="e">
        <f t="shared" ca="1" si="51"/>
        <v>#N/A</v>
      </c>
      <c r="BS54" s="273"/>
      <c r="BT54" s="440" t="e">
        <f t="shared" ca="1" si="124"/>
        <v>#N/A</v>
      </c>
      <c r="BU54" s="440" t="e">
        <f t="shared" ca="1" si="124"/>
        <v>#N/A</v>
      </c>
      <c r="BV54" s="274" t="e">
        <f t="shared" ca="1" si="52"/>
        <v>#N/A</v>
      </c>
      <c r="BW54" s="273"/>
      <c r="BX54" s="440" t="e">
        <f t="shared" ca="1" si="125"/>
        <v>#N/A</v>
      </c>
      <c r="BY54" s="440" t="e">
        <f t="shared" ca="1" si="125"/>
        <v>#N/A</v>
      </c>
      <c r="BZ54" s="274" t="e">
        <f t="shared" ca="1" si="53"/>
        <v>#N/A</v>
      </c>
      <c r="CA54" s="273"/>
      <c r="CB54" s="440" t="e">
        <f t="shared" ca="1" si="126"/>
        <v>#N/A</v>
      </c>
      <c r="CC54" s="440" t="e">
        <f t="shared" ca="1" si="126"/>
        <v>#N/A</v>
      </c>
      <c r="CD54" s="274" t="e">
        <f t="shared" ca="1" si="54"/>
        <v>#N/A</v>
      </c>
      <c r="CE54" s="273"/>
      <c r="CF54" s="440" t="e">
        <f t="shared" ca="1" si="127"/>
        <v>#N/A</v>
      </c>
      <c r="CG54" s="440" t="e">
        <f t="shared" ca="1" si="127"/>
        <v>#N/A</v>
      </c>
      <c r="CH54" s="274" t="e">
        <f t="shared" ca="1" si="55"/>
        <v>#N/A</v>
      </c>
      <c r="CI54" s="273"/>
      <c r="CJ54" s="440" t="e">
        <f t="shared" ca="1" si="128"/>
        <v>#N/A</v>
      </c>
      <c r="CK54" s="440" t="e">
        <f t="shared" ca="1" si="128"/>
        <v>#N/A</v>
      </c>
      <c r="CL54" s="274" t="e">
        <f t="shared" ca="1" si="56"/>
        <v>#N/A</v>
      </c>
      <c r="CN54" s="440" t="e">
        <f t="shared" ca="1" si="129"/>
        <v>#N/A</v>
      </c>
      <c r="CO54" s="440" t="e">
        <f t="shared" ca="1" si="129"/>
        <v>#N/A</v>
      </c>
      <c r="CP54" s="274" t="e">
        <f t="shared" ca="1" si="57"/>
        <v>#N/A</v>
      </c>
      <c r="CR54" s="440" t="e">
        <f t="shared" ca="1" si="130"/>
        <v>#N/A</v>
      </c>
      <c r="CS54" s="440" t="e">
        <f t="shared" ca="1" si="130"/>
        <v>#N/A</v>
      </c>
      <c r="CT54" s="274" t="e">
        <f t="shared" ca="1" si="58"/>
        <v>#N/A</v>
      </c>
      <c r="CV54" s="440" t="e">
        <f t="shared" ca="1" si="131"/>
        <v>#N/A</v>
      </c>
      <c r="CW54" s="440" t="e">
        <f t="shared" ca="1" si="131"/>
        <v>#N/A</v>
      </c>
      <c r="CX54" s="274" t="e">
        <f t="shared" ca="1" si="59"/>
        <v>#N/A</v>
      </c>
      <c r="CZ54" s="440" t="e">
        <f t="shared" ca="1" si="132"/>
        <v>#N/A</v>
      </c>
      <c r="DA54" s="440" t="e">
        <f t="shared" ca="1" si="132"/>
        <v>#N/A</v>
      </c>
      <c r="DB54" s="274" t="e">
        <f t="shared" ca="1" si="60"/>
        <v>#N/A</v>
      </c>
      <c r="DD54" s="440" t="e">
        <f t="shared" ca="1" si="133"/>
        <v>#N/A</v>
      </c>
      <c r="DE54" s="440" t="e">
        <f t="shared" ca="1" si="133"/>
        <v>#N/A</v>
      </c>
      <c r="DF54" s="274" t="e">
        <f t="shared" ca="1" si="61"/>
        <v>#N/A</v>
      </c>
      <c r="DH54" s="440" t="e">
        <f t="shared" ca="1" si="134"/>
        <v>#N/A</v>
      </c>
      <c r="DI54" s="440" t="e">
        <f t="shared" ca="1" si="134"/>
        <v>#N/A</v>
      </c>
      <c r="DJ54" s="274" t="e">
        <f t="shared" ca="1" si="62"/>
        <v>#N/A</v>
      </c>
      <c r="DL54" s="440" t="e">
        <f t="shared" ca="1" si="135"/>
        <v>#N/A</v>
      </c>
      <c r="DM54" s="440" t="e">
        <f t="shared" ca="1" si="135"/>
        <v>#N/A</v>
      </c>
      <c r="DN54" s="274" t="e">
        <f t="shared" ca="1" si="63"/>
        <v>#N/A</v>
      </c>
      <c r="DP54" s="440" t="e">
        <f t="shared" ca="1" si="136"/>
        <v>#N/A</v>
      </c>
      <c r="DQ54" s="440" t="e">
        <f t="shared" ca="1" si="136"/>
        <v>#N/A</v>
      </c>
      <c r="DR54" s="274" t="e">
        <f t="shared" ca="1" si="64"/>
        <v>#N/A</v>
      </c>
      <c r="DT54" s="440" t="e">
        <f t="shared" ca="1" si="137"/>
        <v>#N/A</v>
      </c>
      <c r="DU54" s="440" t="e">
        <f t="shared" ca="1" si="137"/>
        <v>#N/A</v>
      </c>
      <c r="DV54" s="274" t="e">
        <f t="shared" ca="1" si="65"/>
        <v>#N/A</v>
      </c>
      <c r="DX54" s="440" t="e">
        <f t="shared" ca="1" si="138"/>
        <v>#N/A</v>
      </c>
      <c r="DY54" s="440" t="e">
        <f t="shared" ca="1" si="138"/>
        <v>#N/A</v>
      </c>
      <c r="DZ54" s="274" t="e">
        <f t="shared" ca="1" si="66"/>
        <v>#N/A</v>
      </c>
      <c r="EB54" s="440" t="e">
        <f t="shared" ca="1" si="139"/>
        <v>#N/A</v>
      </c>
      <c r="EC54" s="440" t="e">
        <f t="shared" ca="1" si="139"/>
        <v>#N/A</v>
      </c>
      <c r="ED54" s="274" t="e">
        <f t="shared" ca="1" si="67"/>
        <v>#N/A</v>
      </c>
      <c r="EF54" s="251" t="e">
        <f t="shared" ca="1" si="140"/>
        <v>#N/A</v>
      </c>
      <c r="EG54" s="251" t="e">
        <f t="shared" ca="1" si="140"/>
        <v>#N/A</v>
      </c>
      <c r="EH54" s="274" t="e">
        <f t="shared" ca="1" si="68"/>
        <v>#N/A</v>
      </c>
      <c r="EJ54" s="251" t="e">
        <f t="shared" ca="1" si="141"/>
        <v>#N/A</v>
      </c>
      <c r="EK54" s="251" t="e">
        <f t="shared" ca="1" si="141"/>
        <v>#N/A</v>
      </c>
      <c r="EL54" s="274" t="e">
        <f t="shared" ca="1" si="69"/>
        <v>#N/A</v>
      </c>
      <c r="EO54" s="252" t="e">
        <f t="shared" ca="1" si="106"/>
        <v>#N/A</v>
      </c>
    </row>
    <row r="55" spans="1:192" s="234" customFormat="1">
      <c r="B55" s="258">
        <f t="shared" ca="1" si="70"/>
        <v>46</v>
      </c>
      <c r="C55" s="249">
        <f t="shared" ca="1" si="107"/>
        <v>0</v>
      </c>
      <c r="D55" s="236">
        <f t="shared" ca="1" si="107"/>
        <v>0</v>
      </c>
      <c r="E55" s="236">
        <f t="shared" ca="1" si="107"/>
        <v>0</v>
      </c>
      <c r="F55" s="250"/>
      <c r="G55" s="273"/>
      <c r="H55" s="440" t="e">
        <f t="shared" ca="1" si="108"/>
        <v>#N/A</v>
      </c>
      <c r="I55" s="440" t="e">
        <f t="shared" ca="1" si="108"/>
        <v>#N/A</v>
      </c>
      <c r="J55" s="274" t="e">
        <f t="shared" ca="1" si="36"/>
        <v>#N/A</v>
      </c>
      <c r="K55" s="273"/>
      <c r="L55" s="440" t="e">
        <f t="shared" ca="1" si="109"/>
        <v>#N/A</v>
      </c>
      <c r="M55" s="440" t="e">
        <f t="shared" ca="1" si="109"/>
        <v>#N/A</v>
      </c>
      <c r="N55" s="274" t="e">
        <f t="shared" ca="1" si="37"/>
        <v>#N/A</v>
      </c>
      <c r="O55" s="273"/>
      <c r="P55" s="440" t="e">
        <f t="shared" ca="1" si="110"/>
        <v>#N/A</v>
      </c>
      <c r="Q55" s="440" t="e">
        <f t="shared" ca="1" si="110"/>
        <v>#N/A</v>
      </c>
      <c r="R55" s="274" t="e">
        <f t="shared" ca="1" si="38"/>
        <v>#N/A</v>
      </c>
      <c r="S55" s="273"/>
      <c r="T55" s="440" t="e">
        <f t="shared" ca="1" si="111"/>
        <v>#N/A</v>
      </c>
      <c r="U55" s="440" t="e">
        <f t="shared" ca="1" si="111"/>
        <v>#N/A</v>
      </c>
      <c r="V55" s="274" t="e">
        <f t="shared" ca="1" si="39"/>
        <v>#N/A</v>
      </c>
      <c r="W55" s="273"/>
      <c r="X55" s="440" t="e">
        <f t="shared" ca="1" si="112"/>
        <v>#N/A</v>
      </c>
      <c r="Y55" s="440" t="e">
        <f t="shared" ca="1" si="112"/>
        <v>#N/A</v>
      </c>
      <c r="Z55" s="274" t="e">
        <f t="shared" ca="1" si="40"/>
        <v>#N/A</v>
      </c>
      <c r="AA55" s="273"/>
      <c r="AB55" s="440" t="e">
        <f t="shared" ca="1" si="113"/>
        <v>#N/A</v>
      </c>
      <c r="AC55" s="440" t="e">
        <f t="shared" ca="1" si="113"/>
        <v>#N/A</v>
      </c>
      <c r="AD55" s="274" t="e">
        <f t="shared" ca="1" si="41"/>
        <v>#N/A</v>
      </c>
      <c r="AE55" s="273"/>
      <c r="AF55" s="440" t="e">
        <f t="shared" ca="1" si="114"/>
        <v>#N/A</v>
      </c>
      <c r="AG55" s="440" t="e">
        <f t="shared" ca="1" si="114"/>
        <v>#N/A</v>
      </c>
      <c r="AH55" s="274" t="e">
        <f t="shared" ca="1" si="42"/>
        <v>#N/A</v>
      </c>
      <c r="AI55" s="273"/>
      <c r="AJ55" s="440" t="e">
        <f t="shared" ca="1" si="115"/>
        <v>#N/A</v>
      </c>
      <c r="AK55" s="440" t="e">
        <f t="shared" ca="1" si="115"/>
        <v>#N/A</v>
      </c>
      <c r="AL55" s="274" t="e">
        <f t="shared" ca="1" si="43"/>
        <v>#N/A</v>
      </c>
      <c r="AM55" s="273"/>
      <c r="AN55" s="440" t="e">
        <f t="shared" ca="1" si="116"/>
        <v>#N/A</v>
      </c>
      <c r="AO55" s="440" t="e">
        <f t="shared" ca="1" si="116"/>
        <v>#N/A</v>
      </c>
      <c r="AP55" s="274" t="e">
        <f t="shared" ca="1" si="44"/>
        <v>#N/A</v>
      </c>
      <c r="AQ55" s="273"/>
      <c r="AR55" s="440" t="e">
        <f t="shared" ca="1" si="117"/>
        <v>#N/A</v>
      </c>
      <c r="AS55" s="440" t="e">
        <f t="shared" ca="1" si="117"/>
        <v>#N/A</v>
      </c>
      <c r="AT55" s="274" t="e">
        <f t="shared" ca="1" si="45"/>
        <v>#N/A</v>
      </c>
      <c r="AU55" s="273"/>
      <c r="AV55" s="440" t="e">
        <f t="shared" ca="1" si="118"/>
        <v>#N/A</v>
      </c>
      <c r="AW55" s="440" t="e">
        <f t="shared" ca="1" si="118"/>
        <v>#N/A</v>
      </c>
      <c r="AX55" s="274" t="e">
        <f t="shared" ca="1" si="46"/>
        <v>#N/A</v>
      </c>
      <c r="AY55" s="273"/>
      <c r="AZ55" s="440" t="e">
        <f t="shared" ca="1" si="119"/>
        <v>#N/A</v>
      </c>
      <c r="BA55" s="440" t="e">
        <f t="shared" ca="1" si="119"/>
        <v>#N/A</v>
      </c>
      <c r="BB55" s="274" t="e">
        <f t="shared" ca="1" si="47"/>
        <v>#N/A</v>
      </c>
      <c r="BC55" s="273"/>
      <c r="BD55" s="440" t="e">
        <f t="shared" ca="1" si="120"/>
        <v>#N/A</v>
      </c>
      <c r="BE55" s="440" t="e">
        <f t="shared" ca="1" si="120"/>
        <v>#N/A</v>
      </c>
      <c r="BF55" s="274" t="e">
        <f t="shared" ca="1" si="48"/>
        <v>#N/A</v>
      </c>
      <c r="BG55" s="273"/>
      <c r="BH55" s="440" t="e">
        <f t="shared" ca="1" si="121"/>
        <v>#N/A</v>
      </c>
      <c r="BI55" s="440" t="e">
        <f t="shared" ca="1" si="121"/>
        <v>#N/A</v>
      </c>
      <c r="BJ55" s="274" t="e">
        <f t="shared" ca="1" si="49"/>
        <v>#N/A</v>
      </c>
      <c r="BK55" s="273"/>
      <c r="BL55" s="440" t="e">
        <f t="shared" ca="1" si="122"/>
        <v>#N/A</v>
      </c>
      <c r="BM55" s="440" t="e">
        <f t="shared" ca="1" si="122"/>
        <v>#N/A</v>
      </c>
      <c r="BN55" s="274" t="e">
        <f t="shared" ca="1" si="50"/>
        <v>#N/A</v>
      </c>
      <c r="BO55" s="273"/>
      <c r="BP55" s="440" t="e">
        <f t="shared" ca="1" si="123"/>
        <v>#N/A</v>
      </c>
      <c r="BQ55" s="440" t="e">
        <f t="shared" ca="1" si="123"/>
        <v>#N/A</v>
      </c>
      <c r="BR55" s="274" t="e">
        <f t="shared" ca="1" si="51"/>
        <v>#N/A</v>
      </c>
      <c r="BS55" s="273"/>
      <c r="BT55" s="440" t="e">
        <f t="shared" ca="1" si="124"/>
        <v>#N/A</v>
      </c>
      <c r="BU55" s="440" t="e">
        <f t="shared" ca="1" si="124"/>
        <v>#N/A</v>
      </c>
      <c r="BV55" s="274" t="e">
        <f t="shared" ca="1" si="52"/>
        <v>#N/A</v>
      </c>
      <c r="BW55" s="273"/>
      <c r="BX55" s="440" t="e">
        <f t="shared" ca="1" si="125"/>
        <v>#N/A</v>
      </c>
      <c r="BY55" s="440" t="e">
        <f t="shared" ca="1" si="125"/>
        <v>#N/A</v>
      </c>
      <c r="BZ55" s="274" t="e">
        <f t="shared" ca="1" si="53"/>
        <v>#N/A</v>
      </c>
      <c r="CA55" s="273"/>
      <c r="CB55" s="440" t="e">
        <f t="shared" ca="1" si="126"/>
        <v>#N/A</v>
      </c>
      <c r="CC55" s="440" t="e">
        <f t="shared" ca="1" si="126"/>
        <v>#N/A</v>
      </c>
      <c r="CD55" s="274" t="e">
        <f t="shared" ca="1" si="54"/>
        <v>#N/A</v>
      </c>
      <c r="CE55" s="273"/>
      <c r="CF55" s="440" t="e">
        <f t="shared" ca="1" si="127"/>
        <v>#N/A</v>
      </c>
      <c r="CG55" s="440" t="e">
        <f t="shared" ca="1" si="127"/>
        <v>#N/A</v>
      </c>
      <c r="CH55" s="274" t="e">
        <f t="shared" ca="1" si="55"/>
        <v>#N/A</v>
      </c>
      <c r="CI55" s="273"/>
      <c r="CJ55" s="440" t="e">
        <f t="shared" ca="1" si="128"/>
        <v>#N/A</v>
      </c>
      <c r="CK55" s="440" t="e">
        <f t="shared" ca="1" si="128"/>
        <v>#N/A</v>
      </c>
      <c r="CL55" s="274" t="e">
        <f t="shared" ca="1" si="56"/>
        <v>#N/A</v>
      </c>
      <c r="CN55" s="440" t="e">
        <f t="shared" ca="1" si="129"/>
        <v>#N/A</v>
      </c>
      <c r="CO55" s="440" t="e">
        <f t="shared" ca="1" si="129"/>
        <v>#N/A</v>
      </c>
      <c r="CP55" s="274" t="e">
        <f t="shared" ca="1" si="57"/>
        <v>#N/A</v>
      </c>
      <c r="CR55" s="440" t="e">
        <f t="shared" ca="1" si="130"/>
        <v>#N/A</v>
      </c>
      <c r="CS55" s="440" t="e">
        <f t="shared" ca="1" si="130"/>
        <v>#N/A</v>
      </c>
      <c r="CT55" s="274" t="e">
        <f t="shared" ca="1" si="58"/>
        <v>#N/A</v>
      </c>
      <c r="CV55" s="440" t="e">
        <f t="shared" ca="1" si="131"/>
        <v>#N/A</v>
      </c>
      <c r="CW55" s="440" t="e">
        <f t="shared" ca="1" si="131"/>
        <v>#N/A</v>
      </c>
      <c r="CX55" s="274" t="e">
        <f t="shared" ca="1" si="59"/>
        <v>#N/A</v>
      </c>
      <c r="CZ55" s="440" t="e">
        <f t="shared" ca="1" si="132"/>
        <v>#N/A</v>
      </c>
      <c r="DA55" s="440" t="e">
        <f t="shared" ca="1" si="132"/>
        <v>#N/A</v>
      </c>
      <c r="DB55" s="274" t="e">
        <f t="shared" ca="1" si="60"/>
        <v>#N/A</v>
      </c>
      <c r="DD55" s="440" t="e">
        <f t="shared" ca="1" si="133"/>
        <v>#N/A</v>
      </c>
      <c r="DE55" s="440" t="e">
        <f t="shared" ca="1" si="133"/>
        <v>#N/A</v>
      </c>
      <c r="DF55" s="274" t="e">
        <f t="shared" ca="1" si="61"/>
        <v>#N/A</v>
      </c>
      <c r="DH55" s="440" t="e">
        <f t="shared" ca="1" si="134"/>
        <v>#N/A</v>
      </c>
      <c r="DI55" s="440" t="e">
        <f t="shared" ca="1" si="134"/>
        <v>#N/A</v>
      </c>
      <c r="DJ55" s="274" t="e">
        <f t="shared" ca="1" si="62"/>
        <v>#N/A</v>
      </c>
      <c r="DL55" s="440" t="e">
        <f t="shared" ca="1" si="135"/>
        <v>#N/A</v>
      </c>
      <c r="DM55" s="440" t="e">
        <f t="shared" ca="1" si="135"/>
        <v>#N/A</v>
      </c>
      <c r="DN55" s="274" t="e">
        <f t="shared" ca="1" si="63"/>
        <v>#N/A</v>
      </c>
      <c r="DP55" s="440" t="e">
        <f t="shared" ca="1" si="136"/>
        <v>#N/A</v>
      </c>
      <c r="DQ55" s="440" t="e">
        <f t="shared" ca="1" si="136"/>
        <v>#N/A</v>
      </c>
      <c r="DR55" s="274" t="e">
        <f t="shared" ca="1" si="64"/>
        <v>#N/A</v>
      </c>
      <c r="DT55" s="440" t="e">
        <f t="shared" ca="1" si="137"/>
        <v>#N/A</v>
      </c>
      <c r="DU55" s="440" t="e">
        <f t="shared" ca="1" si="137"/>
        <v>#N/A</v>
      </c>
      <c r="DV55" s="274" t="e">
        <f t="shared" ca="1" si="65"/>
        <v>#N/A</v>
      </c>
      <c r="DX55" s="440" t="e">
        <f t="shared" ca="1" si="138"/>
        <v>#N/A</v>
      </c>
      <c r="DY55" s="440" t="e">
        <f t="shared" ca="1" si="138"/>
        <v>#N/A</v>
      </c>
      <c r="DZ55" s="274" t="e">
        <f t="shared" ca="1" si="66"/>
        <v>#N/A</v>
      </c>
      <c r="EB55" s="440" t="e">
        <f t="shared" ca="1" si="139"/>
        <v>#N/A</v>
      </c>
      <c r="EC55" s="440" t="e">
        <f t="shared" ca="1" si="139"/>
        <v>#N/A</v>
      </c>
      <c r="ED55" s="274" t="e">
        <f t="shared" ca="1" si="67"/>
        <v>#N/A</v>
      </c>
      <c r="EF55" s="251" t="e">
        <f t="shared" ca="1" si="140"/>
        <v>#N/A</v>
      </c>
      <c r="EG55" s="251" t="e">
        <f t="shared" ca="1" si="140"/>
        <v>#N/A</v>
      </c>
      <c r="EH55" s="274" t="e">
        <f t="shared" ca="1" si="68"/>
        <v>#N/A</v>
      </c>
      <c r="EJ55" s="251" t="e">
        <f t="shared" ca="1" si="141"/>
        <v>#N/A</v>
      </c>
      <c r="EK55" s="251" t="e">
        <f t="shared" ca="1" si="141"/>
        <v>#N/A</v>
      </c>
      <c r="EL55" s="274" t="e">
        <f t="shared" ca="1" si="69"/>
        <v>#N/A</v>
      </c>
      <c r="EO55" s="252" t="e">
        <f t="shared" ca="1" si="106"/>
        <v>#N/A</v>
      </c>
    </row>
    <row r="56" spans="1:192" s="234" customFormat="1">
      <c r="B56" s="258">
        <f t="shared" ca="1" si="70"/>
        <v>47</v>
      </c>
      <c r="C56" s="249">
        <f t="shared" ca="1" si="107"/>
        <v>0</v>
      </c>
      <c r="D56" s="236">
        <f t="shared" ca="1" si="107"/>
        <v>0</v>
      </c>
      <c r="E56" s="236">
        <f t="shared" ca="1" si="107"/>
        <v>0</v>
      </c>
      <c r="F56" s="250"/>
      <c r="G56" s="273"/>
      <c r="H56" s="440" t="e">
        <f t="shared" ca="1" si="108"/>
        <v>#N/A</v>
      </c>
      <c r="I56" s="440" t="e">
        <f t="shared" ca="1" si="108"/>
        <v>#N/A</v>
      </c>
      <c r="J56" s="274" t="e">
        <f t="shared" ca="1" si="36"/>
        <v>#N/A</v>
      </c>
      <c r="K56" s="273"/>
      <c r="L56" s="440" t="e">
        <f t="shared" ca="1" si="109"/>
        <v>#N/A</v>
      </c>
      <c r="M56" s="440" t="e">
        <f t="shared" ca="1" si="109"/>
        <v>#N/A</v>
      </c>
      <c r="N56" s="274" t="e">
        <f t="shared" ca="1" si="37"/>
        <v>#N/A</v>
      </c>
      <c r="O56" s="273"/>
      <c r="P56" s="440" t="e">
        <f t="shared" ca="1" si="110"/>
        <v>#N/A</v>
      </c>
      <c r="Q56" s="440" t="e">
        <f t="shared" ca="1" si="110"/>
        <v>#N/A</v>
      </c>
      <c r="R56" s="274" t="e">
        <f t="shared" ca="1" si="38"/>
        <v>#N/A</v>
      </c>
      <c r="S56" s="273"/>
      <c r="T56" s="440" t="e">
        <f t="shared" ca="1" si="111"/>
        <v>#N/A</v>
      </c>
      <c r="U56" s="440" t="e">
        <f t="shared" ca="1" si="111"/>
        <v>#N/A</v>
      </c>
      <c r="V56" s="274" t="e">
        <f t="shared" ca="1" si="39"/>
        <v>#N/A</v>
      </c>
      <c r="W56" s="273"/>
      <c r="X56" s="440" t="e">
        <f t="shared" ca="1" si="112"/>
        <v>#N/A</v>
      </c>
      <c r="Y56" s="440" t="e">
        <f t="shared" ca="1" si="112"/>
        <v>#N/A</v>
      </c>
      <c r="Z56" s="274" t="e">
        <f t="shared" ca="1" si="40"/>
        <v>#N/A</v>
      </c>
      <c r="AA56" s="273"/>
      <c r="AB56" s="440" t="e">
        <f t="shared" ca="1" si="113"/>
        <v>#N/A</v>
      </c>
      <c r="AC56" s="440" t="e">
        <f t="shared" ca="1" si="113"/>
        <v>#N/A</v>
      </c>
      <c r="AD56" s="274" t="e">
        <f t="shared" ca="1" si="41"/>
        <v>#N/A</v>
      </c>
      <c r="AE56" s="273"/>
      <c r="AF56" s="440" t="e">
        <f t="shared" ca="1" si="114"/>
        <v>#N/A</v>
      </c>
      <c r="AG56" s="440" t="e">
        <f t="shared" ca="1" si="114"/>
        <v>#N/A</v>
      </c>
      <c r="AH56" s="274" t="e">
        <f t="shared" ca="1" si="42"/>
        <v>#N/A</v>
      </c>
      <c r="AI56" s="273"/>
      <c r="AJ56" s="440" t="e">
        <f t="shared" ca="1" si="115"/>
        <v>#N/A</v>
      </c>
      <c r="AK56" s="440" t="e">
        <f t="shared" ca="1" si="115"/>
        <v>#N/A</v>
      </c>
      <c r="AL56" s="274" t="e">
        <f t="shared" ca="1" si="43"/>
        <v>#N/A</v>
      </c>
      <c r="AM56" s="273"/>
      <c r="AN56" s="440" t="e">
        <f t="shared" ca="1" si="116"/>
        <v>#N/A</v>
      </c>
      <c r="AO56" s="440" t="e">
        <f t="shared" ca="1" si="116"/>
        <v>#N/A</v>
      </c>
      <c r="AP56" s="274" t="e">
        <f t="shared" ca="1" si="44"/>
        <v>#N/A</v>
      </c>
      <c r="AQ56" s="273"/>
      <c r="AR56" s="440" t="e">
        <f t="shared" ca="1" si="117"/>
        <v>#N/A</v>
      </c>
      <c r="AS56" s="440" t="e">
        <f t="shared" ca="1" si="117"/>
        <v>#N/A</v>
      </c>
      <c r="AT56" s="274" t="e">
        <f t="shared" ca="1" si="45"/>
        <v>#N/A</v>
      </c>
      <c r="AU56" s="273"/>
      <c r="AV56" s="440" t="e">
        <f t="shared" ca="1" si="118"/>
        <v>#N/A</v>
      </c>
      <c r="AW56" s="440" t="e">
        <f t="shared" ca="1" si="118"/>
        <v>#N/A</v>
      </c>
      <c r="AX56" s="274" t="e">
        <f t="shared" ca="1" si="46"/>
        <v>#N/A</v>
      </c>
      <c r="AY56" s="273"/>
      <c r="AZ56" s="440" t="e">
        <f t="shared" ca="1" si="119"/>
        <v>#N/A</v>
      </c>
      <c r="BA56" s="440" t="e">
        <f t="shared" ca="1" si="119"/>
        <v>#N/A</v>
      </c>
      <c r="BB56" s="274" t="e">
        <f t="shared" ca="1" si="47"/>
        <v>#N/A</v>
      </c>
      <c r="BC56" s="273"/>
      <c r="BD56" s="440" t="e">
        <f t="shared" ca="1" si="120"/>
        <v>#N/A</v>
      </c>
      <c r="BE56" s="440" t="e">
        <f t="shared" ca="1" si="120"/>
        <v>#N/A</v>
      </c>
      <c r="BF56" s="274" t="e">
        <f t="shared" ca="1" si="48"/>
        <v>#N/A</v>
      </c>
      <c r="BG56" s="273"/>
      <c r="BH56" s="440" t="e">
        <f t="shared" ca="1" si="121"/>
        <v>#N/A</v>
      </c>
      <c r="BI56" s="440" t="e">
        <f t="shared" ca="1" si="121"/>
        <v>#N/A</v>
      </c>
      <c r="BJ56" s="274" t="e">
        <f t="shared" ca="1" si="49"/>
        <v>#N/A</v>
      </c>
      <c r="BK56" s="273"/>
      <c r="BL56" s="440" t="e">
        <f t="shared" ca="1" si="122"/>
        <v>#N/A</v>
      </c>
      <c r="BM56" s="440" t="e">
        <f t="shared" ca="1" si="122"/>
        <v>#N/A</v>
      </c>
      <c r="BN56" s="274" t="e">
        <f t="shared" ca="1" si="50"/>
        <v>#N/A</v>
      </c>
      <c r="BO56" s="273"/>
      <c r="BP56" s="440" t="e">
        <f t="shared" ca="1" si="123"/>
        <v>#N/A</v>
      </c>
      <c r="BQ56" s="440" t="e">
        <f t="shared" ca="1" si="123"/>
        <v>#N/A</v>
      </c>
      <c r="BR56" s="274" t="e">
        <f t="shared" ca="1" si="51"/>
        <v>#N/A</v>
      </c>
      <c r="BS56" s="273"/>
      <c r="BT56" s="440" t="e">
        <f t="shared" ca="1" si="124"/>
        <v>#N/A</v>
      </c>
      <c r="BU56" s="440" t="e">
        <f t="shared" ca="1" si="124"/>
        <v>#N/A</v>
      </c>
      <c r="BV56" s="274" t="e">
        <f t="shared" ca="1" si="52"/>
        <v>#N/A</v>
      </c>
      <c r="BW56" s="273"/>
      <c r="BX56" s="440" t="e">
        <f t="shared" ca="1" si="125"/>
        <v>#N/A</v>
      </c>
      <c r="BY56" s="440" t="e">
        <f t="shared" ca="1" si="125"/>
        <v>#N/A</v>
      </c>
      <c r="BZ56" s="274" t="e">
        <f t="shared" ca="1" si="53"/>
        <v>#N/A</v>
      </c>
      <c r="CA56" s="273"/>
      <c r="CB56" s="440" t="e">
        <f t="shared" ca="1" si="126"/>
        <v>#N/A</v>
      </c>
      <c r="CC56" s="440" t="e">
        <f t="shared" ca="1" si="126"/>
        <v>#N/A</v>
      </c>
      <c r="CD56" s="274" t="e">
        <f t="shared" ca="1" si="54"/>
        <v>#N/A</v>
      </c>
      <c r="CE56" s="273"/>
      <c r="CF56" s="440" t="e">
        <f t="shared" ca="1" si="127"/>
        <v>#N/A</v>
      </c>
      <c r="CG56" s="440" t="e">
        <f t="shared" ca="1" si="127"/>
        <v>#N/A</v>
      </c>
      <c r="CH56" s="274" t="e">
        <f t="shared" ca="1" si="55"/>
        <v>#N/A</v>
      </c>
      <c r="CI56" s="273"/>
      <c r="CJ56" s="440" t="e">
        <f t="shared" ca="1" si="128"/>
        <v>#N/A</v>
      </c>
      <c r="CK56" s="440" t="e">
        <f t="shared" ca="1" si="128"/>
        <v>#N/A</v>
      </c>
      <c r="CL56" s="274" t="e">
        <f t="shared" ca="1" si="56"/>
        <v>#N/A</v>
      </c>
      <c r="CN56" s="440" t="e">
        <f t="shared" ca="1" si="129"/>
        <v>#N/A</v>
      </c>
      <c r="CO56" s="440" t="e">
        <f t="shared" ca="1" si="129"/>
        <v>#N/A</v>
      </c>
      <c r="CP56" s="274" t="e">
        <f t="shared" ca="1" si="57"/>
        <v>#N/A</v>
      </c>
      <c r="CR56" s="440" t="e">
        <f t="shared" ca="1" si="130"/>
        <v>#N/A</v>
      </c>
      <c r="CS56" s="440" t="e">
        <f t="shared" ca="1" si="130"/>
        <v>#N/A</v>
      </c>
      <c r="CT56" s="274" t="e">
        <f t="shared" ca="1" si="58"/>
        <v>#N/A</v>
      </c>
      <c r="CV56" s="440" t="e">
        <f t="shared" ca="1" si="131"/>
        <v>#N/A</v>
      </c>
      <c r="CW56" s="440" t="e">
        <f t="shared" ca="1" si="131"/>
        <v>#N/A</v>
      </c>
      <c r="CX56" s="274" t="e">
        <f t="shared" ca="1" si="59"/>
        <v>#N/A</v>
      </c>
      <c r="CZ56" s="440" t="e">
        <f t="shared" ca="1" si="132"/>
        <v>#N/A</v>
      </c>
      <c r="DA56" s="440" t="e">
        <f t="shared" ca="1" si="132"/>
        <v>#N/A</v>
      </c>
      <c r="DB56" s="274" t="e">
        <f t="shared" ca="1" si="60"/>
        <v>#N/A</v>
      </c>
      <c r="DD56" s="440" t="e">
        <f t="shared" ca="1" si="133"/>
        <v>#N/A</v>
      </c>
      <c r="DE56" s="440" t="e">
        <f t="shared" ca="1" si="133"/>
        <v>#N/A</v>
      </c>
      <c r="DF56" s="274" t="e">
        <f t="shared" ca="1" si="61"/>
        <v>#N/A</v>
      </c>
      <c r="DH56" s="440" t="e">
        <f t="shared" ca="1" si="134"/>
        <v>#N/A</v>
      </c>
      <c r="DI56" s="440" t="e">
        <f t="shared" ca="1" si="134"/>
        <v>#N/A</v>
      </c>
      <c r="DJ56" s="274" t="e">
        <f t="shared" ca="1" si="62"/>
        <v>#N/A</v>
      </c>
      <c r="DL56" s="440" t="e">
        <f t="shared" ca="1" si="135"/>
        <v>#N/A</v>
      </c>
      <c r="DM56" s="440" t="e">
        <f t="shared" ca="1" si="135"/>
        <v>#N/A</v>
      </c>
      <c r="DN56" s="274" t="e">
        <f t="shared" ca="1" si="63"/>
        <v>#N/A</v>
      </c>
      <c r="DP56" s="440" t="e">
        <f t="shared" ca="1" si="136"/>
        <v>#N/A</v>
      </c>
      <c r="DQ56" s="440" t="e">
        <f t="shared" ca="1" si="136"/>
        <v>#N/A</v>
      </c>
      <c r="DR56" s="274" t="e">
        <f t="shared" ca="1" si="64"/>
        <v>#N/A</v>
      </c>
      <c r="DT56" s="440" t="e">
        <f t="shared" ca="1" si="137"/>
        <v>#N/A</v>
      </c>
      <c r="DU56" s="440" t="e">
        <f t="shared" ca="1" si="137"/>
        <v>#N/A</v>
      </c>
      <c r="DV56" s="274" t="e">
        <f t="shared" ca="1" si="65"/>
        <v>#N/A</v>
      </c>
      <c r="DX56" s="440" t="e">
        <f t="shared" ca="1" si="138"/>
        <v>#N/A</v>
      </c>
      <c r="DY56" s="440" t="e">
        <f t="shared" ca="1" si="138"/>
        <v>#N/A</v>
      </c>
      <c r="DZ56" s="274" t="e">
        <f t="shared" ca="1" si="66"/>
        <v>#N/A</v>
      </c>
      <c r="EB56" s="440" t="e">
        <f t="shared" ca="1" si="139"/>
        <v>#N/A</v>
      </c>
      <c r="EC56" s="440" t="e">
        <f t="shared" ca="1" si="139"/>
        <v>#N/A</v>
      </c>
      <c r="ED56" s="274" t="e">
        <f t="shared" ca="1" si="67"/>
        <v>#N/A</v>
      </c>
      <c r="EF56" s="251" t="e">
        <f t="shared" ca="1" si="140"/>
        <v>#N/A</v>
      </c>
      <c r="EG56" s="251" t="e">
        <f t="shared" ca="1" si="140"/>
        <v>#N/A</v>
      </c>
      <c r="EH56" s="274" t="e">
        <f t="shared" ca="1" si="68"/>
        <v>#N/A</v>
      </c>
      <c r="EJ56" s="251" t="e">
        <f t="shared" ca="1" si="141"/>
        <v>#N/A</v>
      </c>
      <c r="EK56" s="251" t="e">
        <f t="shared" ca="1" si="141"/>
        <v>#N/A</v>
      </c>
      <c r="EL56" s="274" t="e">
        <f t="shared" ca="1" si="69"/>
        <v>#N/A</v>
      </c>
      <c r="EO56" s="252" t="e">
        <f t="shared" ca="1" si="106"/>
        <v>#N/A</v>
      </c>
    </row>
    <row r="57" spans="1:192" s="234" customFormat="1">
      <c r="B57" s="258">
        <f t="shared" ca="1" si="70"/>
        <v>48</v>
      </c>
      <c r="C57" s="249">
        <f t="shared" ca="1" si="107"/>
        <v>0</v>
      </c>
      <c r="D57" s="236">
        <f t="shared" ca="1" si="107"/>
        <v>0</v>
      </c>
      <c r="E57" s="236">
        <f t="shared" ca="1" si="107"/>
        <v>0</v>
      </c>
      <c r="F57" s="250"/>
      <c r="G57" s="273"/>
      <c r="H57" s="440" t="e">
        <f t="shared" ca="1" si="108"/>
        <v>#N/A</v>
      </c>
      <c r="I57" s="440" t="e">
        <f t="shared" ca="1" si="108"/>
        <v>#N/A</v>
      </c>
      <c r="J57" s="274" t="e">
        <f t="shared" ca="1" si="36"/>
        <v>#N/A</v>
      </c>
      <c r="K57" s="273"/>
      <c r="L57" s="440" t="e">
        <f t="shared" ca="1" si="109"/>
        <v>#N/A</v>
      </c>
      <c r="M57" s="440" t="e">
        <f t="shared" ca="1" si="109"/>
        <v>#N/A</v>
      </c>
      <c r="N57" s="274" t="e">
        <f t="shared" ca="1" si="37"/>
        <v>#N/A</v>
      </c>
      <c r="O57" s="273"/>
      <c r="P57" s="440" t="e">
        <f t="shared" ca="1" si="110"/>
        <v>#N/A</v>
      </c>
      <c r="Q57" s="440" t="e">
        <f t="shared" ca="1" si="110"/>
        <v>#N/A</v>
      </c>
      <c r="R57" s="274" t="e">
        <f t="shared" ca="1" si="38"/>
        <v>#N/A</v>
      </c>
      <c r="S57" s="273"/>
      <c r="T57" s="440" t="e">
        <f t="shared" ca="1" si="111"/>
        <v>#N/A</v>
      </c>
      <c r="U57" s="440" t="e">
        <f t="shared" ca="1" si="111"/>
        <v>#N/A</v>
      </c>
      <c r="V57" s="274" t="e">
        <f t="shared" ca="1" si="39"/>
        <v>#N/A</v>
      </c>
      <c r="W57" s="273"/>
      <c r="X57" s="440" t="e">
        <f t="shared" ca="1" si="112"/>
        <v>#N/A</v>
      </c>
      <c r="Y57" s="440" t="e">
        <f t="shared" ca="1" si="112"/>
        <v>#N/A</v>
      </c>
      <c r="Z57" s="274" t="e">
        <f t="shared" ca="1" si="40"/>
        <v>#N/A</v>
      </c>
      <c r="AA57" s="273"/>
      <c r="AB57" s="440" t="e">
        <f t="shared" ca="1" si="113"/>
        <v>#N/A</v>
      </c>
      <c r="AC57" s="440" t="e">
        <f t="shared" ca="1" si="113"/>
        <v>#N/A</v>
      </c>
      <c r="AD57" s="274" t="e">
        <f t="shared" ca="1" si="41"/>
        <v>#N/A</v>
      </c>
      <c r="AE57" s="273"/>
      <c r="AF57" s="440" t="e">
        <f t="shared" ca="1" si="114"/>
        <v>#N/A</v>
      </c>
      <c r="AG57" s="440" t="e">
        <f t="shared" ca="1" si="114"/>
        <v>#N/A</v>
      </c>
      <c r="AH57" s="274" t="e">
        <f t="shared" ca="1" si="42"/>
        <v>#N/A</v>
      </c>
      <c r="AI57" s="273"/>
      <c r="AJ57" s="440" t="e">
        <f t="shared" ca="1" si="115"/>
        <v>#N/A</v>
      </c>
      <c r="AK57" s="440" t="e">
        <f t="shared" ca="1" si="115"/>
        <v>#N/A</v>
      </c>
      <c r="AL57" s="274" t="e">
        <f t="shared" ca="1" si="43"/>
        <v>#N/A</v>
      </c>
      <c r="AM57" s="273"/>
      <c r="AN57" s="440" t="e">
        <f t="shared" ca="1" si="116"/>
        <v>#N/A</v>
      </c>
      <c r="AO57" s="440" t="e">
        <f t="shared" ca="1" si="116"/>
        <v>#N/A</v>
      </c>
      <c r="AP57" s="274" t="e">
        <f t="shared" ca="1" si="44"/>
        <v>#N/A</v>
      </c>
      <c r="AQ57" s="273"/>
      <c r="AR57" s="440" t="e">
        <f t="shared" ca="1" si="117"/>
        <v>#N/A</v>
      </c>
      <c r="AS57" s="440" t="e">
        <f t="shared" ca="1" si="117"/>
        <v>#N/A</v>
      </c>
      <c r="AT57" s="274" t="e">
        <f t="shared" ca="1" si="45"/>
        <v>#N/A</v>
      </c>
      <c r="AU57" s="273"/>
      <c r="AV57" s="440" t="e">
        <f t="shared" ca="1" si="118"/>
        <v>#N/A</v>
      </c>
      <c r="AW57" s="440" t="e">
        <f t="shared" ca="1" si="118"/>
        <v>#N/A</v>
      </c>
      <c r="AX57" s="274" t="e">
        <f t="shared" ca="1" si="46"/>
        <v>#N/A</v>
      </c>
      <c r="AY57" s="273"/>
      <c r="AZ57" s="440" t="e">
        <f t="shared" ca="1" si="119"/>
        <v>#N/A</v>
      </c>
      <c r="BA57" s="440" t="e">
        <f t="shared" ca="1" si="119"/>
        <v>#N/A</v>
      </c>
      <c r="BB57" s="274" t="e">
        <f t="shared" ca="1" si="47"/>
        <v>#N/A</v>
      </c>
      <c r="BC57" s="273"/>
      <c r="BD57" s="440" t="e">
        <f t="shared" ca="1" si="120"/>
        <v>#N/A</v>
      </c>
      <c r="BE57" s="440" t="e">
        <f t="shared" ca="1" si="120"/>
        <v>#N/A</v>
      </c>
      <c r="BF57" s="274" t="e">
        <f t="shared" ca="1" si="48"/>
        <v>#N/A</v>
      </c>
      <c r="BG57" s="273"/>
      <c r="BH57" s="440" t="e">
        <f t="shared" ca="1" si="121"/>
        <v>#N/A</v>
      </c>
      <c r="BI57" s="440" t="e">
        <f t="shared" ca="1" si="121"/>
        <v>#N/A</v>
      </c>
      <c r="BJ57" s="274" t="e">
        <f t="shared" ca="1" si="49"/>
        <v>#N/A</v>
      </c>
      <c r="BK57" s="273"/>
      <c r="BL57" s="440" t="e">
        <f t="shared" ca="1" si="122"/>
        <v>#N/A</v>
      </c>
      <c r="BM57" s="440" t="e">
        <f t="shared" ca="1" si="122"/>
        <v>#N/A</v>
      </c>
      <c r="BN57" s="274" t="e">
        <f t="shared" ca="1" si="50"/>
        <v>#N/A</v>
      </c>
      <c r="BO57" s="273"/>
      <c r="BP57" s="440" t="e">
        <f t="shared" ca="1" si="123"/>
        <v>#N/A</v>
      </c>
      <c r="BQ57" s="440" t="e">
        <f t="shared" ca="1" si="123"/>
        <v>#N/A</v>
      </c>
      <c r="BR57" s="274" t="e">
        <f t="shared" ca="1" si="51"/>
        <v>#N/A</v>
      </c>
      <c r="BS57" s="273"/>
      <c r="BT57" s="440" t="e">
        <f t="shared" ca="1" si="124"/>
        <v>#N/A</v>
      </c>
      <c r="BU57" s="440" t="e">
        <f t="shared" ca="1" si="124"/>
        <v>#N/A</v>
      </c>
      <c r="BV57" s="274" t="e">
        <f t="shared" ca="1" si="52"/>
        <v>#N/A</v>
      </c>
      <c r="BW57" s="273"/>
      <c r="BX57" s="440" t="e">
        <f t="shared" ca="1" si="125"/>
        <v>#N/A</v>
      </c>
      <c r="BY57" s="440" t="e">
        <f t="shared" ca="1" si="125"/>
        <v>#N/A</v>
      </c>
      <c r="BZ57" s="274" t="e">
        <f t="shared" ca="1" si="53"/>
        <v>#N/A</v>
      </c>
      <c r="CA57" s="273"/>
      <c r="CB57" s="440" t="e">
        <f t="shared" ca="1" si="126"/>
        <v>#N/A</v>
      </c>
      <c r="CC57" s="440" t="e">
        <f t="shared" ca="1" si="126"/>
        <v>#N/A</v>
      </c>
      <c r="CD57" s="274" t="e">
        <f t="shared" ca="1" si="54"/>
        <v>#N/A</v>
      </c>
      <c r="CE57" s="273"/>
      <c r="CF57" s="440" t="e">
        <f t="shared" ca="1" si="127"/>
        <v>#N/A</v>
      </c>
      <c r="CG57" s="440" t="e">
        <f t="shared" ca="1" si="127"/>
        <v>#N/A</v>
      </c>
      <c r="CH57" s="274" t="e">
        <f t="shared" ca="1" si="55"/>
        <v>#N/A</v>
      </c>
      <c r="CI57" s="273"/>
      <c r="CJ57" s="440" t="e">
        <f t="shared" ca="1" si="128"/>
        <v>#N/A</v>
      </c>
      <c r="CK57" s="440" t="e">
        <f t="shared" ca="1" si="128"/>
        <v>#N/A</v>
      </c>
      <c r="CL57" s="274" t="e">
        <f t="shared" ca="1" si="56"/>
        <v>#N/A</v>
      </c>
      <c r="CN57" s="440" t="e">
        <f t="shared" ca="1" si="129"/>
        <v>#N/A</v>
      </c>
      <c r="CO57" s="440" t="e">
        <f t="shared" ca="1" si="129"/>
        <v>#N/A</v>
      </c>
      <c r="CP57" s="274" t="e">
        <f t="shared" ca="1" si="57"/>
        <v>#N/A</v>
      </c>
      <c r="CR57" s="440" t="e">
        <f t="shared" ca="1" si="130"/>
        <v>#N/A</v>
      </c>
      <c r="CS57" s="440" t="e">
        <f t="shared" ca="1" si="130"/>
        <v>#N/A</v>
      </c>
      <c r="CT57" s="274" t="e">
        <f t="shared" ca="1" si="58"/>
        <v>#N/A</v>
      </c>
      <c r="CV57" s="440" t="e">
        <f t="shared" ca="1" si="131"/>
        <v>#N/A</v>
      </c>
      <c r="CW57" s="440" t="e">
        <f t="shared" ca="1" si="131"/>
        <v>#N/A</v>
      </c>
      <c r="CX57" s="274" t="e">
        <f t="shared" ca="1" si="59"/>
        <v>#N/A</v>
      </c>
      <c r="CZ57" s="440" t="e">
        <f t="shared" ca="1" si="132"/>
        <v>#N/A</v>
      </c>
      <c r="DA57" s="440" t="e">
        <f t="shared" ca="1" si="132"/>
        <v>#N/A</v>
      </c>
      <c r="DB57" s="274" t="e">
        <f t="shared" ca="1" si="60"/>
        <v>#N/A</v>
      </c>
      <c r="DD57" s="440" t="e">
        <f t="shared" ca="1" si="133"/>
        <v>#N/A</v>
      </c>
      <c r="DE57" s="440" t="e">
        <f t="shared" ca="1" si="133"/>
        <v>#N/A</v>
      </c>
      <c r="DF57" s="274" t="e">
        <f t="shared" ca="1" si="61"/>
        <v>#N/A</v>
      </c>
      <c r="DH57" s="440" t="e">
        <f t="shared" ca="1" si="134"/>
        <v>#N/A</v>
      </c>
      <c r="DI57" s="440" t="e">
        <f t="shared" ca="1" si="134"/>
        <v>#N/A</v>
      </c>
      <c r="DJ57" s="274" t="e">
        <f t="shared" ca="1" si="62"/>
        <v>#N/A</v>
      </c>
      <c r="DL57" s="440" t="e">
        <f t="shared" ca="1" si="135"/>
        <v>#N/A</v>
      </c>
      <c r="DM57" s="440" t="e">
        <f t="shared" ca="1" si="135"/>
        <v>#N/A</v>
      </c>
      <c r="DN57" s="274" t="e">
        <f t="shared" ca="1" si="63"/>
        <v>#N/A</v>
      </c>
      <c r="DP57" s="440" t="e">
        <f t="shared" ca="1" si="136"/>
        <v>#N/A</v>
      </c>
      <c r="DQ57" s="440" t="e">
        <f t="shared" ca="1" si="136"/>
        <v>#N/A</v>
      </c>
      <c r="DR57" s="274" t="e">
        <f t="shared" ca="1" si="64"/>
        <v>#N/A</v>
      </c>
      <c r="DT57" s="440" t="e">
        <f t="shared" ca="1" si="137"/>
        <v>#N/A</v>
      </c>
      <c r="DU57" s="440" t="e">
        <f t="shared" ca="1" si="137"/>
        <v>#N/A</v>
      </c>
      <c r="DV57" s="274" t="e">
        <f t="shared" ca="1" si="65"/>
        <v>#N/A</v>
      </c>
      <c r="DX57" s="440" t="e">
        <f t="shared" ca="1" si="138"/>
        <v>#N/A</v>
      </c>
      <c r="DY57" s="440" t="e">
        <f t="shared" ca="1" si="138"/>
        <v>#N/A</v>
      </c>
      <c r="DZ57" s="274" t="e">
        <f t="shared" ca="1" si="66"/>
        <v>#N/A</v>
      </c>
      <c r="EB57" s="440" t="e">
        <f t="shared" ca="1" si="139"/>
        <v>#N/A</v>
      </c>
      <c r="EC57" s="440" t="e">
        <f t="shared" ca="1" si="139"/>
        <v>#N/A</v>
      </c>
      <c r="ED57" s="274" t="e">
        <f t="shared" ca="1" si="67"/>
        <v>#N/A</v>
      </c>
      <c r="EF57" s="251" t="e">
        <f t="shared" ca="1" si="140"/>
        <v>#N/A</v>
      </c>
      <c r="EG57" s="251" t="e">
        <f t="shared" ca="1" si="140"/>
        <v>#N/A</v>
      </c>
      <c r="EH57" s="274" t="e">
        <f t="shared" ca="1" si="68"/>
        <v>#N/A</v>
      </c>
      <c r="EJ57" s="251" t="e">
        <f t="shared" ca="1" si="141"/>
        <v>#N/A</v>
      </c>
      <c r="EK57" s="251" t="e">
        <f t="shared" ca="1" si="141"/>
        <v>#N/A</v>
      </c>
      <c r="EL57" s="274" t="e">
        <f t="shared" ca="1" si="69"/>
        <v>#N/A</v>
      </c>
      <c r="EO57" s="252" t="e">
        <f t="shared" ca="1" si="106"/>
        <v>#N/A</v>
      </c>
    </row>
    <row r="58" spans="1:192" s="234" customFormat="1">
      <c r="B58" s="258">
        <f t="shared" ca="1" si="70"/>
        <v>49</v>
      </c>
      <c r="C58" s="249">
        <f t="shared" ca="1" si="107"/>
        <v>0</v>
      </c>
      <c r="D58" s="236">
        <f t="shared" ca="1" si="107"/>
        <v>0</v>
      </c>
      <c r="E58" s="236">
        <f t="shared" ca="1" si="107"/>
        <v>0</v>
      </c>
      <c r="F58" s="250"/>
      <c r="G58" s="273"/>
      <c r="H58" s="440" t="e">
        <f t="shared" ca="1" si="108"/>
        <v>#N/A</v>
      </c>
      <c r="I58" s="440" t="e">
        <f t="shared" ca="1" si="108"/>
        <v>#N/A</v>
      </c>
      <c r="J58" s="274" t="e">
        <f t="shared" ca="1" si="36"/>
        <v>#N/A</v>
      </c>
      <c r="K58" s="273"/>
      <c r="L58" s="440" t="e">
        <f t="shared" ca="1" si="109"/>
        <v>#N/A</v>
      </c>
      <c r="M58" s="440" t="e">
        <f t="shared" ca="1" si="109"/>
        <v>#N/A</v>
      </c>
      <c r="N58" s="274" t="e">
        <f t="shared" ca="1" si="37"/>
        <v>#N/A</v>
      </c>
      <c r="O58" s="273"/>
      <c r="P58" s="440" t="e">
        <f t="shared" ca="1" si="110"/>
        <v>#N/A</v>
      </c>
      <c r="Q58" s="440" t="e">
        <f t="shared" ca="1" si="110"/>
        <v>#N/A</v>
      </c>
      <c r="R58" s="274" t="e">
        <f t="shared" ca="1" si="38"/>
        <v>#N/A</v>
      </c>
      <c r="S58" s="273"/>
      <c r="T58" s="440" t="e">
        <f t="shared" ca="1" si="111"/>
        <v>#N/A</v>
      </c>
      <c r="U58" s="440" t="e">
        <f t="shared" ca="1" si="111"/>
        <v>#N/A</v>
      </c>
      <c r="V58" s="274" t="e">
        <f t="shared" ca="1" si="39"/>
        <v>#N/A</v>
      </c>
      <c r="W58" s="273"/>
      <c r="X58" s="440" t="e">
        <f t="shared" ca="1" si="112"/>
        <v>#N/A</v>
      </c>
      <c r="Y58" s="440" t="e">
        <f t="shared" ca="1" si="112"/>
        <v>#N/A</v>
      </c>
      <c r="Z58" s="274" t="e">
        <f t="shared" ca="1" si="40"/>
        <v>#N/A</v>
      </c>
      <c r="AA58" s="273"/>
      <c r="AB58" s="440" t="e">
        <f t="shared" ca="1" si="113"/>
        <v>#N/A</v>
      </c>
      <c r="AC58" s="440" t="e">
        <f t="shared" ca="1" si="113"/>
        <v>#N/A</v>
      </c>
      <c r="AD58" s="274" t="e">
        <f t="shared" ca="1" si="41"/>
        <v>#N/A</v>
      </c>
      <c r="AE58" s="273"/>
      <c r="AF58" s="440" t="e">
        <f t="shared" ca="1" si="114"/>
        <v>#N/A</v>
      </c>
      <c r="AG58" s="440" t="e">
        <f t="shared" ca="1" si="114"/>
        <v>#N/A</v>
      </c>
      <c r="AH58" s="274" t="e">
        <f t="shared" ca="1" si="42"/>
        <v>#N/A</v>
      </c>
      <c r="AI58" s="273"/>
      <c r="AJ58" s="440" t="e">
        <f t="shared" ca="1" si="115"/>
        <v>#N/A</v>
      </c>
      <c r="AK58" s="440" t="e">
        <f t="shared" ca="1" si="115"/>
        <v>#N/A</v>
      </c>
      <c r="AL58" s="274" t="e">
        <f t="shared" ca="1" si="43"/>
        <v>#N/A</v>
      </c>
      <c r="AM58" s="273"/>
      <c r="AN58" s="440" t="e">
        <f t="shared" ca="1" si="116"/>
        <v>#N/A</v>
      </c>
      <c r="AO58" s="440" t="e">
        <f t="shared" ca="1" si="116"/>
        <v>#N/A</v>
      </c>
      <c r="AP58" s="274" t="e">
        <f t="shared" ca="1" si="44"/>
        <v>#N/A</v>
      </c>
      <c r="AQ58" s="273"/>
      <c r="AR58" s="440" t="e">
        <f t="shared" ca="1" si="117"/>
        <v>#N/A</v>
      </c>
      <c r="AS58" s="440" t="e">
        <f t="shared" ca="1" si="117"/>
        <v>#N/A</v>
      </c>
      <c r="AT58" s="274" t="e">
        <f t="shared" ca="1" si="45"/>
        <v>#N/A</v>
      </c>
      <c r="AU58" s="273"/>
      <c r="AV58" s="440" t="e">
        <f t="shared" ca="1" si="118"/>
        <v>#N/A</v>
      </c>
      <c r="AW58" s="440" t="e">
        <f t="shared" ca="1" si="118"/>
        <v>#N/A</v>
      </c>
      <c r="AX58" s="274" t="e">
        <f t="shared" ca="1" si="46"/>
        <v>#N/A</v>
      </c>
      <c r="AY58" s="273"/>
      <c r="AZ58" s="440" t="e">
        <f t="shared" ca="1" si="119"/>
        <v>#N/A</v>
      </c>
      <c r="BA58" s="440" t="e">
        <f t="shared" ca="1" si="119"/>
        <v>#N/A</v>
      </c>
      <c r="BB58" s="274" t="e">
        <f t="shared" ca="1" si="47"/>
        <v>#N/A</v>
      </c>
      <c r="BC58" s="273"/>
      <c r="BD58" s="440" t="e">
        <f t="shared" ca="1" si="120"/>
        <v>#N/A</v>
      </c>
      <c r="BE58" s="440" t="e">
        <f t="shared" ca="1" si="120"/>
        <v>#N/A</v>
      </c>
      <c r="BF58" s="274" t="e">
        <f t="shared" ca="1" si="48"/>
        <v>#N/A</v>
      </c>
      <c r="BG58" s="273"/>
      <c r="BH58" s="440" t="e">
        <f t="shared" ca="1" si="121"/>
        <v>#N/A</v>
      </c>
      <c r="BI58" s="440" t="e">
        <f t="shared" ca="1" si="121"/>
        <v>#N/A</v>
      </c>
      <c r="BJ58" s="274" t="e">
        <f t="shared" ca="1" si="49"/>
        <v>#N/A</v>
      </c>
      <c r="BK58" s="273"/>
      <c r="BL58" s="440" t="e">
        <f t="shared" ca="1" si="122"/>
        <v>#N/A</v>
      </c>
      <c r="BM58" s="440" t="e">
        <f t="shared" ca="1" si="122"/>
        <v>#N/A</v>
      </c>
      <c r="BN58" s="274" t="e">
        <f t="shared" ca="1" si="50"/>
        <v>#N/A</v>
      </c>
      <c r="BO58" s="273"/>
      <c r="BP58" s="440" t="e">
        <f t="shared" ca="1" si="123"/>
        <v>#N/A</v>
      </c>
      <c r="BQ58" s="440" t="e">
        <f t="shared" ca="1" si="123"/>
        <v>#N/A</v>
      </c>
      <c r="BR58" s="274" t="e">
        <f t="shared" ca="1" si="51"/>
        <v>#N/A</v>
      </c>
      <c r="BS58" s="273"/>
      <c r="BT58" s="440" t="e">
        <f t="shared" ca="1" si="124"/>
        <v>#N/A</v>
      </c>
      <c r="BU58" s="440" t="e">
        <f t="shared" ca="1" si="124"/>
        <v>#N/A</v>
      </c>
      <c r="BV58" s="274" t="e">
        <f t="shared" ca="1" si="52"/>
        <v>#N/A</v>
      </c>
      <c r="BW58" s="273"/>
      <c r="BX58" s="440" t="e">
        <f t="shared" ca="1" si="125"/>
        <v>#N/A</v>
      </c>
      <c r="BY58" s="440" t="e">
        <f t="shared" ca="1" si="125"/>
        <v>#N/A</v>
      </c>
      <c r="BZ58" s="274" t="e">
        <f t="shared" ca="1" si="53"/>
        <v>#N/A</v>
      </c>
      <c r="CA58" s="273"/>
      <c r="CB58" s="440" t="e">
        <f t="shared" ca="1" si="126"/>
        <v>#N/A</v>
      </c>
      <c r="CC58" s="440" t="e">
        <f t="shared" ca="1" si="126"/>
        <v>#N/A</v>
      </c>
      <c r="CD58" s="274" t="e">
        <f t="shared" ca="1" si="54"/>
        <v>#N/A</v>
      </c>
      <c r="CE58" s="273"/>
      <c r="CF58" s="440" t="e">
        <f t="shared" ca="1" si="127"/>
        <v>#N/A</v>
      </c>
      <c r="CG58" s="440" t="e">
        <f t="shared" ca="1" si="127"/>
        <v>#N/A</v>
      </c>
      <c r="CH58" s="274" t="e">
        <f t="shared" ca="1" si="55"/>
        <v>#N/A</v>
      </c>
      <c r="CI58" s="273"/>
      <c r="CJ58" s="440" t="e">
        <f t="shared" ca="1" si="128"/>
        <v>#N/A</v>
      </c>
      <c r="CK58" s="440" t="e">
        <f t="shared" ca="1" si="128"/>
        <v>#N/A</v>
      </c>
      <c r="CL58" s="274" t="e">
        <f t="shared" ca="1" si="56"/>
        <v>#N/A</v>
      </c>
      <c r="CN58" s="440" t="e">
        <f t="shared" ca="1" si="129"/>
        <v>#N/A</v>
      </c>
      <c r="CO58" s="440" t="e">
        <f t="shared" ca="1" si="129"/>
        <v>#N/A</v>
      </c>
      <c r="CP58" s="274" t="e">
        <f t="shared" ca="1" si="57"/>
        <v>#N/A</v>
      </c>
      <c r="CR58" s="440" t="e">
        <f t="shared" ca="1" si="130"/>
        <v>#N/A</v>
      </c>
      <c r="CS58" s="440" t="e">
        <f t="shared" ca="1" si="130"/>
        <v>#N/A</v>
      </c>
      <c r="CT58" s="274" t="e">
        <f t="shared" ca="1" si="58"/>
        <v>#N/A</v>
      </c>
      <c r="CV58" s="440" t="e">
        <f t="shared" ca="1" si="131"/>
        <v>#N/A</v>
      </c>
      <c r="CW58" s="440" t="e">
        <f t="shared" ca="1" si="131"/>
        <v>#N/A</v>
      </c>
      <c r="CX58" s="274" t="e">
        <f t="shared" ca="1" si="59"/>
        <v>#N/A</v>
      </c>
      <c r="CZ58" s="440" t="e">
        <f t="shared" ca="1" si="132"/>
        <v>#N/A</v>
      </c>
      <c r="DA58" s="440" t="e">
        <f t="shared" ca="1" si="132"/>
        <v>#N/A</v>
      </c>
      <c r="DB58" s="274" t="e">
        <f t="shared" ca="1" si="60"/>
        <v>#N/A</v>
      </c>
      <c r="DD58" s="440" t="e">
        <f t="shared" ca="1" si="133"/>
        <v>#N/A</v>
      </c>
      <c r="DE58" s="440" t="e">
        <f t="shared" ca="1" si="133"/>
        <v>#N/A</v>
      </c>
      <c r="DF58" s="274" t="e">
        <f t="shared" ca="1" si="61"/>
        <v>#N/A</v>
      </c>
      <c r="DH58" s="440" t="e">
        <f t="shared" ca="1" si="134"/>
        <v>#N/A</v>
      </c>
      <c r="DI58" s="440" t="e">
        <f t="shared" ca="1" si="134"/>
        <v>#N/A</v>
      </c>
      <c r="DJ58" s="274" t="e">
        <f t="shared" ca="1" si="62"/>
        <v>#N/A</v>
      </c>
      <c r="DL58" s="440" t="e">
        <f t="shared" ca="1" si="135"/>
        <v>#N/A</v>
      </c>
      <c r="DM58" s="440" t="e">
        <f t="shared" ca="1" si="135"/>
        <v>#N/A</v>
      </c>
      <c r="DN58" s="274" t="e">
        <f t="shared" ca="1" si="63"/>
        <v>#N/A</v>
      </c>
      <c r="DP58" s="440" t="e">
        <f t="shared" ca="1" si="136"/>
        <v>#N/A</v>
      </c>
      <c r="DQ58" s="440" t="e">
        <f t="shared" ca="1" si="136"/>
        <v>#N/A</v>
      </c>
      <c r="DR58" s="274" t="e">
        <f t="shared" ca="1" si="64"/>
        <v>#N/A</v>
      </c>
      <c r="DT58" s="440" t="e">
        <f t="shared" ca="1" si="137"/>
        <v>#N/A</v>
      </c>
      <c r="DU58" s="440" t="e">
        <f t="shared" ca="1" si="137"/>
        <v>#N/A</v>
      </c>
      <c r="DV58" s="274" t="e">
        <f t="shared" ca="1" si="65"/>
        <v>#N/A</v>
      </c>
      <c r="DX58" s="440" t="e">
        <f t="shared" ca="1" si="138"/>
        <v>#N/A</v>
      </c>
      <c r="DY58" s="440" t="e">
        <f t="shared" ca="1" si="138"/>
        <v>#N/A</v>
      </c>
      <c r="DZ58" s="274" t="e">
        <f t="shared" ca="1" si="66"/>
        <v>#N/A</v>
      </c>
      <c r="EB58" s="440" t="e">
        <f t="shared" ca="1" si="139"/>
        <v>#N/A</v>
      </c>
      <c r="EC58" s="440" t="e">
        <f t="shared" ca="1" si="139"/>
        <v>#N/A</v>
      </c>
      <c r="ED58" s="274" t="e">
        <f t="shared" ca="1" si="67"/>
        <v>#N/A</v>
      </c>
      <c r="EF58" s="251" t="e">
        <f t="shared" ca="1" si="140"/>
        <v>#N/A</v>
      </c>
      <c r="EG58" s="251" t="e">
        <f t="shared" ca="1" si="140"/>
        <v>#N/A</v>
      </c>
      <c r="EH58" s="274" t="e">
        <f t="shared" ca="1" si="68"/>
        <v>#N/A</v>
      </c>
      <c r="EJ58" s="251" t="e">
        <f t="shared" ca="1" si="141"/>
        <v>#N/A</v>
      </c>
      <c r="EK58" s="251" t="e">
        <f t="shared" ca="1" si="141"/>
        <v>#N/A</v>
      </c>
      <c r="EL58" s="274" t="e">
        <f t="shared" ca="1" si="69"/>
        <v>#N/A</v>
      </c>
      <c r="EO58" s="252" t="e">
        <f t="shared" ca="1" si="106"/>
        <v>#N/A</v>
      </c>
    </row>
    <row r="59" spans="1:192" s="234" customFormat="1">
      <c r="B59" s="258">
        <f t="shared" ca="1" si="70"/>
        <v>50</v>
      </c>
      <c r="C59" s="249">
        <f t="shared" ca="1" si="107"/>
        <v>0</v>
      </c>
      <c r="D59" s="236">
        <f t="shared" ca="1" si="107"/>
        <v>0</v>
      </c>
      <c r="E59" s="236">
        <f t="shared" ca="1" si="107"/>
        <v>0</v>
      </c>
      <c r="F59" s="250"/>
      <c r="G59" s="273"/>
      <c r="H59" s="440" t="e">
        <f t="shared" ca="1" si="108"/>
        <v>#N/A</v>
      </c>
      <c r="I59" s="440" t="e">
        <f t="shared" ca="1" si="108"/>
        <v>#N/A</v>
      </c>
      <c r="J59" s="274" t="e">
        <f t="shared" ca="1" si="36"/>
        <v>#N/A</v>
      </c>
      <c r="K59" s="273"/>
      <c r="L59" s="440" t="e">
        <f t="shared" ca="1" si="109"/>
        <v>#N/A</v>
      </c>
      <c r="M59" s="440" t="e">
        <f t="shared" ca="1" si="109"/>
        <v>#N/A</v>
      </c>
      <c r="N59" s="274" t="e">
        <f t="shared" ca="1" si="37"/>
        <v>#N/A</v>
      </c>
      <c r="O59" s="273"/>
      <c r="P59" s="440" t="e">
        <f t="shared" ca="1" si="110"/>
        <v>#N/A</v>
      </c>
      <c r="Q59" s="440" t="e">
        <f t="shared" ca="1" si="110"/>
        <v>#N/A</v>
      </c>
      <c r="R59" s="274" t="e">
        <f t="shared" ca="1" si="38"/>
        <v>#N/A</v>
      </c>
      <c r="S59" s="273"/>
      <c r="T59" s="440" t="e">
        <f t="shared" ca="1" si="111"/>
        <v>#N/A</v>
      </c>
      <c r="U59" s="440" t="e">
        <f t="shared" ca="1" si="111"/>
        <v>#N/A</v>
      </c>
      <c r="V59" s="274" t="e">
        <f t="shared" ca="1" si="39"/>
        <v>#N/A</v>
      </c>
      <c r="W59" s="273"/>
      <c r="X59" s="440" t="e">
        <f t="shared" ca="1" si="112"/>
        <v>#N/A</v>
      </c>
      <c r="Y59" s="440" t="e">
        <f t="shared" ca="1" si="112"/>
        <v>#N/A</v>
      </c>
      <c r="Z59" s="274" t="e">
        <f t="shared" ca="1" si="40"/>
        <v>#N/A</v>
      </c>
      <c r="AA59" s="273"/>
      <c r="AB59" s="440" t="e">
        <f t="shared" ca="1" si="113"/>
        <v>#N/A</v>
      </c>
      <c r="AC59" s="440" t="e">
        <f t="shared" ca="1" si="113"/>
        <v>#N/A</v>
      </c>
      <c r="AD59" s="274" t="e">
        <f t="shared" ca="1" si="41"/>
        <v>#N/A</v>
      </c>
      <c r="AE59" s="273"/>
      <c r="AF59" s="440" t="e">
        <f t="shared" ca="1" si="114"/>
        <v>#N/A</v>
      </c>
      <c r="AG59" s="440" t="e">
        <f t="shared" ca="1" si="114"/>
        <v>#N/A</v>
      </c>
      <c r="AH59" s="274" t="e">
        <f t="shared" ca="1" si="42"/>
        <v>#N/A</v>
      </c>
      <c r="AI59" s="273"/>
      <c r="AJ59" s="440" t="e">
        <f t="shared" ca="1" si="115"/>
        <v>#N/A</v>
      </c>
      <c r="AK59" s="440" t="e">
        <f t="shared" ca="1" si="115"/>
        <v>#N/A</v>
      </c>
      <c r="AL59" s="274" t="e">
        <f t="shared" ca="1" si="43"/>
        <v>#N/A</v>
      </c>
      <c r="AM59" s="273"/>
      <c r="AN59" s="440" t="e">
        <f t="shared" ca="1" si="116"/>
        <v>#N/A</v>
      </c>
      <c r="AO59" s="440" t="e">
        <f t="shared" ca="1" si="116"/>
        <v>#N/A</v>
      </c>
      <c r="AP59" s="274" t="e">
        <f t="shared" ca="1" si="44"/>
        <v>#N/A</v>
      </c>
      <c r="AQ59" s="273"/>
      <c r="AR59" s="440" t="e">
        <f t="shared" ca="1" si="117"/>
        <v>#N/A</v>
      </c>
      <c r="AS59" s="440" t="e">
        <f t="shared" ca="1" si="117"/>
        <v>#N/A</v>
      </c>
      <c r="AT59" s="274" t="e">
        <f t="shared" ca="1" si="45"/>
        <v>#N/A</v>
      </c>
      <c r="AU59" s="273"/>
      <c r="AV59" s="440" t="e">
        <f t="shared" ca="1" si="118"/>
        <v>#N/A</v>
      </c>
      <c r="AW59" s="440" t="e">
        <f t="shared" ca="1" si="118"/>
        <v>#N/A</v>
      </c>
      <c r="AX59" s="274" t="e">
        <f t="shared" ca="1" si="46"/>
        <v>#N/A</v>
      </c>
      <c r="AY59" s="273"/>
      <c r="AZ59" s="440" t="e">
        <f t="shared" ca="1" si="119"/>
        <v>#N/A</v>
      </c>
      <c r="BA59" s="440" t="e">
        <f t="shared" ca="1" si="119"/>
        <v>#N/A</v>
      </c>
      <c r="BB59" s="274" t="e">
        <f t="shared" ca="1" si="47"/>
        <v>#N/A</v>
      </c>
      <c r="BC59" s="273"/>
      <c r="BD59" s="440" t="e">
        <f t="shared" ca="1" si="120"/>
        <v>#N/A</v>
      </c>
      <c r="BE59" s="440" t="e">
        <f t="shared" ca="1" si="120"/>
        <v>#N/A</v>
      </c>
      <c r="BF59" s="274" t="e">
        <f t="shared" ca="1" si="48"/>
        <v>#N/A</v>
      </c>
      <c r="BG59" s="273"/>
      <c r="BH59" s="440" t="e">
        <f t="shared" ca="1" si="121"/>
        <v>#N/A</v>
      </c>
      <c r="BI59" s="440" t="e">
        <f t="shared" ca="1" si="121"/>
        <v>#N/A</v>
      </c>
      <c r="BJ59" s="274" t="e">
        <f t="shared" ca="1" si="49"/>
        <v>#N/A</v>
      </c>
      <c r="BK59" s="273"/>
      <c r="BL59" s="440" t="e">
        <f t="shared" ca="1" si="122"/>
        <v>#N/A</v>
      </c>
      <c r="BM59" s="440" t="e">
        <f t="shared" ca="1" si="122"/>
        <v>#N/A</v>
      </c>
      <c r="BN59" s="274" t="e">
        <f t="shared" ca="1" si="50"/>
        <v>#N/A</v>
      </c>
      <c r="BO59" s="273"/>
      <c r="BP59" s="440" t="e">
        <f t="shared" ca="1" si="123"/>
        <v>#N/A</v>
      </c>
      <c r="BQ59" s="440" t="e">
        <f t="shared" ca="1" si="123"/>
        <v>#N/A</v>
      </c>
      <c r="BR59" s="274" t="e">
        <f t="shared" ca="1" si="51"/>
        <v>#N/A</v>
      </c>
      <c r="BS59" s="273"/>
      <c r="BT59" s="440" t="e">
        <f t="shared" ca="1" si="124"/>
        <v>#N/A</v>
      </c>
      <c r="BU59" s="440" t="e">
        <f t="shared" ca="1" si="124"/>
        <v>#N/A</v>
      </c>
      <c r="BV59" s="274" t="e">
        <f t="shared" ca="1" si="52"/>
        <v>#N/A</v>
      </c>
      <c r="BW59" s="273"/>
      <c r="BX59" s="440" t="e">
        <f t="shared" ca="1" si="125"/>
        <v>#N/A</v>
      </c>
      <c r="BY59" s="440" t="e">
        <f t="shared" ca="1" si="125"/>
        <v>#N/A</v>
      </c>
      <c r="BZ59" s="274" t="e">
        <f t="shared" ca="1" si="53"/>
        <v>#N/A</v>
      </c>
      <c r="CA59" s="273"/>
      <c r="CB59" s="440" t="e">
        <f t="shared" ca="1" si="126"/>
        <v>#N/A</v>
      </c>
      <c r="CC59" s="440" t="e">
        <f t="shared" ca="1" si="126"/>
        <v>#N/A</v>
      </c>
      <c r="CD59" s="274" t="e">
        <f t="shared" ca="1" si="54"/>
        <v>#N/A</v>
      </c>
      <c r="CE59" s="273"/>
      <c r="CF59" s="440" t="e">
        <f t="shared" ca="1" si="127"/>
        <v>#N/A</v>
      </c>
      <c r="CG59" s="440" t="e">
        <f t="shared" ca="1" si="127"/>
        <v>#N/A</v>
      </c>
      <c r="CH59" s="274" t="e">
        <f t="shared" ca="1" si="55"/>
        <v>#N/A</v>
      </c>
      <c r="CI59" s="273"/>
      <c r="CJ59" s="440" t="e">
        <f t="shared" ca="1" si="128"/>
        <v>#N/A</v>
      </c>
      <c r="CK59" s="440" t="e">
        <f t="shared" ca="1" si="128"/>
        <v>#N/A</v>
      </c>
      <c r="CL59" s="274" t="e">
        <f t="shared" ca="1" si="56"/>
        <v>#N/A</v>
      </c>
      <c r="CN59" s="440" t="e">
        <f t="shared" ca="1" si="129"/>
        <v>#N/A</v>
      </c>
      <c r="CO59" s="440" t="e">
        <f t="shared" ca="1" si="129"/>
        <v>#N/A</v>
      </c>
      <c r="CP59" s="274" t="e">
        <f t="shared" ca="1" si="57"/>
        <v>#N/A</v>
      </c>
      <c r="CR59" s="440" t="e">
        <f t="shared" ca="1" si="130"/>
        <v>#N/A</v>
      </c>
      <c r="CS59" s="440" t="e">
        <f t="shared" ca="1" si="130"/>
        <v>#N/A</v>
      </c>
      <c r="CT59" s="274" t="e">
        <f t="shared" ca="1" si="58"/>
        <v>#N/A</v>
      </c>
      <c r="CV59" s="440" t="e">
        <f t="shared" ca="1" si="131"/>
        <v>#N/A</v>
      </c>
      <c r="CW59" s="440" t="e">
        <f t="shared" ca="1" si="131"/>
        <v>#N/A</v>
      </c>
      <c r="CX59" s="274" t="e">
        <f t="shared" ca="1" si="59"/>
        <v>#N/A</v>
      </c>
      <c r="CZ59" s="440" t="e">
        <f t="shared" ca="1" si="132"/>
        <v>#N/A</v>
      </c>
      <c r="DA59" s="440" t="e">
        <f t="shared" ca="1" si="132"/>
        <v>#N/A</v>
      </c>
      <c r="DB59" s="274" t="e">
        <f t="shared" ca="1" si="60"/>
        <v>#N/A</v>
      </c>
      <c r="DD59" s="440" t="e">
        <f t="shared" ca="1" si="133"/>
        <v>#N/A</v>
      </c>
      <c r="DE59" s="440" t="e">
        <f t="shared" ca="1" si="133"/>
        <v>#N/A</v>
      </c>
      <c r="DF59" s="274" t="e">
        <f t="shared" ca="1" si="61"/>
        <v>#N/A</v>
      </c>
      <c r="DH59" s="440" t="e">
        <f t="shared" ca="1" si="134"/>
        <v>#N/A</v>
      </c>
      <c r="DI59" s="440" t="e">
        <f t="shared" ca="1" si="134"/>
        <v>#N/A</v>
      </c>
      <c r="DJ59" s="274" t="e">
        <f t="shared" ca="1" si="62"/>
        <v>#N/A</v>
      </c>
      <c r="DL59" s="440" t="e">
        <f t="shared" ca="1" si="135"/>
        <v>#N/A</v>
      </c>
      <c r="DM59" s="440" t="e">
        <f t="shared" ca="1" si="135"/>
        <v>#N/A</v>
      </c>
      <c r="DN59" s="274" t="e">
        <f t="shared" ca="1" si="63"/>
        <v>#N/A</v>
      </c>
      <c r="DP59" s="440" t="e">
        <f t="shared" ca="1" si="136"/>
        <v>#N/A</v>
      </c>
      <c r="DQ59" s="440" t="e">
        <f t="shared" ca="1" si="136"/>
        <v>#N/A</v>
      </c>
      <c r="DR59" s="274" t="e">
        <f t="shared" ca="1" si="64"/>
        <v>#N/A</v>
      </c>
      <c r="DT59" s="440" t="e">
        <f t="shared" ca="1" si="137"/>
        <v>#N/A</v>
      </c>
      <c r="DU59" s="440" t="e">
        <f t="shared" ca="1" si="137"/>
        <v>#N/A</v>
      </c>
      <c r="DV59" s="274" t="e">
        <f t="shared" ca="1" si="65"/>
        <v>#N/A</v>
      </c>
      <c r="DX59" s="440" t="e">
        <f t="shared" ca="1" si="138"/>
        <v>#N/A</v>
      </c>
      <c r="DY59" s="440" t="e">
        <f t="shared" ca="1" si="138"/>
        <v>#N/A</v>
      </c>
      <c r="DZ59" s="274" t="e">
        <f t="shared" ca="1" si="66"/>
        <v>#N/A</v>
      </c>
      <c r="EB59" s="440" t="e">
        <f t="shared" ca="1" si="139"/>
        <v>#N/A</v>
      </c>
      <c r="EC59" s="440" t="e">
        <f t="shared" ca="1" si="139"/>
        <v>#N/A</v>
      </c>
      <c r="ED59" s="274" t="e">
        <f t="shared" ca="1" si="67"/>
        <v>#N/A</v>
      </c>
      <c r="EF59" s="251" t="e">
        <f t="shared" ca="1" si="140"/>
        <v>#N/A</v>
      </c>
      <c r="EG59" s="251" t="e">
        <f t="shared" ca="1" si="140"/>
        <v>#N/A</v>
      </c>
      <c r="EH59" s="274" t="e">
        <f t="shared" ca="1" si="68"/>
        <v>#N/A</v>
      </c>
      <c r="EJ59" s="251" t="e">
        <f t="shared" ca="1" si="141"/>
        <v>#N/A</v>
      </c>
      <c r="EK59" s="251" t="e">
        <f t="shared" ca="1" si="141"/>
        <v>#N/A</v>
      </c>
      <c r="EL59" s="274" t="e">
        <f t="shared" ca="1" si="69"/>
        <v>#N/A</v>
      </c>
      <c r="EO59" s="252" t="e">
        <f t="shared" ca="1" si="106"/>
        <v>#N/A</v>
      </c>
    </row>
    <row r="60" spans="1:192">
      <c r="C60" s="253"/>
      <c r="E60" s="254"/>
      <c r="F60" s="254"/>
    </row>
    <row r="61" spans="1:192" s="247" customFormat="1">
      <c r="A61" s="246"/>
      <c r="B61" s="245"/>
      <c r="C61" s="253"/>
      <c r="D61" s="230"/>
      <c r="E61" s="254"/>
      <c r="F61" s="254"/>
      <c r="G61" s="271"/>
      <c r="H61" s="246"/>
      <c r="I61" s="246"/>
      <c r="J61" s="637">
        <f t="array" aca="1" ref="J61" ca="1">SUM( IF( ISNA( J10:J59 ), 0, J10:J59 ) )</f>
        <v>773535.61783613998</v>
      </c>
      <c r="K61" s="271"/>
      <c r="L61" s="246"/>
      <c r="M61" s="246"/>
      <c r="N61" s="637">
        <f t="array" aca="1" ref="N61" ca="1">SUM( IF( ISNA( N10:N59 ), 0, N10:N59 ) )</f>
        <v>905008.72347773006</v>
      </c>
      <c r="O61" s="271"/>
      <c r="P61" s="246"/>
      <c r="Q61" s="246"/>
      <c r="R61" s="637">
        <f t="array" aca="1" ref="R61" ca="1">SUM( IF( ISNA( R10:R59 ), 0, R10:R59 ) )</f>
        <v>902428.12045603979</v>
      </c>
      <c r="S61" s="271"/>
      <c r="T61" s="246"/>
      <c r="U61" s="246"/>
      <c r="V61" s="637">
        <f t="array" aca="1" ref="V61" ca="1">SUM( IF( ISNA( V10:V59 ), 0, V10:V59 ) )</f>
        <v>838256.04277360986</v>
      </c>
      <c r="W61" s="271"/>
      <c r="X61" s="246"/>
      <c r="Y61" s="246"/>
      <c r="Z61" s="637">
        <f t="array" aca="1" ref="Z61" ca="1">SUM( IF( ISNA( Z10:Z59 ), 0, Z10:Z59 ) )</f>
        <v>790290.84938115033</v>
      </c>
      <c r="AA61" s="271"/>
      <c r="AB61" s="246"/>
      <c r="AC61" s="246"/>
      <c r="AD61" s="637">
        <f t="array" aca="1" ref="AD61" ca="1">SUM( IF( ISNA( AD10:AD59 ), 0, AD10:AD59 ) )</f>
        <v>718498.69771297998</v>
      </c>
      <c r="AE61" s="271"/>
      <c r="AF61" s="246"/>
      <c r="AG61" s="246"/>
      <c r="AH61" s="637">
        <f t="array" aca="1" ref="AH61" ca="1">SUM( IF( ISNA( AH10:AH59 ), 0, AH10:AH59 ) )</f>
        <v>713263.59637327015</v>
      </c>
      <c r="AI61" s="271"/>
      <c r="AJ61" s="246"/>
      <c r="AK61" s="246"/>
      <c r="AL61" s="637">
        <f t="array" aca="1" ref="AL61" ca="1">SUM( IF( ISNA( AL10:AL59 ), 0, AL10:AL59 ) )</f>
        <v>704903.99334647018</v>
      </c>
      <c r="AM61" s="271"/>
      <c r="AN61" s="246"/>
      <c r="AO61" s="246"/>
      <c r="AP61" s="637">
        <f t="array" aca="1" ref="AP61" ca="1">SUM( IF( ISNA( AP10:AP59 ), 0, AP10:AP59 ) )</f>
        <v>681607.32316157978</v>
      </c>
      <c r="AQ61" s="271"/>
      <c r="AR61" s="246"/>
      <c r="AS61" s="246"/>
      <c r="AT61" s="637">
        <f t="array" aca="1" ref="AT61" ca="1">SUM( IF( ISNA( AT10:AT59 ), 0, AT10:AT59 ) )</f>
        <v>709341.84633623005</v>
      </c>
      <c r="AU61" s="271"/>
      <c r="AV61" s="246"/>
      <c r="AW61" s="246"/>
      <c r="AX61" s="637">
        <f t="array" aca="1" ref="AX61" ca="1">SUM( IF( ISNA( AX10:AX59 ), 0, AX10:AX59 ) )</f>
        <v>710041.34831951011</v>
      </c>
      <c r="AY61" s="271"/>
      <c r="AZ61" s="246"/>
      <c r="BA61" s="246"/>
      <c r="BB61" s="637">
        <f t="array" aca="1" ref="BB61" ca="1">SUM( IF( ISNA( BB10:BB59 ), 0, BB10:BB59 ) )</f>
        <v>687604.77917071001</v>
      </c>
      <c r="BC61" s="271"/>
      <c r="BD61" s="246"/>
      <c r="BE61" s="246"/>
      <c r="BF61" s="637">
        <f t="array" aca="1" ref="BF61" ca="1">SUM( IF( ISNA( BF10:BF59 ), 0, BF10:BF59 ) )</f>
        <v>671064.0896967398</v>
      </c>
      <c r="BG61" s="271"/>
      <c r="BH61" s="246"/>
      <c r="BI61" s="246"/>
      <c r="BJ61" s="637">
        <f t="array" aca="1" ref="BJ61" ca="1">SUM( IF( ISNA( BJ10:BJ59 ), 0, BJ10:BJ59 ) )</f>
        <v>639325.73863898008</v>
      </c>
      <c r="BK61" s="271"/>
      <c r="BL61" s="246"/>
      <c r="BM61" s="246"/>
      <c r="BN61" s="637">
        <f t="array" aca="1" ref="BN61" ca="1">SUM( IF( ISNA( BN10:BN59 ), 0, BN10:BN59 ) )</f>
        <v>638510.55719059694</v>
      </c>
      <c r="BO61" s="271"/>
      <c r="BP61" s="246"/>
      <c r="BQ61" s="246"/>
      <c r="BR61" s="637">
        <f t="array" aca="1" ref="BR61" ca="1">SUM( IF( ISNA( BR10:BR59 ), 0, BR10:BR59 ) )</f>
        <v>678541.41552886006</v>
      </c>
      <c r="BS61" s="271"/>
      <c r="BT61" s="246"/>
      <c r="BU61" s="246"/>
      <c r="BV61" s="637">
        <f t="array" aca="1" ref="BV61" ca="1">SUM( IF( ISNA( BV10:BV59 ), 0, BV10:BV59 ) )</f>
        <v>632195.95817176998</v>
      </c>
      <c r="BW61" s="271"/>
      <c r="BX61" s="246"/>
      <c r="BY61" s="246"/>
      <c r="BZ61" s="637">
        <f t="array" aca="1" ref="BZ61" ca="1">SUM( IF( ISNA( BZ10:BZ59 ), 0, BZ10:BZ59 ) )</f>
        <v>555133.53888544999</v>
      </c>
      <c r="CA61" s="271"/>
      <c r="CB61" s="246"/>
      <c r="CC61" s="246"/>
      <c r="CD61" s="637">
        <f t="array" aca="1" ref="CD61" ca="1">SUM( IF( ISNA( CD10:CD59 ), 0, CD10:CD59 ) )</f>
        <v>533286.76064754999</v>
      </c>
      <c r="CE61" s="271"/>
      <c r="CF61" s="246"/>
      <c r="CG61" s="246"/>
      <c r="CH61" s="637">
        <f t="array" aca="1" ref="CH61" ca="1">SUM( IF( ISNA( CH10:CH59 ), 0, CH10:CH59 ) )</f>
        <v>517073.43227596005</v>
      </c>
      <c r="CI61" s="271"/>
      <c r="CJ61" s="246"/>
      <c r="CK61" s="246"/>
      <c r="CL61" s="637">
        <f t="array" aca="1" ref="CL61" ca="1">SUM( IF( ISNA( CL10:CL59 ), 0, CL10:CL59 ) )</f>
        <v>556913.17018875992</v>
      </c>
      <c r="CM61" s="246"/>
      <c r="CN61" s="246"/>
      <c r="CO61" s="246"/>
      <c r="CP61" s="637">
        <f t="array" aca="1" ref="CP61" ca="1">SUM( IF( ISNA( CP10:CP59 ), 0, CP10:CP59 ) )</f>
        <v>590660.90526349982</v>
      </c>
      <c r="CQ61" s="246"/>
      <c r="CR61" s="246"/>
      <c r="CS61" s="246"/>
      <c r="CT61" s="637">
        <f t="array" aca="1" ref="CT61" ca="1">SUM( IF( ISNA( CT10:CT59 ), 0, CT10:CT59 ) )</f>
        <v>521811.99157976999</v>
      </c>
      <c r="CU61" s="246"/>
      <c r="CV61" s="246"/>
      <c r="CW61" s="246"/>
      <c r="CX61" s="637">
        <f t="array" aca="1" ref="CX61" ca="1">SUM( IF( ISNA( CX10:CX59 ), 0, CX10:CX59 ) )</f>
        <v>546540.05414059991</v>
      </c>
      <c r="CY61" s="246"/>
      <c r="CZ61" s="246"/>
      <c r="DA61" s="246"/>
      <c r="DB61" s="637">
        <f t="array" aca="1" ref="DB61" ca="1">SUM( IF( ISNA( DB10:DB59 ), 0, DB10:DB59 ) )</f>
        <v>511503.38458437996</v>
      </c>
      <c r="DC61" s="246"/>
      <c r="DD61" s="246"/>
      <c r="DE61" s="246"/>
      <c r="DF61" s="637">
        <f t="array" aca="1" ref="DF61" ca="1">SUM( IF( ISNA( DF10:DF59 ), 0, DF10:DF59 ) )</f>
        <v>470069.90854230005</v>
      </c>
      <c r="DG61" s="246"/>
      <c r="DH61" s="246"/>
      <c r="DI61" s="246"/>
      <c r="DJ61" s="637">
        <f t="array" aca="1" ref="DJ61" ca="1">SUM( IF( ISNA( DJ10:DJ59 ), 0, DJ10:DJ59 ) )</f>
        <v>461576.82489474007</v>
      </c>
      <c r="DK61" s="246"/>
      <c r="DL61" s="246"/>
      <c r="DM61" s="246"/>
      <c r="DN61" s="637">
        <f t="array" aca="1" ref="DN61" ca="1">SUM( IF( ISNA( DN10:DN59 ), 0, DN10:DN59 ) )</f>
        <v>466104.63734641008</v>
      </c>
      <c r="DO61" s="246"/>
      <c r="DP61" s="246"/>
      <c r="DQ61" s="246"/>
      <c r="DR61" s="637">
        <f t="array" aca="1" ref="DR61" ca="1">SUM( IF( ISNA( DR10:DR59 ), 0, DR10:DR59 ) )</f>
        <v>467414.30912647001</v>
      </c>
      <c r="DS61" s="246"/>
      <c r="DT61" s="246"/>
      <c r="DU61" s="246"/>
      <c r="DV61" s="637">
        <f t="array" aca="1" ref="DV61" ca="1">SUM( IF( ISNA( DV10:DV59 ), 0, DV10:DV59 ) )</f>
        <v>428101.14734506997</v>
      </c>
      <c r="DW61" s="246"/>
      <c r="DX61" s="246"/>
      <c r="DY61" s="246"/>
      <c r="DZ61" s="637">
        <f t="array" aca="1" ref="DZ61" ca="1">SUM( IF( ISNA( DZ10:DZ59 ), 0, DZ10:DZ59 ) )</f>
        <v>443376.32046023</v>
      </c>
      <c r="EA61" s="246"/>
      <c r="EB61" s="246"/>
      <c r="EC61" s="246"/>
      <c r="ED61" s="637">
        <f t="array" aca="1" ref="ED61" ca="1">SUM( IF( ISNA( ED10:ED59 ), 0, ED10:ED59 ) )</f>
        <v>421041.17141862307</v>
      </c>
      <c r="EE61" s="246"/>
      <c r="EF61" s="246"/>
      <c r="EG61" s="246"/>
      <c r="EH61" s="637">
        <f t="array" aca="1" ref="EH61" ca="1">SUM( IF( ISNA( EH10:EH59 ), 0, EH10:EH59 ) )</f>
        <v>395012.01490522991</v>
      </c>
      <c r="EI61" s="246"/>
      <c r="EJ61" s="246"/>
      <c r="EK61" s="246"/>
      <c r="EL61" s="637">
        <f t="array" aca="1" ref="EL61" ca="1">SUM( IF( ISNA( EL10:EL59 ), 0, EL10:EL59 ) )</f>
        <v>406497.71062200988</v>
      </c>
      <c r="EM61" s="246"/>
      <c r="EN61" s="246"/>
      <c r="EO61" s="248"/>
      <c r="EP61" s="246"/>
      <c r="EQ61" s="246"/>
      <c r="ER61" s="246"/>
      <c r="ES61" s="246"/>
      <c r="ET61" s="246"/>
      <c r="EU61" s="246"/>
      <c r="EV61" s="246"/>
      <c r="EW61" s="246"/>
      <c r="EX61" s="246"/>
      <c r="EY61" s="246"/>
      <c r="EZ61" s="246"/>
      <c r="FA61" s="246"/>
      <c r="FB61" s="246"/>
      <c r="FC61" s="246"/>
      <c r="FD61" s="246"/>
      <c r="FE61" s="246"/>
      <c r="FF61" s="246"/>
      <c r="FG61" s="246"/>
      <c r="FH61" s="246"/>
      <c r="FI61" s="246"/>
      <c r="FJ61" s="246"/>
      <c r="FK61" s="246"/>
      <c r="FL61" s="246"/>
      <c r="FM61" s="246"/>
      <c r="FN61" s="246"/>
      <c r="FO61" s="246"/>
      <c r="FP61" s="246"/>
      <c r="FQ61" s="246"/>
      <c r="FR61" s="246"/>
      <c r="FS61" s="246"/>
      <c r="FT61" s="246"/>
      <c r="FU61" s="246"/>
      <c r="FV61" s="246"/>
      <c r="FW61" s="246"/>
      <c r="FX61" s="246"/>
      <c r="FY61" s="246"/>
      <c r="FZ61" s="246"/>
      <c r="GA61" s="246"/>
      <c r="GB61" s="246"/>
      <c r="GC61" s="246"/>
      <c r="GD61" s="246"/>
      <c r="GE61" s="246"/>
      <c r="GF61" s="246"/>
      <c r="GG61" s="246"/>
      <c r="GH61" s="246"/>
      <c r="GI61" s="246"/>
      <c r="GJ61" s="246"/>
    </row>
    <row r="62" spans="1:192" s="247" customFormat="1">
      <c r="A62" s="246"/>
      <c r="B62" s="245"/>
      <c r="C62" s="253"/>
      <c r="D62" s="230"/>
      <c r="E62" s="255"/>
      <c r="F62" s="255"/>
      <c r="G62" s="271"/>
      <c r="H62" s="246"/>
      <c r="I62" s="246"/>
      <c r="J62" s="246"/>
      <c r="K62" s="271"/>
      <c r="L62" s="246"/>
      <c r="M62" s="246"/>
      <c r="N62" s="246"/>
      <c r="O62" s="271"/>
      <c r="P62" s="246"/>
      <c r="Q62" s="246"/>
      <c r="R62" s="246"/>
      <c r="S62" s="271"/>
      <c r="T62" s="246"/>
      <c r="U62" s="246"/>
      <c r="V62" s="246"/>
      <c r="W62" s="271"/>
      <c r="X62" s="246"/>
      <c r="Y62" s="246"/>
      <c r="Z62" s="246"/>
      <c r="AA62" s="271"/>
      <c r="AB62" s="246"/>
      <c r="AC62" s="246"/>
      <c r="AD62" s="246"/>
      <c r="AE62" s="271"/>
      <c r="AF62" s="246"/>
      <c r="AG62" s="246"/>
      <c r="AH62" s="246"/>
      <c r="AI62" s="271"/>
      <c r="AJ62" s="246"/>
      <c r="AK62" s="246"/>
      <c r="AL62" s="246"/>
      <c r="AM62" s="271"/>
      <c r="AN62" s="246"/>
      <c r="AO62" s="246"/>
      <c r="AP62" s="246"/>
      <c r="AQ62" s="271"/>
      <c r="AR62" s="246"/>
      <c r="AS62" s="246"/>
      <c r="AT62" s="246"/>
      <c r="AU62" s="271"/>
      <c r="AV62" s="246"/>
      <c r="AW62" s="246"/>
      <c r="AX62" s="246"/>
      <c r="AY62" s="271"/>
      <c r="AZ62" s="246"/>
      <c r="BA62" s="246"/>
      <c r="BB62" s="246"/>
      <c r="BC62" s="271"/>
      <c r="BD62" s="246"/>
      <c r="BE62" s="246"/>
      <c r="BF62" s="246"/>
      <c r="BG62" s="271"/>
      <c r="BH62" s="246"/>
      <c r="BI62" s="246"/>
      <c r="BJ62" s="246"/>
      <c r="BK62" s="271"/>
      <c r="BL62" s="246"/>
      <c r="BM62" s="246"/>
      <c r="BN62" s="246"/>
      <c r="BO62" s="271"/>
      <c r="BP62" s="246"/>
      <c r="BQ62" s="246"/>
      <c r="BR62" s="246"/>
      <c r="BS62" s="271"/>
      <c r="BT62" s="246"/>
      <c r="BU62" s="246"/>
      <c r="BV62" s="246"/>
      <c r="BW62" s="271"/>
      <c r="BX62" s="246"/>
      <c r="BY62" s="246"/>
      <c r="BZ62" s="246"/>
      <c r="CA62" s="271"/>
      <c r="CB62" s="246"/>
      <c r="CC62" s="246"/>
      <c r="CD62" s="246"/>
      <c r="CE62" s="271"/>
      <c r="CF62" s="246"/>
      <c r="CG62" s="246"/>
      <c r="CH62" s="246"/>
      <c r="CI62" s="271"/>
      <c r="CJ62" s="246"/>
      <c r="CK62" s="246"/>
      <c r="CL62" s="246"/>
      <c r="CM62" s="246"/>
      <c r="CN62" s="246"/>
      <c r="CO62" s="246"/>
      <c r="CP62" s="246"/>
      <c r="CQ62" s="246"/>
      <c r="CR62" s="246"/>
      <c r="CS62" s="246"/>
      <c r="CT62" s="246"/>
      <c r="CU62" s="246"/>
      <c r="CV62" s="246"/>
      <c r="CW62" s="246"/>
      <c r="CX62" s="246"/>
      <c r="CY62" s="246"/>
      <c r="CZ62" s="246"/>
      <c r="DA62" s="246"/>
      <c r="DB62" s="246"/>
      <c r="DC62" s="246"/>
      <c r="DD62" s="246"/>
      <c r="DE62" s="246"/>
      <c r="DF62" s="246"/>
      <c r="DG62" s="246"/>
      <c r="DH62" s="246"/>
      <c r="DI62" s="246"/>
      <c r="DJ62" s="246"/>
      <c r="DK62" s="246"/>
      <c r="DL62" s="246"/>
      <c r="DM62" s="246"/>
      <c r="DN62" s="246"/>
      <c r="DO62" s="246"/>
      <c r="DP62" s="246"/>
      <c r="DQ62" s="246"/>
      <c r="DR62" s="246"/>
      <c r="DS62" s="246"/>
      <c r="DT62" s="246"/>
      <c r="DU62" s="246"/>
      <c r="DV62" s="246"/>
      <c r="DW62" s="246"/>
      <c r="DX62" s="246"/>
      <c r="DY62" s="246"/>
      <c r="DZ62" s="246"/>
      <c r="EA62" s="246"/>
      <c r="EB62" s="246"/>
      <c r="EC62" s="246"/>
      <c r="ED62" s="246"/>
      <c r="EE62" s="246"/>
      <c r="EF62" s="246"/>
      <c r="EG62" s="246"/>
      <c r="EH62" s="246"/>
      <c r="EI62" s="246"/>
      <c r="EJ62" s="246"/>
      <c r="EK62" s="246"/>
      <c r="EL62" s="246"/>
      <c r="EM62" s="246"/>
      <c r="EN62" s="246"/>
      <c r="EO62" s="248"/>
      <c r="EP62" s="246"/>
      <c r="EQ62" s="246"/>
      <c r="ER62" s="246"/>
      <c r="ES62" s="246"/>
      <c r="ET62" s="246"/>
      <c r="EU62" s="246"/>
      <c r="EV62" s="246"/>
      <c r="EW62" s="246"/>
      <c r="EX62" s="246"/>
      <c r="EY62" s="246"/>
      <c r="EZ62" s="246"/>
      <c r="FA62" s="246"/>
      <c r="FB62" s="246"/>
      <c r="FC62" s="246"/>
      <c r="FD62" s="246"/>
      <c r="FE62" s="246"/>
      <c r="FF62" s="246"/>
      <c r="FG62" s="246"/>
      <c r="FH62" s="246"/>
      <c r="FI62" s="246"/>
      <c r="FJ62" s="246"/>
      <c r="FK62" s="246"/>
      <c r="FL62" s="246"/>
      <c r="FM62" s="246"/>
      <c r="FN62" s="246"/>
      <c r="FO62" s="246"/>
      <c r="FP62" s="246"/>
      <c r="FQ62" s="246"/>
      <c r="FR62" s="246"/>
      <c r="FS62" s="246"/>
      <c r="FT62" s="246"/>
      <c r="FU62" s="246"/>
      <c r="FV62" s="246"/>
      <c r="FW62" s="246"/>
      <c r="FX62" s="246"/>
      <c r="FY62" s="246"/>
      <c r="FZ62" s="246"/>
      <c r="GA62" s="246"/>
      <c r="GB62" s="246"/>
      <c r="GC62" s="246"/>
      <c r="GD62" s="246"/>
      <c r="GE62" s="246"/>
      <c r="GF62" s="246"/>
      <c r="GG62" s="246"/>
      <c r="GH62" s="246"/>
      <c r="GI62" s="246"/>
      <c r="GJ62" s="246"/>
    </row>
    <row r="63" spans="1:192" s="247" customFormat="1">
      <c r="A63" s="246"/>
      <c r="B63" s="245"/>
      <c r="C63" s="253"/>
      <c r="D63" s="230"/>
      <c r="E63" s="255"/>
      <c r="F63" s="255"/>
      <c r="G63" s="271"/>
      <c r="H63" s="246"/>
      <c r="I63" s="246"/>
      <c r="J63" s="246"/>
      <c r="K63" s="271"/>
      <c r="L63" s="246"/>
      <c r="M63" s="246"/>
      <c r="N63" s="246"/>
      <c r="O63" s="271"/>
      <c r="P63" s="246"/>
      <c r="Q63" s="246"/>
      <c r="R63" s="246"/>
      <c r="S63" s="271"/>
      <c r="T63" s="246"/>
      <c r="U63" s="246"/>
      <c r="V63" s="246"/>
      <c r="W63" s="271"/>
      <c r="X63" s="246"/>
      <c r="Y63" s="246"/>
      <c r="Z63" s="246"/>
      <c r="AA63" s="271"/>
      <c r="AB63" s="246"/>
      <c r="AC63" s="246"/>
      <c r="AD63" s="246"/>
      <c r="AE63" s="271"/>
      <c r="AF63" s="246"/>
      <c r="AG63" s="246"/>
      <c r="AH63" s="246"/>
      <c r="AI63" s="271"/>
      <c r="AJ63" s="246"/>
      <c r="AK63" s="246"/>
      <c r="AL63" s="246"/>
      <c r="AM63" s="271"/>
      <c r="AN63" s="246"/>
      <c r="AO63" s="246"/>
      <c r="AP63" s="246"/>
      <c r="AQ63" s="271"/>
      <c r="AR63" s="246"/>
      <c r="AS63" s="246"/>
      <c r="AT63" s="246"/>
      <c r="AU63" s="271"/>
      <c r="AV63" s="246"/>
      <c r="AW63" s="246"/>
      <c r="AX63" s="246"/>
      <c r="AY63" s="271"/>
      <c r="AZ63" s="246"/>
      <c r="BA63" s="246"/>
      <c r="BB63" s="246"/>
      <c r="BC63" s="271"/>
      <c r="BD63" s="246"/>
      <c r="BE63" s="246"/>
      <c r="BF63" s="246"/>
      <c r="BG63" s="271"/>
      <c r="BH63" s="246"/>
      <c r="BI63" s="246"/>
      <c r="BJ63" s="246"/>
      <c r="BK63" s="271"/>
      <c r="BL63" s="246"/>
      <c r="BM63" s="246"/>
      <c r="BN63" s="246"/>
      <c r="BO63" s="271"/>
      <c r="BP63" s="246"/>
      <c r="BQ63" s="246"/>
      <c r="BR63" s="246"/>
      <c r="BS63" s="271"/>
      <c r="BT63" s="246"/>
      <c r="BU63" s="246"/>
      <c r="BV63" s="246"/>
      <c r="BW63" s="271"/>
      <c r="BX63" s="246"/>
      <c r="BY63" s="246"/>
      <c r="BZ63" s="246"/>
      <c r="CA63" s="271"/>
      <c r="CB63" s="246"/>
      <c r="CC63" s="246"/>
      <c r="CD63" s="246"/>
      <c r="CE63" s="271"/>
      <c r="CF63" s="246"/>
      <c r="CG63" s="246"/>
      <c r="CH63" s="246"/>
      <c r="CI63" s="271"/>
      <c r="CJ63" s="246"/>
      <c r="CK63" s="246"/>
      <c r="CL63" s="246"/>
      <c r="CM63" s="246"/>
      <c r="CN63" s="246"/>
      <c r="CO63" s="246"/>
      <c r="CP63" s="246"/>
      <c r="CQ63" s="246"/>
      <c r="CR63" s="246"/>
      <c r="CS63" s="246"/>
      <c r="CT63" s="246"/>
      <c r="CU63" s="246"/>
      <c r="CV63" s="246"/>
      <c r="CW63" s="246"/>
      <c r="CX63" s="246"/>
      <c r="CY63" s="246"/>
      <c r="CZ63" s="246"/>
      <c r="DA63" s="246"/>
      <c r="DB63" s="246"/>
      <c r="DC63" s="246"/>
      <c r="DD63" s="246"/>
      <c r="DE63" s="246"/>
      <c r="DF63" s="246"/>
      <c r="DG63" s="246"/>
      <c r="DH63" s="246"/>
      <c r="DI63" s="246"/>
      <c r="DJ63" s="246"/>
      <c r="DK63" s="246"/>
      <c r="DL63" s="246"/>
      <c r="DM63" s="246"/>
      <c r="DN63" s="246"/>
      <c r="DO63" s="246"/>
      <c r="DP63" s="246"/>
      <c r="DQ63" s="246"/>
      <c r="DR63" s="246"/>
      <c r="DS63" s="246"/>
      <c r="DT63" s="246"/>
      <c r="DU63" s="246"/>
      <c r="DV63" s="246"/>
      <c r="DW63" s="246"/>
      <c r="DX63" s="246"/>
      <c r="DY63" s="246"/>
      <c r="DZ63" s="246"/>
      <c r="EA63" s="246"/>
      <c r="EB63" s="246"/>
      <c r="EC63" s="246"/>
      <c r="ED63" s="246"/>
      <c r="EE63" s="246"/>
      <c r="EF63" s="246"/>
      <c r="EG63" s="246"/>
      <c r="EH63" s="246"/>
      <c r="EI63" s="246"/>
      <c r="EJ63" s="246"/>
      <c r="EK63" s="246"/>
      <c r="EL63" s="246"/>
      <c r="EM63" s="246"/>
      <c r="EN63" s="246"/>
      <c r="EO63" s="248"/>
      <c r="EP63" s="246"/>
      <c r="EQ63" s="246"/>
      <c r="ER63" s="246"/>
      <c r="ES63" s="246"/>
      <c r="ET63" s="246"/>
      <c r="EU63" s="246"/>
      <c r="EV63" s="246"/>
      <c r="EW63" s="246"/>
      <c r="EX63" s="246"/>
      <c r="EY63" s="246"/>
      <c r="EZ63" s="246"/>
      <c r="FA63" s="246"/>
      <c r="FB63" s="246"/>
      <c r="FC63" s="246"/>
      <c r="FD63" s="246"/>
      <c r="FE63" s="246"/>
      <c r="FF63" s="246"/>
      <c r="FG63" s="246"/>
      <c r="FH63" s="246"/>
      <c r="FI63" s="246"/>
      <c r="FJ63" s="246"/>
      <c r="FK63" s="246"/>
      <c r="FL63" s="246"/>
      <c r="FM63" s="246"/>
      <c r="FN63" s="246"/>
      <c r="FO63" s="246"/>
      <c r="FP63" s="246"/>
      <c r="FQ63" s="246"/>
      <c r="FR63" s="246"/>
      <c r="FS63" s="246"/>
      <c r="FT63" s="246"/>
      <c r="FU63" s="246"/>
      <c r="FV63" s="246"/>
      <c r="FW63" s="246"/>
      <c r="FX63" s="246"/>
      <c r="FY63" s="246"/>
      <c r="FZ63" s="246"/>
      <c r="GA63" s="246"/>
      <c r="GB63" s="246"/>
      <c r="GC63" s="246"/>
      <c r="GD63" s="246"/>
      <c r="GE63" s="246"/>
      <c r="GF63" s="246"/>
      <c r="GG63" s="246"/>
      <c r="GH63" s="246"/>
      <c r="GI63" s="246"/>
      <c r="GJ63" s="246"/>
    </row>
    <row r="64" spans="1:192" s="247" customFormat="1">
      <c r="A64" s="246"/>
      <c r="B64" s="245"/>
      <c r="C64" s="253"/>
      <c r="D64" s="230"/>
      <c r="E64" s="254"/>
      <c r="F64" s="254"/>
      <c r="G64" s="271"/>
      <c r="H64" s="246"/>
      <c r="I64" s="246"/>
      <c r="J64" s="246"/>
      <c r="K64" s="271"/>
      <c r="L64" s="246"/>
      <c r="M64" s="246"/>
      <c r="N64" s="246"/>
      <c r="O64" s="271"/>
      <c r="P64" s="246"/>
      <c r="Q64" s="246"/>
      <c r="R64" s="246"/>
      <c r="S64" s="271"/>
      <c r="T64" s="246"/>
      <c r="U64" s="246"/>
      <c r="V64" s="246"/>
      <c r="W64" s="271"/>
      <c r="X64" s="246"/>
      <c r="Y64" s="246"/>
      <c r="Z64" s="246"/>
      <c r="AA64" s="271"/>
      <c r="AB64" s="246"/>
      <c r="AC64" s="246"/>
      <c r="AD64" s="246"/>
      <c r="AE64" s="271"/>
      <c r="AF64" s="246"/>
      <c r="AG64" s="246"/>
      <c r="AH64" s="246"/>
      <c r="AI64" s="271"/>
      <c r="AJ64" s="246"/>
      <c r="AK64" s="246"/>
      <c r="AL64" s="246"/>
      <c r="AM64" s="271"/>
      <c r="AN64" s="246"/>
      <c r="AO64" s="246"/>
      <c r="AP64" s="246"/>
      <c r="AQ64" s="271"/>
      <c r="AR64" s="246"/>
      <c r="AS64" s="246"/>
      <c r="AT64" s="246"/>
      <c r="AU64" s="271"/>
      <c r="AV64" s="246"/>
      <c r="AW64" s="246"/>
      <c r="AX64" s="246"/>
      <c r="AY64" s="271"/>
      <c r="AZ64" s="246"/>
      <c r="BA64" s="246"/>
      <c r="BB64" s="246"/>
      <c r="BC64" s="271"/>
      <c r="BD64" s="246"/>
      <c r="BE64" s="246"/>
      <c r="BF64" s="246"/>
      <c r="BG64" s="271"/>
      <c r="BH64" s="246"/>
      <c r="BI64" s="246"/>
      <c r="BJ64" s="246"/>
      <c r="BK64" s="271"/>
      <c r="BL64" s="246"/>
      <c r="BM64" s="246"/>
      <c r="BN64" s="246"/>
      <c r="BO64" s="271"/>
      <c r="BP64" s="246"/>
      <c r="BQ64" s="246"/>
      <c r="BR64" s="246"/>
      <c r="BS64" s="271"/>
      <c r="BT64" s="246"/>
      <c r="BU64" s="246"/>
      <c r="BV64" s="246"/>
      <c r="BW64" s="271"/>
      <c r="BX64" s="246"/>
      <c r="BY64" s="246"/>
      <c r="BZ64" s="246"/>
      <c r="CA64" s="271"/>
      <c r="CB64" s="246"/>
      <c r="CC64" s="246"/>
      <c r="CD64" s="246"/>
      <c r="CE64" s="271"/>
      <c r="CF64" s="246"/>
      <c r="CG64" s="246"/>
      <c r="CH64" s="246"/>
      <c r="CI64" s="271"/>
      <c r="CJ64" s="246"/>
      <c r="CK64" s="246"/>
      <c r="CL64" s="246"/>
      <c r="CM64" s="246"/>
      <c r="CN64" s="246"/>
      <c r="CO64" s="246"/>
      <c r="CP64" s="246"/>
      <c r="CQ64" s="246"/>
      <c r="CR64" s="246"/>
      <c r="CS64" s="246"/>
      <c r="CT64" s="246"/>
      <c r="CU64" s="246"/>
      <c r="CV64" s="246"/>
      <c r="CW64" s="246"/>
      <c r="CX64" s="246"/>
      <c r="CY64" s="246"/>
      <c r="CZ64" s="246"/>
      <c r="DA64" s="246"/>
      <c r="DB64" s="246"/>
      <c r="DC64" s="246"/>
      <c r="DD64" s="246"/>
      <c r="DE64" s="246"/>
      <c r="DF64" s="246"/>
      <c r="DG64" s="246"/>
      <c r="DH64" s="246"/>
      <c r="DI64" s="246"/>
      <c r="DJ64" s="246"/>
      <c r="DK64" s="246"/>
      <c r="DL64" s="246"/>
      <c r="DM64" s="246"/>
      <c r="DN64" s="246"/>
      <c r="DO64" s="246"/>
      <c r="DP64" s="246"/>
      <c r="DQ64" s="246"/>
      <c r="DR64" s="246"/>
      <c r="DS64" s="246"/>
      <c r="DT64" s="246"/>
      <c r="DU64" s="246"/>
      <c r="DV64" s="246"/>
      <c r="DW64" s="246"/>
      <c r="DX64" s="246"/>
      <c r="DY64" s="246"/>
      <c r="DZ64" s="246"/>
      <c r="EA64" s="246"/>
      <c r="EB64" s="246"/>
      <c r="EC64" s="246"/>
      <c r="ED64" s="246"/>
      <c r="EE64" s="246"/>
      <c r="EF64" s="246"/>
      <c r="EG64" s="246"/>
      <c r="EH64" s="246"/>
      <c r="EI64" s="246"/>
      <c r="EJ64" s="246"/>
      <c r="EK64" s="246"/>
      <c r="EL64" s="246"/>
      <c r="EM64" s="246"/>
      <c r="EN64" s="246"/>
      <c r="EO64" s="248"/>
      <c r="EP64" s="246"/>
      <c r="EQ64" s="246"/>
      <c r="ER64" s="246"/>
      <c r="ES64" s="246"/>
      <c r="ET64" s="246"/>
      <c r="EU64" s="246"/>
      <c r="EV64" s="246"/>
      <c r="EW64" s="246"/>
      <c r="EX64" s="246"/>
      <c r="EY64" s="246"/>
      <c r="EZ64" s="246"/>
      <c r="FA64" s="246"/>
      <c r="FB64" s="246"/>
      <c r="FC64" s="246"/>
      <c r="FD64" s="246"/>
      <c r="FE64" s="246"/>
      <c r="FF64" s="246"/>
      <c r="FG64" s="246"/>
      <c r="FH64" s="246"/>
      <c r="FI64" s="246"/>
      <c r="FJ64" s="246"/>
      <c r="FK64" s="246"/>
      <c r="FL64" s="246"/>
      <c r="FM64" s="246"/>
      <c r="FN64" s="246"/>
      <c r="FO64" s="246"/>
      <c r="FP64" s="246"/>
      <c r="FQ64" s="246"/>
      <c r="FR64" s="246"/>
      <c r="FS64" s="246"/>
      <c r="FT64" s="246"/>
      <c r="FU64" s="246"/>
      <c r="FV64" s="246"/>
      <c r="FW64" s="246"/>
      <c r="FX64" s="246"/>
      <c r="FY64" s="246"/>
      <c r="FZ64" s="246"/>
      <c r="GA64" s="246"/>
      <c r="GB64" s="246"/>
      <c r="GC64" s="246"/>
      <c r="GD64" s="246"/>
      <c r="GE64" s="246"/>
      <c r="GF64" s="246"/>
      <c r="GG64" s="246"/>
      <c r="GH64" s="246"/>
      <c r="GI64" s="246"/>
      <c r="GJ64" s="246"/>
    </row>
    <row r="65" spans="1:192" s="247" customFormat="1">
      <c r="A65" s="246"/>
      <c r="B65" s="245"/>
      <c r="C65" s="253"/>
      <c r="D65" s="230"/>
      <c r="E65" s="255"/>
      <c r="F65" s="255"/>
      <c r="G65" s="271"/>
      <c r="H65" s="246"/>
      <c r="I65" s="246"/>
      <c r="J65" s="246"/>
      <c r="K65" s="271"/>
      <c r="L65" s="246"/>
      <c r="M65" s="246"/>
      <c r="N65" s="246"/>
      <c r="O65" s="271"/>
      <c r="P65" s="246"/>
      <c r="Q65" s="246"/>
      <c r="R65" s="246"/>
      <c r="S65" s="271"/>
      <c r="T65" s="246"/>
      <c r="U65" s="246"/>
      <c r="V65" s="246"/>
      <c r="W65" s="271"/>
      <c r="X65" s="246"/>
      <c r="Y65" s="246"/>
      <c r="Z65" s="246"/>
      <c r="AA65" s="271"/>
      <c r="AB65" s="246"/>
      <c r="AC65" s="246"/>
      <c r="AD65" s="246"/>
      <c r="AE65" s="271"/>
      <c r="AF65" s="246"/>
      <c r="AG65" s="246"/>
      <c r="AH65" s="246"/>
      <c r="AI65" s="271"/>
      <c r="AJ65" s="246"/>
      <c r="AK65" s="246"/>
      <c r="AL65" s="246"/>
      <c r="AM65" s="271"/>
      <c r="AN65" s="246"/>
      <c r="AO65" s="246"/>
      <c r="AP65" s="246"/>
      <c r="AQ65" s="271"/>
      <c r="AR65" s="246"/>
      <c r="AS65" s="246"/>
      <c r="AT65" s="246"/>
      <c r="AU65" s="271"/>
      <c r="AV65" s="246"/>
      <c r="AW65" s="246"/>
      <c r="AX65" s="246"/>
      <c r="AY65" s="271"/>
      <c r="AZ65" s="246"/>
      <c r="BA65" s="246"/>
      <c r="BB65" s="246"/>
      <c r="BC65" s="271"/>
      <c r="BD65" s="246"/>
      <c r="BE65" s="246"/>
      <c r="BF65" s="246"/>
      <c r="BG65" s="271"/>
      <c r="BH65" s="246"/>
      <c r="BI65" s="246"/>
      <c r="BJ65" s="246"/>
      <c r="BK65" s="271"/>
      <c r="BL65" s="246"/>
      <c r="BM65" s="246"/>
      <c r="BN65" s="246"/>
      <c r="BO65" s="271"/>
      <c r="BP65" s="246"/>
      <c r="BQ65" s="246"/>
      <c r="BR65" s="246"/>
      <c r="BS65" s="271"/>
      <c r="BT65" s="246"/>
      <c r="BU65" s="246"/>
      <c r="BV65" s="246"/>
      <c r="BW65" s="271"/>
      <c r="BX65" s="246"/>
      <c r="BY65" s="246"/>
      <c r="BZ65" s="246"/>
      <c r="CA65" s="271"/>
      <c r="CB65" s="246"/>
      <c r="CC65" s="246"/>
      <c r="CD65" s="246"/>
      <c r="CE65" s="271"/>
      <c r="CF65" s="246"/>
      <c r="CG65" s="246"/>
      <c r="CH65" s="246"/>
      <c r="CI65" s="271"/>
      <c r="CJ65" s="246"/>
      <c r="CK65" s="246"/>
      <c r="CL65" s="246"/>
      <c r="CM65" s="246"/>
      <c r="CN65" s="246"/>
      <c r="CO65" s="246"/>
      <c r="CP65" s="246"/>
      <c r="CQ65" s="246"/>
      <c r="CR65" s="246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6"/>
      <c r="DJ65" s="246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6"/>
      <c r="EB65" s="246"/>
      <c r="EC65" s="246"/>
      <c r="ED65" s="246"/>
      <c r="EE65" s="246"/>
      <c r="EF65" s="246"/>
      <c r="EG65" s="246"/>
      <c r="EH65" s="246"/>
      <c r="EI65" s="246"/>
      <c r="EJ65" s="246"/>
      <c r="EK65" s="246"/>
      <c r="EL65" s="246"/>
      <c r="EM65" s="246"/>
      <c r="EN65" s="246"/>
      <c r="EO65" s="248"/>
      <c r="EP65" s="246"/>
      <c r="EQ65" s="246"/>
      <c r="ER65" s="246"/>
      <c r="ES65" s="246"/>
      <c r="ET65" s="246"/>
      <c r="EU65" s="246"/>
      <c r="EV65" s="246"/>
      <c r="EW65" s="246"/>
      <c r="EX65" s="246"/>
      <c r="EY65" s="246"/>
      <c r="EZ65" s="246"/>
      <c r="FA65" s="246"/>
      <c r="FB65" s="246"/>
      <c r="FC65" s="246"/>
      <c r="FD65" s="246"/>
      <c r="FE65" s="246"/>
      <c r="FF65" s="246"/>
      <c r="FG65" s="246"/>
      <c r="FH65" s="246"/>
      <c r="FI65" s="246"/>
      <c r="FJ65" s="246"/>
      <c r="FK65" s="246"/>
      <c r="FL65" s="246"/>
      <c r="FM65" s="246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6"/>
      <c r="GE65" s="246"/>
      <c r="GF65" s="246"/>
      <c r="GG65" s="246"/>
      <c r="GH65" s="246"/>
      <c r="GI65" s="246"/>
      <c r="GJ65" s="246"/>
    </row>
    <row r="66" spans="1:192" s="247" customFormat="1">
      <c r="A66" s="246"/>
      <c r="B66" s="245"/>
      <c r="C66" s="253"/>
      <c r="D66" s="230"/>
      <c r="E66" s="255"/>
      <c r="F66" s="255"/>
      <c r="G66" s="271"/>
      <c r="H66" s="246"/>
      <c r="I66" s="246"/>
      <c r="J66" s="246"/>
      <c r="K66" s="271"/>
      <c r="L66" s="246"/>
      <c r="M66" s="246"/>
      <c r="N66" s="246"/>
      <c r="O66" s="271"/>
      <c r="P66" s="246"/>
      <c r="Q66" s="246"/>
      <c r="R66" s="246"/>
      <c r="S66" s="271"/>
      <c r="T66" s="246"/>
      <c r="U66" s="246"/>
      <c r="V66" s="246"/>
      <c r="W66" s="271"/>
      <c r="X66" s="246"/>
      <c r="Y66" s="246"/>
      <c r="Z66" s="246"/>
      <c r="AA66" s="271"/>
      <c r="AB66" s="246"/>
      <c r="AC66" s="246"/>
      <c r="AD66" s="246"/>
      <c r="AE66" s="271"/>
      <c r="AF66" s="246"/>
      <c r="AG66" s="246"/>
      <c r="AH66" s="246"/>
      <c r="AI66" s="271"/>
      <c r="AJ66" s="246"/>
      <c r="AK66" s="246"/>
      <c r="AL66" s="246"/>
      <c r="AM66" s="271"/>
      <c r="AN66" s="246"/>
      <c r="AO66" s="246"/>
      <c r="AP66" s="246"/>
      <c r="AQ66" s="271"/>
      <c r="AR66" s="246"/>
      <c r="AS66" s="246"/>
      <c r="AT66" s="246"/>
      <c r="AU66" s="271"/>
      <c r="AV66" s="246"/>
      <c r="AW66" s="246"/>
      <c r="AX66" s="246"/>
      <c r="AY66" s="271"/>
      <c r="AZ66" s="246"/>
      <c r="BA66" s="246"/>
      <c r="BB66" s="246"/>
      <c r="BC66" s="271"/>
      <c r="BD66" s="246"/>
      <c r="BE66" s="246"/>
      <c r="BF66" s="246"/>
      <c r="BG66" s="271"/>
      <c r="BH66" s="246"/>
      <c r="BI66" s="246"/>
      <c r="BJ66" s="246"/>
      <c r="BK66" s="271"/>
      <c r="BL66" s="246"/>
      <c r="BM66" s="246"/>
      <c r="BN66" s="246"/>
      <c r="BO66" s="271"/>
      <c r="BP66" s="246"/>
      <c r="BQ66" s="246"/>
      <c r="BR66" s="246"/>
      <c r="BS66" s="271"/>
      <c r="BT66" s="246"/>
      <c r="BU66" s="246"/>
      <c r="BV66" s="246"/>
      <c r="BW66" s="271"/>
      <c r="BX66" s="246"/>
      <c r="BY66" s="246"/>
      <c r="BZ66" s="246"/>
      <c r="CA66" s="271"/>
      <c r="CB66" s="246"/>
      <c r="CC66" s="246"/>
      <c r="CD66" s="246"/>
      <c r="CE66" s="271"/>
      <c r="CF66" s="246"/>
      <c r="CG66" s="246"/>
      <c r="CH66" s="246"/>
      <c r="CI66" s="271"/>
      <c r="CJ66" s="246"/>
      <c r="CK66" s="246"/>
      <c r="CL66" s="246"/>
      <c r="CM66" s="246"/>
      <c r="CN66" s="246"/>
      <c r="CO66" s="246"/>
      <c r="CP66" s="246"/>
      <c r="CQ66" s="246"/>
      <c r="CR66" s="246"/>
      <c r="CS66" s="246"/>
      <c r="CT66" s="246"/>
      <c r="CU66" s="246"/>
      <c r="CV66" s="246"/>
      <c r="CW66" s="246"/>
      <c r="CX66" s="246"/>
      <c r="CY66" s="246"/>
      <c r="CZ66" s="246"/>
      <c r="DA66" s="246"/>
      <c r="DB66" s="246"/>
      <c r="DC66" s="246"/>
      <c r="DD66" s="246"/>
      <c r="DE66" s="246"/>
      <c r="DF66" s="246"/>
      <c r="DG66" s="246"/>
      <c r="DH66" s="246"/>
      <c r="DI66" s="246"/>
      <c r="DJ66" s="246"/>
      <c r="DK66" s="246"/>
      <c r="DL66" s="246"/>
      <c r="DM66" s="246"/>
      <c r="DN66" s="246"/>
      <c r="DO66" s="246"/>
      <c r="DP66" s="246"/>
      <c r="DQ66" s="246"/>
      <c r="DR66" s="246"/>
      <c r="DS66" s="246"/>
      <c r="DT66" s="246"/>
      <c r="DU66" s="246"/>
      <c r="DV66" s="246"/>
      <c r="DW66" s="246"/>
      <c r="DX66" s="246"/>
      <c r="DY66" s="246"/>
      <c r="DZ66" s="246"/>
      <c r="EA66" s="246"/>
      <c r="EB66" s="246"/>
      <c r="EC66" s="246"/>
      <c r="ED66" s="246"/>
      <c r="EE66" s="246"/>
      <c r="EF66" s="246"/>
      <c r="EG66" s="246"/>
      <c r="EH66" s="246"/>
      <c r="EI66" s="246"/>
      <c r="EJ66" s="246"/>
      <c r="EK66" s="246"/>
      <c r="EL66" s="246"/>
      <c r="EM66" s="246"/>
      <c r="EN66" s="246"/>
      <c r="EO66" s="248"/>
      <c r="EP66" s="246"/>
      <c r="EQ66" s="246"/>
      <c r="ER66" s="246"/>
      <c r="ES66" s="246"/>
      <c r="ET66" s="246"/>
      <c r="EU66" s="246"/>
      <c r="EV66" s="246"/>
      <c r="EW66" s="246"/>
      <c r="EX66" s="246"/>
      <c r="EY66" s="246"/>
      <c r="EZ66" s="246"/>
      <c r="FA66" s="246"/>
      <c r="FB66" s="246"/>
      <c r="FC66" s="246"/>
      <c r="FD66" s="246"/>
      <c r="FE66" s="246"/>
      <c r="FF66" s="246"/>
      <c r="FG66" s="246"/>
      <c r="FH66" s="246"/>
      <c r="FI66" s="246"/>
      <c r="FJ66" s="246"/>
      <c r="FK66" s="246"/>
      <c r="FL66" s="246"/>
      <c r="FM66" s="246"/>
      <c r="FN66" s="246"/>
      <c r="FO66" s="246"/>
      <c r="FP66" s="246"/>
      <c r="FQ66" s="246"/>
      <c r="FR66" s="246"/>
      <c r="FS66" s="246"/>
      <c r="FT66" s="246"/>
      <c r="FU66" s="246"/>
      <c r="FV66" s="246"/>
      <c r="FW66" s="246"/>
      <c r="FX66" s="246"/>
      <c r="FY66" s="246"/>
      <c r="FZ66" s="246"/>
      <c r="GA66" s="246"/>
      <c r="GB66" s="246"/>
      <c r="GC66" s="246"/>
      <c r="GD66" s="246"/>
      <c r="GE66" s="246"/>
      <c r="GF66" s="246"/>
      <c r="GG66" s="246"/>
      <c r="GH66" s="246"/>
      <c r="GI66" s="246"/>
      <c r="GJ66" s="246"/>
    </row>
    <row r="67" spans="1:192" s="247" customFormat="1">
      <c r="A67" s="246"/>
      <c r="B67" s="245"/>
      <c r="C67" s="253"/>
      <c r="D67" s="230"/>
      <c r="E67" s="255"/>
      <c r="F67" s="255"/>
      <c r="G67" s="271"/>
      <c r="H67" s="246"/>
      <c r="I67" s="246"/>
      <c r="J67" s="246"/>
      <c r="K67" s="271"/>
      <c r="L67" s="246"/>
      <c r="M67" s="246"/>
      <c r="N67" s="246"/>
      <c r="O67" s="271"/>
      <c r="P67" s="246"/>
      <c r="Q67" s="246"/>
      <c r="R67" s="246"/>
      <c r="S67" s="271"/>
      <c r="T67" s="246"/>
      <c r="U67" s="246"/>
      <c r="V67" s="246"/>
      <c r="W67" s="271"/>
      <c r="X67" s="246"/>
      <c r="Y67" s="246"/>
      <c r="Z67" s="246"/>
      <c r="AA67" s="271"/>
      <c r="AB67" s="246"/>
      <c r="AC67" s="246"/>
      <c r="AD67" s="246"/>
      <c r="AE67" s="271"/>
      <c r="AF67" s="246"/>
      <c r="AG67" s="246"/>
      <c r="AH67" s="246"/>
      <c r="AI67" s="271"/>
      <c r="AJ67" s="246"/>
      <c r="AK67" s="246"/>
      <c r="AL67" s="246"/>
      <c r="AM67" s="271"/>
      <c r="AN67" s="246"/>
      <c r="AO67" s="246"/>
      <c r="AP67" s="246"/>
      <c r="AQ67" s="271"/>
      <c r="AR67" s="246"/>
      <c r="AS67" s="246"/>
      <c r="AT67" s="246"/>
      <c r="AU67" s="271"/>
      <c r="AV67" s="246"/>
      <c r="AW67" s="246"/>
      <c r="AX67" s="246"/>
      <c r="AY67" s="271"/>
      <c r="AZ67" s="246"/>
      <c r="BA67" s="246"/>
      <c r="BB67" s="246"/>
      <c r="BC67" s="271"/>
      <c r="BD67" s="246"/>
      <c r="BE67" s="246"/>
      <c r="BF67" s="246"/>
      <c r="BG67" s="271"/>
      <c r="BH67" s="246"/>
      <c r="BI67" s="246"/>
      <c r="BJ67" s="246"/>
      <c r="BK67" s="271"/>
      <c r="BL67" s="246"/>
      <c r="BM67" s="246"/>
      <c r="BN67" s="246"/>
      <c r="BO67" s="271"/>
      <c r="BP67" s="246"/>
      <c r="BQ67" s="246"/>
      <c r="BR67" s="246"/>
      <c r="BS67" s="271"/>
      <c r="BT67" s="246"/>
      <c r="BU67" s="246"/>
      <c r="BV67" s="246"/>
      <c r="BW67" s="271"/>
      <c r="BX67" s="246"/>
      <c r="BY67" s="246"/>
      <c r="BZ67" s="246"/>
      <c r="CA67" s="271"/>
      <c r="CB67" s="246"/>
      <c r="CC67" s="246"/>
      <c r="CD67" s="246"/>
      <c r="CE67" s="271"/>
      <c r="CF67" s="246"/>
      <c r="CG67" s="246"/>
      <c r="CH67" s="246"/>
      <c r="CI67" s="271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  <c r="CY67" s="246"/>
      <c r="CZ67" s="246"/>
      <c r="DA67" s="246"/>
      <c r="DB67" s="246"/>
      <c r="DC67" s="246"/>
      <c r="DD67" s="246"/>
      <c r="DE67" s="246"/>
      <c r="DF67" s="246"/>
      <c r="DG67" s="246"/>
      <c r="DH67" s="246"/>
      <c r="DI67" s="246"/>
      <c r="DJ67" s="246"/>
      <c r="DK67" s="246"/>
      <c r="DL67" s="246"/>
      <c r="DM67" s="246"/>
      <c r="DN67" s="246"/>
      <c r="DO67" s="246"/>
      <c r="DP67" s="246"/>
      <c r="DQ67" s="246"/>
      <c r="DR67" s="246"/>
      <c r="DS67" s="246"/>
      <c r="DT67" s="246"/>
      <c r="DU67" s="246"/>
      <c r="DV67" s="246"/>
      <c r="DW67" s="246"/>
      <c r="DX67" s="246"/>
      <c r="DY67" s="246"/>
      <c r="DZ67" s="246"/>
      <c r="EA67" s="246"/>
      <c r="EB67" s="246"/>
      <c r="EC67" s="246"/>
      <c r="ED67" s="246"/>
      <c r="EE67" s="246"/>
      <c r="EF67" s="246"/>
      <c r="EG67" s="246"/>
      <c r="EH67" s="246"/>
      <c r="EI67" s="246"/>
      <c r="EJ67" s="246"/>
      <c r="EK67" s="246"/>
      <c r="EL67" s="246"/>
      <c r="EM67" s="246"/>
      <c r="EN67" s="246"/>
      <c r="EO67" s="248"/>
      <c r="EP67" s="246"/>
      <c r="EQ67" s="246"/>
      <c r="ER67" s="246"/>
      <c r="ES67" s="246"/>
      <c r="ET67" s="246"/>
      <c r="EU67" s="246"/>
      <c r="EV67" s="246"/>
      <c r="EW67" s="246"/>
      <c r="EX67" s="246"/>
      <c r="EY67" s="246"/>
      <c r="EZ67" s="246"/>
      <c r="FA67" s="246"/>
      <c r="FB67" s="246"/>
      <c r="FC67" s="246"/>
      <c r="FD67" s="246"/>
      <c r="FE67" s="246"/>
      <c r="FF67" s="246"/>
      <c r="FG67" s="246"/>
      <c r="FH67" s="246"/>
      <c r="FI67" s="246"/>
      <c r="FJ67" s="246"/>
      <c r="FK67" s="246"/>
      <c r="FL67" s="246"/>
      <c r="FM67" s="246"/>
      <c r="FN67" s="246"/>
      <c r="FO67" s="246"/>
      <c r="FP67" s="246"/>
      <c r="FQ67" s="246"/>
      <c r="FR67" s="246"/>
      <c r="FS67" s="246"/>
      <c r="FT67" s="246"/>
      <c r="FU67" s="246"/>
      <c r="FV67" s="246"/>
      <c r="FW67" s="246"/>
      <c r="FX67" s="246"/>
      <c r="FY67" s="246"/>
      <c r="FZ67" s="246"/>
      <c r="GA67" s="246"/>
      <c r="GB67" s="246"/>
      <c r="GC67" s="246"/>
      <c r="GD67" s="246"/>
      <c r="GE67" s="246"/>
      <c r="GF67" s="246"/>
      <c r="GG67" s="246"/>
      <c r="GH67" s="246"/>
      <c r="GI67" s="246"/>
      <c r="GJ67" s="246"/>
    </row>
    <row r="68" spans="1:192" s="247" customFormat="1">
      <c r="A68" s="246"/>
      <c r="B68" s="245"/>
      <c r="C68" s="253"/>
      <c r="D68" s="230"/>
      <c r="E68" s="255"/>
      <c r="F68" s="255"/>
      <c r="G68" s="271"/>
      <c r="H68" s="246"/>
      <c r="I68" s="246"/>
      <c r="J68" s="246"/>
      <c r="K68" s="271"/>
      <c r="L68" s="246"/>
      <c r="M68" s="246"/>
      <c r="N68" s="246"/>
      <c r="O68" s="271"/>
      <c r="P68" s="246"/>
      <c r="Q68" s="246"/>
      <c r="R68" s="246"/>
      <c r="S68" s="271"/>
      <c r="T68" s="246"/>
      <c r="U68" s="246"/>
      <c r="V68" s="246"/>
      <c r="W68" s="271"/>
      <c r="X68" s="246"/>
      <c r="Y68" s="246"/>
      <c r="Z68" s="246"/>
      <c r="AA68" s="271"/>
      <c r="AB68" s="246"/>
      <c r="AC68" s="246"/>
      <c r="AD68" s="246"/>
      <c r="AE68" s="271"/>
      <c r="AF68" s="246"/>
      <c r="AG68" s="246"/>
      <c r="AH68" s="246"/>
      <c r="AI68" s="271"/>
      <c r="AJ68" s="246"/>
      <c r="AK68" s="246"/>
      <c r="AL68" s="246"/>
      <c r="AM68" s="271"/>
      <c r="AN68" s="246"/>
      <c r="AO68" s="246"/>
      <c r="AP68" s="246"/>
      <c r="AQ68" s="271"/>
      <c r="AR68" s="246"/>
      <c r="AS68" s="246"/>
      <c r="AT68" s="246"/>
      <c r="AU68" s="271"/>
      <c r="AV68" s="246"/>
      <c r="AW68" s="246"/>
      <c r="AX68" s="246"/>
      <c r="AY68" s="271"/>
      <c r="AZ68" s="246"/>
      <c r="BA68" s="246"/>
      <c r="BB68" s="246"/>
      <c r="BC68" s="271"/>
      <c r="BD68" s="246"/>
      <c r="BE68" s="246"/>
      <c r="BF68" s="246"/>
      <c r="BG68" s="271"/>
      <c r="BH68" s="246"/>
      <c r="BI68" s="246"/>
      <c r="BJ68" s="246"/>
      <c r="BK68" s="271"/>
      <c r="BL68" s="246"/>
      <c r="BM68" s="246"/>
      <c r="BN68" s="246"/>
      <c r="BO68" s="271"/>
      <c r="BP68" s="246"/>
      <c r="BQ68" s="246"/>
      <c r="BR68" s="246"/>
      <c r="BS68" s="271"/>
      <c r="BT68" s="246"/>
      <c r="BU68" s="246"/>
      <c r="BV68" s="246"/>
      <c r="BW68" s="271"/>
      <c r="BX68" s="246"/>
      <c r="BY68" s="246"/>
      <c r="BZ68" s="246"/>
      <c r="CA68" s="271"/>
      <c r="CB68" s="246"/>
      <c r="CC68" s="246"/>
      <c r="CD68" s="246"/>
      <c r="CE68" s="271"/>
      <c r="CF68" s="246"/>
      <c r="CG68" s="246"/>
      <c r="CH68" s="246"/>
      <c r="CI68" s="271"/>
      <c r="CJ68" s="246"/>
      <c r="CK68" s="246"/>
      <c r="CL68" s="246"/>
      <c r="CM68" s="246"/>
      <c r="CN68" s="246"/>
      <c r="CO68" s="246"/>
      <c r="CP68" s="246"/>
      <c r="CQ68" s="246"/>
      <c r="CR68" s="246"/>
      <c r="CS68" s="246"/>
      <c r="CT68" s="246"/>
      <c r="CU68" s="246"/>
      <c r="CV68" s="246"/>
      <c r="CW68" s="246"/>
      <c r="CX68" s="246"/>
      <c r="CY68" s="246"/>
      <c r="CZ68" s="246"/>
      <c r="DA68" s="246"/>
      <c r="DB68" s="246"/>
      <c r="DC68" s="246"/>
      <c r="DD68" s="246"/>
      <c r="DE68" s="246"/>
      <c r="DF68" s="246"/>
      <c r="DG68" s="246"/>
      <c r="DH68" s="246"/>
      <c r="DI68" s="246"/>
      <c r="DJ68" s="246"/>
      <c r="DK68" s="246"/>
      <c r="DL68" s="246"/>
      <c r="DM68" s="246"/>
      <c r="DN68" s="246"/>
      <c r="DO68" s="246"/>
      <c r="DP68" s="246"/>
      <c r="DQ68" s="246"/>
      <c r="DR68" s="246"/>
      <c r="DS68" s="246"/>
      <c r="DT68" s="246"/>
      <c r="DU68" s="246"/>
      <c r="DV68" s="246"/>
      <c r="DW68" s="246"/>
      <c r="DX68" s="246"/>
      <c r="DY68" s="246"/>
      <c r="DZ68" s="246"/>
      <c r="EA68" s="246"/>
      <c r="EB68" s="246"/>
      <c r="EC68" s="246"/>
      <c r="ED68" s="246"/>
      <c r="EE68" s="246"/>
      <c r="EF68" s="246"/>
      <c r="EG68" s="246"/>
      <c r="EH68" s="246"/>
      <c r="EI68" s="246"/>
      <c r="EJ68" s="246"/>
      <c r="EK68" s="246"/>
      <c r="EL68" s="246"/>
      <c r="EM68" s="246"/>
      <c r="EN68" s="246"/>
      <c r="EO68" s="248"/>
      <c r="EP68" s="246"/>
      <c r="EQ68" s="246"/>
      <c r="ER68" s="246"/>
      <c r="ES68" s="246"/>
      <c r="ET68" s="246"/>
      <c r="EU68" s="246"/>
      <c r="EV68" s="246"/>
      <c r="EW68" s="246"/>
      <c r="EX68" s="246"/>
      <c r="EY68" s="246"/>
      <c r="EZ68" s="246"/>
      <c r="FA68" s="246"/>
      <c r="FB68" s="246"/>
      <c r="FC68" s="246"/>
      <c r="FD68" s="246"/>
      <c r="FE68" s="246"/>
      <c r="FF68" s="246"/>
      <c r="FG68" s="246"/>
      <c r="FH68" s="246"/>
      <c r="FI68" s="246"/>
      <c r="FJ68" s="246"/>
      <c r="FK68" s="246"/>
      <c r="FL68" s="246"/>
      <c r="FM68" s="246"/>
      <c r="FN68" s="246"/>
      <c r="FO68" s="246"/>
      <c r="FP68" s="246"/>
      <c r="FQ68" s="246"/>
      <c r="FR68" s="246"/>
      <c r="FS68" s="246"/>
      <c r="FT68" s="246"/>
      <c r="FU68" s="246"/>
      <c r="FV68" s="246"/>
      <c r="FW68" s="246"/>
      <c r="FX68" s="246"/>
      <c r="FY68" s="246"/>
      <c r="FZ68" s="246"/>
      <c r="GA68" s="246"/>
      <c r="GB68" s="246"/>
      <c r="GC68" s="246"/>
      <c r="GD68" s="246"/>
      <c r="GE68" s="246"/>
      <c r="GF68" s="246"/>
      <c r="GG68" s="246"/>
      <c r="GH68" s="246"/>
      <c r="GI68" s="246"/>
      <c r="GJ68" s="246"/>
    </row>
    <row r="69" spans="1:192" s="247" customFormat="1">
      <c r="A69" s="246"/>
      <c r="B69" s="245"/>
      <c r="C69" s="253"/>
      <c r="D69" s="230"/>
      <c r="E69" s="255"/>
      <c r="F69" s="255"/>
      <c r="G69" s="271"/>
      <c r="H69" s="246"/>
      <c r="I69" s="246"/>
      <c r="J69" s="246"/>
      <c r="K69" s="271"/>
      <c r="L69" s="246"/>
      <c r="M69" s="246"/>
      <c r="N69" s="246"/>
      <c r="O69" s="271"/>
      <c r="P69" s="246"/>
      <c r="Q69" s="246"/>
      <c r="R69" s="246"/>
      <c r="S69" s="271"/>
      <c r="T69" s="246"/>
      <c r="U69" s="246"/>
      <c r="V69" s="246"/>
      <c r="W69" s="271"/>
      <c r="X69" s="246"/>
      <c r="Y69" s="246"/>
      <c r="Z69" s="246"/>
      <c r="AA69" s="271"/>
      <c r="AB69" s="246"/>
      <c r="AC69" s="246"/>
      <c r="AD69" s="246"/>
      <c r="AE69" s="271"/>
      <c r="AF69" s="246"/>
      <c r="AG69" s="246"/>
      <c r="AH69" s="246"/>
      <c r="AI69" s="271"/>
      <c r="AJ69" s="246"/>
      <c r="AK69" s="246"/>
      <c r="AL69" s="246"/>
      <c r="AM69" s="271"/>
      <c r="AN69" s="246"/>
      <c r="AO69" s="246"/>
      <c r="AP69" s="246"/>
      <c r="AQ69" s="271"/>
      <c r="AR69" s="246"/>
      <c r="AS69" s="246"/>
      <c r="AT69" s="246"/>
      <c r="AU69" s="271"/>
      <c r="AV69" s="246"/>
      <c r="AW69" s="246"/>
      <c r="AX69" s="246"/>
      <c r="AY69" s="271"/>
      <c r="AZ69" s="246"/>
      <c r="BA69" s="246"/>
      <c r="BB69" s="246"/>
      <c r="BC69" s="271"/>
      <c r="BD69" s="246"/>
      <c r="BE69" s="246"/>
      <c r="BF69" s="246"/>
      <c r="BG69" s="271"/>
      <c r="BH69" s="246"/>
      <c r="BI69" s="246"/>
      <c r="BJ69" s="246"/>
      <c r="BK69" s="271"/>
      <c r="BL69" s="246"/>
      <c r="BM69" s="246"/>
      <c r="BN69" s="246"/>
      <c r="BO69" s="271"/>
      <c r="BP69" s="246"/>
      <c r="BQ69" s="246"/>
      <c r="BR69" s="246"/>
      <c r="BS69" s="271"/>
      <c r="BT69" s="246"/>
      <c r="BU69" s="246"/>
      <c r="BV69" s="246"/>
      <c r="BW69" s="271"/>
      <c r="BX69" s="246"/>
      <c r="BY69" s="246"/>
      <c r="BZ69" s="246"/>
      <c r="CA69" s="271"/>
      <c r="CB69" s="246"/>
      <c r="CC69" s="246"/>
      <c r="CD69" s="246"/>
      <c r="CE69" s="271"/>
      <c r="CF69" s="246"/>
      <c r="CG69" s="246"/>
      <c r="CH69" s="246"/>
      <c r="CI69" s="271"/>
      <c r="CJ69" s="246"/>
      <c r="CK69" s="246"/>
      <c r="CL69" s="246"/>
      <c r="CM69" s="246"/>
      <c r="CN69" s="246"/>
      <c r="CO69" s="246"/>
      <c r="CP69" s="246"/>
      <c r="CQ69" s="246"/>
      <c r="CR69" s="246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6"/>
      <c r="DJ69" s="246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6"/>
      <c r="EB69" s="246"/>
      <c r="EC69" s="246"/>
      <c r="ED69" s="246"/>
      <c r="EE69" s="246"/>
      <c r="EF69" s="246"/>
      <c r="EG69" s="246"/>
      <c r="EH69" s="246"/>
      <c r="EI69" s="246"/>
      <c r="EJ69" s="246"/>
      <c r="EK69" s="246"/>
      <c r="EL69" s="246"/>
      <c r="EM69" s="246"/>
      <c r="EN69" s="246"/>
      <c r="EO69" s="248"/>
      <c r="EP69" s="246"/>
      <c r="EQ69" s="246"/>
      <c r="ER69" s="246"/>
      <c r="ES69" s="246"/>
      <c r="ET69" s="246"/>
      <c r="EU69" s="246"/>
      <c r="EV69" s="246"/>
      <c r="EW69" s="246"/>
      <c r="EX69" s="246"/>
      <c r="EY69" s="246"/>
      <c r="EZ69" s="246"/>
      <c r="FA69" s="246"/>
      <c r="FB69" s="246"/>
      <c r="FC69" s="246"/>
      <c r="FD69" s="246"/>
      <c r="FE69" s="246"/>
      <c r="FF69" s="246"/>
      <c r="FG69" s="246"/>
      <c r="FH69" s="246"/>
      <c r="FI69" s="246"/>
      <c r="FJ69" s="246"/>
      <c r="FK69" s="246"/>
      <c r="FL69" s="246"/>
      <c r="FM69" s="246"/>
      <c r="FN69" s="246"/>
      <c r="FO69" s="246"/>
      <c r="FP69" s="246"/>
      <c r="FQ69" s="246"/>
      <c r="FR69" s="246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6"/>
      <c r="GE69" s="246"/>
      <c r="GF69" s="246"/>
      <c r="GG69" s="246"/>
      <c r="GH69" s="246"/>
      <c r="GI69" s="246"/>
      <c r="GJ69" s="246"/>
    </row>
    <row r="70" spans="1:192" s="247" customFormat="1">
      <c r="A70" s="246"/>
      <c r="B70" s="245"/>
      <c r="C70" s="253"/>
      <c r="D70" s="230"/>
      <c r="E70" s="254"/>
      <c r="F70" s="254"/>
      <c r="G70" s="271"/>
      <c r="H70" s="246"/>
      <c r="I70" s="246"/>
      <c r="J70" s="246"/>
      <c r="K70" s="271"/>
      <c r="L70" s="246"/>
      <c r="M70" s="246"/>
      <c r="N70" s="246"/>
      <c r="O70" s="271"/>
      <c r="P70" s="246"/>
      <c r="Q70" s="246"/>
      <c r="R70" s="246"/>
      <c r="S70" s="271"/>
      <c r="T70" s="246"/>
      <c r="U70" s="246"/>
      <c r="V70" s="246"/>
      <c r="W70" s="271"/>
      <c r="X70" s="246"/>
      <c r="Y70" s="246"/>
      <c r="Z70" s="246"/>
      <c r="AA70" s="271"/>
      <c r="AB70" s="246"/>
      <c r="AC70" s="246"/>
      <c r="AD70" s="246"/>
      <c r="AE70" s="271"/>
      <c r="AF70" s="246"/>
      <c r="AG70" s="246"/>
      <c r="AH70" s="246"/>
      <c r="AI70" s="271"/>
      <c r="AJ70" s="246"/>
      <c r="AK70" s="246"/>
      <c r="AL70" s="246"/>
      <c r="AM70" s="271"/>
      <c r="AN70" s="246"/>
      <c r="AO70" s="246"/>
      <c r="AP70" s="246"/>
      <c r="AQ70" s="271"/>
      <c r="AR70" s="246"/>
      <c r="AS70" s="246"/>
      <c r="AT70" s="246"/>
      <c r="AU70" s="271"/>
      <c r="AV70" s="246"/>
      <c r="AW70" s="246"/>
      <c r="AX70" s="246"/>
      <c r="AY70" s="271"/>
      <c r="AZ70" s="246"/>
      <c r="BA70" s="246"/>
      <c r="BB70" s="246"/>
      <c r="BC70" s="271"/>
      <c r="BD70" s="246"/>
      <c r="BE70" s="246"/>
      <c r="BF70" s="246"/>
      <c r="BG70" s="271"/>
      <c r="BH70" s="246"/>
      <c r="BI70" s="246"/>
      <c r="BJ70" s="246"/>
      <c r="BK70" s="271"/>
      <c r="BL70" s="246"/>
      <c r="BM70" s="246"/>
      <c r="BN70" s="246"/>
      <c r="BO70" s="271"/>
      <c r="BP70" s="246"/>
      <c r="BQ70" s="246"/>
      <c r="BR70" s="246"/>
      <c r="BS70" s="271"/>
      <c r="BT70" s="246"/>
      <c r="BU70" s="246"/>
      <c r="BV70" s="246"/>
      <c r="BW70" s="271"/>
      <c r="BX70" s="246"/>
      <c r="BY70" s="246"/>
      <c r="BZ70" s="246"/>
      <c r="CA70" s="271"/>
      <c r="CB70" s="246"/>
      <c r="CC70" s="246"/>
      <c r="CD70" s="246"/>
      <c r="CE70" s="271"/>
      <c r="CF70" s="246"/>
      <c r="CG70" s="246"/>
      <c r="CH70" s="246"/>
      <c r="CI70" s="271"/>
      <c r="CJ70" s="246"/>
      <c r="CK70" s="246"/>
      <c r="CL70" s="246"/>
      <c r="CM70" s="246"/>
      <c r="CN70" s="246"/>
      <c r="CO70" s="246"/>
      <c r="CP70" s="246"/>
      <c r="CQ70" s="246"/>
      <c r="CR70" s="246"/>
      <c r="CS70" s="246"/>
      <c r="CT70" s="246"/>
      <c r="CU70" s="246"/>
      <c r="CV70" s="246"/>
      <c r="CW70" s="246"/>
      <c r="CX70" s="246"/>
      <c r="CY70" s="246"/>
      <c r="CZ70" s="246"/>
      <c r="DA70" s="246"/>
      <c r="DB70" s="246"/>
      <c r="DC70" s="246"/>
      <c r="DD70" s="246"/>
      <c r="DE70" s="246"/>
      <c r="DF70" s="246"/>
      <c r="DG70" s="246"/>
      <c r="DH70" s="246"/>
      <c r="DI70" s="246"/>
      <c r="DJ70" s="246"/>
      <c r="DK70" s="246"/>
      <c r="DL70" s="246"/>
      <c r="DM70" s="246"/>
      <c r="DN70" s="246"/>
      <c r="DO70" s="246"/>
      <c r="DP70" s="246"/>
      <c r="DQ70" s="246"/>
      <c r="DR70" s="246"/>
      <c r="DS70" s="246"/>
      <c r="DT70" s="246"/>
      <c r="DU70" s="246"/>
      <c r="DV70" s="246"/>
      <c r="DW70" s="246"/>
      <c r="DX70" s="246"/>
      <c r="DY70" s="246"/>
      <c r="DZ70" s="246"/>
      <c r="EA70" s="246"/>
      <c r="EB70" s="246"/>
      <c r="EC70" s="246"/>
      <c r="ED70" s="246"/>
      <c r="EE70" s="246"/>
      <c r="EF70" s="246"/>
      <c r="EG70" s="246"/>
      <c r="EH70" s="246"/>
      <c r="EI70" s="246"/>
      <c r="EJ70" s="246"/>
      <c r="EK70" s="246"/>
      <c r="EL70" s="246"/>
      <c r="EM70" s="246"/>
      <c r="EN70" s="246"/>
      <c r="EO70" s="248"/>
      <c r="EP70" s="246"/>
      <c r="EQ70" s="246"/>
      <c r="ER70" s="246"/>
      <c r="ES70" s="246"/>
      <c r="ET70" s="246"/>
      <c r="EU70" s="246"/>
      <c r="EV70" s="246"/>
      <c r="EW70" s="246"/>
      <c r="EX70" s="246"/>
      <c r="EY70" s="246"/>
      <c r="EZ70" s="246"/>
      <c r="FA70" s="246"/>
      <c r="FB70" s="246"/>
      <c r="FC70" s="246"/>
      <c r="FD70" s="246"/>
      <c r="FE70" s="246"/>
      <c r="FF70" s="246"/>
      <c r="FG70" s="246"/>
      <c r="FH70" s="246"/>
      <c r="FI70" s="246"/>
      <c r="FJ70" s="246"/>
      <c r="FK70" s="246"/>
      <c r="FL70" s="246"/>
      <c r="FM70" s="246"/>
      <c r="FN70" s="246"/>
      <c r="FO70" s="246"/>
      <c r="FP70" s="246"/>
      <c r="FQ70" s="246"/>
      <c r="FR70" s="246"/>
      <c r="FS70" s="246"/>
      <c r="FT70" s="246"/>
      <c r="FU70" s="246"/>
      <c r="FV70" s="246"/>
      <c r="FW70" s="246"/>
      <c r="FX70" s="246"/>
      <c r="FY70" s="246"/>
      <c r="FZ70" s="246"/>
      <c r="GA70" s="246"/>
      <c r="GB70" s="246"/>
      <c r="GC70" s="246"/>
      <c r="GD70" s="246"/>
      <c r="GE70" s="246"/>
      <c r="GF70" s="246"/>
      <c r="GG70" s="246"/>
      <c r="GH70" s="246"/>
      <c r="GI70" s="246"/>
      <c r="GJ70" s="246"/>
    </row>
    <row r="71" spans="1:192" s="247" customFormat="1">
      <c r="A71" s="246"/>
      <c r="B71" s="245"/>
      <c r="C71" s="253"/>
      <c r="D71" s="230"/>
      <c r="E71" s="254"/>
      <c r="F71" s="254"/>
      <c r="G71" s="271"/>
      <c r="H71" s="246"/>
      <c r="I71" s="246"/>
      <c r="J71" s="246"/>
      <c r="K71" s="271"/>
      <c r="L71" s="246"/>
      <c r="M71" s="246"/>
      <c r="N71" s="246"/>
      <c r="O71" s="271"/>
      <c r="P71" s="246"/>
      <c r="Q71" s="246"/>
      <c r="R71" s="246"/>
      <c r="S71" s="271"/>
      <c r="T71" s="246"/>
      <c r="U71" s="246"/>
      <c r="V71" s="246"/>
      <c r="W71" s="271"/>
      <c r="X71" s="246"/>
      <c r="Y71" s="246"/>
      <c r="Z71" s="246"/>
      <c r="AA71" s="271"/>
      <c r="AB71" s="246"/>
      <c r="AC71" s="246"/>
      <c r="AD71" s="246"/>
      <c r="AE71" s="271"/>
      <c r="AF71" s="246"/>
      <c r="AG71" s="246"/>
      <c r="AH71" s="246"/>
      <c r="AI71" s="271"/>
      <c r="AJ71" s="246"/>
      <c r="AK71" s="246"/>
      <c r="AL71" s="246"/>
      <c r="AM71" s="271"/>
      <c r="AN71" s="246"/>
      <c r="AO71" s="246"/>
      <c r="AP71" s="246"/>
      <c r="AQ71" s="271"/>
      <c r="AR71" s="246"/>
      <c r="AS71" s="246"/>
      <c r="AT71" s="246"/>
      <c r="AU71" s="271"/>
      <c r="AV71" s="246"/>
      <c r="AW71" s="246"/>
      <c r="AX71" s="246"/>
      <c r="AY71" s="271"/>
      <c r="AZ71" s="246"/>
      <c r="BA71" s="246"/>
      <c r="BB71" s="246"/>
      <c r="BC71" s="271"/>
      <c r="BD71" s="246"/>
      <c r="BE71" s="246"/>
      <c r="BF71" s="246"/>
      <c r="BG71" s="271"/>
      <c r="BH71" s="246"/>
      <c r="BI71" s="246"/>
      <c r="BJ71" s="246"/>
      <c r="BK71" s="271"/>
      <c r="BL71" s="246"/>
      <c r="BM71" s="246"/>
      <c r="BN71" s="246"/>
      <c r="BO71" s="271"/>
      <c r="BP71" s="246"/>
      <c r="BQ71" s="246"/>
      <c r="BR71" s="246"/>
      <c r="BS71" s="271"/>
      <c r="BT71" s="246"/>
      <c r="BU71" s="246"/>
      <c r="BV71" s="246"/>
      <c r="BW71" s="271"/>
      <c r="BX71" s="246"/>
      <c r="BY71" s="246"/>
      <c r="BZ71" s="246"/>
      <c r="CA71" s="271"/>
      <c r="CB71" s="246"/>
      <c r="CC71" s="246"/>
      <c r="CD71" s="246"/>
      <c r="CE71" s="271"/>
      <c r="CF71" s="246"/>
      <c r="CG71" s="246"/>
      <c r="CH71" s="246"/>
      <c r="CI71" s="271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46"/>
      <c r="CY71" s="246"/>
      <c r="CZ71" s="246"/>
      <c r="DA71" s="246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6"/>
      <c r="DN71" s="246"/>
      <c r="DO71" s="246"/>
      <c r="DP71" s="246"/>
      <c r="DQ71" s="246"/>
      <c r="DR71" s="246"/>
      <c r="DS71" s="246"/>
      <c r="DT71" s="246"/>
      <c r="DU71" s="246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8"/>
      <c r="EP71" s="246"/>
      <c r="EQ71" s="246"/>
      <c r="ER71" s="246"/>
      <c r="ES71" s="246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</row>
    <row r="72" spans="1:192" s="247" customFormat="1">
      <c r="A72" s="246"/>
      <c r="B72" s="245"/>
      <c r="C72" s="253"/>
      <c r="D72" s="230"/>
      <c r="E72" s="254"/>
      <c r="F72" s="254"/>
      <c r="G72" s="271"/>
      <c r="H72" s="246"/>
      <c r="I72" s="246"/>
      <c r="J72" s="246"/>
      <c r="K72" s="271"/>
      <c r="L72" s="246"/>
      <c r="M72" s="246"/>
      <c r="N72" s="246"/>
      <c r="O72" s="271"/>
      <c r="P72" s="246"/>
      <c r="Q72" s="246"/>
      <c r="R72" s="246"/>
      <c r="S72" s="271"/>
      <c r="T72" s="246"/>
      <c r="U72" s="246"/>
      <c r="V72" s="246"/>
      <c r="W72" s="271"/>
      <c r="X72" s="246"/>
      <c r="Y72" s="246"/>
      <c r="Z72" s="246"/>
      <c r="AA72" s="271"/>
      <c r="AB72" s="246"/>
      <c r="AC72" s="246"/>
      <c r="AD72" s="246"/>
      <c r="AE72" s="271"/>
      <c r="AF72" s="246"/>
      <c r="AG72" s="246"/>
      <c r="AH72" s="246"/>
      <c r="AI72" s="271"/>
      <c r="AJ72" s="246"/>
      <c r="AK72" s="246"/>
      <c r="AL72" s="246"/>
      <c r="AM72" s="271"/>
      <c r="AN72" s="246"/>
      <c r="AO72" s="246"/>
      <c r="AP72" s="246"/>
      <c r="AQ72" s="271"/>
      <c r="AR72" s="246"/>
      <c r="AS72" s="246"/>
      <c r="AT72" s="246"/>
      <c r="AU72" s="271"/>
      <c r="AV72" s="246"/>
      <c r="AW72" s="246"/>
      <c r="AX72" s="246"/>
      <c r="AY72" s="271"/>
      <c r="AZ72" s="246"/>
      <c r="BA72" s="246"/>
      <c r="BB72" s="246"/>
      <c r="BC72" s="271"/>
      <c r="BD72" s="246"/>
      <c r="BE72" s="246"/>
      <c r="BF72" s="246"/>
      <c r="BG72" s="271"/>
      <c r="BH72" s="246"/>
      <c r="BI72" s="246"/>
      <c r="BJ72" s="246"/>
      <c r="BK72" s="271"/>
      <c r="BL72" s="246"/>
      <c r="BM72" s="246"/>
      <c r="BN72" s="246"/>
      <c r="BO72" s="271"/>
      <c r="BP72" s="246"/>
      <c r="BQ72" s="246"/>
      <c r="BR72" s="246"/>
      <c r="BS72" s="271"/>
      <c r="BT72" s="246"/>
      <c r="BU72" s="246"/>
      <c r="BV72" s="246"/>
      <c r="BW72" s="271"/>
      <c r="BX72" s="246"/>
      <c r="BY72" s="246"/>
      <c r="BZ72" s="246"/>
      <c r="CA72" s="271"/>
      <c r="CB72" s="246"/>
      <c r="CC72" s="246"/>
      <c r="CD72" s="246"/>
      <c r="CE72" s="271"/>
      <c r="CF72" s="246"/>
      <c r="CG72" s="246"/>
      <c r="CH72" s="246"/>
      <c r="CI72" s="271"/>
      <c r="CJ72" s="246"/>
      <c r="CK72" s="246"/>
      <c r="CL72" s="246"/>
      <c r="CM72" s="246"/>
      <c r="CN72" s="246"/>
      <c r="CO72" s="246"/>
      <c r="CP72" s="246"/>
      <c r="CQ72" s="246"/>
      <c r="CR72" s="246"/>
      <c r="CS72" s="246"/>
      <c r="CT72" s="246"/>
      <c r="CU72" s="246"/>
      <c r="CV72" s="246"/>
      <c r="CW72" s="246"/>
      <c r="CX72" s="246"/>
      <c r="CY72" s="246"/>
      <c r="CZ72" s="246"/>
      <c r="DA72" s="246"/>
      <c r="DB72" s="246"/>
      <c r="DC72" s="246"/>
      <c r="DD72" s="246"/>
      <c r="DE72" s="246"/>
      <c r="DF72" s="246"/>
      <c r="DG72" s="246"/>
      <c r="DH72" s="246"/>
      <c r="DI72" s="246"/>
      <c r="DJ72" s="246"/>
      <c r="DK72" s="246"/>
      <c r="DL72" s="246"/>
      <c r="DM72" s="246"/>
      <c r="DN72" s="246"/>
      <c r="DO72" s="246"/>
      <c r="DP72" s="246"/>
      <c r="DQ72" s="246"/>
      <c r="DR72" s="246"/>
      <c r="DS72" s="246"/>
      <c r="DT72" s="246"/>
      <c r="DU72" s="246"/>
      <c r="DV72" s="246"/>
      <c r="DW72" s="246"/>
      <c r="DX72" s="246"/>
      <c r="DY72" s="246"/>
      <c r="DZ72" s="246"/>
      <c r="EA72" s="246"/>
      <c r="EB72" s="246"/>
      <c r="EC72" s="246"/>
      <c r="ED72" s="246"/>
      <c r="EE72" s="246"/>
      <c r="EF72" s="246"/>
      <c r="EG72" s="246"/>
      <c r="EH72" s="246"/>
      <c r="EI72" s="246"/>
      <c r="EJ72" s="246"/>
      <c r="EK72" s="246"/>
      <c r="EL72" s="246"/>
      <c r="EM72" s="246"/>
      <c r="EN72" s="246"/>
      <c r="EO72" s="248"/>
      <c r="EP72" s="246"/>
      <c r="EQ72" s="246"/>
      <c r="ER72" s="246"/>
      <c r="ES72" s="246"/>
      <c r="ET72" s="246"/>
      <c r="EU72" s="246"/>
      <c r="EV72" s="246"/>
      <c r="EW72" s="246"/>
      <c r="EX72" s="246"/>
      <c r="EY72" s="246"/>
      <c r="EZ72" s="246"/>
      <c r="FA72" s="246"/>
      <c r="FB72" s="246"/>
      <c r="FC72" s="246"/>
      <c r="FD72" s="246"/>
      <c r="FE72" s="246"/>
      <c r="FF72" s="246"/>
      <c r="FG72" s="246"/>
      <c r="FH72" s="246"/>
      <c r="FI72" s="246"/>
      <c r="FJ72" s="246"/>
      <c r="FK72" s="246"/>
      <c r="FL72" s="246"/>
      <c r="FM72" s="246"/>
      <c r="FN72" s="246"/>
      <c r="FO72" s="246"/>
      <c r="FP72" s="246"/>
      <c r="FQ72" s="246"/>
      <c r="FR72" s="246"/>
      <c r="FS72" s="246"/>
      <c r="FT72" s="246"/>
      <c r="FU72" s="246"/>
      <c r="FV72" s="246"/>
      <c r="FW72" s="246"/>
      <c r="FX72" s="246"/>
      <c r="FY72" s="246"/>
      <c r="FZ72" s="246"/>
      <c r="GA72" s="246"/>
      <c r="GB72" s="246"/>
      <c r="GC72" s="246"/>
      <c r="GD72" s="246"/>
      <c r="GE72" s="246"/>
      <c r="GF72" s="246"/>
      <c r="GG72" s="246"/>
      <c r="GH72" s="246"/>
      <c r="GI72" s="246"/>
      <c r="GJ72" s="246"/>
    </row>
    <row r="73" spans="1:192" s="247" customFormat="1">
      <c r="A73" s="246"/>
      <c r="B73" s="245"/>
      <c r="C73" s="253"/>
      <c r="D73" s="230"/>
      <c r="E73" s="254"/>
      <c r="F73" s="254"/>
      <c r="G73" s="271"/>
      <c r="H73" s="246"/>
      <c r="I73" s="246"/>
      <c r="J73" s="246"/>
      <c r="K73" s="271"/>
      <c r="L73" s="246"/>
      <c r="M73" s="246"/>
      <c r="N73" s="246"/>
      <c r="O73" s="271"/>
      <c r="P73" s="246"/>
      <c r="Q73" s="246"/>
      <c r="R73" s="246"/>
      <c r="S73" s="271"/>
      <c r="T73" s="246"/>
      <c r="U73" s="246"/>
      <c r="V73" s="246"/>
      <c r="W73" s="271"/>
      <c r="X73" s="246"/>
      <c r="Y73" s="246"/>
      <c r="Z73" s="246"/>
      <c r="AA73" s="271"/>
      <c r="AB73" s="246"/>
      <c r="AC73" s="246"/>
      <c r="AD73" s="246"/>
      <c r="AE73" s="271"/>
      <c r="AF73" s="246"/>
      <c r="AG73" s="246"/>
      <c r="AH73" s="246"/>
      <c r="AI73" s="271"/>
      <c r="AJ73" s="246"/>
      <c r="AK73" s="246"/>
      <c r="AL73" s="246"/>
      <c r="AM73" s="271"/>
      <c r="AN73" s="246"/>
      <c r="AO73" s="246"/>
      <c r="AP73" s="246"/>
      <c r="AQ73" s="271"/>
      <c r="AR73" s="246"/>
      <c r="AS73" s="246"/>
      <c r="AT73" s="246"/>
      <c r="AU73" s="271"/>
      <c r="AV73" s="246"/>
      <c r="AW73" s="246"/>
      <c r="AX73" s="246"/>
      <c r="AY73" s="271"/>
      <c r="AZ73" s="246"/>
      <c r="BA73" s="246"/>
      <c r="BB73" s="246"/>
      <c r="BC73" s="271"/>
      <c r="BD73" s="246"/>
      <c r="BE73" s="246"/>
      <c r="BF73" s="246"/>
      <c r="BG73" s="271"/>
      <c r="BH73" s="246"/>
      <c r="BI73" s="246"/>
      <c r="BJ73" s="246"/>
      <c r="BK73" s="271"/>
      <c r="BL73" s="246"/>
      <c r="BM73" s="246"/>
      <c r="BN73" s="246"/>
      <c r="BO73" s="271"/>
      <c r="BP73" s="246"/>
      <c r="BQ73" s="246"/>
      <c r="BR73" s="246"/>
      <c r="BS73" s="271"/>
      <c r="BT73" s="246"/>
      <c r="BU73" s="246"/>
      <c r="BV73" s="246"/>
      <c r="BW73" s="271"/>
      <c r="BX73" s="246"/>
      <c r="BY73" s="246"/>
      <c r="BZ73" s="246"/>
      <c r="CA73" s="271"/>
      <c r="CB73" s="246"/>
      <c r="CC73" s="246"/>
      <c r="CD73" s="246"/>
      <c r="CE73" s="271"/>
      <c r="CF73" s="246"/>
      <c r="CG73" s="246"/>
      <c r="CH73" s="246"/>
      <c r="CI73" s="271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  <c r="DD73" s="246"/>
      <c r="DE73" s="246"/>
      <c r="DF73" s="246"/>
      <c r="DG73" s="246"/>
      <c r="DH73" s="246"/>
      <c r="DI73" s="246"/>
      <c r="DJ73" s="246"/>
      <c r="DK73" s="246"/>
      <c r="DL73" s="246"/>
      <c r="DM73" s="246"/>
      <c r="DN73" s="246"/>
      <c r="DO73" s="246"/>
      <c r="DP73" s="246"/>
      <c r="DQ73" s="246"/>
      <c r="DR73" s="246"/>
      <c r="DS73" s="246"/>
      <c r="DT73" s="246"/>
      <c r="DU73" s="246"/>
      <c r="DV73" s="246"/>
      <c r="DW73" s="246"/>
      <c r="DX73" s="246"/>
      <c r="DY73" s="246"/>
      <c r="DZ73" s="246"/>
      <c r="EA73" s="246"/>
      <c r="EB73" s="246"/>
      <c r="EC73" s="246"/>
      <c r="ED73" s="246"/>
      <c r="EE73" s="246"/>
      <c r="EF73" s="246"/>
      <c r="EG73" s="246"/>
      <c r="EH73" s="246"/>
      <c r="EI73" s="246"/>
      <c r="EJ73" s="246"/>
      <c r="EK73" s="246"/>
      <c r="EL73" s="246"/>
      <c r="EM73" s="246"/>
      <c r="EN73" s="246"/>
      <c r="EO73" s="248"/>
      <c r="EP73" s="246"/>
      <c r="EQ73" s="246"/>
      <c r="ER73" s="246"/>
      <c r="ES73" s="246"/>
      <c r="ET73" s="246"/>
      <c r="EU73" s="246"/>
      <c r="EV73" s="246"/>
      <c r="EW73" s="246"/>
      <c r="EX73" s="246"/>
      <c r="EY73" s="246"/>
      <c r="EZ73" s="246"/>
      <c r="FA73" s="246"/>
      <c r="FB73" s="246"/>
      <c r="FC73" s="246"/>
      <c r="FD73" s="246"/>
      <c r="FE73" s="246"/>
      <c r="FF73" s="246"/>
      <c r="FG73" s="246"/>
      <c r="FH73" s="246"/>
      <c r="FI73" s="246"/>
      <c r="FJ73" s="246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6"/>
      <c r="GB73" s="246"/>
      <c r="GC73" s="246"/>
      <c r="GD73" s="246"/>
      <c r="GE73" s="246"/>
      <c r="GF73" s="246"/>
      <c r="GG73" s="246"/>
      <c r="GH73" s="246"/>
      <c r="GI73" s="246"/>
      <c r="GJ73" s="246"/>
    </row>
    <row r="74" spans="1:192" s="247" customFormat="1">
      <c r="A74" s="246"/>
      <c r="B74" s="245"/>
      <c r="C74" s="253"/>
      <c r="D74" s="230"/>
      <c r="E74" s="254"/>
      <c r="F74" s="254"/>
      <c r="G74" s="271"/>
      <c r="H74" s="246"/>
      <c r="I74" s="246"/>
      <c r="J74" s="246"/>
      <c r="K74" s="271"/>
      <c r="L74" s="246"/>
      <c r="M74" s="246"/>
      <c r="N74" s="246"/>
      <c r="O74" s="271"/>
      <c r="P74" s="246"/>
      <c r="Q74" s="246"/>
      <c r="R74" s="246"/>
      <c r="S74" s="271"/>
      <c r="T74" s="246"/>
      <c r="U74" s="246"/>
      <c r="V74" s="246"/>
      <c r="W74" s="271"/>
      <c r="X74" s="246"/>
      <c r="Y74" s="246"/>
      <c r="Z74" s="246"/>
      <c r="AA74" s="271"/>
      <c r="AB74" s="246"/>
      <c r="AC74" s="246"/>
      <c r="AD74" s="246"/>
      <c r="AE74" s="271"/>
      <c r="AF74" s="246"/>
      <c r="AG74" s="246"/>
      <c r="AH74" s="246"/>
      <c r="AI74" s="271"/>
      <c r="AJ74" s="246"/>
      <c r="AK74" s="246"/>
      <c r="AL74" s="246"/>
      <c r="AM74" s="271"/>
      <c r="AN74" s="246"/>
      <c r="AO74" s="246"/>
      <c r="AP74" s="246"/>
      <c r="AQ74" s="271"/>
      <c r="AR74" s="246"/>
      <c r="AS74" s="246"/>
      <c r="AT74" s="246"/>
      <c r="AU74" s="271"/>
      <c r="AV74" s="246"/>
      <c r="AW74" s="246"/>
      <c r="AX74" s="246"/>
      <c r="AY74" s="271"/>
      <c r="AZ74" s="246"/>
      <c r="BA74" s="246"/>
      <c r="BB74" s="246"/>
      <c r="BC74" s="271"/>
      <c r="BD74" s="246"/>
      <c r="BE74" s="246"/>
      <c r="BF74" s="246"/>
      <c r="BG74" s="271"/>
      <c r="BH74" s="246"/>
      <c r="BI74" s="246"/>
      <c r="BJ74" s="246"/>
      <c r="BK74" s="271"/>
      <c r="BL74" s="246"/>
      <c r="BM74" s="246"/>
      <c r="BN74" s="246"/>
      <c r="BO74" s="271"/>
      <c r="BP74" s="246"/>
      <c r="BQ74" s="246"/>
      <c r="BR74" s="246"/>
      <c r="BS74" s="271"/>
      <c r="BT74" s="246"/>
      <c r="BU74" s="246"/>
      <c r="BV74" s="246"/>
      <c r="BW74" s="271"/>
      <c r="BX74" s="246"/>
      <c r="BY74" s="246"/>
      <c r="BZ74" s="246"/>
      <c r="CA74" s="271"/>
      <c r="CB74" s="246"/>
      <c r="CC74" s="246"/>
      <c r="CD74" s="246"/>
      <c r="CE74" s="271"/>
      <c r="CF74" s="246"/>
      <c r="CG74" s="246"/>
      <c r="CH74" s="246"/>
      <c r="CI74" s="271"/>
      <c r="CJ74" s="246"/>
      <c r="CK74" s="246"/>
      <c r="CL74" s="246"/>
      <c r="CM74" s="246"/>
      <c r="CN74" s="246"/>
      <c r="CO74" s="246"/>
      <c r="CP74" s="246"/>
      <c r="CQ74" s="246"/>
      <c r="CR74" s="246"/>
      <c r="CS74" s="246"/>
      <c r="CT74" s="246"/>
      <c r="CU74" s="246"/>
      <c r="CV74" s="246"/>
      <c r="CW74" s="246"/>
      <c r="CX74" s="246"/>
      <c r="CY74" s="246"/>
      <c r="CZ74" s="246"/>
      <c r="DA74" s="246"/>
      <c r="DB74" s="246"/>
      <c r="DC74" s="246"/>
      <c r="DD74" s="246"/>
      <c r="DE74" s="246"/>
      <c r="DF74" s="246"/>
      <c r="DG74" s="246"/>
      <c r="DH74" s="246"/>
      <c r="DI74" s="246"/>
      <c r="DJ74" s="246"/>
      <c r="DK74" s="246"/>
      <c r="DL74" s="246"/>
      <c r="DM74" s="246"/>
      <c r="DN74" s="246"/>
      <c r="DO74" s="246"/>
      <c r="DP74" s="246"/>
      <c r="DQ74" s="246"/>
      <c r="DR74" s="246"/>
      <c r="DS74" s="246"/>
      <c r="DT74" s="246"/>
      <c r="DU74" s="246"/>
      <c r="DV74" s="246"/>
      <c r="DW74" s="246"/>
      <c r="DX74" s="246"/>
      <c r="DY74" s="246"/>
      <c r="DZ74" s="246"/>
      <c r="EA74" s="246"/>
      <c r="EB74" s="246"/>
      <c r="EC74" s="246"/>
      <c r="ED74" s="246"/>
      <c r="EE74" s="246"/>
      <c r="EF74" s="246"/>
      <c r="EG74" s="246"/>
      <c r="EH74" s="246"/>
      <c r="EI74" s="246"/>
      <c r="EJ74" s="246"/>
      <c r="EK74" s="246"/>
      <c r="EL74" s="246"/>
      <c r="EM74" s="246"/>
      <c r="EN74" s="246"/>
      <c r="EO74" s="248"/>
      <c r="EP74" s="246"/>
      <c r="EQ74" s="246"/>
      <c r="ER74" s="246"/>
      <c r="ES74" s="246"/>
      <c r="ET74" s="246"/>
      <c r="EU74" s="246"/>
      <c r="EV74" s="246"/>
      <c r="EW74" s="246"/>
      <c r="EX74" s="246"/>
      <c r="EY74" s="246"/>
      <c r="EZ74" s="246"/>
      <c r="FA74" s="246"/>
      <c r="FB74" s="246"/>
      <c r="FC74" s="246"/>
      <c r="FD74" s="246"/>
      <c r="FE74" s="246"/>
      <c r="FF74" s="246"/>
      <c r="FG74" s="246"/>
      <c r="FH74" s="246"/>
      <c r="FI74" s="246"/>
      <c r="FJ74" s="246"/>
      <c r="FK74" s="246"/>
      <c r="FL74" s="246"/>
      <c r="FM74" s="246"/>
      <c r="FN74" s="246"/>
      <c r="FO74" s="246"/>
      <c r="FP74" s="246"/>
      <c r="FQ74" s="246"/>
      <c r="FR74" s="246"/>
      <c r="FS74" s="246"/>
      <c r="FT74" s="246"/>
      <c r="FU74" s="246"/>
      <c r="FV74" s="246"/>
      <c r="FW74" s="246"/>
      <c r="FX74" s="246"/>
      <c r="FY74" s="246"/>
      <c r="FZ74" s="246"/>
      <c r="GA74" s="246"/>
      <c r="GB74" s="246"/>
      <c r="GC74" s="246"/>
      <c r="GD74" s="246"/>
      <c r="GE74" s="246"/>
      <c r="GF74" s="246"/>
      <c r="GG74" s="246"/>
      <c r="GH74" s="246"/>
      <c r="GI74" s="246"/>
      <c r="GJ74" s="246"/>
    </row>
    <row r="75" spans="1:192" s="247" customFormat="1">
      <c r="A75" s="246"/>
      <c r="B75" s="245"/>
      <c r="C75" s="253"/>
      <c r="D75" s="230"/>
      <c r="E75" s="254"/>
      <c r="F75" s="254"/>
      <c r="G75" s="271"/>
      <c r="H75" s="246"/>
      <c r="I75" s="246"/>
      <c r="J75" s="246"/>
      <c r="K75" s="271"/>
      <c r="L75" s="246"/>
      <c r="M75" s="246"/>
      <c r="N75" s="246"/>
      <c r="O75" s="271"/>
      <c r="P75" s="246"/>
      <c r="Q75" s="246"/>
      <c r="R75" s="246"/>
      <c r="S75" s="271"/>
      <c r="T75" s="246"/>
      <c r="U75" s="246"/>
      <c r="V75" s="246"/>
      <c r="W75" s="271"/>
      <c r="X75" s="246"/>
      <c r="Y75" s="246"/>
      <c r="Z75" s="246"/>
      <c r="AA75" s="271"/>
      <c r="AB75" s="246"/>
      <c r="AC75" s="246"/>
      <c r="AD75" s="246"/>
      <c r="AE75" s="271"/>
      <c r="AF75" s="246"/>
      <c r="AG75" s="246"/>
      <c r="AH75" s="246"/>
      <c r="AI75" s="271"/>
      <c r="AJ75" s="246"/>
      <c r="AK75" s="246"/>
      <c r="AL75" s="246"/>
      <c r="AM75" s="271"/>
      <c r="AN75" s="246"/>
      <c r="AO75" s="246"/>
      <c r="AP75" s="246"/>
      <c r="AQ75" s="271"/>
      <c r="AR75" s="246"/>
      <c r="AS75" s="246"/>
      <c r="AT75" s="246"/>
      <c r="AU75" s="271"/>
      <c r="AV75" s="246"/>
      <c r="AW75" s="246"/>
      <c r="AX75" s="246"/>
      <c r="AY75" s="271"/>
      <c r="AZ75" s="246"/>
      <c r="BA75" s="246"/>
      <c r="BB75" s="246"/>
      <c r="BC75" s="271"/>
      <c r="BD75" s="246"/>
      <c r="BE75" s="246"/>
      <c r="BF75" s="246"/>
      <c r="BG75" s="271"/>
      <c r="BH75" s="246"/>
      <c r="BI75" s="246"/>
      <c r="BJ75" s="246"/>
      <c r="BK75" s="271"/>
      <c r="BL75" s="246"/>
      <c r="BM75" s="246"/>
      <c r="BN75" s="246"/>
      <c r="BO75" s="271"/>
      <c r="BP75" s="246"/>
      <c r="BQ75" s="246"/>
      <c r="BR75" s="246"/>
      <c r="BS75" s="271"/>
      <c r="BT75" s="246"/>
      <c r="BU75" s="246"/>
      <c r="BV75" s="246"/>
      <c r="BW75" s="271"/>
      <c r="BX75" s="246"/>
      <c r="BY75" s="246"/>
      <c r="BZ75" s="246"/>
      <c r="CA75" s="271"/>
      <c r="CB75" s="246"/>
      <c r="CC75" s="246"/>
      <c r="CD75" s="246"/>
      <c r="CE75" s="271"/>
      <c r="CF75" s="246"/>
      <c r="CG75" s="246"/>
      <c r="CH75" s="246"/>
      <c r="CI75" s="271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  <c r="DD75" s="246"/>
      <c r="DE75" s="246"/>
      <c r="DF75" s="246"/>
      <c r="DG75" s="246"/>
      <c r="DH75" s="246"/>
      <c r="DI75" s="246"/>
      <c r="DJ75" s="246"/>
      <c r="DK75" s="246"/>
      <c r="DL75" s="246"/>
      <c r="DM75" s="246"/>
      <c r="DN75" s="246"/>
      <c r="DO75" s="246"/>
      <c r="DP75" s="246"/>
      <c r="DQ75" s="246"/>
      <c r="DR75" s="246"/>
      <c r="DS75" s="246"/>
      <c r="DT75" s="246"/>
      <c r="DU75" s="246"/>
      <c r="DV75" s="246"/>
      <c r="DW75" s="246"/>
      <c r="DX75" s="246"/>
      <c r="DY75" s="246"/>
      <c r="DZ75" s="246"/>
      <c r="EA75" s="246"/>
      <c r="EB75" s="246"/>
      <c r="EC75" s="246"/>
      <c r="ED75" s="246"/>
      <c r="EE75" s="246"/>
      <c r="EF75" s="246"/>
      <c r="EG75" s="246"/>
      <c r="EH75" s="246"/>
      <c r="EI75" s="246"/>
      <c r="EJ75" s="246"/>
      <c r="EK75" s="246"/>
      <c r="EL75" s="246"/>
      <c r="EM75" s="246"/>
      <c r="EN75" s="246"/>
      <c r="EO75" s="248"/>
      <c r="EP75" s="246"/>
      <c r="EQ75" s="246"/>
      <c r="ER75" s="246"/>
      <c r="ES75" s="246"/>
      <c r="ET75" s="246"/>
      <c r="EU75" s="246"/>
      <c r="EV75" s="246"/>
      <c r="EW75" s="246"/>
      <c r="EX75" s="246"/>
      <c r="EY75" s="246"/>
      <c r="EZ75" s="246"/>
      <c r="FA75" s="246"/>
      <c r="FB75" s="246"/>
      <c r="FC75" s="246"/>
      <c r="FD75" s="246"/>
      <c r="FE75" s="246"/>
      <c r="FF75" s="246"/>
      <c r="FG75" s="246"/>
      <c r="FH75" s="246"/>
      <c r="FI75" s="246"/>
      <c r="FJ75" s="246"/>
      <c r="FK75" s="246"/>
      <c r="FL75" s="246"/>
      <c r="FM75" s="246"/>
      <c r="FN75" s="246"/>
      <c r="FO75" s="246"/>
      <c r="FP75" s="246"/>
      <c r="FQ75" s="246"/>
      <c r="FR75" s="246"/>
      <c r="FS75" s="246"/>
      <c r="FT75" s="246"/>
      <c r="FU75" s="246"/>
      <c r="FV75" s="246"/>
      <c r="FW75" s="246"/>
      <c r="FX75" s="246"/>
      <c r="FY75" s="246"/>
      <c r="FZ75" s="246"/>
      <c r="GA75" s="246"/>
      <c r="GB75" s="246"/>
      <c r="GC75" s="246"/>
      <c r="GD75" s="246"/>
      <c r="GE75" s="246"/>
      <c r="GF75" s="246"/>
      <c r="GG75" s="246"/>
      <c r="GH75" s="246"/>
      <c r="GI75" s="246"/>
      <c r="GJ75" s="246"/>
    </row>
    <row r="76" spans="1:192" s="247" customFormat="1">
      <c r="A76" s="246"/>
      <c r="B76" s="245"/>
      <c r="C76" s="253"/>
      <c r="D76" s="230"/>
      <c r="E76" s="254"/>
      <c r="F76" s="254"/>
      <c r="G76" s="271"/>
      <c r="H76" s="246"/>
      <c r="I76" s="246"/>
      <c r="J76" s="246"/>
      <c r="K76" s="271"/>
      <c r="L76" s="246"/>
      <c r="M76" s="246"/>
      <c r="N76" s="246"/>
      <c r="O76" s="271"/>
      <c r="P76" s="246"/>
      <c r="Q76" s="246"/>
      <c r="R76" s="246"/>
      <c r="S76" s="271"/>
      <c r="T76" s="246"/>
      <c r="U76" s="246"/>
      <c r="V76" s="246"/>
      <c r="W76" s="271"/>
      <c r="X76" s="246"/>
      <c r="Y76" s="246"/>
      <c r="Z76" s="246"/>
      <c r="AA76" s="271"/>
      <c r="AB76" s="246"/>
      <c r="AC76" s="246"/>
      <c r="AD76" s="246"/>
      <c r="AE76" s="271"/>
      <c r="AF76" s="246"/>
      <c r="AG76" s="246"/>
      <c r="AH76" s="246"/>
      <c r="AI76" s="271"/>
      <c r="AJ76" s="246"/>
      <c r="AK76" s="246"/>
      <c r="AL76" s="246"/>
      <c r="AM76" s="271"/>
      <c r="AN76" s="246"/>
      <c r="AO76" s="246"/>
      <c r="AP76" s="246"/>
      <c r="AQ76" s="271"/>
      <c r="AR76" s="246"/>
      <c r="AS76" s="246"/>
      <c r="AT76" s="246"/>
      <c r="AU76" s="271"/>
      <c r="AV76" s="246"/>
      <c r="AW76" s="246"/>
      <c r="AX76" s="246"/>
      <c r="AY76" s="271"/>
      <c r="AZ76" s="246"/>
      <c r="BA76" s="246"/>
      <c r="BB76" s="246"/>
      <c r="BC76" s="271"/>
      <c r="BD76" s="246"/>
      <c r="BE76" s="246"/>
      <c r="BF76" s="246"/>
      <c r="BG76" s="271"/>
      <c r="BH76" s="246"/>
      <c r="BI76" s="246"/>
      <c r="BJ76" s="246"/>
      <c r="BK76" s="271"/>
      <c r="BL76" s="246"/>
      <c r="BM76" s="246"/>
      <c r="BN76" s="246"/>
      <c r="BO76" s="271"/>
      <c r="BP76" s="246"/>
      <c r="BQ76" s="246"/>
      <c r="BR76" s="246"/>
      <c r="BS76" s="271"/>
      <c r="BT76" s="246"/>
      <c r="BU76" s="246"/>
      <c r="BV76" s="246"/>
      <c r="BW76" s="271"/>
      <c r="BX76" s="246"/>
      <c r="BY76" s="246"/>
      <c r="BZ76" s="246"/>
      <c r="CA76" s="271"/>
      <c r="CB76" s="246"/>
      <c r="CC76" s="246"/>
      <c r="CD76" s="246"/>
      <c r="CE76" s="271"/>
      <c r="CF76" s="246"/>
      <c r="CG76" s="246"/>
      <c r="CH76" s="246"/>
      <c r="CI76" s="271"/>
      <c r="CJ76" s="246"/>
      <c r="CK76" s="246"/>
      <c r="CL76" s="246"/>
      <c r="CM76" s="246"/>
      <c r="CN76" s="246"/>
      <c r="CO76" s="246"/>
      <c r="CP76" s="246"/>
      <c r="CQ76" s="246"/>
      <c r="CR76" s="246"/>
      <c r="CS76" s="246"/>
      <c r="CT76" s="246"/>
      <c r="CU76" s="246"/>
      <c r="CV76" s="246"/>
      <c r="CW76" s="246"/>
      <c r="CX76" s="246"/>
      <c r="CY76" s="246"/>
      <c r="CZ76" s="246"/>
      <c r="DA76" s="246"/>
      <c r="DB76" s="246"/>
      <c r="DC76" s="246"/>
      <c r="DD76" s="246"/>
      <c r="DE76" s="246"/>
      <c r="DF76" s="246"/>
      <c r="DG76" s="246"/>
      <c r="DH76" s="246"/>
      <c r="DI76" s="246"/>
      <c r="DJ76" s="246"/>
      <c r="DK76" s="246"/>
      <c r="DL76" s="246"/>
      <c r="DM76" s="246"/>
      <c r="DN76" s="246"/>
      <c r="DO76" s="246"/>
      <c r="DP76" s="246"/>
      <c r="DQ76" s="246"/>
      <c r="DR76" s="246"/>
      <c r="DS76" s="246"/>
      <c r="DT76" s="246"/>
      <c r="DU76" s="246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8"/>
      <c r="EP76" s="246"/>
      <c r="EQ76" s="246"/>
      <c r="ER76" s="246"/>
      <c r="ES76" s="246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246"/>
      <c r="FE76" s="246"/>
      <c r="FF76" s="246"/>
      <c r="FG76" s="246"/>
      <c r="FH76" s="246"/>
      <c r="FI76" s="246"/>
      <c r="FJ76" s="246"/>
      <c r="FK76" s="246"/>
      <c r="FL76" s="246"/>
      <c r="FM76" s="246"/>
      <c r="FN76" s="246"/>
      <c r="FO76" s="246"/>
      <c r="FP76" s="246"/>
      <c r="FQ76" s="246"/>
      <c r="FR76" s="246"/>
      <c r="FS76" s="246"/>
      <c r="FT76" s="246"/>
      <c r="FU76" s="246"/>
      <c r="FV76" s="246"/>
      <c r="FW76" s="246"/>
      <c r="FX76" s="246"/>
      <c r="FY76" s="246"/>
      <c r="FZ76" s="246"/>
      <c r="GA76" s="246"/>
      <c r="GB76" s="246"/>
      <c r="GC76" s="246"/>
      <c r="GD76" s="246"/>
      <c r="GE76" s="246"/>
      <c r="GF76" s="246"/>
      <c r="GG76" s="246"/>
      <c r="GH76" s="246"/>
      <c r="GI76" s="246"/>
      <c r="GJ76" s="246"/>
    </row>
    <row r="77" spans="1:192" s="247" customFormat="1">
      <c r="A77" s="246"/>
      <c r="B77" s="245"/>
      <c r="C77" s="253"/>
      <c r="D77" s="230"/>
      <c r="E77" s="254"/>
      <c r="F77" s="254"/>
      <c r="G77" s="271"/>
      <c r="H77" s="246"/>
      <c r="I77" s="246"/>
      <c r="J77" s="246"/>
      <c r="K77" s="271"/>
      <c r="L77" s="246"/>
      <c r="M77" s="246"/>
      <c r="N77" s="246"/>
      <c r="O77" s="271"/>
      <c r="P77" s="246"/>
      <c r="Q77" s="246"/>
      <c r="R77" s="246"/>
      <c r="S77" s="271"/>
      <c r="T77" s="246"/>
      <c r="U77" s="246"/>
      <c r="V77" s="246"/>
      <c r="W77" s="271"/>
      <c r="X77" s="246"/>
      <c r="Y77" s="246"/>
      <c r="Z77" s="246"/>
      <c r="AA77" s="271"/>
      <c r="AB77" s="246"/>
      <c r="AC77" s="246"/>
      <c r="AD77" s="246"/>
      <c r="AE77" s="271"/>
      <c r="AF77" s="246"/>
      <c r="AG77" s="246"/>
      <c r="AH77" s="246"/>
      <c r="AI77" s="271"/>
      <c r="AJ77" s="246"/>
      <c r="AK77" s="246"/>
      <c r="AL77" s="246"/>
      <c r="AM77" s="271"/>
      <c r="AN77" s="246"/>
      <c r="AO77" s="246"/>
      <c r="AP77" s="246"/>
      <c r="AQ77" s="271"/>
      <c r="AR77" s="246"/>
      <c r="AS77" s="246"/>
      <c r="AT77" s="246"/>
      <c r="AU77" s="271"/>
      <c r="AV77" s="246"/>
      <c r="AW77" s="246"/>
      <c r="AX77" s="246"/>
      <c r="AY77" s="271"/>
      <c r="AZ77" s="246"/>
      <c r="BA77" s="246"/>
      <c r="BB77" s="246"/>
      <c r="BC77" s="271"/>
      <c r="BD77" s="246"/>
      <c r="BE77" s="246"/>
      <c r="BF77" s="246"/>
      <c r="BG77" s="271"/>
      <c r="BH77" s="246"/>
      <c r="BI77" s="246"/>
      <c r="BJ77" s="246"/>
      <c r="BK77" s="271"/>
      <c r="BL77" s="246"/>
      <c r="BM77" s="246"/>
      <c r="BN77" s="246"/>
      <c r="BO77" s="271"/>
      <c r="BP77" s="246"/>
      <c r="BQ77" s="246"/>
      <c r="BR77" s="246"/>
      <c r="BS77" s="271"/>
      <c r="BT77" s="246"/>
      <c r="BU77" s="246"/>
      <c r="BV77" s="246"/>
      <c r="BW77" s="271"/>
      <c r="BX77" s="246"/>
      <c r="BY77" s="246"/>
      <c r="BZ77" s="246"/>
      <c r="CA77" s="271"/>
      <c r="CB77" s="246"/>
      <c r="CC77" s="246"/>
      <c r="CD77" s="246"/>
      <c r="CE77" s="271"/>
      <c r="CF77" s="246"/>
      <c r="CG77" s="246"/>
      <c r="CH77" s="246"/>
      <c r="CI77" s="271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6"/>
      <c r="DJ77" s="246"/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6"/>
      <c r="EB77" s="246"/>
      <c r="EC77" s="246"/>
      <c r="ED77" s="246"/>
      <c r="EE77" s="246"/>
      <c r="EF77" s="246"/>
      <c r="EG77" s="246"/>
      <c r="EH77" s="246"/>
      <c r="EI77" s="246"/>
      <c r="EJ77" s="246"/>
      <c r="EK77" s="246"/>
      <c r="EL77" s="246"/>
      <c r="EM77" s="246"/>
      <c r="EN77" s="246"/>
      <c r="EO77" s="248"/>
      <c r="EP77" s="246"/>
      <c r="EQ77" s="246"/>
      <c r="ER77" s="246"/>
      <c r="ES77" s="246"/>
      <c r="ET77" s="246"/>
      <c r="EU77" s="246"/>
      <c r="EV77" s="246"/>
      <c r="EW77" s="246"/>
      <c r="EX77" s="246"/>
      <c r="EY77" s="246"/>
      <c r="EZ77" s="246"/>
      <c r="FA77" s="246"/>
      <c r="FB77" s="246"/>
      <c r="FC77" s="246"/>
      <c r="FD77" s="246"/>
      <c r="FE77" s="246"/>
      <c r="FF77" s="246"/>
      <c r="FG77" s="246"/>
      <c r="FH77" s="246"/>
      <c r="FI77" s="246"/>
      <c r="FJ77" s="246"/>
      <c r="FK77" s="246"/>
      <c r="FL77" s="246"/>
      <c r="FM77" s="246"/>
      <c r="FN77" s="246"/>
      <c r="FO77" s="246"/>
      <c r="FP77" s="246"/>
      <c r="FQ77" s="246"/>
      <c r="FR77" s="246"/>
      <c r="FS77" s="246"/>
      <c r="FT77" s="246"/>
      <c r="FU77" s="246"/>
      <c r="FV77" s="246"/>
      <c r="FW77" s="246"/>
      <c r="FX77" s="246"/>
      <c r="FY77" s="246"/>
      <c r="FZ77" s="246"/>
      <c r="GA77" s="246"/>
      <c r="GB77" s="246"/>
      <c r="GC77" s="246"/>
      <c r="GD77" s="246"/>
      <c r="GE77" s="246"/>
      <c r="GF77" s="246"/>
      <c r="GG77" s="246"/>
      <c r="GH77" s="246"/>
      <c r="GI77" s="246"/>
      <c r="GJ77" s="246"/>
    </row>
    <row r="78" spans="1:192" s="247" customFormat="1">
      <c r="A78" s="246"/>
      <c r="B78" s="245"/>
      <c r="C78" s="253"/>
      <c r="D78" s="230"/>
      <c r="E78" s="254"/>
      <c r="F78" s="254"/>
      <c r="G78" s="271"/>
      <c r="H78" s="246"/>
      <c r="I78" s="246"/>
      <c r="J78" s="246"/>
      <c r="K78" s="271"/>
      <c r="L78" s="246"/>
      <c r="M78" s="246"/>
      <c r="N78" s="246"/>
      <c r="O78" s="271"/>
      <c r="P78" s="246"/>
      <c r="Q78" s="246"/>
      <c r="R78" s="246"/>
      <c r="S78" s="271"/>
      <c r="T78" s="246"/>
      <c r="U78" s="246"/>
      <c r="V78" s="246"/>
      <c r="W78" s="271"/>
      <c r="X78" s="246"/>
      <c r="Y78" s="246"/>
      <c r="Z78" s="246"/>
      <c r="AA78" s="271"/>
      <c r="AB78" s="246"/>
      <c r="AC78" s="246"/>
      <c r="AD78" s="246"/>
      <c r="AE78" s="271"/>
      <c r="AF78" s="246"/>
      <c r="AG78" s="246"/>
      <c r="AH78" s="246"/>
      <c r="AI78" s="271"/>
      <c r="AJ78" s="246"/>
      <c r="AK78" s="246"/>
      <c r="AL78" s="246"/>
      <c r="AM78" s="271"/>
      <c r="AN78" s="246"/>
      <c r="AO78" s="246"/>
      <c r="AP78" s="246"/>
      <c r="AQ78" s="271"/>
      <c r="AR78" s="246"/>
      <c r="AS78" s="246"/>
      <c r="AT78" s="246"/>
      <c r="AU78" s="271"/>
      <c r="AV78" s="246"/>
      <c r="AW78" s="246"/>
      <c r="AX78" s="246"/>
      <c r="AY78" s="271"/>
      <c r="AZ78" s="246"/>
      <c r="BA78" s="246"/>
      <c r="BB78" s="246"/>
      <c r="BC78" s="271"/>
      <c r="BD78" s="246"/>
      <c r="BE78" s="246"/>
      <c r="BF78" s="246"/>
      <c r="BG78" s="271"/>
      <c r="BH78" s="246"/>
      <c r="BI78" s="246"/>
      <c r="BJ78" s="246"/>
      <c r="BK78" s="271"/>
      <c r="BL78" s="246"/>
      <c r="BM78" s="246"/>
      <c r="BN78" s="246"/>
      <c r="BO78" s="271"/>
      <c r="BP78" s="246"/>
      <c r="BQ78" s="246"/>
      <c r="BR78" s="246"/>
      <c r="BS78" s="271"/>
      <c r="BT78" s="246"/>
      <c r="BU78" s="246"/>
      <c r="BV78" s="246"/>
      <c r="BW78" s="271"/>
      <c r="BX78" s="246"/>
      <c r="BY78" s="246"/>
      <c r="BZ78" s="246"/>
      <c r="CA78" s="271"/>
      <c r="CB78" s="246"/>
      <c r="CC78" s="246"/>
      <c r="CD78" s="246"/>
      <c r="CE78" s="271"/>
      <c r="CF78" s="246"/>
      <c r="CG78" s="246"/>
      <c r="CH78" s="246"/>
      <c r="CI78" s="271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  <c r="DD78" s="246"/>
      <c r="DE78" s="246"/>
      <c r="DF78" s="246"/>
      <c r="DG78" s="246"/>
      <c r="DH78" s="246"/>
      <c r="DI78" s="246"/>
      <c r="DJ78" s="246"/>
      <c r="DK78" s="246"/>
      <c r="DL78" s="246"/>
      <c r="DM78" s="246"/>
      <c r="DN78" s="246"/>
      <c r="DO78" s="246"/>
      <c r="DP78" s="246"/>
      <c r="DQ78" s="246"/>
      <c r="DR78" s="246"/>
      <c r="DS78" s="246"/>
      <c r="DT78" s="246"/>
      <c r="DU78" s="246"/>
      <c r="DV78" s="246"/>
      <c r="DW78" s="246"/>
      <c r="DX78" s="246"/>
      <c r="DY78" s="246"/>
      <c r="DZ78" s="246"/>
      <c r="EA78" s="246"/>
      <c r="EB78" s="246"/>
      <c r="EC78" s="246"/>
      <c r="ED78" s="246"/>
      <c r="EE78" s="246"/>
      <c r="EF78" s="246"/>
      <c r="EG78" s="246"/>
      <c r="EH78" s="246"/>
      <c r="EI78" s="246"/>
      <c r="EJ78" s="246"/>
      <c r="EK78" s="246"/>
      <c r="EL78" s="246"/>
      <c r="EM78" s="246"/>
      <c r="EN78" s="246"/>
      <c r="EO78" s="248"/>
      <c r="EP78" s="246"/>
      <c r="EQ78" s="246"/>
      <c r="ER78" s="246"/>
      <c r="ES78" s="246"/>
      <c r="ET78" s="246"/>
      <c r="EU78" s="246"/>
      <c r="EV78" s="246"/>
      <c r="EW78" s="246"/>
      <c r="EX78" s="246"/>
      <c r="EY78" s="246"/>
      <c r="EZ78" s="246"/>
      <c r="FA78" s="246"/>
      <c r="FB78" s="246"/>
      <c r="FC78" s="246"/>
      <c r="FD78" s="246"/>
      <c r="FE78" s="246"/>
      <c r="FF78" s="246"/>
      <c r="FG78" s="246"/>
      <c r="FH78" s="246"/>
      <c r="FI78" s="246"/>
      <c r="FJ78" s="246"/>
      <c r="FK78" s="246"/>
      <c r="FL78" s="246"/>
      <c r="FM78" s="246"/>
      <c r="FN78" s="246"/>
      <c r="FO78" s="246"/>
      <c r="FP78" s="246"/>
      <c r="FQ78" s="246"/>
      <c r="FR78" s="246"/>
      <c r="FS78" s="246"/>
      <c r="FT78" s="246"/>
      <c r="FU78" s="246"/>
      <c r="FV78" s="246"/>
      <c r="FW78" s="246"/>
      <c r="FX78" s="246"/>
      <c r="FY78" s="246"/>
      <c r="FZ78" s="246"/>
      <c r="GA78" s="246"/>
      <c r="GB78" s="246"/>
      <c r="GC78" s="246"/>
      <c r="GD78" s="246"/>
      <c r="GE78" s="246"/>
      <c r="GF78" s="246"/>
      <c r="GG78" s="246"/>
      <c r="GH78" s="246"/>
      <c r="GI78" s="246"/>
      <c r="GJ78" s="246"/>
    </row>
    <row r="79" spans="1:192" s="247" customFormat="1">
      <c r="A79" s="246"/>
      <c r="B79" s="245"/>
      <c r="C79" s="253"/>
      <c r="D79" s="230"/>
      <c r="E79" s="254"/>
      <c r="F79" s="254"/>
      <c r="G79" s="271"/>
      <c r="H79" s="246"/>
      <c r="I79" s="246"/>
      <c r="J79" s="246"/>
      <c r="K79" s="271"/>
      <c r="L79" s="246"/>
      <c r="M79" s="246"/>
      <c r="N79" s="246"/>
      <c r="O79" s="271"/>
      <c r="P79" s="246"/>
      <c r="Q79" s="246"/>
      <c r="R79" s="246"/>
      <c r="S79" s="271"/>
      <c r="T79" s="246"/>
      <c r="U79" s="246"/>
      <c r="V79" s="246"/>
      <c r="W79" s="271"/>
      <c r="X79" s="246"/>
      <c r="Y79" s="246"/>
      <c r="Z79" s="246"/>
      <c r="AA79" s="271"/>
      <c r="AB79" s="246"/>
      <c r="AC79" s="246"/>
      <c r="AD79" s="246"/>
      <c r="AE79" s="271"/>
      <c r="AF79" s="246"/>
      <c r="AG79" s="246"/>
      <c r="AH79" s="246"/>
      <c r="AI79" s="271"/>
      <c r="AJ79" s="246"/>
      <c r="AK79" s="246"/>
      <c r="AL79" s="246"/>
      <c r="AM79" s="271"/>
      <c r="AN79" s="246"/>
      <c r="AO79" s="246"/>
      <c r="AP79" s="246"/>
      <c r="AQ79" s="271"/>
      <c r="AR79" s="246"/>
      <c r="AS79" s="246"/>
      <c r="AT79" s="246"/>
      <c r="AU79" s="271"/>
      <c r="AV79" s="246"/>
      <c r="AW79" s="246"/>
      <c r="AX79" s="246"/>
      <c r="AY79" s="271"/>
      <c r="AZ79" s="246"/>
      <c r="BA79" s="246"/>
      <c r="BB79" s="246"/>
      <c r="BC79" s="271"/>
      <c r="BD79" s="246"/>
      <c r="BE79" s="246"/>
      <c r="BF79" s="246"/>
      <c r="BG79" s="271"/>
      <c r="BH79" s="246"/>
      <c r="BI79" s="246"/>
      <c r="BJ79" s="246"/>
      <c r="BK79" s="271"/>
      <c r="BL79" s="246"/>
      <c r="BM79" s="246"/>
      <c r="BN79" s="246"/>
      <c r="BO79" s="271"/>
      <c r="BP79" s="246"/>
      <c r="BQ79" s="246"/>
      <c r="BR79" s="246"/>
      <c r="BS79" s="271"/>
      <c r="BT79" s="246"/>
      <c r="BU79" s="246"/>
      <c r="BV79" s="246"/>
      <c r="BW79" s="271"/>
      <c r="BX79" s="246"/>
      <c r="BY79" s="246"/>
      <c r="BZ79" s="246"/>
      <c r="CA79" s="271"/>
      <c r="CB79" s="246"/>
      <c r="CC79" s="246"/>
      <c r="CD79" s="246"/>
      <c r="CE79" s="271"/>
      <c r="CF79" s="246"/>
      <c r="CG79" s="246"/>
      <c r="CH79" s="246"/>
      <c r="CI79" s="271"/>
      <c r="CJ79" s="246"/>
      <c r="CK79" s="246"/>
      <c r="CL79" s="246"/>
      <c r="CM79" s="246"/>
      <c r="CN79" s="246"/>
      <c r="CO79" s="246"/>
      <c r="CP79" s="246"/>
      <c r="CQ79" s="246"/>
      <c r="CR79" s="246"/>
      <c r="CS79" s="246"/>
      <c r="CT79" s="246"/>
      <c r="CU79" s="246"/>
      <c r="CV79" s="246"/>
      <c r="CW79" s="246"/>
      <c r="CX79" s="246"/>
      <c r="CY79" s="246"/>
      <c r="CZ79" s="246"/>
      <c r="DA79" s="246"/>
      <c r="DB79" s="246"/>
      <c r="DC79" s="246"/>
      <c r="DD79" s="246"/>
      <c r="DE79" s="246"/>
      <c r="DF79" s="246"/>
      <c r="DG79" s="246"/>
      <c r="DH79" s="246"/>
      <c r="DI79" s="246"/>
      <c r="DJ79" s="246"/>
      <c r="DK79" s="246"/>
      <c r="DL79" s="246"/>
      <c r="DM79" s="246"/>
      <c r="DN79" s="246"/>
      <c r="DO79" s="246"/>
      <c r="DP79" s="246"/>
      <c r="DQ79" s="246"/>
      <c r="DR79" s="246"/>
      <c r="DS79" s="246"/>
      <c r="DT79" s="246"/>
      <c r="DU79" s="246"/>
      <c r="DV79" s="246"/>
      <c r="DW79" s="246"/>
      <c r="DX79" s="246"/>
      <c r="DY79" s="246"/>
      <c r="DZ79" s="246"/>
      <c r="EA79" s="246"/>
      <c r="EB79" s="246"/>
      <c r="EC79" s="246"/>
      <c r="ED79" s="246"/>
      <c r="EE79" s="246"/>
      <c r="EF79" s="246"/>
      <c r="EG79" s="246"/>
      <c r="EH79" s="246"/>
      <c r="EI79" s="246"/>
      <c r="EJ79" s="246"/>
      <c r="EK79" s="246"/>
      <c r="EL79" s="246"/>
      <c r="EM79" s="246"/>
      <c r="EN79" s="246"/>
      <c r="EO79" s="248"/>
      <c r="EP79" s="246"/>
      <c r="EQ79" s="246"/>
      <c r="ER79" s="246"/>
      <c r="ES79" s="246"/>
      <c r="ET79" s="246"/>
      <c r="EU79" s="246"/>
      <c r="EV79" s="246"/>
      <c r="EW79" s="246"/>
      <c r="EX79" s="246"/>
      <c r="EY79" s="246"/>
      <c r="EZ79" s="246"/>
      <c r="FA79" s="246"/>
      <c r="FB79" s="246"/>
      <c r="FC79" s="246"/>
      <c r="FD79" s="246"/>
      <c r="FE79" s="246"/>
      <c r="FF79" s="246"/>
      <c r="FG79" s="246"/>
      <c r="FH79" s="246"/>
      <c r="FI79" s="246"/>
      <c r="FJ79" s="246"/>
      <c r="FK79" s="246"/>
      <c r="FL79" s="246"/>
      <c r="FM79" s="246"/>
      <c r="FN79" s="246"/>
      <c r="FO79" s="246"/>
      <c r="FP79" s="246"/>
      <c r="FQ79" s="246"/>
      <c r="FR79" s="246"/>
      <c r="FS79" s="246"/>
      <c r="FT79" s="246"/>
      <c r="FU79" s="246"/>
      <c r="FV79" s="246"/>
      <c r="FW79" s="246"/>
      <c r="FX79" s="246"/>
      <c r="FY79" s="246"/>
      <c r="FZ79" s="246"/>
      <c r="GA79" s="246"/>
      <c r="GB79" s="246"/>
      <c r="GC79" s="246"/>
      <c r="GD79" s="246"/>
      <c r="GE79" s="246"/>
      <c r="GF79" s="246"/>
      <c r="GG79" s="246"/>
      <c r="GH79" s="246"/>
      <c r="GI79" s="246"/>
      <c r="GJ79" s="246"/>
    </row>
    <row r="80" spans="1:192" s="247" customFormat="1">
      <c r="A80" s="246"/>
      <c r="B80" s="245"/>
      <c r="C80" s="253"/>
      <c r="D80" s="230"/>
      <c r="E80" s="254"/>
      <c r="F80" s="254"/>
      <c r="G80" s="271"/>
      <c r="H80" s="246"/>
      <c r="I80" s="246"/>
      <c r="J80" s="246"/>
      <c r="K80" s="271"/>
      <c r="L80" s="246"/>
      <c r="M80" s="246"/>
      <c r="N80" s="246"/>
      <c r="O80" s="271"/>
      <c r="P80" s="246"/>
      <c r="Q80" s="246"/>
      <c r="R80" s="246"/>
      <c r="S80" s="271"/>
      <c r="T80" s="246"/>
      <c r="U80" s="246"/>
      <c r="V80" s="246"/>
      <c r="W80" s="271"/>
      <c r="X80" s="246"/>
      <c r="Y80" s="246"/>
      <c r="Z80" s="246"/>
      <c r="AA80" s="271"/>
      <c r="AB80" s="246"/>
      <c r="AC80" s="246"/>
      <c r="AD80" s="246"/>
      <c r="AE80" s="271"/>
      <c r="AF80" s="246"/>
      <c r="AG80" s="246"/>
      <c r="AH80" s="246"/>
      <c r="AI80" s="271"/>
      <c r="AJ80" s="246"/>
      <c r="AK80" s="246"/>
      <c r="AL80" s="246"/>
      <c r="AM80" s="271"/>
      <c r="AN80" s="246"/>
      <c r="AO80" s="246"/>
      <c r="AP80" s="246"/>
      <c r="AQ80" s="271"/>
      <c r="AR80" s="246"/>
      <c r="AS80" s="246"/>
      <c r="AT80" s="246"/>
      <c r="AU80" s="271"/>
      <c r="AV80" s="246"/>
      <c r="AW80" s="246"/>
      <c r="AX80" s="246"/>
      <c r="AY80" s="271"/>
      <c r="AZ80" s="246"/>
      <c r="BA80" s="246"/>
      <c r="BB80" s="246"/>
      <c r="BC80" s="271"/>
      <c r="BD80" s="246"/>
      <c r="BE80" s="246"/>
      <c r="BF80" s="246"/>
      <c r="BG80" s="271"/>
      <c r="BH80" s="246"/>
      <c r="BI80" s="246"/>
      <c r="BJ80" s="246"/>
      <c r="BK80" s="271"/>
      <c r="BL80" s="246"/>
      <c r="BM80" s="246"/>
      <c r="BN80" s="246"/>
      <c r="BO80" s="271"/>
      <c r="BP80" s="246"/>
      <c r="BQ80" s="246"/>
      <c r="BR80" s="246"/>
      <c r="BS80" s="271"/>
      <c r="BT80" s="246"/>
      <c r="BU80" s="246"/>
      <c r="BV80" s="246"/>
      <c r="BW80" s="271"/>
      <c r="BX80" s="246"/>
      <c r="BY80" s="246"/>
      <c r="BZ80" s="246"/>
      <c r="CA80" s="271"/>
      <c r="CB80" s="246"/>
      <c r="CC80" s="246"/>
      <c r="CD80" s="246"/>
      <c r="CE80" s="271"/>
      <c r="CF80" s="246"/>
      <c r="CG80" s="246"/>
      <c r="CH80" s="246"/>
      <c r="CI80" s="271"/>
      <c r="CJ80" s="246"/>
      <c r="CK80" s="246"/>
      <c r="CL80" s="246"/>
      <c r="CM80" s="246"/>
      <c r="CN80" s="246"/>
      <c r="CO80" s="246"/>
      <c r="CP80" s="246"/>
      <c r="CQ80" s="246"/>
      <c r="CR80" s="246"/>
      <c r="CS80" s="246"/>
      <c r="CT80" s="246"/>
      <c r="CU80" s="246"/>
      <c r="CV80" s="246"/>
      <c r="CW80" s="246"/>
      <c r="CX80" s="246"/>
      <c r="CY80" s="246"/>
      <c r="CZ80" s="246"/>
      <c r="DA80" s="246"/>
      <c r="DB80" s="246"/>
      <c r="DC80" s="246"/>
      <c r="DD80" s="246"/>
      <c r="DE80" s="246"/>
      <c r="DF80" s="246"/>
      <c r="DG80" s="246"/>
      <c r="DH80" s="246"/>
      <c r="DI80" s="246"/>
      <c r="DJ80" s="246"/>
      <c r="DK80" s="246"/>
      <c r="DL80" s="246"/>
      <c r="DM80" s="246"/>
      <c r="DN80" s="246"/>
      <c r="DO80" s="246"/>
      <c r="DP80" s="246"/>
      <c r="DQ80" s="246"/>
      <c r="DR80" s="246"/>
      <c r="DS80" s="246"/>
      <c r="DT80" s="246"/>
      <c r="DU80" s="246"/>
      <c r="DV80" s="246"/>
      <c r="DW80" s="246"/>
      <c r="DX80" s="246"/>
      <c r="DY80" s="246"/>
      <c r="DZ80" s="246"/>
      <c r="EA80" s="246"/>
      <c r="EB80" s="246"/>
      <c r="EC80" s="246"/>
      <c r="ED80" s="246"/>
      <c r="EE80" s="246"/>
      <c r="EF80" s="246"/>
      <c r="EG80" s="246"/>
      <c r="EH80" s="246"/>
      <c r="EI80" s="246"/>
      <c r="EJ80" s="246"/>
      <c r="EK80" s="246"/>
      <c r="EL80" s="246"/>
      <c r="EM80" s="246"/>
      <c r="EN80" s="246"/>
      <c r="EO80" s="248"/>
      <c r="EP80" s="246"/>
      <c r="EQ80" s="246"/>
      <c r="ER80" s="246"/>
      <c r="ES80" s="246"/>
      <c r="ET80" s="246"/>
      <c r="EU80" s="246"/>
      <c r="EV80" s="246"/>
      <c r="EW80" s="246"/>
      <c r="EX80" s="246"/>
      <c r="EY80" s="246"/>
      <c r="EZ80" s="246"/>
      <c r="FA80" s="246"/>
      <c r="FB80" s="246"/>
      <c r="FC80" s="246"/>
      <c r="FD80" s="246"/>
      <c r="FE80" s="246"/>
      <c r="FF80" s="246"/>
      <c r="FG80" s="246"/>
      <c r="FH80" s="246"/>
      <c r="FI80" s="246"/>
      <c r="FJ80" s="246"/>
      <c r="FK80" s="246"/>
      <c r="FL80" s="246"/>
      <c r="FM80" s="246"/>
      <c r="FN80" s="246"/>
      <c r="FO80" s="246"/>
      <c r="FP80" s="246"/>
      <c r="FQ80" s="246"/>
      <c r="FR80" s="246"/>
      <c r="FS80" s="246"/>
      <c r="FT80" s="246"/>
      <c r="FU80" s="246"/>
      <c r="FV80" s="246"/>
      <c r="FW80" s="246"/>
      <c r="FX80" s="246"/>
      <c r="FY80" s="246"/>
      <c r="FZ80" s="246"/>
      <c r="GA80" s="246"/>
      <c r="GB80" s="246"/>
      <c r="GC80" s="246"/>
      <c r="GD80" s="246"/>
      <c r="GE80" s="246"/>
      <c r="GF80" s="246"/>
      <c r="GG80" s="246"/>
      <c r="GH80" s="246"/>
      <c r="GI80" s="246"/>
      <c r="GJ80" s="246"/>
    </row>
    <row r="81" spans="1:192" s="247" customFormat="1">
      <c r="A81" s="246"/>
      <c r="B81" s="245"/>
      <c r="C81" s="253"/>
      <c r="D81" s="230"/>
      <c r="E81" s="254"/>
      <c r="F81" s="254"/>
      <c r="G81" s="271"/>
      <c r="H81" s="246"/>
      <c r="I81" s="246"/>
      <c r="J81" s="246"/>
      <c r="K81" s="271"/>
      <c r="L81" s="246"/>
      <c r="M81" s="246"/>
      <c r="N81" s="246"/>
      <c r="O81" s="271"/>
      <c r="P81" s="246"/>
      <c r="Q81" s="246"/>
      <c r="R81" s="246"/>
      <c r="S81" s="271"/>
      <c r="T81" s="246"/>
      <c r="U81" s="246"/>
      <c r="V81" s="246"/>
      <c r="W81" s="271"/>
      <c r="X81" s="246"/>
      <c r="Y81" s="246"/>
      <c r="Z81" s="246"/>
      <c r="AA81" s="271"/>
      <c r="AB81" s="246"/>
      <c r="AC81" s="246"/>
      <c r="AD81" s="246"/>
      <c r="AE81" s="271"/>
      <c r="AF81" s="246"/>
      <c r="AG81" s="246"/>
      <c r="AH81" s="246"/>
      <c r="AI81" s="271"/>
      <c r="AJ81" s="246"/>
      <c r="AK81" s="246"/>
      <c r="AL81" s="246"/>
      <c r="AM81" s="271"/>
      <c r="AN81" s="246"/>
      <c r="AO81" s="246"/>
      <c r="AP81" s="246"/>
      <c r="AQ81" s="271"/>
      <c r="AR81" s="246"/>
      <c r="AS81" s="246"/>
      <c r="AT81" s="246"/>
      <c r="AU81" s="271"/>
      <c r="AV81" s="246"/>
      <c r="AW81" s="246"/>
      <c r="AX81" s="246"/>
      <c r="AY81" s="271"/>
      <c r="AZ81" s="246"/>
      <c r="BA81" s="246"/>
      <c r="BB81" s="246"/>
      <c r="BC81" s="271"/>
      <c r="BD81" s="246"/>
      <c r="BE81" s="246"/>
      <c r="BF81" s="246"/>
      <c r="BG81" s="271"/>
      <c r="BH81" s="246"/>
      <c r="BI81" s="246"/>
      <c r="BJ81" s="246"/>
      <c r="BK81" s="271"/>
      <c r="BL81" s="246"/>
      <c r="BM81" s="246"/>
      <c r="BN81" s="246"/>
      <c r="BO81" s="271"/>
      <c r="BP81" s="246"/>
      <c r="BQ81" s="246"/>
      <c r="BR81" s="246"/>
      <c r="BS81" s="271"/>
      <c r="BT81" s="246"/>
      <c r="BU81" s="246"/>
      <c r="BV81" s="246"/>
      <c r="BW81" s="271"/>
      <c r="BX81" s="246"/>
      <c r="BY81" s="246"/>
      <c r="BZ81" s="246"/>
      <c r="CA81" s="271"/>
      <c r="CB81" s="246"/>
      <c r="CC81" s="246"/>
      <c r="CD81" s="246"/>
      <c r="CE81" s="271"/>
      <c r="CF81" s="246"/>
      <c r="CG81" s="246"/>
      <c r="CH81" s="246"/>
      <c r="CI81" s="271"/>
      <c r="CJ81" s="246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  <c r="CU81" s="246"/>
      <c r="CV81" s="246"/>
      <c r="CW81" s="246"/>
      <c r="CX81" s="246"/>
      <c r="CY81" s="246"/>
      <c r="CZ81" s="246"/>
      <c r="DA81" s="246"/>
      <c r="DB81" s="246"/>
      <c r="DC81" s="246"/>
      <c r="DD81" s="246"/>
      <c r="DE81" s="246"/>
      <c r="DF81" s="246"/>
      <c r="DG81" s="246"/>
      <c r="DH81" s="246"/>
      <c r="DI81" s="246"/>
      <c r="DJ81" s="246"/>
      <c r="DK81" s="246"/>
      <c r="DL81" s="246"/>
      <c r="DM81" s="246"/>
      <c r="DN81" s="246"/>
      <c r="DO81" s="246"/>
      <c r="DP81" s="246"/>
      <c r="DQ81" s="246"/>
      <c r="DR81" s="246"/>
      <c r="DS81" s="246"/>
      <c r="DT81" s="246"/>
      <c r="DU81" s="246"/>
      <c r="DV81" s="246"/>
      <c r="DW81" s="246"/>
      <c r="DX81" s="246"/>
      <c r="DY81" s="246"/>
      <c r="DZ81" s="246"/>
      <c r="EA81" s="246"/>
      <c r="EB81" s="246"/>
      <c r="EC81" s="246"/>
      <c r="ED81" s="246"/>
      <c r="EE81" s="246"/>
      <c r="EF81" s="246"/>
      <c r="EG81" s="246"/>
      <c r="EH81" s="246"/>
      <c r="EI81" s="246"/>
      <c r="EJ81" s="246"/>
      <c r="EK81" s="246"/>
      <c r="EL81" s="246"/>
      <c r="EM81" s="246"/>
      <c r="EN81" s="246"/>
      <c r="EO81" s="248"/>
      <c r="EP81" s="246"/>
      <c r="EQ81" s="246"/>
      <c r="ER81" s="246"/>
      <c r="ES81" s="246"/>
      <c r="ET81" s="246"/>
      <c r="EU81" s="246"/>
      <c r="EV81" s="246"/>
      <c r="EW81" s="246"/>
      <c r="EX81" s="246"/>
      <c r="EY81" s="246"/>
      <c r="EZ81" s="246"/>
      <c r="FA81" s="246"/>
      <c r="FB81" s="246"/>
      <c r="FC81" s="246"/>
      <c r="FD81" s="246"/>
      <c r="FE81" s="246"/>
      <c r="FF81" s="246"/>
      <c r="FG81" s="246"/>
      <c r="FH81" s="246"/>
      <c r="FI81" s="246"/>
      <c r="FJ81" s="246"/>
      <c r="FK81" s="246"/>
      <c r="FL81" s="246"/>
      <c r="FM81" s="246"/>
      <c r="FN81" s="246"/>
      <c r="FO81" s="246"/>
      <c r="FP81" s="246"/>
      <c r="FQ81" s="246"/>
      <c r="FR81" s="246"/>
      <c r="FS81" s="246"/>
      <c r="FT81" s="246"/>
      <c r="FU81" s="246"/>
      <c r="FV81" s="246"/>
      <c r="FW81" s="246"/>
      <c r="FX81" s="246"/>
      <c r="FY81" s="246"/>
      <c r="FZ81" s="246"/>
      <c r="GA81" s="246"/>
      <c r="GB81" s="246"/>
      <c r="GC81" s="246"/>
      <c r="GD81" s="246"/>
      <c r="GE81" s="246"/>
      <c r="GF81" s="246"/>
      <c r="GG81" s="246"/>
      <c r="GH81" s="246"/>
      <c r="GI81" s="246"/>
      <c r="GJ81" s="246"/>
    </row>
    <row r="82" spans="1:192" s="247" customFormat="1">
      <c r="A82" s="246"/>
      <c r="B82" s="245"/>
      <c r="C82" s="253"/>
      <c r="D82" s="230"/>
      <c r="E82" s="254"/>
      <c r="F82" s="254"/>
      <c r="G82" s="271"/>
      <c r="H82" s="246"/>
      <c r="I82" s="246"/>
      <c r="J82" s="246"/>
      <c r="K82" s="271"/>
      <c r="L82" s="246"/>
      <c r="M82" s="246"/>
      <c r="N82" s="246"/>
      <c r="O82" s="271"/>
      <c r="P82" s="246"/>
      <c r="Q82" s="246"/>
      <c r="R82" s="246"/>
      <c r="S82" s="271"/>
      <c r="T82" s="246"/>
      <c r="U82" s="246"/>
      <c r="V82" s="246"/>
      <c r="W82" s="271"/>
      <c r="X82" s="246"/>
      <c r="Y82" s="246"/>
      <c r="Z82" s="246"/>
      <c r="AA82" s="271"/>
      <c r="AB82" s="246"/>
      <c r="AC82" s="246"/>
      <c r="AD82" s="246"/>
      <c r="AE82" s="271"/>
      <c r="AF82" s="246"/>
      <c r="AG82" s="246"/>
      <c r="AH82" s="246"/>
      <c r="AI82" s="271"/>
      <c r="AJ82" s="246"/>
      <c r="AK82" s="246"/>
      <c r="AL82" s="246"/>
      <c r="AM82" s="271"/>
      <c r="AN82" s="246"/>
      <c r="AO82" s="246"/>
      <c r="AP82" s="246"/>
      <c r="AQ82" s="271"/>
      <c r="AR82" s="246"/>
      <c r="AS82" s="246"/>
      <c r="AT82" s="246"/>
      <c r="AU82" s="271"/>
      <c r="AV82" s="246"/>
      <c r="AW82" s="246"/>
      <c r="AX82" s="246"/>
      <c r="AY82" s="271"/>
      <c r="AZ82" s="246"/>
      <c r="BA82" s="246"/>
      <c r="BB82" s="246"/>
      <c r="BC82" s="271"/>
      <c r="BD82" s="246"/>
      <c r="BE82" s="246"/>
      <c r="BF82" s="246"/>
      <c r="BG82" s="271"/>
      <c r="BH82" s="246"/>
      <c r="BI82" s="246"/>
      <c r="BJ82" s="246"/>
      <c r="BK82" s="271"/>
      <c r="BL82" s="246"/>
      <c r="BM82" s="246"/>
      <c r="BN82" s="246"/>
      <c r="BO82" s="271"/>
      <c r="BP82" s="246"/>
      <c r="BQ82" s="246"/>
      <c r="BR82" s="246"/>
      <c r="BS82" s="271"/>
      <c r="BT82" s="246"/>
      <c r="BU82" s="246"/>
      <c r="BV82" s="246"/>
      <c r="BW82" s="271"/>
      <c r="BX82" s="246"/>
      <c r="BY82" s="246"/>
      <c r="BZ82" s="246"/>
      <c r="CA82" s="271"/>
      <c r="CB82" s="246"/>
      <c r="CC82" s="246"/>
      <c r="CD82" s="246"/>
      <c r="CE82" s="271"/>
      <c r="CF82" s="246"/>
      <c r="CG82" s="246"/>
      <c r="CH82" s="246"/>
      <c r="CI82" s="271"/>
      <c r="CJ82" s="246"/>
      <c r="CK82" s="246"/>
      <c r="CL82" s="246"/>
      <c r="CM82" s="246"/>
      <c r="CN82" s="246"/>
      <c r="CO82" s="246"/>
      <c r="CP82" s="246"/>
      <c r="CQ82" s="246"/>
      <c r="CR82" s="246"/>
      <c r="CS82" s="246"/>
      <c r="CT82" s="246"/>
      <c r="CU82" s="246"/>
      <c r="CV82" s="246"/>
      <c r="CW82" s="246"/>
      <c r="CX82" s="246"/>
      <c r="CY82" s="246"/>
      <c r="CZ82" s="246"/>
      <c r="DA82" s="246"/>
      <c r="DB82" s="246"/>
      <c r="DC82" s="246"/>
      <c r="DD82" s="246"/>
      <c r="DE82" s="246"/>
      <c r="DF82" s="246"/>
      <c r="DG82" s="246"/>
      <c r="DH82" s="246"/>
      <c r="DI82" s="246"/>
      <c r="DJ82" s="246"/>
      <c r="DK82" s="246"/>
      <c r="DL82" s="246"/>
      <c r="DM82" s="246"/>
      <c r="DN82" s="246"/>
      <c r="DO82" s="246"/>
      <c r="DP82" s="246"/>
      <c r="DQ82" s="246"/>
      <c r="DR82" s="246"/>
      <c r="DS82" s="246"/>
      <c r="DT82" s="246"/>
      <c r="DU82" s="246"/>
      <c r="DV82" s="246"/>
      <c r="DW82" s="246"/>
      <c r="DX82" s="246"/>
      <c r="DY82" s="246"/>
      <c r="DZ82" s="246"/>
      <c r="EA82" s="246"/>
      <c r="EB82" s="246"/>
      <c r="EC82" s="246"/>
      <c r="ED82" s="246"/>
      <c r="EE82" s="246"/>
      <c r="EF82" s="246"/>
      <c r="EG82" s="246"/>
      <c r="EH82" s="246"/>
      <c r="EI82" s="246"/>
      <c r="EJ82" s="246"/>
      <c r="EK82" s="246"/>
      <c r="EL82" s="246"/>
      <c r="EM82" s="246"/>
      <c r="EN82" s="246"/>
      <c r="EO82" s="248"/>
      <c r="EP82" s="246"/>
      <c r="EQ82" s="246"/>
      <c r="ER82" s="246"/>
      <c r="ES82" s="246"/>
      <c r="ET82" s="246"/>
      <c r="EU82" s="246"/>
      <c r="EV82" s="246"/>
      <c r="EW82" s="246"/>
      <c r="EX82" s="246"/>
      <c r="EY82" s="246"/>
      <c r="EZ82" s="246"/>
      <c r="FA82" s="246"/>
      <c r="FB82" s="246"/>
      <c r="FC82" s="246"/>
      <c r="FD82" s="246"/>
      <c r="FE82" s="246"/>
      <c r="FF82" s="246"/>
      <c r="FG82" s="246"/>
      <c r="FH82" s="246"/>
      <c r="FI82" s="246"/>
      <c r="FJ82" s="246"/>
      <c r="FK82" s="246"/>
      <c r="FL82" s="246"/>
      <c r="FM82" s="246"/>
      <c r="FN82" s="246"/>
      <c r="FO82" s="246"/>
      <c r="FP82" s="246"/>
      <c r="FQ82" s="246"/>
      <c r="FR82" s="246"/>
      <c r="FS82" s="246"/>
      <c r="FT82" s="246"/>
      <c r="FU82" s="246"/>
      <c r="FV82" s="246"/>
      <c r="FW82" s="246"/>
      <c r="FX82" s="246"/>
      <c r="FY82" s="246"/>
      <c r="FZ82" s="246"/>
      <c r="GA82" s="246"/>
      <c r="GB82" s="246"/>
      <c r="GC82" s="246"/>
      <c r="GD82" s="246"/>
      <c r="GE82" s="246"/>
      <c r="GF82" s="246"/>
      <c r="GG82" s="246"/>
      <c r="GH82" s="246"/>
      <c r="GI82" s="246"/>
      <c r="GJ82" s="246"/>
    </row>
    <row r="83" spans="1:192" s="247" customFormat="1">
      <c r="A83" s="246"/>
      <c r="B83" s="245"/>
      <c r="C83" s="253"/>
      <c r="D83" s="230"/>
      <c r="E83" s="254"/>
      <c r="F83" s="254"/>
      <c r="G83" s="271"/>
      <c r="H83" s="246"/>
      <c r="I83" s="246"/>
      <c r="J83" s="246"/>
      <c r="K83" s="271"/>
      <c r="L83" s="246"/>
      <c r="M83" s="246"/>
      <c r="N83" s="246"/>
      <c r="O83" s="271"/>
      <c r="P83" s="246"/>
      <c r="Q83" s="246"/>
      <c r="R83" s="246"/>
      <c r="S83" s="271"/>
      <c r="T83" s="246"/>
      <c r="U83" s="246"/>
      <c r="V83" s="246"/>
      <c r="W83" s="271"/>
      <c r="X83" s="246"/>
      <c r="Y83" s="246"/>
      <c r="Z83" s="246"/>
      <c r="AA83" s="271"/>
      <c r="AB83" s="246"/>
      <c r="AC83" s="246"/>
      <c r="AD83" s="246"/>
      <c r="AE83" s="271"/>
      <c r="AF83" s="246"/>
      <c r="AG83" s="246"/>
      <c r="AH83" s="246"/>
      <c r="AI83" s="271"/>
      <c r="AJ83" s="246"/>
      <c r="AK83" s="246"/>
      <c r="AL83" s="246"/>
      <c r="AM83" s="271"/>
      <c r="AN83" s="246"/>
      <c r="AO83" s="246"/>
      <c r="AP83" s="246"/>
      <c r="AQ83" s="271"/>
      <c r="AR83" s="246"/>
      <c r="AS83" s="246"/>
      <c r="AT83" s="246"/>
      <c r="AU83" s="271"/>
      <c r="AV83" s="246"/>
      <c r="AW83" s="246"/>
      <c r="AX83" s="246"/>
      <c r="AY83" s="271"/>
      <c r="AZ83" s="246"/>
      <c r="BA83" s="246"/>
      <c r="BB83" s="246"/>
      <c r="BC83" s="271"/>
      <c r="BD83" s="246"/>
      <c r="BE83" s="246"/>
      <c r="BF83" s="246"/>
      <c r="BG83" s="271"/>
      <c r="BH83" s="246"/>
      <c r="BI83" s="246"/>
      <c r="BJ83" s="246"/>
      <c r="BK83" s="271"/>
      <c r="BL83" s="246"/>
      <c r="BM83" s="246"/>
      <c r="BN83" s="246"/>
      <c r="BO83" s="271"/>
      <c r="BP83" s="246"/>
      <c r="BQ83" s="246"/>
      <c r="BR83" s="246"/>
      <c r="BS83" s="271"/>
      <c r="BT83" s="246"/>
      <c r="BU83" s="246"/>
      <c r="BV83" s="246"/>
      <c r="BW83" s="271"/>
      <c r="BX83" s="246"/>
      <c r="BY83" s="246"/>
      <c r="BZ83" s="246"/>
      <c r="CA83" s="271"/>
      <c r="CB83" s="246"/>
      <c r="CC83" s="246"/>
      <c r="CD83" s="246"/>
      <c r="CE83" s="271"/>
      <c r="CF83" s="246"/>
      <c r="CG83" s="246"/>
      <c r="CH83" s="246"/>
      <c r="CI83" s="271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  <c r="CU83" s="246"/>
      <c r="CV83" s="246"/>
      <c r="CW83" s="246"/>
      <c r="CX83" s="246"/>
      <c r="CY83" s="246"/>
      <c r="CZ83" s="246"/>
      <c r="DA83" s="246"/>
      <c r="DB83" s="246"/>
      <c r="DC83" s="246"/>
      <c r="DD83" s="246"/>
      <c r="DE83" s="246"/>
      <c r="DF83" s="246"/>
      <c r="DG83" s="246"/>
      <c r="DH83" s="246"/>
      <c r="DI83" s="246"/>
      <c r="DJ83" s="246"/>
      <c r="DK83" s="246"/>
      <c r="DL83" s="246"/>
      <c r="DM83" s="246"/>
      <c r="DN83" s="246"/>
      <c r="DO83" s="246"/>
      <c r="DP83" s="246"/>
      <c r="DQ83" s="246"/>
      <c r="DR83" s="246"/>
      <c r="DS83" s="246"/>
      <c r="DT83" s="246"/>
      <c r="DU83" s="246"/>
      <c r="DV83" s="246"/>
      <c r="DW83" s="246"/>
      <c r="DX83" s="246"/>
      <c r="DY83" s="246"/>
      <c r="DZ83" s="246"/>
      <c r="EA83" s="246"/>
      <c r="EB83" s="246"/>
      <c r="EC83" s="246"/>
      <c r="ED83" s="246"/>
      <c r="EE83" s="246"/>
      <c r="EF83" s="246"/>
      <c r="EG83" s="246"/>
      <c r="EH83" s="246"/>
      <c r="EI83" s="246"/>
      <c r="EJ83" s="246"/>
      <c r="EK83" s="246"/>
      <c r="EL83" s="246"/>
      <c r="EM83" s="246"/>
      <c r="EN83" s="246"/>
      <c r="EO83" s="248"/>
      <c r="EP83" s="246"/>
      <c r="EQ83" s="246"/>
      <c r="ER83" s="246"/>
      <c r="ES83" s="246"/>
      <c r="ET83" s="246"/>
      <c r="EU83" s="246"/>
      <c r="EV83" s="246"/>
      <c r="EW83" s="246"/>
      <c r="EX83" s="246"/>
      <c r="EY83" s="246"/>
      <c r="EZ83" s="246"/>
      <c r="FA83" s="246"/>
      <c r="FB83" s="246"/>
      <c r="FC83" s="246"/>
      <c r="FD83" s="246"/>
      <c r="FE83" s="246"/>
      <c r="FF83" s="246"/>
      <c r="FG83" s="246"/>
      <c r="FH83" s="246"/>
      <c r="FI83" s="246"/>
      <c r="FJ83" s="246"/>
      <c r="FK83" s="246"/>
      <c r="FL83" s="246"/>
      <c r="FM83" s="246"/>
      <c r="FN83" s="246"/>
      <c r="FO83" s="246"/>
      <c r="FP83" s="246"/>
      <c r="FQ83" s="246"/>
      <c r="FR83" s="246"/>
      <c r="FS83" s="246"/>
      <c r="FT83" s="246"/>
      <c r="FU83" s="246"/>
      <c r="FV83" s="246"/>
      <c r="FW83" s="246"/>
      <c r="FX83" s="246"/>
      <c r="FY83" s="246"/>
      <c r="FZ83" s="246"/>
      <c r="GA83" s="246"/>
      <c r="GB83" s="246"/>
      <c r="GC83" s="246"/>
      <c r="GD83" s="246"/>
      <c r="GE83" s="246"/>
      <c r="GF83" s="246"/>
      <c r="GG83" s="246"/>
      <c r="GH83" s="246"/>
      <c r="GI83" s="246"/>
      <c r="GJ83" s="246"/>
    </row>
    <row r="84" spans="1:192" s="247" customFormat="1">
      <c r="A84" s="246"/>
      <c r="B84" s="245"/>
      <c r="C84" s="253"/>
      <c r="D84" s="230"/>
      <c r="E84" s="254"/>
      <c r="F84" s="254"/>
      <c r="G84" s="271"/>
      <c r="H84" s="246"/>
      <c r="I84" s="246"/>
      <c r="J84" s="246"/>
      <c r="K84" s="271"/>
      <c r="L84" s="246"/>
      <c r="M84" s="246"/>
      <c r="N84" s="246"/>
      <c r="O84" s="271"/>
      <c r="P84" s="246"/>
      <c r="Q84" s="246"/>
      <c r="R84" s="246"/>
      <c r="S84" s="271"/>
      <c r="T84" s="246"/>
      <c r="U84" s="246"/>
      <c r="V84" s="246"/>
      <c r="W84" s="271"/>
      <c r="X84" s="246"/>
      <c r="Y84" s="246"/>
      <c r="Z84" s="246"/>
      <c r="AA84" s="271"/>
      <c r="AB84" s="246"/>
      <c r="AC84" s="246"/>
      <c r="AD84" s="246"/>
      <c r="AE84" s="271"/>
      <c r="AF84" s="246"/>
      <c r="AG84" s="246"/>
      <c r="AH84" s="246"/>
      <c r="AI84" s="271"/>
      <c r="AJ84" s="246"/>
      <c r="AK84" s="246"/>
      <c r="AL84" s="246"/>
      <c r="AM84" s="271"/>
      <c r="AN84" s="246"/>
      <c r="AO84" s="246"/>
      <c r="AP84" s="246"/>
      <c r="AQ84" s="271"/>
      <c r="AR84" s="246"/>
      <c r="AS84" s="246"/>
      <c r="AT84" s="246"/>
      <c r="AU84" s="271"/>
      <c r="AV84" s="246"/>
      <c r="AW84" s="246"/>
      <c r="AX84" s="246"/>
      <c r="AY84" s="271"/>
      <c r="AZ84" s="246"/>
      <c r="BA84" s="246"/>
      <c r="BB84" s="246"/>
      <c r="BC84" s="271"/>
      <c r="BD84" s="246"/>
      <c r="BE84" s="246"/>
      <c r="BF84" s="246"/>
      <c r="BG84" s="271"/>
      <c r="BH84" s="246"/>
      <c r="BI84" s="246"/>
      <c r="BJ84" s="246"/>
      <c r="BK84" s="271"/>
      <c r="BL84" s="246"/>
      <c r="BM84" s="246"/>
      <c r="BN84" s="246"/>
      <c r="BO84" s="271"/>
      <c r="BP84" s="246"/>
      <c r="BQ84" s="246"/>
      <c r="BR84" s="246"/>
      <c r="BS84" s="271"/>
      <c r="BT84" s="246"/>
      <c r="BU84" s="246"/>
      <c r="BV84" s="246"/>
      <c r="BW84" s="271"/>
      <c r="BX84" s="246"/>
      <c r="BY84" s="246"/>
      <c r="BZ84" s="246"/>
      <c r="CA84" s="271"/>
      <c r="CB84" s="246"/>
      <c r="CC84" s="246"/>
      <c r="CD84" s="246"/>
      <c r="CE84" s="271"/>
      <c r="CF84" s="246"/>
      <c r="CG84" s="246"/>
      <c r="CH84" s="246"/>
      <c r="CI84" s="271"/>
      <c r="CJ84" s="246"/>
      <c r="CK84" s="246"/>
      <c r="CL84" s="246"/>
      <c r="CM84" s="246"/>
      <c r="CN84" s="246"/>
      <c r="CO84" s="246"/>
      <c r="CP84" s="246"/>
      <c r="CQ84" s="246"/>
      <c r="CR84" s="246"/>
      <c r="CS84" s="246"/>
      <c r="CT84" s="246"/>
      <c r="CU84" s="246"/>
      <c r="CV84" s="246"/>
      <c r="CW84" s="246"/>
      <c r="CX84" s="246"/>
      <c r="CY84" s="246"/>
      <c r="CZ84" s="246"/>
      <c r="DA84" s="246"/>
      <c r="DB84" s="246"/>
      <c r="DC84" s="246"/>
      <c r="DD84" s="246"/>
      <c r="DE84" s="246"/>
      <c r="DF84" s="246"/>
      <c r="DG84" s="246"/>
      <c r="DH84" s="246"/>
      <c r="DI84" s="246"/>
      <c r="DJ84" s="246"/>
      <c r="DK84" s="246"/>
      <c r="DL84" s="246"/>
      <c r="DM84" s="246"/>
      <c r="DN84" s="246"/>
      <c r="DO84" s="246"/>
      <c r="DP84" s="246"/>
      <c r="DQ84" s="246"/>
      <c r="DR84" s="246"/>
      <c r="DS84" s="246"/>
      <c r="DT84" s="246"/>
      <c r="DU84" s="246"/>
      <c r="DV84" s="246"/>
      <c r="DW84" s="246"/>
      <c r="DX84" s="246"/>
      <c r="DY84" s="246"/>
      <c r="DZ84" s="246"/>
      <c r="EA84" s="246"/>
      <c r="EB84" s="246"/>
      <c r="EC84" s="246"/>
      <c r="ED84" s="246"/>
      <c r="EE84" s="246"/>
      <c r="EF84" s="246"/>
      <c r="EG84" s="246"/>
      <c r="EH84" s="246"/>
      <c r="EI84" s="246"/>
      <c r="EJ84" s="246"/>
      <c r="EK84" s="246"/>
      <c r="EL84" s="246"/>
      <c r="EM84" s="246"/>
      <c r="EN84" s="246"/>
      <c r="EO84" s="248"/>
      <c r="EP84" s="246"/>
      <c r="EQ84" s="246"/>
      <c r="ER84" s="246"/>
      <c r="ES84" s="246"/>
      <c r="ET84" s="246"/>
      <c r="EU84" s="246"/>
      <c r="EV84" s="246"/>
      <c r="EW84" s="246"/>
      <c r="EX84" s="246"/>
      <c r="EY84" s="246"/>
      <c r="EZ84" s="246"/>
      <c r="FA84" s="246"/>
      <c r="FB84" s="246"/>
      <c r="FC84" s="246"/>
      <c r="FD84" s="246"/>
      <c r="FE84" s="246"/>
      <c r="FF84" s="246"/>
      <c r="FG84" s="246"/>
      <c r="FH84" s="246"/>
      <c r="FI84" s="246"/>
      <c r="FJ84" s="246"/>
      <c r="FK84" s="246"/>
      <c r="FL84" s="246"/>
      <c r="FM84" s="246"/>
      <c r="FN84" s="246"/>
      <c r="FO84" s="246"/>
      <c r="FP84" s="246"/>
      <c r="FQ84" s="246"/>
      <c r="FR84" s="246"/>
      <c r="FS84" s="246"/>
      <c r="FT84" s="246"/>
      <c r="FU84" s="246"/>
      <c r="FV84" s="246"/>
      <c r="FW84" s="246"/>
      <c r="FX84" s="246"/>
      <c r="FY84" s="246"/>
      <c r="FZ84" s="246"/>
      <c r="GA84" s="246"/>
      <c r="GB84" s="246"/>
      <c r="GC84" s="246"/>
      <c r="GD84" s="246"/>
      <c r="GE84" s="246"/>
      <c r="GF84" s="246"/>
      <c r="GG84" s="246"/>
      <c r="GH84" s="246"/>
      <c r="GI84" s="246"/>
      <c r="GJ84" s="246"/>
    </row>
    <row r="85" spans="1:192" s="247" customFormat="1">
      <c r="A85" s="246"/>
      <c r="B85" s="245"/>
      <c r="C85" s="253"/>
      <c r="D85" s="230"/>
      <c r="E85" s="254"/>
      <c r="F85" s="254"/>
      <c r="G85" s="271"/>
      <c r="H85" s="246"/>
      <c r="I85" s="246"/>
      <c r="J85" s="246"/>
      <c r="K85" s="271"/>
      <c r="L85" s="246"/>
      <c r="M85" s="246"/>
      <c r="N85" s="246"/>
      <c r="O85" s="271"/>
      <c r="P85" s="246"/>
      <c r="Q85" s="246"/>
      <c r="R85" s="246"/>
      <c r="S85" s="271"/>
      <c r="T85" s="246"/>
      <c r="U85" s="246"/>
      <c r="V85" s="246"/>
      <c r="W85" s="271"/>
      <c r="X85" s="246"/>
      <c r="Y85" s="246"/>
      <c r="Z85" s="246"/>
      <c r="AA85" s="271"/>
      <c r="AB85" s="246"/>
      <c r="AC85" s="246"/>
      <c r="AD85" s="246"/>
      <c r="AE85" s="271"/>
      <c r="AF85" s="246"/>
      <c r="AG85" s="246"/>
      <c r="AH85" s="246"/>
      <c r="AI85" s="271"/>
      <c r="AJ85" s="246"/>
      <c r="AK85" s="246"/>
      <c r="AL85" s="246"/>
      <c r="AM85" s="271"/>
      <c r="AN85" s="246"/>
      <c r="AO85" s="246"/>
      <c r="AP85" s="246"/>
      <c r="AQ85" s="271"/>
      <c r="AR85" s="246"/>
      <c r="AS85" s="246"/>
      <c r="AT85" s="246"/>
      <c r="AU85" s="271"/>
      <c r="AV85" s="246"/>
      <c r="AW85" s="246"/>
      <c r="AX85" s="246"/>
      <c r="AY85" s="271"/>
      <c r="AZ85" s="246"/>
      <c r="BA85" s="246"/>
      <c r="BB85" s="246"/>
      <c r="BC85" s="271"/>
      <c r="BD85" s="246"/>
      <c r="BE85" s="246"/>
      <c r="BF85" s="246"/>
      <c r="BG85" s="271"/>
      <c r="BH85" s="246"/>
      <c r="BI85" s="246"/>
      <c r="BJ85" s="246"/>
      <c r="BK85" s="271"/>
      <c r="BL85" s="246"/>
      <c r="BM85" s="246"/>
      <c r="BN85" s="246"/>
      <c r="BO85" s="271"/>
      <c r="BP85" s="246"/>
      <c r="BQ85" s="246"/>
      <c r="BR85" s="246"/>
      <c r="BS85" s="271"/>
      <c r="BT85" s="246"/>
      <c r="BU85" s="246"/>
      <c r="BV85" s="246"/>
      <c r="BW85" s="271"/>
      <c r="BX85" s="246"/>
      <c r="BY85" s="246"/>
      <c r="BZ85" s="246"/>
      <c r="CA85" s="271"/>
      <c r="CB85" s="246"/>
      <c r="CC85" s="246"/>
      <c r="CD85" s="246"/>
      <c r="CE85" s="271"/>
      <c r="CF85" s="246"/>
      <c r="CG85" s="246"/>
      <c r="CH85" s="246"/>
      <c r="CI85" s="271"/>
      <c r="CJ85" s="246"/>
      <c r="CK85" s="246"/>
      <c r="CL85" s="246"/>
      <c r="CM85" s="246"/>
      <c r="CN85" s="246"/>
      <c r="CO85" s="246"/>
      <c r="CP85" s="246"/>
      <c r="CQ85" s="246"/>
      <c r="CR85" s="246"/>
      <c r="CS85" s="246"/>
      <c r="CT85" s="246"/>
      <c r="CU85" s="246"/>
      <c r="CV85" s="246"/>
      <c r="CW85" s="246"/>
      <c r="CX85" s="246"/>
      <c r="CY85" s="246"/>
      <c r="CZ85" s="246"/>
      <c r="DA85" s="246"/>
      <c r="DB85" s="246"/>
      <c r="DC85" s="246"/>
      <c r="DD85" s="246"/>
      <c r="DE85" s="246"/>
      <c r="DF85" s="246"/>
      <c r="DG85" s="246"/>
      <c r="DH85" s="246"/>
      <c r="DI85" s="246"/>
      <c r="DJ85" s="246"/>
      <c r="DK85" s="246"/>
      <c r="DL85" s="246"/>
      <c r="DM85" s="246"/>
      <c r="DN85" s="246"/>
      <c r="DO85" s="246"/>
      <c r="DP85" s="246"/>
      <c r="DQ85" s="246"/>
      <c r="DR85" s="246"/>
      <c r="DS85" s="246"/>
      <c r="DT85" s="246"/>
      <c r="DU85" s="246"/>
      <c r="DV85" s="246"/>
      <c r="DW85" s="246"/>
      <c r="DX85" s="246"/>
      <c r="DY85" s="246"/>
      <c r="DZ85" s="246"/>
      <c r="EA85" s="246"/>
      <c r="EB85" s="246"/>
      <c r="EC85" s="246"/>
      <c r="ED85" s="246"/>
      <c r="EE85" s="246"/>
      <c r="EF85" s="246"/>
      <c r="EG85" s="246"/>
      <c r="EH85" s="246"/>
      <c r="EI85" s="246"/>
      <c r="EJ85" s="246"/>
      <c r="EK85" s="246"/>
      <c r="EL85" s="246"/>
      <c r="EM85" s="246"/>
      <c r="EN85" s="246"/>
      <c r="EO85" s="248"/>
      <c r="EP85" s="246"/>
      <c r="EQ85" s="246"/>
      <c r="ER85" s="246"/>
      <c r="ES85" s="246"/>
      <c r="ET85" s="246"/>
      <c r="EU85" s="246"/>
      <c r="EV85" s="246"/>
      <c r="EW85" s="246"/>
      <c r="EX85" s="246"/>
      <c r="EY85" s="246"/>
      <c r="EZ85" s="246"/>
      <c r="FA85" s="246"/>
      <c r="FB85" s="246"/>
      <c r="FC85" s="246"/>
      <c r="FD85" s="246"/>
      <c r="FE85" s="246"/>
      <c r="FF85" s="246"/>
      <c r="FG85" s="246"/>
      <c r="FH85" s="246"/>
      <c r="FI85" s="246"/>
      <c r="FJ85" s="246"/>
      <c r="FK85" s="246"/>
      <c r="FL85" s="246"/>
      <c r="FM85" s="246"/>
      <c r="FN85" s="246"/>
      <c r="FO85" s="246"/>
      <c r="FP85" s="246"/>
      <c r="FQ85" s="246"/>
      <c r="FR85" s="246"/>
      <c r="FS85" s="246"/>
      <c r="FT85" s="246"/>
      <c r="FU85" s="246"/>
      <c r="FV85" s="246"/>
      <c r="FW85" s="246"/>
      <c r="FX85" s="246"/>
      <c r="FY85" s="246"/>
      <c r="FZ85" s="246"/>
      <c r="GA85" s="246"/>
      <c r="GB85" s="246"/>
      <c r="GC85" s="246"/>
      <c r="GD85" s="246"/>
      <c r="GE85" s="246"/>
      <c r="GF85" s="246"/>
      <c r="GG85" s="246"/>
      <c r="GH85" s="246"/>
      <c r="GI85" s="246"/>
      <c r="GJ85" s="246"/>
    </row>
    <row r="86" spans="1:192" s="247" customFormat="1">
      <c r="A86" s="246"/>
      <c r="B86" s="245"/>
      <c r="C86" s="253"/>
      <c r="D86" s="230"/>
      <c r="E86" s="254"/>
      <c r="F86" s="254"/>
      <c r="G86" s="271"/>
      <c r="H86" s="246"/>
      <c r="I86" s="246"/>
      <c r="J86" s="246"/>
      <c r="K86" s="271"/>
      <c r="L86" s="246"/>
      <c r="M86" s="246"/>
      <c r="N86" s="246"/>
      <c r="O86" s="271"/>
      <c r="P86" s="246"/>
      <c r="Q86" s="246"/>
      <c r="R86" s="246"/>
      <c r="S86" s="271"/>
      <c r="T86" s="246"/>
      <c r="U86" s="246"/>
      <c r="V86" s="246"/>
      <c r="W86" s="271"/>
      <c r="X86" s="246"/>
      <c r="Y86" s="246"/>
      <c r="Z86" s="246"/>
      <c r="AA86" s="271"/>
      <c r="AB86" s="246"/>
      <c r="AC86" s="246"/>
      <c r="AD86" s="246"/>
      <c r="AE86" s="271"/>
      <c r="AF86" s="246"/>
      <c r="AG86" s="246"/>
      <c r="AH86" s="246"/>
      <c r="AI86" s="271"/>
      <c r="AJ86" s="246"/>
      <c r="AK86" s="246"/>
      <c r="AL86" s="246"/>
      <c r="AM86" s="271"/>
      <c r="AN86" s="246"/>
      <c r="AO86" s="246"/>
      <c r="AP86" s="246"/>
      <c r="AQ86" s="271"/>
      <c r="AR86" s="246"/>
      <c r="AS86" s="246"/>
      <c r="AT86" s="246"/>
      <c r="AU86" s="271"/>
      <c r="AV86" s="246"/>
      <c r="AW86" s="246"/>
      <c r="AX86" s="246"/>
      <c r="AY86" s="271"/>
      <c r="AZ86" s="246"/>
      <c r="BA86" s="246"/>
      <c r="BB86" s="246"/>
      <c r="BC86" s="271"/>
      <c r="BD86" s="246"/>
      <c r="BE86" s="246"/>
      <c r="BF86" s="246"/>
      <c r="BG86" s="271"/>
      <c r="BH86" s="246"/>
      <c r="BI86" s="246"/>
      <c r="BJ86" s="246"/>
      <c r="BK86" s="271"/>
      <c r="BL86" s="246"/>
      <c r="BM86" s="246"/>
      <c r="BN86" s="246"/>
      <c r="BO86" s="271"/>
      <c r="BP86" s="246"/>
      <c r="BQ86" s="246"/>
      <c r="BR86" s="246"/>
      <c r="BS86" s="271"/>
      <c r="BT86" s="246"/>
      <c r="BU86" s="246"/>
      <c r="BV86" s="246"/>
      <c r="BW86" s="271"/>
      <c r="BX86" s="246"/>
      <c r="BY86" s="246"/>
      <c r="BZ86" s="246"/>
      <c r="CA86" s="271"/>
      <c r="CB86" s="246"/>
      <c r="CC86" s="246"/>
      <c r="CD86" s="246"/>
      <c r="CE86" s="271"/>
      <c r="CF86" s="246"/>
      <c r="CG86" s="246"/>
      <c r="CH86" s="246"/>
      <c r="CI86" s="271"/>
      <c r="CJ86" s="246"/>
      <c r="CK86" s="246"/>
      <c r="CL86" s="246"/>
      <c r="CM86" s="246"/>
      <c r="CN86" s="246"/>
      <c r="CO86" s="246"/>
      <c r="CP86" s="246"/>
      <c r="CQ86" s="246"/>
      <c r="CR86" s="246"/>
      <c r="CS86" s="246"/>
      <c r="CT86" s="246"/>
      <c r="CU86" s="246"/>
      <c r="CV86" s="246"/>
      <c r="CW86" s="246"/>
      <c r="CX86" s="246"/>
      <c r="CY86" s="246"/>
      <c r="CZ86" s="246"/>
      <c r="DA86" s="246"/>
      <c r="DB86" s="246"/>
      <c r="DC86" s="246"/>
      <c r="DD86" s="246"/>
      <c r="DE86" s="246"/>
      <c r="DF86" s="246"/>
      <c r="DG86" s="246"/>
      <c r="DH86" s="246"/>
      <c r="DI86" s="246"/>
      <c r="DJ86" s="246"/>
      <c r="DK86" s="246"/>
      <c r="DL86" s="246"/>
      <c r="DM86" s="246"/>
      <c r="DN86" s="246"/>
      <c r="DO86" s="246"/>
      <c r="DP86" s="246"/>
      <c r="DQ86" s="246"/>
      <c r="DR86" s="246"/>
      <c r="DS86" s="246"/>
      <c r="DT86" s="246"/>
      <c r="DU86" s="246"/>
      <c r="DV86" s="246"/>
      <c r="DW86" s="246"/>
      <c r="DX86" s="246"/>
      <c r="DY86" s="246"/>
      <c r="DZ86" s="246"/>
      <c r="EA86" s="246"/>
      <c r="EB86" s="246"/>
      <c r="EC86" s="246"/>
      <c r="ED86" s="246"/>
      <c r="EE86" s="246"/>
      <c r="EF86" s="246"/>
      <c r="EG86" s="246"/>
      <c r="EH86" s="246"/>
      <c r="EI86" s="246"/>
      <c r="EJ86" s="246"/>
      <c r="EK86" s="246"/>
      <c r="EL86" s="246"/>
      <c r="EM86" s="246"/>
      <c r="EN86" s="246"/>
      <c r="EO86" s="248"/>
      <c r="EP86" s="246"/>
      <c r="EQ86" s="246"/>
      <c r="ER86" s="246"/>
      <c r="ES86" s="246"/>
      <c r="ET86" s="246"/>
      <c r="EU86" s="246"/>
      <c r="EV86" s="246"/>
      <c r="EW86" s="246"/>
      <c r="EX86" s="246"/>
      <c r="EY86" s="246"/>
      <c r="EZ86" s="246"/>
      <c r="FA86" s="246"/>
      <c r="FB86" s="246"/>
      <c r="FC86" s="246"/>
      <c r="FD86" s="246"/>
      <c r="FE86" s="246"/>
      <c r="FF86" s="246"/>
      <c r="FG86" s="246"/>
      <c r="FH86" s="246"/>
      <c r="FI86" s="246"/>
      <c r="FJ86" s="246"/>
      <c r="FK86" s="246"/>
      <c r="FL86" s="246"/>
      <c r="FM86" s="246"/>
      <c r="FN86" s="246"/>
      <c r="FO86" s="246"/>
      <c r="FP86" s="246"/>
      <c r="FQ86" s="246"/>
      <c r="FR86" s="246"/>
      <c r="FS86" s="246"/>
      <c r="FT86" s="246"/>
      <c r="FU86" s="246"/>
      <c r="FV86" s="246"/>
      <c r="FW86" s="246"/>
      <c r="FX86" s="246"/>
      <c r="FY86" s="246"/>
      <c r="FZ86" s="246"/>
      <c r="GA86" s="246"/>
      <c r="GB86" s="246"/>
      <c r="GC86" s="246"/>
      <c r="GD86" s="246"/>
      <c r="GE86" s="246"/>
      <c r="GF86" s="246"/>
      <c r="GG86" s="246"/>
      <c r="GH86" s="246"/>
      <c r="GI86" s="246"/>
      <c r="GJ86" s="246"/>
    </row>
    <row r="87" spans="1:192" s="247" customFormat="1">
      <c r="A87" s="246"/>
      <c r="B87" s="245"/>
      <c r="C87" s="253"/>
      <c r="D87" s="230"/>
      <c r="E87" s="254"/>
      <c r="F87" s="254"/>
      <c r="G87" s="271"/>
      <c r="H87" s="246"/>
      <c r="I87" s="246"/>
      <c r="J87" s="246"/>
      <c r="K87" s="271"/>
      <c r="L87" s="246"/>
      <c r="M87" s="246"/>
      <c r="N87" s="246"/>
      <c r="O87" s="271"/>
      <c r="P87" s="246"/>
      <c r="Q87" s="246"/>
      <c r="R87" s="246"/>
      <c r="S87" s="271"/>
      <c r="T87" s="246"/>
      <c r="U87" s="246"/>
      <c r="V87" s="246"/>
      <c r="W87" s="271"/>
      <c r="X87" s="246"/>
      <c r="Y87" s="246"/>
      <c r="Z87" s="246"/>
      <c r="AA87" s="271"/>
      <c r="AB87" s="246"/>
      <c r="AC87" s="246"/>
      <c r="AD87" s="246"/>
      <c r="AE87" s="271"/>
      <c r="AF87" s="246"/>
      <c r="AG87" s="246"/>
      <c r="AH87" s="246"/>
      <c r="AI87" s="271"/>
      <c r="AJ87" s="246"/>
      <c r="AK87" s="246"/>
      <c r="AL87" s="246"/>
      <c r="AM87" s="271"/>
      <c r="AN87" s="246"/>
      <c r="AO87" s="246"/>
      <c r="AP87" s="246"/>
      <c r="AQ87" s="271"/>
      <c r="AR87" s="246"/>
      <c r="AS87" s="246"/>
      <c r="AT87" s="246"/>
      <c r="AU87" s="271"/>
      <c r="AV87" s="246"/>
      <c r="AW87" s="246"/>
      <c r="AX87" s="246"/>
      <c r="AY87" s="271"/>
      <c r="AZ87" s="246"/>
      <c r="BA87" s="246"/>
      <c r="BB87" s="246"/>
      <c r="BC87" s="271"/>
      <c r="BD87" s="246"/>
      <c r="BE87" s="246"/>
      <c r="BF87" s="246"/>
      <c r="BG87" s="271"/>
      <c r="BH87" s="246"/>
      <c r="BI87" s="246"/>
      <c r="BJ87" s="246"/>
      <c r="BK87" s="271"/>
      <c r="BL87" s="246"/>
      <c r="BM87" s="246"/>
      <c r="BN87" s="246"/>
      <c r="BO87" s="271"/>
      <c r="BP87" s="246"/>
      <c r="BQ87" s="246"/>
      <c r="BR87" s="246"/>
      <c r="BS87" s="271"/>
      <c r="BT87" s="246"/>
      <c r="BU87" s="246"/>
      <c r="BV87" s="246"/>
      <c r="BW87" s="271"/>
      <c r="BX87" s="246"/>
      <c r="BY87" s="246"/>
      <c r="BZ87" s="246"/>
      <c r="CA87" s="271"/>
      <c r="CB87" s="246"/>
      <c r="CC87" s="246"/>
      <c r="CD87" s="246"/>
      <c r="CE87" s="271"/>
      <c r="CF87" s="246"/>
      <c r="CG87" s="246"/>
      <c r="CH87" s="246"/>
      <c r="CI87" s="271"/>
      <c r="CJ87" s="246"/>
      <c r="CK87" s="246"/>
      <c r="CL87" s="246"/>
      <c r="CM87" s="246"/>
      <c r="CN87" s="246"/>
      <c r="CO87" s="246"/>
      <c r="CP87" s="246"/>
      <c r="CQ87" s="246"/>
      <c r="CR87" s="246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6"/>
      <c r="DJ87" s="246"/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6"/>
      <c r="EB87" s="246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8"/>
      <c r="EP87" s="246"/>
      <c r="EQ87" s="246"/>
      <c r="ER87" s="246"/>
      <c r="ES87" s="246"/>
      <c r="ET87" s="246"/>
      <c r="EU87" s="246"/>
      <c r="EV87" s="246"/>
      <c r="EW87" s="246"/>
      <c r="EX87" s="246"/>
      <c r="EY87" s="246"/>
      <c r="EZ87" s="246"/>
      <c r="FA87" s="246"/>
      <c r="FB87" s="246"/>
      <c r="FC87" s="246"/>
      <c r="FD87" s="246"/>
      <c r="FE87" s="246"/>
      <c r="FF87" s="246"/>
      <c r="FG87" s="246"/>
      <c r="FH87" s="246"/>
      <c r="FI87" s="246"/>
      <c r="FJ87" s="246"/>
      <c r="FK87" s="246"/>
      <c r="FL87" s="246"/>
      <c r="FM87" s="246"/>
      <c r="FN87" s="246"/>
      <c r="FO87" s="246"/>
      <c r="FP87" s="246"/>
      <c r="FQ87" s="246"/>
      <c r="FR87" s="246"/>
      <c r="FS87" s="246"/>
      <c r="FT87" s="246"/>
      <c r="FU87" s="246"/>
      <c r="FV87" s="246"/>
      <c r="FW87" s="246"/>
      <c r="FX87" s="246"/>
      <c r="FY87" s="246"/>
      <c r="FZ87" s="246"/>
      <c r="GA87" s="246"/>
      <c r="GB87" s="246"/>
      <c r="GC87" s="246"/>
      <c r="GD87" s="246"/>
      <c r="GE87" s="246"/>
      <c r="GF87" s="246"/>
      <c r="GG87" s="246"/>
      <c r="GH87" s="246"/>
      <c r="GI87" s="246"/>
      <c r="GJ87" s="246"/>
    </row>
    <row r="88" spans="1:192" s="247" customFormat="1">
      <c r="A88" s="246"/>
      <c r="B88" s="245"/>
      <c r="C88" s="253"/>
      <c r="D88" s="230"/>
      <c r="E88" s="254"/>
      <c r="F88" s="254"/>
      <c r="G88" s="271"/>
      <c r="H88" s="246"/>
      <c r="I88" s="246"/>
      <c r="J88" s="246"/>
      <c r="K88" s="271"/>
      <c r="L88" s="246"/>
      <c r="M88" s="246"/>
      <c r="N88" s="246"/>
      <c r="O88" s="271"/>
      <c r="P88" s="246"/>
      <c r="Q88" s="246"/>
      <c r="R88" s="246"/>
      <c r="S88" s="271"/>
      <c r="T88" s="246"/>
      <c r="U88" s="246"/>
      <c r="V88" s="246"/>
      <c r="W88" s="271"/>
      <c r="X88" s="246"/>
      <c r="Y88" s="246"/>
      <c r="Z88" s="246"/>
      <c r="AA88" s="271"/>
      <c r="AB88" s="246"/>
      <c r="AC88" s="246"/>
      <c r="AD88" s="246"/>
      <c r="AE88" s="271"/>
      <c r="AF88" s="246"/>
      <c r="AG88" s="246"/>
      <c r="AH88" s="246"/>
      <c r="AI88" s="271"/>
      <c r="AJ88" s="246"/>
      <c r="AK88" s="246"/>
      <c r="AL88" s="246"/>
      <c r="AM88" s="271"/>
      <c r="AN88" s="246"/>
      <c r="AO88" s="246"/>
      <c r="AP88" s="246"/>
      <c r="AQ88" s="271"/>
      <c r="AR88" s="246"/>
      <c r="AS88" s="246"/>
      <c r="AT88" s="246"/>
      <c r="AU88" s="271"/>
      <c r="AV88" s="246"/>
      <c r="AW88" s="246"/>
      <c r="AX88" s="246"/>
      <c r="AY88" s="271"/>
      <c r="AZ88" s="246"/>
      <c r="BA88" s="246"/>
      <c r="BB88" s="246"/>
      <c r="BC88" s="271"/>
      <c r="BD88" s="246"/>
      <c r="BE88" s="246"/>
      <c r="BF88" s="246"/>
      <c r="BG88" s="271"/>
      <c r="BH88" s="246"/>
      <c r="BI88" s="246"/>
      <c r="BJ88" s="246"/>
      <c r="BK88" s="271"/>
      <c r="BL88" s="246"/>
      <c r="BM88" s="246"/>
      <c r="BN88" s="246"/>
      <c r="BO88" s="271"/>
      <c r="BP88" s="246"/>
      <c r="BQ88" s="246"/>
      <c r="BR88" s="246"/>
      <c r="BS88" s="271"/>
      <c r="BT88" s="246"/>
      <c r="BU88" s="246"/>
      <c r="BV88" s="246"/>
      <c r="BW88" s="271"/>
      <c r="BX88" s="246"/>
      <c r="BY88" s="246"/>
      <c r="BZ88" s="246"/>
      <c r="CA88" s="271"/>
      <c r="CB88" s="246"/>
      <c r="CC88" s="246"/>
      <c r="CD88" s="246"/>
      <c r="CE88" s="271"/>
      <c r="CF88" s="246"/>
      <c r="CG88" s="246"/>
      <c r="CH88" s="246"/>
      <c r="CI88" s="271"/>
      <c r="CJ88" s="246"/>
      <c r="CK88" s="246"/>
      <c r="CL88" s="246"/>
      <c r="CM88" s="246"/>
      <c r="CN88" s="246"/>
      <c r="CO88" s="246"/>
      <c r="CP88" s="246"/>
      <c r="CQ88" s="246"/>
      <c r="CR88" s="246"/>
      <c r="CS88" s="246"/>
      <c r="CT88" s="246"/>
      <c r="CU88" s="246"/>
      <c r="CV88" s="246"/>
      <c r="CW88" s="246"/>
      <c r="CX88" s="246"/>
      <c r="CY88" s="246"/>
      <c r="CZ88" s="246"/>
      <c r="DA88" s="246"/>
      <c r="DB88" s="246"/>
      <c r="DC88" s="246"/>
      <c r="DD88" s="246"/>
      <c r="DE88" s="246"/>
      <c r="DF88" s="246"/>
      <c r="DG88" s="246"/>
      <c r="DH88" s="246"/>
      <c r="DI88" s="246"/>
      <c r="DJ88" s="246"/>
      <c r="DK88" s="246"/>
      <c r="DL88" s="246"/>
      <c r="DM88" s="246"/>
      <c r="DN88" s="246"/>
      <c r="DO88" s="246"/>
      <c r="DP88" s="246"/>
      <c r="DQ88" s="246"/>
      <c r="DR88" s="246"/>
      <c r="DS88" s="246"/>
      <c r="DT88" s="246"/>
      <c r="DU88" s="246"/>
      <c r="DV88" s="246"/>
      <c r="DW88" s="246"/>
      <c r="DX88" s="246"/>
      <c r="DY88" s="246"/>
      <c r="DZ88" s="246"/>
      <c r="EA88" s="246"/>
      <c r="EB88" s="246"/>
      <c r="EC88" s="246"/>
      <c r="ED88" s="246"/>
      <c r="EE88" s="246"/>
      <c r="EF88" s="246"/>
      <c r="EG88" s="246"/>
      <c r="EH88" s="246"/>
      <c r="EI88" s="246"/>
      <c r="EJ88" s="246"/>
      <c r="EK88" s="246"/>
      <c r="EL88" s="246"/>
      <c r="EM88" s="246"/>
      <c r="EN88" s="246"/>
      <c r="EO88" s="248"/>
      <c r="EP88" s="246"/>
      <c r="EQ88" s="246"/>
      <c r="ER88" s="246"/>
      <c r="ES88" s="246"/>
      <c r="ET88" s="246"/>
      <c r="EU88" s="246"/>
      <c r="EV88" s="246"/>
      <c r="EW88" s="246"/>
      <c r="EX88" s="246"/>
      <c r="EY88" s="246"/>
      <c r="EZ88" s="246"/>
      <c r="FA88" s="246"/>
      <c r="FB88" s="246"/>
      <c r="FC88" s="246"/>
      <c r="FD88" s="246"/>
      <c r="FE88" s="246"/>
      <c r="FF88" s="246"/>
      <c r="FG88" s="246"/>
      <c r="FH88" s="246"/>
      <c r="FI88" s="246"/>
      <c r="FJ88" s="246"/>
      <c r="FK88" s="246"/>
      <c r="FL88" s="246"/>
      <c r="FM88" s="246"/>
      <c r="FN88" s="246"/>
      <c r="FO88" s="246"/>
      <c r="FP88" s="246"/>
      <c r="FQ88" s="246"/>
      <c r="FR88" s="246"/>
      <c r="FS88" s="246"/>
      <c r="FT88" s="246"/>
      <c r="FU88" s="246"/>
      <c r="FV88" s="246"/>
      <c r="FW88" s="246"/>
      <c r="FX88" s="246"/>
      <c r="FY88" s="246"/>
      <c r="FZ88" s="246"/>
      <c r="GA88" s="246"/>
      <c r="GB88" s="246"/>
      <c r="GC88" s="246"/>
      <c r="GD88" s="246"/>
      <c r="GE88" s="246"/>
      <c r="GF88" s="246"/>
      <c r="GG88" s="246"/>
      <c r="GH88" s="246"/>
      <c r="GI88" s="246"/>
      <c r="GJ88" s="246"/>
    </row>
    <row r="89" spans="1:192" s="247" customFormat="1">
      <c r="A89" s="246"/>
      <c r="B89" s="245"/>
      <c r="C89" s="253"/>
      <c r="D89" s="230"/>
      <c r="E89" s="254"/>
      <c r="F89" s="254"/>
      <c r="G89" s="271"/>
      <c r="H89" s="246"/>
      <c r="I89" s="246"/>
      <c r="J89" s="246"/>
      <c r="K89" s="271"/>
      <c r="L89" s="246"/>
      <c r="M89" s="246"/>
      <c r="N89" s="246"/>
      <c r="O89" s="271"/>
      <c r="P89" s="246"/>
      <c r="Q89" s="246"/>
      <c r="R89" s="246"/>
      <c r="S89" s="271"/>
      <c r="T89" s="246"/>
      <c r="U89" s="246"/>
      <c r="V89" s="246"/>
      <c r="W89" s="271"/>
      <c r="X89" s="246"/>
      <c r="Y89" s="246"/>
      <c r="Z89" s="246"/>
      <c r="AA89" s="271"/>
      <c r="AB89" s="246"/>
      <c r="AC89" s="246"/>
      <c r="AD89" s="246"/>
      <c r="AE89" s="271"/>
      <c r="AF89" s="246"/>
      <c r="AG89" s="246"/>
      <c r="AH89" s="246"/>
      <c r="AI89" s="271"/>
      <c r="AJ89" s="246"/>
      <c r="AK89" s="246"/>
      <c r="AL89" s="246"/>
      <c r="AM89" s="271"/>
      <c r="AN89" s="246"/>
      <c r="AO89" s="246"/>
      <c r="AP89" s="246"/>
      <c r="AQ89" s="271"/>
      <c r="AR89" s="246"/>
      <c r="AS89" s="246"/>
      <c r="AT89" s="246"/>
      <c r="AU89" s="271"/>
      <c r="AV89" s="246"/>
      <c r="AW89" s="246"/>
      <c r="AX89" s="246"/>
      <c r="AY89" s="271"/>
      <c r="AZ89" s="246"/>
      <c r="BA89" s="246"/>
      <c r="BB89" s="246"/>
      <c r="BC89" s="271"/>
      <c r="BD89" s="246"/>
      <c r="BE89" s="246"/>
      <c r="BF89" s="246"/>
      <c r="BG89" s="271"/>
      <c r="BH89" s="246"/>
      <c r="BI89" s="246"/>
      <c r="BJ89" s="246"/>
      <c r="BK89" s="271"/>
      <c r="BL89" s="246"/>
      <c r="BM89" s="246"/>
      <c r="BN89" s="246"/>
      <c r="BO89" s="271"/>
      <c r="BP89" s="246"/>
      <c r="BQ89" s="246"/>
      <c r="BR89" s="246"/>
      <c r="BS89" s="271"/>
      <c r="BT89" s="246"/>
      <c r="BU89" s="246"/>
      <c r="BV89" s="246"/>
      <c r="BW89" s="271"/>
      <c r="BX89" s="246"/>
      <c r="BY89" s="246"/>
      <c r="BZ89" s="246"/>
      <c r="CA89" s="271"/>
      <c r="CB89" s="246"/>
      <c r="CC89" s="246"/>
      <c r="CD89" s="246"/>
      <c r="CE89" s="271"/>
      <c r="CF89" s="246"/>
      <c r="CG89" s="246"/>
      <c r="CH89" s="246"/>
      <c r="CI89" s="271"/>
      <c r="CJ89" s="246"/>
      <c r="CK89" s="246"/>
      <c r="CL89" s="246"/>
      <c r="CM89" s="246"/>
      <c r="CN89" s="246"/>
      <c r="CO89" s="246"/>
      <c r="CP89" s="246"/>
      <c r="CQ89" s="246"/>
      <c r="CR89" s="246"/>
      <c r="CS89" s="246"/>
      <c r="CT89" s="246"/>
      <c r="CU89" s="246"/>
      <c r="CV89" s="246"/>
      <c r="CW89" s="246"/>
      <c r="CX89" s="246"/>
      <c r="CY89" s="246"/>
      <c r="CZ89" s="246"/>
      <c r="DA89" s="246"/>
      <c r="DB89" s="246"/>
      <c r="DC89" s="246"/>
      <c r="DD89" s="246"/>
      <c r="DE89" s="246"/>
      <c r="DF89" s="246"/>
      <c r="DG89" s="246"/>
      <c r="DH89" s="246"/>
      <c r="DI89" s="246"/>
      <c r="DJ89" s="246"/>
      <c r="DK89" s="246"/>
      <c r="DL89" s="246"/>
      <c r="DM89" s="246"/>
      <c r="DN89" s="246"/>
      <c r="DO89" s="246"/>
      <c r="DP89" s="246"/>
      <c r="DQ89" s="246"/>
      <c r="DR89" s="246"/>
      <c r="DS89" s="246"/>
      <c r="DT89" s="246"/>
      <c r="DU89" s="246"/>
      <c r="DV89" s="246"/>
      <c r="DW89" s="246"/>
      <c r="DX89" s="246"/>
      <c r="DY89" s="246"/>
      <c r="DZ89" s="246"/>
      <c r="EA89" s="246"/>
      <c r="EB89" s="246"/>
      <c r="EC89" s="246"/>
      <c r="ED89" s="246"/>
      <c r="EE89" s="246"/>
      <c r="EF89" s="246"/>
      <c r="EG89" s="246"/>
      <c r="EH89" s="246"/>
      <c r="EI89" s="246"/>
      <c r="EJ89" s="246"/>
      <c r="EK89" s="246"/>
      <c r="EL89" s="246"/>
      <c r="EM89" s="246"/>
      <c r="EN89" s="246"/>
      <c r="EO89" s="248"/>
      <c r="EP89" s="246"/>
      <c r="EQ89" s="246"/>
      <c r="ER89" s="246"/>
      <c r="ES89" s="246"/>
      <c r="ET89" s="246"/>
      <c r="EU89" s="246"/>
      <c r="EV89" s="246"/>
      <c r="EW89" s="246"/>
      <c r="EX89" s="246"/>
      <c r="EY89" s="246"/>
      <c r="EZ89" s="246"/>
      <c r="FA89" s="246"/>
      <c r="FB89" s="246"/>
      <c r="FC89" s="246"/>
      <c r="FD89" s="246"/>
      <c r="FE89" s="246"/>
      <c r="FF89" s="246"/>
      <c r="FG89" s="246"/>
      <c r="FH89" s="246"/>
      <c r="FI89" s="246"/>
      <c r="FJ89" s="246"/>
      <c r="FK89" s="246"/>
      <c r="FL89" s="246"/>
      <c r="FM89" s="246"/>
      <c r="FN89" s="246"/>
      <c r="FO89" s="246"/>
      <c r="FP89" s="246"/>
      <c r="FQ89" s="246"/>
      <c r="FR89" s="246"/>
      <c r="FS89" s="246"/>
      <c r="FT89" s="246"/>
      <c r="FU89" s="246"/>
      <c r="FV89" s="246"/>
      <c r="FW89" s="246"/>
      <c r="FX89" s="246"/>
      <c r="FY89" s="246"/>
      <c r="FZ89" s="246"/>
      <c r="GA89" s="246"/>
      <c r="GB89" s="246"/>
      <c r="GC89" s="246"/>
      <c r="GD89" s="246"/>
      <c r="GE89" s="246"/>
      <c r="GF89" s="246"/>
      <c r="GG89" s="246"/>
      <c r="GH89" s="246"/>
      <c r="GI89" s="246"/>
      <c r="GJ89" s="246"/>
    </row>
    <row r="90" spans="1:192" s="247" customFormat="1">
      <c r="A90" s="246"/>
      <c r="B90" s="245"/>
      <c r="C90" s="253"/>
      <c r="D90" s="230"/>
      <c r="E90" s="254"/>
      <c r="F90" s="254"/>
      <c r="G90" s="271"/>
      <c r="H90" s="246"/>
      <c r="I90" s="246"/>
      <c r="J90" s="246"/>
      <c r="K90" s="271"/>
      <c r="L90" s="246"/>
      <c r="M90" s="246"/>
      <c r="N90" s="246"/>
      <c r="O90" s="271"/>
      <c r="P90" s="246"/>
      <c r="Q90" s="246"/>
      <c r="R90" s="246"/>
      <c r="S90" s="271"/>
      <c r="T90" s="246"/>
      <c r="U90" s="246"/>
      <c r="V90" s="246"/>
      <c r="W90" s="271"/>
      <c r="X90" s="246"/>
      <c r="Y90" s="246"/>
      <c r="Z90" s="246"/>
      <c r="AA90" s="271"/>
      <c r="AB90" s="246"/>
      <c r="AC90" s="246"/>
      <c r="AD90" s="246"/>
      <c r="AE90" s="271"/>
      <c r="AF90" s="246"/>
      <c r="AG90" s="246"/>
      <c r="AH90" s="246"/>
      <c r="AI90" s="271"/>
      <c r="AJ90" s="246"/>
      <c r="AK90" s="246"/>
      <c r="AL90" s="246"/>
      <c r="AM90" s="271"/>
      <c r="AN90" s="246"/>
      <c r="AO90" s="246"/>
      <c r="AP90" s="246"/>
      <c r="AQ90" s="271"/>
      <c r="AR90" s="246"/>
      <c r="AS90" s="246"/>
      <c r="AT90" s="246"/>
      <c r="AU90" s="271"/>
      <c r="AV90" s="246"/>
      <c r="AW90" s="246"/>
      <c r="AX90" s="246"/>
      <c r="AY90" s="271"/>
      <c r="AZ90" s="246"/>
      <c r="BA90" s="246"/>
      <c r="BB90" s="246"/>
      <c r="BC90" s="271"/>
      <c r="BD90" s="246"/>
      <c r="BE90" s="246"/>
      <c r="BF90" s="246"/>
      <c r="BG90" s="271"/>
      <c r="BH90" s="246"/>
      <c r="BI90" s="246"/>
      <c r="BJ90" s="246"/>
      <c r="BK90" s="271"/>
      <c r="BL90" s="246"/>
      <c r="BM90" s="246"/>
      <c r="BN90" s="246"/>
      <c r="BO90" s="271"/>
      <c r="BP90" s="246"/>
      <c r="BQ90" s="246"/>
      <c r="BR90" s="246"/>
      <c r="BS90" s="271"/>
      <c r="BT90" s="246"/>
      <c r="BU90" s="246"/>
      <c r="BV90" s="246"/>
      <c r="BW90" s="271"/>
      <c r="BX90" s="246"/>
      <c r="BY90" s="246"/>
      <c r="BZ90" s="246"/>
      <c r="CA90" s="271"/>
      <c r="CB90" s="246"/>
      <c r="CC90" s="246"/>
      <c r="CD90" s="246"/>
      <c r="CE90" s="271"/>
      <c r="CF90" s="246"/>
      <c r="CG90" s="246"/>
      <c r="CH90" s="246"/>
      <c r="CI90" s="271"/>
      <c r="CJ90" s="246"/>
      <c r="CK90" s="246"/>
      <c r="CL90" s="246"/>
      <c r="CM90" s="246"/>
      <c r="CN90" s="246"/>
      <c r="CO90" s="246"/>
      <c r="CP90" s="246"/>
      <c r="CQ90" s="246"/>
      <c r="CR90" s="246"/>
      <c r="CS90" s="246"/>
      <c r="CT90" s="246"/>
      <c r="CU90" s="246"/>
      <c r="CV90" s="246"/>
      <c r="CW90" s="246"/>
      <c r="CX90" s="246"/>
      <c r="CY90" s="246"/>
      <c r="CZ90" s="246"/>
      <c r="DA90" s="246"/>
      <c r="DB90" s="246"/>
      <c r="DC90" s="246"/>
      <c r="DD90" s="246"/>
      <c r="DE90" s="246"/>
      <c r="DF90" s="246"/>
      <c r="DG90" s="246"/>
      <c r="DH90" s="246"/>
      <c r="DI90" s="246"/>
      <c r="DJ90" s="246"/>
      <c r="DK90" s="246"/>
      <c r="DL90" s="246"/>
      <c r="DM90" s="246"/>
      <c r="DN90" s="246"/>
      <c r="DO90" s="246"/>
      <c r="DP90" s="246"/>
      <c r="DQ90" s="246"/>
      <c r="DR90" s="246"/>
      <c r="DS90" s="246"/>
      <c r="DT90" s="246"/>
      <c r="DU90" s="246"/>
      <c r="DV90" s="246"/>
      <c r="DW90" s="246"/>
      <c r="DX90" s="246"/>
      <c r="DY90" s="246"/>
      <c r="DZ90" s="246"/>
      <c r="EA90" s="246"/>
      <c r="EB90" s="246"/>
      <c r="EC90" s="246"/>
      <c r="ED90" s="246"/>
      <c r="EE90" s="246"/>
      <c r="EF90" s="246"/>
      <c r="EG90" s="246"/>
      <c r="EH90" s="246"/>
      <c r="EI90" s="246"/>
      <c r="EJ90" s="246"/>
      <c r="EK90" s="246"/>
      <c r="EL90" s="246"/>
      <c r="EM90" s="246"/>
      <c r="EN90" s="246"/>
      <c r="EO90" s="248"/>
      <c r="EP90" s="246"/>
      <c r="EQ90" s="246"/>
      <c r="ER90" s="246"/>
      <c r="ES90" s="246"/>
      <c r="ET90" s="246"/>
      <c r="EU90" s="246"/>
      <c r="EV90" s="246"/>
      <c r="EW90" s="246"/>
      <c r="EX90" s="246"/>
      <c r="EY90" s="246"/>
      <c r="EZ90" s="246"/>
      <c r="FA90" s="246"/>
      <c r="FB90" s="246"/>
      <c r="FC90" s="246"/>
      <c r="FD90" s="246"/>
      <c r="FE90" s="246"/>
      <c r="FF90" s="246"/>
      <c r="FG90" s="246"/>
      <c r="FH90" s="246"/>
      <c r="FI90" s="246"/>
      <c r="FJ90" s="246"/>
      <c r="FK90" s="246"/>
      <c r="FL90" s="246"/>
      <c r="FM90" s="246"/>
      <c r="FN90" s="246"/>
      <c r="FO90" s="246"/>
      <c r="FP90" s="246"/>
      <c r="FQ90" s="246"/>
      <c r="FR90" s="246"/>
      <c r="FS90" s="246"/>
      <c r="FT90" s="246"/>
      <c r="FU90" s="246"/>
      <c r="FV90" s="246"/>
      <c r="FW90" s="246"/>
      <c r="FX90" s="246"/>
      <c r="FY90" s="246"/>
      <c r="FZ90" s="246"/>
      <c r="GA90" s="246"/>
      <c r="GB90" s="246"/>
      <c r="GC90" s="246"/>
      <c r="GD90" s="246"/>
      <c r="GE90" s="246"/>
      <c r="GF90" s="246"/>
      <c r="GG90" s="246"/>
      <c r="GH90" s="246"/>
      <c r="GI90" s="246"/>
      <c r="GJ90" s="246"/>
    </row>
    <row r="91" spans="1:192" s="247" customFormat="1">
      <c r="A91" s="246"/>
      <c r="B91" s="245"/>
      <c r="C91" s="253"/>
      <c r="D91" s="230"/>
      <c r="E91" s="254"/>
      <c r="F91" s="254"/>
      <c r="G91" s="271"/>
      <c r="H91" s="246"/>
      <c r="I91" s="246"/>
      <c r="J91" s="246"/>
      <c r="K91" s="271"/>
      <c r="L91" s="246"/>
      <c r="M91" s="246"/>
      <c r="N91" s="246"/>
      <c r="O91" s="271"/>
      <c r="P91" s="246"/>
      <c r="Q91" s="246"/>
      <c r="R91" s="246"/>
      <c r="S91" s="271"/>
      <c r="T91" s="246"/>
      <c r="U91" s="246"/>
      <c r="V91" s="246"/>
      <c r="W91" s="271"/>
      <c r="X91" s="246"/>
      <c r="Y91" s="246"/>
      <c r="Z91" s="246"/>
      <c r="AA91" s="271"/>
      <c r="AB91" s="246"/>
      <c r="AC91" s="246"/>
      <c r="AD91" s="246"/>
      <c r="AE91" s="271"/>
      <c r="AF91" s="246"/>
      <c r="AG91" s="246"/>
      <c r="AH91" s="246"/>
      <c r="AI91" s="271"/>
      <c r="AJ91" s="246"/>
      <c r="AK91" s="246"/>
      <c r="AL91" s="246"/>
      <c r="AM91" s="271"/>
      <c r="AN91" s="246"/>
      <c r="AO91" s="246"/>
      <c r="AP91" s="246"/>
      <c r="AQ91" s="271"/>
      <c r="AR91" s="246"/>
      <c r="AS91" s="246"/>
      <c r="AT91" s="246"/>
      <c r="AU91" s="271"/>
      <c r="AV91" s="246"/>
      <c r="AW91" s="246"/>
      <c r="AX91" s="246"/>
      <c r="AY91" s="271"/>
      <c r="AZ91" s="246"/>
      <c r="BA91" s="246"/>
      <c r="BB91" s="246"/>
      <c r="BC91" s="271"/>
      <c r="BD91" s="246"/>
      <c r="BE91" s="246"/>
      <c r="BF91" s="246"/>
      <c r="BG91" s="271"/>
      <c r="BH91" s="246"/>
      <c r="BI91" s="246"/>
      <c r="BJ91" s="246"/>
      <c r="BK91" s="271"/>
      <c r="BL91" s="246"/>
      <c r="BM91" s="246"/>
      <c r="BN91" s="246"/>
      <c r="BO91" s="271"/>
      <c r="BP91" s="246"/>
      <c r="BQ91" s="246"/>
      <c r="BR91" s="246"/>
      <c r="BS91" s="271"/>
      <c r="BT91" s="246"/>
      <c r="BU91" s="246"/>
      <c r="BV91" s="246"/>
      <c r="BW91" s="271"/>
      <c r="BX91" s="246"/>
      <c r="BY91" s="246"/>
      <c r="BZ91" s="246"/>
      <c r="CA91" s="271"/>
      <c r="CB91" s="246"/>
      <c r="CC91" s="246"/>
      <c r="CD91" s="246"/>
      <c r="CE91" s="271"/>
      <c r="CF91" s="246"/>
      <c r="CG91" s="246"/>
      <c r="CH91" s="246"/>
      <c r="CI91" s="271"/>
      <c r="CJ91" s="246"/>
      <c r="CK91" s="246"/>
      <c r="CL91" s="246"/>
      <c r="CM91" s="246"/>
      <c r="CN91" s="246"/>
      <c r="CO91" s="246"/>
      <c r="CP91" s="246"/>
      <c r="CQ91" s="246"/>
      <c r="CR91" s="246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6"/>
      <c r="EB91" s="246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8"/>
      <c r="EP91" s="246"/>
      <c r="EQ91" s="246"/>
      <c r="ER91" s="246"/>
      <c r="ES91" s="246"/>
      <c r="ET91" s="246"/>
      <c r="EU91" s="246"/>
      <c r="EV91" s="246"/>
      <c r="EW91" s="246"/>
      <c r="EX91" s="246"/>
      <c r="EY91" s="246"/>
      <c r="EZ91" s="246"/>
      <c r="FA91" s="246"/>
      <c r="FB91" s="246"/>
      <c r="FC91" s="246"/>
      <c r="FD91" s="246"/>
      <c r="FE91" s="246"/>
      <c r="FF91" s="246"/>
      <c r="FG91" s="246"/>
      <c r="FH91" s="246"/>
      <c r="FI91" s="246"/>
      <c r="FJ91" s="246"/>
      <c r="FK91" s="246"/>
      <c r="FL91" s="246"/>
      <c r="FM91" s="246"/>
      <c r="FN91" s="246"/>
      <c r="FO91" s="246"/>
      <c r="FP91" s="246"/>
      <c r="FQ91" s="246"/>
      <c r="FR91" s="246"/>
      <c r="FS91" s="246"/>
      <c r="FT91" s="246"/>
      <c r="FU91" s="246"/>
      <c r="FV91" s="246"/>
      <c r="FW91" s="246"/>
      <c r="FX91" s="246"/>
      <c r="FY91" s="246"/>
      <c r="FZ91" s="246"/>
      <c r="GA91" s="246"/>
      <c r="GB91" s="246"/>
      <c r="GC91" s="246"/>
      <c r="GD91" s="246"/>
      <c r="GE91" s="246"/>
      <c r="GF91" s="246"/>
      <c r="GG91" s="246"/>
      <c r="GH91" s="246"/>
      <c r="GI91" s="246"/>
      <c r="GJ91" s="246"/>
    </row>
    <row r="92" spans="1:192" s="247" customFormat="1">
      <c r="A92" s="246"/>
      <c r="B92" s="245"/>
      <c r="C92" s="253"/>
      <c r="D92" s="230"/>
      <c r="E92" s="254"/>
      <c r="F92" s="254"/>
      <c r="G92" s="271"/>
      <c r="H92" s="246"/>
      <c r="I92" s="246"/>
      <c r="J92" s="246"/>
      <c r="K92" s="271"/>
      <c r="L92" s="246"/>
      <c r="M92" s="246"/>
      <c r="N92" s="246"/>
      <c r="O92" s="271"/>
      <c r="P92" s="246"/>
      <c r="Q92" s="246"/>
      <c r="R92" s="246"/>
      <c r="S92" s="271"/>
      <c r="T92" s="246"/>
      <c r="U92" s="246"/>
      <c r="V92" s="246"/>
      <c r="W92" s="271"/>
      <c r="X92" s="246"/>
      <c r="Y92" s="246"/>
      <c r="Z92" s="246"/>
      <c r="AA92" s="271"/>
      <c r="AB92" s="246"/>
      <c r="AC92" s="246"/>
      <c r="AD92" s="246"/>
      <c r="AE92" s="271"/>
      <c r="AF92" s="246"/>
      <c r="AG92" s="246"/>
      <c r="AH92" s="246"/>
      <c r="AI92" s="271"/>
      <c r="AJ92" s="246"/>
      <c r="AK92" s="246"/>
      <c r="AL92" s="246"/>
      <c r="AM92" s="271"/>
      <c r="AN92" s="246"/>
      <c r="AO92" s="246"/>
      <c r="AP92" s="246"/>
      <c r="AQ92" s="271"/>
      <c r="AR92" s="246"/>
      <c r="AS92" s="246"/>
      <c r="AT92" s="246"/>
      <c r="AU92" s="271"/>
      <c r="AV92" s="246"/>
      <c r="AW92" s="246"/>
      <c r="AX92" s="246"/>
      <c r="AY92" s="271"/>
      <c r="AZ92" s="246"/>
      <c r="BA92" s="246"/>
      <c r="BB92" s="246"/>
      <c r="BC92" s="271"/>
      <c r="BD92" s="246"/>
      <c r="BE92" s="246"/>
      <c r="BF92" s="246"/>
      <c r="BG92" s="271"/>
      <c r="BH92" s="246"/>
      <c r="BI92" s="246"/>
      <c r="BJ92" s="246"/>
      <c r="BK92" s="271"/>
      <c r="BL92" s="246"/>
      <c r="BM92" s="246"/>
      <c r="BN92" s="246"/>
      <c r="BO92" s="271"/>
      <c r="BP92" s="246"/>
      <c r="BQ92" s="246"/>
      <c r="BR92" s="246"/>
      <c r="BS92" s="271"/>
      <c r="BT92" s="246"/>
      <c r="BU92" s="246"/>
      <c r="BV92" s="246"/>
      <c r="BW92" s="271"/>
      <c r="BX92" s="246"/>
      <c r="BY92" s="246"/>
      <c r="BZ92" s="246"/>
      <c r="CA92" s="271"/>
      <c r="CB92" s="246"/>
      <c r="CC92" s="246"/>
      <c r="CD92" s="246"/>
      <c r="CE92" s="271"/>
      <c r="CF92" s="246"/>
      <c r="CG92" s="246"/>
      <c r="CH92" s="246"/>
      <c r="CI92" s="271"/>
      <c r="CJ92" s="246"/>
      <c r="CK92" s="246"/>
      <c r="CL92" s="246"/>
      <c r="CM92" s="246"/>
      <c r="CN92" s="246"/>
      <c r="CO92" s="246"/>
      <c r="CP92" s="246"/>
      <c r="CQ92" s="246"/>
      <c r="CR92" s="246"/>
      <c r="CS92" s="246"/>
      <c r="CT92" s="246"/>
      <c r="CU92" s="246"/>
      <c r="CV92" s="246"/>
      <c r="CW92" s="246"/>
      <c r="CX92" s="246"/>
      <c r="CY92" s="246"/>
      <c r="CZ92" s="246"/>
      <c r="DA92" s="246"/>
      <c r="DB92" s="246"/>
      <c r="DC92" s="246"/>
      <c r="DD92" s="246"/>
      <c r="DE92" s="246"/>
      <c r="DF92" s="246"/>
      <c r="DG92" s="246"/>
      <c r="DH92" s="246"/>
      <c r="DI92" s="246"/>
      <c r="DJ92" s="246"/>
      <c r="DK92" s="246"/>
      <c r="DL92" s="246"/>
      <c r="DM92" s="246"/>
      <c r="DN92" s="246"/>
      <c r="DO92" s="246"/>
      <c r="DP92" s="246"/>
      <c r="DQ92" s="246"/>
      <c r="DR92" s="246"/>
      <c r="DS92" s="246"/>
      <c r="DT92" s="246"/>
      <c r="DU92" s="246"/>
      <c r="DV92" s="246"/>
      <c r="DW92" s="246"/>
      <c r="DX92" s="246"/>
      <c r="DY92" s="246"/>
      <c r="DZ92" s="246"/>
      <c r="EA92" s="246"/>
      <c r="EB92" s="246"/>
      <c r="EC92" s="246"/>
      <c r="ED92" s="246"/>
      <c r="EE92" s="246"/>
      <c r="EF92" s="246"/>
      <c r="EG92" s="246"/>
      <c r="EH92" s="246"/>
      <c r="EI92" s="246"/>
      <c r="EJ92" s="246"/>
      <c r="EK92" s="246"/>
      <c r="EL92" s="246"/>
      <c r="EM92" s="246"/>
      <c r="EN92" s="246"/>
      <c r="EO92" s="248"/>
      <c r="EP92" s="246"/>
      <c r="EQ92" s="246"/>
      <c r="ER92" s="246"/>
      <c r="ES92" s="246"/>
      <c r="ET92" s="246"/>
      <c r="EU92" s="246"/>
      <c r="EV92" s="246"/>
      <c r="EW92" s="246"/>
      <c r="EX92" s="246"/>
      <c r="EY92" s="246"/>
      <c r="EZ92" s="246"/>
      <c r="FA92" s="246"/>
      <c r="FB92" s="246"/>
      <c r="FC92" s="246"/>
      <c r="FD92" s="246"/>
      <c r="FE92" s="246"/>
      <c r="FF92" s="246"/>
      <c r="FG92" s="246"/>
      <c r="FH92" s="246"/>
      <c r="FI92" s="246"/>
      <c r="FJ92" s="246"/>
      <c r="FK92" s="246"/>
      <c r="FL92" s="246"/>
      <c r="FM92" s="246"/>
      <c r="FN92" s="246"/>
      <c r="FO92" s="246"/>
      <c r="FP92" s="246"/>
      <c r="FQ92" s="246"/>
      <c r="FR92" s="246"/>
      <c r="FS92" s="246"/>
      <c r="FT92" s="246"/>
      <c r="FU92" s="246"/>
      <c r="FV92" s="246"/>
      <c r="FW92" s="246"/>
      <c r="FX92" s="246"/>
      <c r="FY92" s="246"/>
      <c r="FZ92" s="246"/>
      <c r="GA92" s="246"/>
      <c r="GB92" s="246"/>
      <c r="GC92" s="246"/>
      <c r="GD92" s="246"/>
      <c r="GE92" s="246"/>
      <c r="GF92" s="246"/>
      <c r="GG92" s="246"/>
      <c r="GH92" s="246"/>
      <c r="GI92" s="246"/>
      <c r="GJ92" s="246"/>
    </row>
    <row r="93" spans="1:192" s="247" customFormat="1">
      <c r="A93" s="246"/>
      <c r="B93" s="245"/>
      <c r="C93" s="253"/>
      <c r="D93" s="230"/>
      <c r="E93" s="254"/>
      <c r="F93" s="254"/>
      <c r="G93" s="271"/>
      <c r="H93" s="246"/>
      <c r="I93" s="246"/>
      <c r="J93" s="246"/>
      <c r="K93" s="271"/>
      <c r="L93" s="246"/>
      <c r="M93" s="246"/>
      <c r="N93" s="246"/>
      <c r="O93" s="271"/>
      <c r="P93" s="246"/>
      <c r="Q93" s="246"/>
      <c r="R93" s="246"/>
      <c r="S93" s="271"/>
      <c r="T93" s="246"/>
      <c r="U93" s="246"/>
      <c r="V93" s="246"/>
      <c r="W93" s="271"/>
      <c r="X93" s="246"/>
      <c r="Y93" s="246"/>
      <c r="Z93" s="246"/>
      <c r="AA93" s="271"/>
      <c r="AB93" s="246"/>
      <c r="AC93" s="246"/>
      <c r="AD93" s="246"/>
      <c r="AE93" s="271"/>
      <c r="AF93" s="246"/>
      <c r="AG93" s="246"/>
      <c r="AH93" s="246"/>
      <c r="AI93" s="271"/>
      <c r="AJ93" s="246"/>
      <c r="AK93" s="246"/>
      <c r="AL93" s="246"/>
      <c r="AM93" s="271"/>
      <c r="AN93" s="246"/>
      <c r="AO93" s="246"/>
      <c r="AP93" s="246"/>
      <c r="AQ93" s="271"/>
      <c r="AR93" s="246"/>
      <c r="AS93" s="246"/>
      <c r="AT93" s="246"/>
      <c r="AU93" s="271"/>
      <c r="AV93" s="246"/>
      <c r="AW93" s="246"/>
      <c r="AX93" s="246"/>
      <c r="AY93" s="271"/>
      <c r="AZ93" s="246"/>
      <c r="BA93" s="246"/>
      <c r="BB93" s="246"/>
      <c r="BC93" s="271"/>
      <c r="BD93" s="246"/>
      <c r="BE93" s="246"/>
      <c r="BF93" s="246"/>
      <c r="BG93" s="271"/>
      <c r="BH93" s="246"/>
      <c r="BI93" s="246"/>
      <c r="BJ93" s="246"/>
      <c r="BK93" s="271"/>
      <c r="BL93" s="246"/>
      <c r="BM93" s="246"/>
      <c r="BN93" s="246"/>
      <c r="BO93" s="271"/>
      <c r="BP93" s="246"/>
      <c r="BQ93" s="246"/>
      <c r="BR93" s="246"/>
      <c r="BS93" s="271"/>
      <c r="BT93" s="246"/>
      <c r="BU93" s="246"/>
      <c r="BV93" s="246"/>
      <c r="BW93" s="271"/>
      <c r="BX93" s="246"/>
      <c r="BY93" s="246"/>
      <c r="BZ93" s="246"/>
      <c r="CA93" s="271"/>
      <c r="CB93" s="246"/>
      <c r="CC93" s="246"/>
      <c r="CD93" s="246"/>
      <c r="CE93" s="271"/>
      <c r="CF93" s="246"/>
      <c r="CG93" s="246"/>
      <c r="CH93" s="246"/>
      <c r="CI93" s="271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  <c r="DD93" s="246"/>
      <c r="DE93" s="246"/>
      <c r="DF93" s="246"/>
      <c r="DG93" s="246"/>
      <c r="DH93" s="246"/>
      <c r="DI93" s="246"/>
      <c r="DJ93" s="246"/>
      <c r="DK93" s="246"/>
      <c r="DL93" s="246"/>
      <c r="DM93" s="246"/>
      <c r="DN93" s="246"/>
      <c r="DO93" s="246"/>
      <c r="DP93" s="246"/>
      <c r="DQ93" s="246"/>
      <c r="DR93" s="246"/>
      <c r="DS93" s="246"/>
      <c r="DT93" s="246"/>
      <c r="DU93" s="246"/>
      <c r="DV93" s="246"/>
      <c r="DW93" s="246"/>
      <c r="DX93" s="246"/>
      <c r="DY93" s="246"/>
      <c r="DZ93" s="246"/>
      <c r="EA93" s="246"/>
      <c r="EB93" s="246"/>
      <c r="EC93" s="246"/>
      <c r="ED93" s="246"/>
      <c r="EE93" s="246"/>
      <c r="EF93" s="246"/>
      <c r="EG93" s="246"/>
      <c r="EH93" s="246"/>
      <c r="EI93" s="246"/>
      <c r="EJ93" s="246"/>
      <c r="EK93" s="246"/>
      <c r="EL93" s="246"/>
      <c r="EM93" s="246"/>
      <c r="EN93" s="246"/>
      <c r="EO93" s="248"/>
      <c r="EP93" s="246"/>
      <c r="EQ93" s="246"/>
      <c r="ER93" s="246"/>
      <c r="ES93" s="246"/>
      <c r="ET93" s="246"/>
      <c r="EU93" s="246"/>
      <c r="EV93" s="246"/>
      <c r="EW93" s="246"/>
      <c r="EX93" s="246"/>
      <c r="EY93" s="246"/>
      <c r="EZ93" s="246"/>
      <c r="FA93" s="246"/>
      <c r="FB93" s="246"/>
      <c r="FC93" s="246"/>
      <c r="FD93" s="246"/>
      <c r="FE93" s="246"/>
      <c r="FF93" s="246"/>
      <c r="FG93" s="246"/>
      <c r="FH93" s="246"/>
      <c r="FI93" s="246"/>
      <c r="FJ93" s="246"/>
      <c r="FK93" s="246"/>
      <c r="FL93" s="246"/>
      <c r="FM93" s="246"/>
      <c r="FN93" s="246"/>
      <c r="FO93" s="246"/>
      <c r="FP93" s="246"/>
      <c r="FQ93" s="246"/>
      <c r="FR93" s="246"/>
      <c r="FS93" s="246"/>
      <c r="FT93" s="246"/>
      <c r="FU93" s="246"/>
      <c r="FV93" s="246"/>
      <c r="FW93" s="246"/>
      <c r="FX93" s="246"/>
      <c r="FY93" s="246"/>
      <c r="FZ93" s="246"/>
      <c r="GA93" s="246"/>
      <c r="GB93" s="246"/>
      <c r="GC93" s="246"/>
      <c r="GD93" s="246"/>
      <c r="GE93" s="246"/>
      <c r="GF93" s="246"/>
      <c r="GG93" s="246"/>
      <c r="GH93" s="246"/>
      <c r="GI93" s="246"/>
      <c r="GJ93" s="246"/>
    </row>
    <row r="94" spans="1:192" s="247" customFormat="1">
      <c r="A94" s="246"/>
      <c r="B94" s="245"/>
      <c r="C94" s="253"/>
      <c r="D94" s="230"/>
      <c r="E94" s="254"/>
      <c r="F94" s="254"/>
      <c r="G94" s="271"/>
      <c r="H94" s="246"/>
      <c r="I94" s="246"/>
      <c r="J94" s="246"/>
      <c r="K94" s="271"/>
      <c r="L94" s="246"/>
      <c r="M94" s="246"/>
      <c r="N94" s="246"/>
      <c r="O94" s="271"/>
      <c r="P94" s="246"/>
      <c r="Q94" s="246"/>
      <c r="R94" s="246"/>
      <c r="S94" s="271"/>
      <c r="T94" s="246"/>
      <c r="U94" s="246"/>
      <c r="V94" s="246"/>
      <c r="W94" s="271"/>
      <c r="X94" s="246"/>
      <c r="Y94" s="246"/>
      <c r="Z94" s="246"/>
      <c r="AA94" s="271"/>
      <c r="AB94" s="246"/>
      <c r="AC94" s="246"/>
      <c r="AD94" s="246"/>
      <c r="AE94" s="271"/>
      <c r="AF94" s="246"/>
      <c r="AG94" s="246"/>
      <c r="AH94" s="246"/>
      <c r="AI94" s="271"/>
      <c r="AJ94" s="246"/>
      <c r="AK94" s="246"/>
      <c r="AL94" s="246"/>
      <c r="AM94" s="271"/>
      <c r="AN94" s="246"/>
      <c r="AO94" s="246"/>
      <c r="AP94" s="246"/>
      <c r="AQ94" s="271"/>
      <c r="AR94" s="246"/>
      <c r="AS94" s="246"/>
      <c r="AT94" s="246"/>
      <c r="AU94" s="271"/>
      <c r="AV94" s="246"/>
      <c r="AW94" s="246"/>
      <c r="AX94" s="246"/>
      <c r="AY94" s="271"/>
      <c r="AZ94" s="246"/>
      <c r="BA94" s="246"/>
      <c r="BB94" s="246"/>
      <c r="BC94" s="271"/>
      <c r="BD94" s="246"/>
      <c r="BE94" s="246"/>
      <c r="BF94" s="246"/>
      <c r="BG94" s="271"/>
      <c r="BH94" s="246"/>
      <c r="BI94" s="246"/>
      <c r="BJ94" s="246"/>
      <c r="BK94" s="271"/>
      <c r="BL94" s="246"/>
      <c r="BM94" s="246"/>
      <c r="BN94" s="246"/>
      <c r="BO94" s="271"/>
      <c r="BP94" s="246"/>
      <c r="BQ94" s="246"/>
      <c r="BR94" s="246"/>
      <c r="BS94" s="271"/>
      <c r="BT94" s="246"/>
      <c r="BU94" s="246"/>
      <c r="BV94" s="246"/>
      <c r="BW94" s="271"/>
      <c r="BX94" s="246"/>
      <c r="BY94" s="246"/>
      <c r="BZ94" s="246"/>
      <c r="CA94" s="271"/>
      <c r="CB94" s="246"/>
      <c r="CC94" s="246"/>
      <c r="CD94" s="246"/>
      <c r="CE94" s="271"/>
      <c r="CF94" s="246"/>
      <c r="CG94" s="246"/>
      <c r="CH94" s="246"/>
      <c r="CI94" s="271"/>
      <c r="CJ94" s="246"/>
      <c r="CK94" s="246"/>
      <c r="CL94" s="246"/>
      <c r="CM94" s="246"/>
      <c r="CN94" s="246"/>
      <c r="CO94" s="246"/>
      <c r="CP94" s="246"/>
      <c r="CQ94" s="246"/>
      <c r="CR94" s="246"/>
      <c r="CS94" s="246"/>
      <c r="CT94" s="246"/>
      <c r="CU94" s="246"/>
      <c r="CV94" s="246"/>
      <c r="CW94" s="246"/>
      <c r="CX94" s="246"/>
      <c r="CY94" s="246"/>
      <c r="CZ94" s="246"/>
      <c r="DA94" s="246"/>
      <c r="DB94" s="246"/>
      <c r="DC94" s="246"/>
      <c r="DD94" s="246"/>
      <c r="DE94" s="246"/>
      <c r="DF94" s="246"/>
      <c r="DG94" s="246"/>
      <c r="DH94" s="246"/>
      <c r="DI94" s="246"/>
      <c r="DJ94" s="246"/>
      <c r="DK94" s="246"/>
      <c r="DL94" s="246"/>
      <c r="DM94" s="246"/>
      <c r="DN94" s="246"/>
      <c r="DO94" s="246"/>
      <c r="DP94" s="246"/>
      <c r="DQ94" s="246"/>
      <c r="DR94" s="246"/>
      <c r="DS94" s="246"/>
      <c r="DT94" s="246"/>
      <c r="DU94" s="246"/>
      <c r="DV94" s="246"/>
      <c r="DW94" s="246"/>
      <c r="DX94" s="246"/>
      <c r="DY94" s="246"/>
      <c r="DZ94" s="246"/>
      <c r="EA94" s="246"/>
      <c r="EB94" s="246"/>
      <c r="EC94" s="246"/>
      <c r="ED94" s="246"/>
      <c r="EE94" s="246"/>
      <c r="EF94" s="246"/>
      <c r="EG94" s="246"/>
      <c r="EH94" s="246"/>
      <c r="EI94" s="246"/>
      <c r="EJ94" s="246"/>
      <c r="EK94" s="246"/>
      <c r="EL94" s="246"/>
      <c r="EM94" s="246"/>
      <c r="EN94" s="246"/>
      <c r="EO94" s="248"/>
      <c r="EP94" s="246"/>
      <c r="EQ94" s="246"/>
      <c r="ER94" s="246"/>
      <c r="ES94" s="246"/>
      <c r="ET94" s="246"/>
      <c r="EU94" s="246"/>
      <c r="EV94" s="246"/>
      <c r="EW94" s="246"/>
      <c r="EX94" s="246"/>
      <c r="EY94" s="246"/>
      <c r="EZ94" s="246"/>
      <c r="FA94" s="246"/>
      <c r="FB94" s="246"/>
      <c r="FC94" s="246"/>
      <c r="FD94" s="246"/>
      <c r="FE94" s="246"/>
      <c r="FF94" s="246"/>
      <c r="FG94" s="246"/>
      <c r="FH94" s="246"/>
      <c r="FI94" s="246"/>
      <c r="FJ94" s="246"/>
      <c r="FK94" s="246"/>
      <c r="FL94" s="246"/>
      <c r="FM94" s="246"/>
      <c r="FN94" s="246"/>
      <c r="FO94" s="246"/>
      <c r="FP94" s="246"/>
      <c r="FQ94" s="246"/>
      <c r="FR94" s="246"/>
      <c r="FS94" s="246"/>
      <c r="FT94" s="246"/>
      <c r="FU94" s="246"/>
      <c r="FV94" s="246"/>
      <c r="FW94" s="246"/>
      <c r="FX94" s="246"/>
      <c r="FY94" s="246"/>
      <c r="FZ94" s="246"/>
      <c r="GA94" s="246"/>
      <c r="GB94" s="246"/>
      <c r="GC94" s="246"/>
      <c r="GD94" s="246"/>
      <c r="GE94" s="246"/>
      <c r="GF94" s="246"/>
      <c r="GG94" s="246"/>
      <c r="GH94" s="246"/>
      <c r="GI94" s="246"/>
      <c r="GJ94" s="246"/>
    </row>
    <row r="95" spans="1:192" s="247" customFormat="1">
      <c r="A95" s="246"/>
      <c r="B95" s="245"/>
      <c r="C95" s="253"/>
      <c r="D95" s="230"/>
      <c r="E95" s="254"/>
      <c r="F95" s="254"/>
      <c r="G95" s="271"/>
      <c r="H95" s="246"/>
      <c r="I95" s="246"/>
      <c r="J95" s="246"/>
      <c r="K95" s="271"/>
      <c r="L95" s="246"/>
      <c r="M95" s="246"/>
      <c r="N95" s="246"/>
      <c r="O95" s="271"/>
      <c r="P95" s="246"/>
      <c r="Q95" s="246"/>
      <c r="R95" s="246"/>
      <c r="S95" s="271"/>
      <c r="T95" s="246"/>
      <c r="U95" s="246"/>
      <c r="V95" s="246"/>
      <c r="W95" s="271"/>
      <c r="X95" s="246"/>
      <c r="Y95" s="246"/>
      <c r="Z95" s="246"/>
      <c r="AA95" s="271"/>
      <c r="AB95" s="246"/>
      <c r="AC95" s="246"/>
      <c r="AD95" s="246"/>
      <c r="AE95" s="271"/>
      <c r="AF95" s="246"/>
      <c r="AG95" s="246"/>
      <c r="AH95" s="246"/>
      <c r="AI95" s="271"/>
      <c r="AJ95" s="246"/>
      <c r="AK95" s="246"/>
      <c r="AL95" s="246"/>
      <c r="AM95" s="271"/>
      <c r="AN95" s="246"/>
      <c r="AO95" s="246"/>
      <c r="AP95" s="246"/>
      <c r="AQ95" s="271"/>
      <c r="AR95" s="246"/>
      <c r="AS95" s="246"/>
      <c r="AT95" s="246"/>
      <c r="AU95" s="271"/>
      <c r="AV95" s="246"/>
      <c r="AW95" s="246"/>
      <c r="AX95" s="246"/>
      <c r="AY95" s="271"/>
      <c r="AZ95" s="246"/>
      <c r="BA95" s="246"/>
      <c r="BB95" s="246"/>
      <c r="BC95" s="271"/>
      <c r="BD95" s="246"/>
      <c r="BE95" s="246"/>
      <c r="BF95" s="246"/>
      <c r="BG95" s="271"/>
      <c r="BH95" s="246"/>
      <c r="BI95" s="246"/>
      <c r="BJ95" s="246"/>
      <c r="BK95" s="271"/>
      <c r="BL95" s="246"/>
      <c r="BM95" s="246"/>
      <c r="BN95" s="246"/>
      <c r="BO95" s="271"/>
      <c r="BP95" s="246"/>
      <c r="BQ95" s="246"/>
      <c r="BR95" s="246"/>
      <c r="BS95" s="271"/>
      <c r="BT95" s="246"/>
      <c r="BU95" s="246"/>
      <c r="BV95" s="246"/>
      <c r="BW95" s="271"/>
      <c r="BX95" s="246"/>
      <c r="BY95" s="246"/>
      <c r="BZ95" s="246"/>
      <c r="CA95" s="271"/>
      <c r="CB95" s="246"/>
      <c r="CC95" s="246"/>
      <c r="CD95" s="246"/>
      <c r="CE95" s="271"/>
      <c r="CF95" s="246"/>
      <c r="CG95" s="246"/>
      <c r="CH95" s="246"/>
      <c r="CI95" s="271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6"/>
      <c r="DJ95" s="246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6"/>
      <c r="EB95" s="246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8"/>
      <c r="EP95" s="246"/>
      <c r="EQ95" s="246"/>
      <c r="ER95" s="246"/>
      <c r="ES95" s="246"/>
      <c r="ET95" s="246"/>
      <c r="EU95" s="246"/>
      <c r="EV95" s="246"/>
      <c r="EW95" s="246"/>
      <c r="EX95" s="246"/>
      <c r="EY95" s="246"/>
      <c r="EZ95" s="246"/>
      <c r="FA95" s="246"/>
      <c r="FB95" s="246"/>
      <c r="FC95" s="246"/>
      <c r="FD95" s="246"/>
      <c r="FE95" s="246"/>
      <c r="FF95" s="246"/>
      <c r="FG95" s="246"/>
      <c r="FH95" s="246"/>
      <c r="FI95" s="246"/>
      <c r="FJ95" s="246"/>
      <c r="FK95" s="246"/>
      <c r="FL95" s="246"/>
      <c r="FM95" s="246"/>
      <c r="FN95" s="246"/>
      <c r="FO95" s="246"/>
      <c r="FP95" s="246"/>
      <c r="FQ95" s="246"/>
      <c r="FR95" s="246"/>
      <c r="FS95" s="246"/>
      <c r="FT95" s="246"/>
      <c r="FU95" s="246"/>
      <c r="FV95" s="246"/>
      <c r="FW95" s="246"/>
      <c r="FX95" s="246"/>
      <c r="FY95" s="246"/>
      <c r="FZ95" s="246"/>
      <c r="GA95" s="246"/>
      <c r="GB95" s="246"/>
      <c r="GC95" s="246"/>
      <c r="GD95" s="246"/>
      <c r="GE95" s="246"/>
      <c r="GF95" s="246"/>
      <c r="GG95" s="246"/>
      <c r="GH95" s="246"/>
      <c r="GI95" s="246"/>
      <c r="GJ95" s="246"/>
    </row>
    <row r="96" spans="1:192" s="247" customFormat="1">
      <c r="A96" s="246"/>
      <c r="B96" s="245"/>
      <c r="C96" s="253"/>
      <c r="D96" s="230"/>
      <c r="E96" s="254"/>
      <c r="F96" s="254"/>
      <c r="G96" s="271"/>
      <c r="H96" s="246"/>
      <c r="I96" s="246"/>
      <c r="J96" s="246"/>
      <c r="K96" s="271"/>
      <c r="L96" s="246"/>
      <c r="M96" s="246"/>
      <c r="N96" s="246"/>
      <c r="O96" s="271"/>
      <c r="P96" s="246"/>
      <c r="Q96" s="246"/>
      <c r="R96" s="246"/>
      <c r="S96" s="271"/>
      <c r="T96" s="246"/>
      <c r="U96" s="246"/>
      <c r="V96" s="246"/>
      <c r="W96" s="271"/>
      <c r="X96" s="246"/>
      <c r="Y96" s="246"/>
      <c r="Z96" s="246"/>
      <c r="AA96" s="271"/>
      <c r="AB96" s="246"/>
      <c r="AC96" s="246"/>
      <c r="AD96" s="246"/>
      <c r="AE96" s="271"/>
      <c r="AF96" s="246"/>
      <c r="AG96" s="246"/>
      <c r="AH96" s="246"/>
      <c r="AI96" s="271"/>
      <c r="AJ96" s="246"/>
      <c r="AK96" s="246"/>
      <c r="AL96" s="246"/>
      <c r="AM96" s="271"/>
      <c r="AN96" s="246"/>
      <c r="AO96" s="246"/>
      <c r="AP96" s="246"/>
      <c r="AQ96" s="271"/>
      <c r="AR96" s="246"/>
      <c r="AS96" s="246"/>
      <c r="AT96" s="246"/>
      <c r="AU96" s="271"/>
      <c r="AV96" s="246"/>
      <c r="AW96" s="246"/>
      <c r="AX96" s="246"/>
      <c r="AY96" s="271"/>
      <c r="AZ96" s="246"/>
      <c r="BA96" s="246"/>
      <c r="BB96" s="246"/>
      <c r="BC96" s="271"/>
      <c r="BD96" s="246"/>
      <c r="BE96" s="246"/>
      <c r="BF96" s="246"/>
      <c r="BG96" s="271"/>
      <c r="BH96" s="246"/>
      <c r="BI96" s="246"/>
      <c r="BJ96" s="246"/>
      <c r="BK96" s="271"/>
      <c r="BL96" s="246"/>
      <c r="BM96" s="246"/>
      <c r="BN96" s="246"/>
      <c r="BO96" s="271"/>
      <c r="BP96" s="246"/>
      <c r="BQ96" s="246"/>
      <c r="BR96" s="246"/>
      <c r="BS96" s="271"/>
      <c r="BT96" s="246"/>
      <c r="BU96" s="246"/>
      <c r="BV96" s="246"/>
      <c r="BW96" s="271"/>
      <c r="BX96" s="246"/>
      <c r="BY96" s="246"/>
      <c r="BZ96" s="246"/>
      <c r="CA96" s="271"/>
      <c r="CB96" s="246"/>
      <c r="CC96" s="246"/>
      <c r="CD96" s="246"/>
      <c r="CE96" s="271"/>
      <c r="CF96" s="246"/>
      <c r="CG96" s="246"/>
      <c r="CH96" s="246"/>
      <c r="CI96" s="271"/>
      <c r="CJ96" s="246"/>
      <c r="CK96" s="246"/>
      <c r="CL96" s="246"/>
      <c r="CM96" s="246"/>
      <c r="CN96" s="246"/>
      <c r="CO96" s="246"/>
      <c r="CP96" s="246"/>
      <c r="CQ96" s="246"/>
      <c r="CR96" s="246"/>
      <c r="CS96" s="246"/>
      <c r="CT96" s="246"/>
      <c r="CU96" s="246"/>
      <c r="CV96" s="246"/>
      <c r="CW96" s="246"/>
      <c r="CX96" s="246"/>
      <c r="CY96" s="246"/>
      <c r="CZ96" s="246"/>
      <c r="DA96" s="246"/>
      <c r="DB96" s="246"/>
      <c r="DC96" s="246"/>
      <c r="DD96" s="246"/>
      <c r="DE96" s="246"/>
      <c r="DF96" s="246"/>
      <c r="DG96" s="246"/>
      <c r="DH96" s="246"/>
      <c r="DI96" s="246"/>
      <c r="DJ96" s="246"/>
      <c r="DK96" s="246"/>
      <c r="DL96" s="246"/>
      <c r="DM96" s="246"/>
      <c r="DN96" s="246"/>
      <c r="DO96" s="246"/>
      <c r="DP96" s="246"/>
      <c r="DQ96" s="246"/>
      <c r="DR96" s="246"/>
      <c r="DS96" s="246"/>
      <c r="DT96" s="246"/>
      <c r="DU96" s="246"/>
      <c r="DV96" s="246"/>
      <c r="DW96" s="246"/>
      <c r="DX96" s="246"/>
      <c r="DY96" s="246"/>
      <c r="DZ96" s="246"/>
      <c r="EA96" s="246"/>
      <c r="EB96" s="246"/>
      <c r="EC96" s="246"/>
      <c r="ED96" s="246"/>
      <c r="EE96" s="246"/>
      <c r="EF96" s="246"/>
      <c r="EG96" s="246"/>
      <c r="EH96" s="246"/>
      <c r="EI96" s="246"/>
      <c r="EJ96" s="246"/>
      <c r="EK96" s="246"/>
      <c r="EL96" s="246"/>
      <c r="EM96" s="246"/>
      <c r="EN96" s="246"/>
      <c r="EO96" s="248"/>
      <c r="EP96" s="246"/>
      <c r="EQ96" s="246"/>
      <c r="ER96" s="246"/>
      <c r="ES96" s="246"/>
      <c r="ET96" s="246"/>
      <c r="EU96" s="246"/>
      <c r="EV96" s="246"/>
      <c r="EW96" s="246"/>
      <c r="EX96" s="246"/>
      <c r="EY96" s="246"/>
      <c r="EZ96" s="246"/>
      <c r="FA96" s="246"/>
      <c r="FB96" s="246"/>
      <c r="FC96" s="246"/>
      <c r="FD96" s="246"/>
      <c r="FE96" s="246"/>
      <c r="FF96" s="246"/>
      <c r="FG96" s="246"/>
      <c r="FH96" s="246"/>
      <c r="FI96" s="246"/>
      <c r="FJ96" s="246"/>
      <c r="FK96" s="246"/>
      <c r="FL96" s="246"/>
      <c r="FM96" s="246"/>
      <c r="FN96" s="246"/>
      <c r="FO96" s="246"/>
      <c r="FP96" s="246"/>
      <c r="FQ96" s="246"/>
      <c r="FR96" s="246"/>
      <c r="FS96" s="246"/>
      <c r="FT96" s="246"/>
      <c r="FU96" s="246"/>
      <c r="FV96" s="246"/>
      <c r="FW96" s="246"/>
      <c r="FX96" s="246"/>
      <c r="FY96" s="246"/>
      <c r="FZ96" s="246"/>
      <c r="GA96" s="246"/>
      <c r="GB96" s="246"/>
      <c r="GC96" s="246"/>
      <c r="GD96" s="246"/>
      <c r="GE96" s="246"/>
      <c r="GF96" s="246"/>
      <c r="GG96" s="246"/>
      <c r="GH96" s="246"/>
      <c r="GI96" s="246"/>
      <c r="GJ96" s="246"/>
    </row>
    <row r="97" spans="1:192" s="247" customFormat="1">
      <c r="A97" s="246"/>
      <c r="B97" s="245"/>
      <c r="C97" s="253"/>
      <c r="D97" s="230"/>
      <c r="E97" s="254"/>
      <c r="F97" s="254"/>
      <c r="G97" s="271"/>
      <c r="H97" s="246"/>
      <c r="I97" s="246"/>
      <c r="J97" s="246"/>
      <c r="K97" s="271"/>
      <c r="L97" s="246"/>
      <c r="M97" s="246"/>
      <c r="N97" s="246"/>
      <c r="O97" s="271"/>
      <c r="P97" s="246"/>
      <c r="Q97" s="246"/>
      <c r="R97" s="246"/>
      <c r="S97" s="271"/>
      <c r="T97" s="246"/>
      <c r="U97" s="246"/>
      <c r="V97" s="246"/>
      <c r="W97" s="271"/>
      <c r="X97" s="246"/>
      <c r="Y97" s="246"/>
      <c r="Z97" s="246"/>
      <c r="AA97" s="271"/>
      <c r="AB97" s="246"/>
      <c r="AC97" s="246"/>
      <c r="AD97" s="246"/>
      <c r="AE97" s="271"/>
      <c r="AF97" s="246"/>
      <c r="AG97" s="246"/>
      <c r="AH97" s="246"/>
      <c r="AI97" s="271"/>
      <c r="AJ97" s="246"/>
      <c r="AK97" s="246"/>
      <c r="AL97" s="246"/>
      <c r="AM97" s="271"/>
      <c r="AN97" s="246"/>
      <c r="AO97" s="246"/>
      <c r="AP97" s="246"/>
      <c r="AQ97" s="271"/>
      <c r="AR97" s="246"/>
      <c r="AS97" s="246"/>
      <c r="AT97" s="246"/>
      <c r="AU97" s="271"/>
      <c r="AV97" s="246"/>
      <c r="AW97" s="246"/>
      <c r="AX97" s="246"/>
      <c r="AY97" s="271"/>
      <c r="AZ97" s="246"/>
      <c r="BA97" s="246"/>
      <c r="BB97" s="246"/>
      <c r="BC97" s="271"/>
      <c r="BD97" s="246"/>
      <c r="BE97" s="246"/>
      <c r="BF97" s="246"/>
      <c r="BG97" s="271"/>
      <c r="BH97" s="246"/>
      <c r="BI97" s="246"/>
      <c r="BJ97" s="246"/>
      <c r="BK97" s="271"/>
      <c r="BL97" s="246"/>
      <c r="BM97" s="246"/>
      <c r="BN97" s="246"/>
      <c r="BO97" s="271"/>
      <c r="BP97" s="246"/>
      <c r="BQ97" s="246"/>
      <c r="BR97" s="246"/>
      <c r="BS97" s="271"/>
      <c r="BT97" s="246"/>
      <c r="BU97" s="246"/>
      <c r="BV97" s="246"/>
      <c r="BW97" s="271"/>
      <c r="BX97" s="246"/>
      <c r="BY97" s="246"/>
      <c r="BZ97" s="246"/>
      <c r="CA97" s="271"/>
      <c r="CB97" s="246"/>
      <c r="CC97" s="246"/>
      <c r="CD97" s="246"/>
      <c r="CE97" s="271"/>
      <c r="CF97" s="246"/>
      <c r="CG97" s="246"/>
      <c r="CH97" s="246"/>
      <c r="CI97" s="271"/>
      <c r="CJ97" s="246"/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  <c r="DD97" s="246"/>
      <c r="DE97" s="246"/>
      <c r="DF97" s="246"/>
      <c r="DG97" s="246"/>
      <c r="DH97" s="246"/>
      <c r="DI97" s="246"/>
      <c r="DJ97" s="246"/>
      <c r="DK97" s="246"/>
      <c r="DL97" s="246"/>
      <c r="DM97" s="246"/>
      <c r="DN97" s="246"/>
      <c r="DO97" s="246"/>
      <c r="DP97" s="246"/>
      <c r="DQ97" s="246"/>
      <c r="DR97" s="246"/>
      <c r="DS97" s="246"/>
      <c r="DT97" s="246"/>
      <c r="DU97" s="246"/>
      <c r="DV97" s="246"/>
      <c r="DW97" s="246"/>
      <c r="DX97" s="246"/>
      <c r="DY97" s="246"/>
      <c r="DZ97" s="246"/>
      <c r="EA97" s="246"/>
      <c r="EB97" s="246"/>
      <c r="EC97" s="246"/>
      <c r="ED97" s="246"/>
      <c r="EE97" s="246"/>
      <c r="EF97" s="246"/>
      <c r="EG97" s="246"/>
      <c r="EH97" s="246"/>
      <c r="EI97" s="246"/>
      <c r="EJ97" s="246"/>
      <c r="EK97" s="246"/>
      <c r="EL97" s="246"/>
      <c r="EM97" s="246"/>
      <c r="EN97" s="246"/>
      <c r="EO97" s="248"/>
      <c r="EP97" s="246"/>
      <c r="EQ97" s="246"/>
      <c r="ER97" s="246"/>
      <c r="ES97" s="246"/>
      <c r="ET97" s="246"/>
      <c r="EU97" s="246"/>
      <c r="EV97" s="246"/>
      <c r="EW97" s="246"/>
      <c r="EX97" s="246"/>
      <c r="EY97" s="246"/>
      <c r="EZ97" s="246"/>
      <c r="FA97" s="246"/>
      <c r="FB97" s="246"/>
      <c r="FC97" s="246"/>
      <c r="FD97" s="246"/>
      <c r="FE97" s="246"/>
      <c r="FF97" s="246"/>
      <c r="FG97" s="246"/>
      <c r="FH97" s="246"/>
      <c r="FI97" s="246"/>
      <c r="FJ97" s="246"/>
      <c r="FK97" s="246"/>
      <c r="FL97" s="246"/>
      <c r="FM97" s="246"/>
      <c r="FN97" s="246"/>
      <c r="FO97" s="246"/>
      <c r="FP97" s="246"/>
      <c r="FQ97" s="246"/>
      <c r="FR97" s="246"/>
      <c r="FS97" s="246"/>
      <c r="FT97" s="246"/>
      <c r="FU97" s="246"/>
      <c r="FV97" s="246"/>
      <c r="FW97" s="246"/>
      <c r="FX97" s="246"/>
      <c r="FY97" s="246"/>
      <c r="FZ97" s="246"/>
      <c r="GA97" s="246"/>
      <c r="GB97" s="246"/>
      <c r="GC97" s="246"/>
      <c r="GD97" s="246"/>
      <c r="GE97" s="246"/>
      <c r="GF97" s="246"/>
      <c r="GG97" s="246"/>
      <c r="GH97" s="246"/>
      <c r="GI97" s="246"/>
      <c r="GJ97" s="246"/>
    </row>
    <row r="98" spans="1:192" s="247" customFormat="1">
      <c r="A98" s="246"/>
      <c r="B98" s="245"/>
      <c r="C98" s="253"/>
      <c r="D98" s="230"/>
      <c r="E98" s="254"/>
      <c r="F98" s="254"/>
      <c r="G98" s="271"/>
      <c r="H98" s="246"/>
      <c r="I98" s="246"/>
      <c r="J98" s="246"/>
      <c r="K98" s="271"/>
      <c r="L98" s="246"/>
      <c r="M98" s="246"/>
      <c r="N98" s="246"/>
      <c r="O98" s="271"/>
      <c r="P98" s="246"/>
      <c r="Q98" s="246"/>
      <c r="R98" s="246"/>
      <c r="S98" s="271"/>
      <c r="T98" s="246"/>
      <c r="U98" s="246"/>
      <c r="V98" s="246"/>
      <c r="W98" s="271"/>
      <c r="X98" s="246"/>
      <c r="Y98" s="246"/>
      <c r="Z98" s="246"/>
      <c r="AA98" s="271"/>
      <c r="AB98" s="246"/>
      <c r="AC98" s="246"/>
      <c r="AD98" s="246"/>
      <c r="AE98" s="271"/>
      <c r="AF98" s="246"/>
      <c r="AG98" s="246"/>
      <c r="AH98" s="246"/>
      <c r="AI98" s="271"/>
      <c r="AJ98" s="246"/>
      <c r="AK98" s="246"/>
      <c r="AL98" s="246"/>
      <c r="AM98" s="271"/>
      <c r="AN98" s="246"/>
      <c r="AO98" s="246"/>
      <c r="AP98" s="246"/>
      <c r="AQ98" s="271"/>
      <c r="AR98" s="246"/>
      <c r="AS98" s="246"/>
      <c r="AT98" s="246"/>
      <c r="AU98" s="271"/>
      <c r="AV98" s="246"/>
      <c r="AW98" s="246"/>
      <c r="AX98" s="246"/>
      <c r="AY98" s="271"/>
      <c r="AZ98" s="246"/>
      <c r="BA98" s="246"/>
      <c r="BB98" s="246"/>
      <c r="BC98" s="271"/>
      <c r="BD98" s="246"/>
      <c r="BE98" s="246"/>
      <c r="BF98" s="246"/>
      <c r="BG98" s="271"/>
      <c r="BH98" s="246"/>
      <c r="BI98" s="246"/>
      <c r="BJ98" s="246"/>
      <c r="BK98" s="271"/>
      <c r="BL98" s="246"/>
      <c r="BM98" s="246"/>
      <c r="BN98" s="246"/>
      <c r="BO98" s="271"/>
      <c r="BP98" s="246"/>
      <c r="BQ98" s="246"/>
      <c r="BR98" s="246"/>
      <c r="BS98" s="271"/>
      <c r="BT98" s="246"/>
      <c r="BU98" s="246"/>
      <c r="BV98" s="246"/>
      <c r="BW98" s="271"/>
      <c r="BX98" s="246"/>
      <c r="BY98" s="246"/>
      <c r="BZ98" s="246"/>
      <c r="CA98" s="271"/>
      <c r="CB98" s="246"/>
      <c r="CC98" s="246"/>
      <c r="CD98" s="246"/>
      <c r="CE98" s="271"/>
      <c r="CF98" s="246"/>
      <c r="CG98" s="246"/>
      <c r="CH98" s="246"/>
      <c r="CI98" s="271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  <c r="DD98" s="246"/>
      <c r="DE98" s="246"/>
      <c r="DF98" s="246"/>
      <c r="DG98" s="246"/>
      <c r="DH98" s="246"/>
      <c r="DI98" s="246"/>
      <c r="DJ98" s="246"/>
      <c r="DK98" s="246"/>
      <c r="DL98" s="246"/>
      <c r="DM98" s="246"/>
      <c r="DN98" s="246"/>
      <c r="DO98" s="246"/>
      <c r="DP98" s="246"/>
      <c r="DQ98" s="246"/>
      <c r="DR98" s="246"/>
      <c r="DS98" s="246"/>
      <c r="DT98" s="246"/>
      <c r="DU98" s="246"/>
      <c r="DV98" s="246"/>
      <c r="DW98" s="246"/>
      <c r="DX98" s="246"/>
      <c r="DY98" s="246"/>
      <c r="DZ98" s="246"/>
      <c r="EA98" s="246"/>
      <c r="EB98" s="246"/>
      <c r="EC98" s="246"/>
      <c r="ED98" s="246"/>
      <c r="EE98" s="246"/>
      <c r="EF98" s="246"/>
      <c r="EG98" s="246"/>
      <c r="EH98" s="246"/>
      <c r="EI98" s="246"/>
      <c r="EJ98" s="246"/>
      <c r="EK98" s="246"/>
      <c r="EL98" s="246"/>
      <c r="EM98" s="246"/>
      <c r="EN98" s="246"/>
      <c r="EO98" s="248"/>
      <c r="EP98" s="246"/>
      <c r="EQ98" s="246"/>
      <c r="ER98" s="246"/>
      <c r="ES98" s="246"/>
      <c r="ET98" s="246"/>
      <c r="EU98" s="246"/>
      <c r="EV98" s="246"/>
      <c r="EW98" s="246"/>
      <c r="EX98" s="246"/>
      <c r="EY98" s="246"/>
      <c r="EZ98" s="246"/>
      <c r="FA98" s="246"/>
      <c r="FB98" s="246"/>
      <c r="FC98" s="246"/>
      <c r="FD98" s="246"/>
      <c r="FE98" s="246"/>
      <c r="FF98" s="246"/>
      <c r="FG98" s="246"/>
      <c r="FH98" s="246"/>
      <c r="FI98" s="246"/>
      <c r="FJ98" s="246"/>
      <c r="FK98" s="246"/>
      <c r="FL98" s="246"/>
      <c r="FM98" s="246"/>
      <c r="FN98" s="246"/>
      <c r="FO98" s="246"/>
      <c r="FP98" s="246"/>
      <c r="FQ98" s="246"/>
      <c r="FR98" s="246"/>
      <c r="FS98" s="246"/>
      <c r="FT98" s="246"/>
      <c r="FU98" s="246"/>
      <c r="FV98" s="246"/>
      <c r="FW98" s="246"/>
      <c r="FX98" s="246"/>
      <c r="FY98" s="246"/>
      <c r="FZ98" s="246"/>
      <c r="GA98" s="246"/>
      <c r="GB98" s="246"/>
      <c r="GC98" s="246"/>
      <c r="GD98" s="246"/>
      <c r="GE98" s="246"/>
      <c r="GF98" s="246"/>
      <c r="GG98" s="246"/>
      <c r="GH98" s="246"/>
      <c r="GI98" s="246"/>
      <c r="GJ98" s="246"/>
    </row>
    <row r="99" spans="1:192" s="247" customFormat="1">
      <c r="A99" s="246"/>
      <c r="B99" s="245"/>
      <c r="C99" s="253"/>
      <c r="D99" s="230"/>
      <c r="E99" s="254"/>
      <c r="F99" s="254"/>
      <c r="G99" s="271"/>
      <c r="H99" s="246"/>
      <c r="I99" s="246"/>
      <c r="J99" s="246"/>
      <c r="K99" s="271"/>
      <c r="L99" s="246"/>
      <c r="M99" s="246"/>
      <c r="N99" s="246"/>
      <c r="O99" s="271"/>
      <c r="P99" s="246"/>
      <c r="Q99" s="246"/>
      <c r="R99" s="246"/>
      <c r="S99" s="271"/>
      <c r="T99" s="246"/>
      <c r="U99" s="246"/>
      <c r="V99" s="246"/>
      <c r="W99" s="271"/>
      <c r="X99" s="246"/>
      <c r="Y99" s="246"/>
      <c r="Z99" s="246"/>
      <c r="AA99" s="271"/>
      <c r="AB99" s="246"/>
      <c r="AC99" s="246"/>
      <c r="AD99" s="246"/>
      <c r="AE99" s="271"/>
      <c r="AF99" s="246"/>
      <c r="AG99" s="246"/>
      <c r="AH99" s="246"/>
      <c r="AI99" s="271"/>
      <c r="AJ99" s="246"/>
      <c r="AK99" s="246"/>
      <c r="AL99" s="246"/>
      <c r="AM99" s="271"/>
      <c r="AN99" s="246"/>
      <c r="AO99" s="246"/>
      <c r="AP99" s="246"/>
      <c r="AQ99" s="271"/>
      <c r="AR99" s="246"/>
      <c r="AS99" s="246"/>
      <c r="AT99" s="246"/>
      <c r="AU99" s="271"/>
      <c r="AV99" s="246"/>
      <c r="AW99" s="246"/>
      <c r="AX99" s="246"/>
      <c r="AY99" s="271"/>
      <c r="AZ99" s="246"/>
      <c r="BA99" s="246"/>
      <c r="BB99" s="246"/>
      <c r="BC99" s="271"/>
      <c r="BD99" s="246"/>
      <c r="BE99" s="246"/>
      <c r="BF99" s="246"/>
      <c r="BG99" s="271"/>
      <c r="BH99" s="246"/>
      <c r="BI99" s="246"/>
      <c r="BJ99" s="246"/>
      <c r="BK99" s="271"/>
      <c r="BL99" s="246"/>
      <c r="BM99" s="246"/>
      <c r="BN99" s="246"/>
      <c r="BO99" s="271"/>
      <c r="BP99" s="246"/>
      <c r="BQ99" s="246"/>
      <c r="BR99" s="246"/>
      <c r="BS99" s="271"/>
      <c r="BT99" s="246"/>
      <c r="BU99" s="246"/>
      <c r="BV99" s="246"/>
      <c r="BW99" s="271"/>
      <c r="BX99" s="246"/>
      <c r="BY99" s="246"/>
      <c r="BZ99" s="246"/>
      <c r="CA99" s="271"/>
      <c r="CB99" s="246"/>
      <c r="CC99" s="246"/>
      <c r="CD99" s="246"/>
      <c r="CE99" s="271"/>
      <c r="CF99" s="246"/>
      <c r="CG99" s="246"/>
      <c r="CH99" s="246"/>
      <c r="CI99" s="271"/>
      <c r="CJ99" s="246"/>
      <c r="CK99" s="246"/>
      <c r="CL99" s="246"/>
      <c r="CM99" s="246"/>
      <c r="CN99" s="246"/>
      <c r="CO99" s="246"/>
      <c r="CP99" s="246"/>
      <c r="CQ99" s="246"/>
      <c r="CR99" s="246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6"/>
      <c r="DJ99" s="246"/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6"/>
      <c r="EB99" s="246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8"/>
      <c r="EP99" s="246"/>
      <c r="EQ99" s="246"/>
      <c r="ER99" s="246"/>
      <c r="ES99" s="246"/>
      <c r="ET99" s="246"/>
      <c r="EU99" s="246"/>
      <c r="EV99" s="246"/>
      <c r="EW99" s="246"/>
      <c r="EX99" s="246"/>
      <c r="EY99" s="246"/>
      <c r="EZ99" s="246"/>
      <c r="FA99" s="246"/>
      <c r="FB99" s="246"/>
      <c r="FC99" s="246"/>
      <c r="FD99" s="246"/>
      <c r="FE99" s="246"/>
      <c r="FF99" s="246"/>
      <c r="FG99" s="246"/>
      <c r="FH99" s="246"/>
      <c r="FI99" s="246"/>
      <c r="FJ99" s="246"/>
      <c r="FK99" s="246"/>
      <c r="FL99" s="246"/>
      <c r="FM99" s="246"/>
      <c r="FN99" s="246"/>
      <c r="FO99" s="246"/>
      <c r="FP99" s="246"/>
      <c r="FQ99" s="246"/>
      <c r="FR99" s="246"/>
      <c r="FS99" s="246"/>
      <c r="FT99" s="246"/>
      <c r="FU99" s="246"/>
      <c r="FV99" s="246"/>
      <c r="FW99" s="246"/>
      <c r="FX99" s="246"/>
      <c r="FY99" s="246"/>
      <c r="FZ99" s="246"/>
      <c r="GA99" s="246"/>
      <c r="GB99" s="246"/>
      <c r="GC99" s="246"/>
      <c r="GD99" s="246"/>
      <c r="GE99" s="246"/>
      <c r="GF99" s="246"/>
      <c r="GG99" s="246"/>
      <c r="GH99" s="246"/>
      <c r="GI99" s="246"/>
      <c r="GJ99" s="246"/>
    </row>
    <row r="100" spans="1:192" s="247" customFormat="1">
      <c r="A100" s="246"/>
      <c r="B100" s="245"/>
      <c r="C100" s="253"/>
      <c r="D100" s="230"/>
      <c r="E100" s="254"/>
      <c r="F100" s="254"/>
      <c r="G100" s="271"/>
      <c r="H100" s="246"/>
      <c r="I100" s="246"/>
      <c r="J100" s="246"/>
      <c r="K100" s="271"/>
      <c r="L100" s="246"/>
      <c r="M100" s="246"/>
      <c r="N100" s="246"/>
      <c r="O100" s="271"/>
      <c r="P100" s="246"/>
      <c r="Q100" s="246"/>
      <c r="R100" s="246"/>
      <c r="S100" s="271"/>
      <c r="T100" s="246"/>
      <c r="U100" s="246"/>
      <c r="V100" s="246"/>
      <c r="W100" s="271"/>
      <c r="X100" s="246"/>
      <c r="Y100" s="246"/>
      <c r="Z100" s="246"/>
      <c r="AA100" s="271"/>
      <c r="AB100" s="246"/>
      <c r="AC100" s="246"/>
      <c r="AD100" s="246"/>
      <c r="AE100" s="271"/>
      <c r="AF100" s="246"/>
      <c r="AG100" s="246"/>
      <c r="AH100" s="246"/>
      <c r="AI100" s="271"/>
      <c r="AJ100" s="246"/>
      <c r="AK100" s="246"/>
      <c r="AL100" s="246"/>
      <c r="AM100" s="271"/>
      <c r="AN100" s="246"/>
      <c r="AO100" s="246"/>
      <c r="AP100" s="246"/>
      <c r="AQ100" s="271"/>
      <c r="AR100" s="246"/>
      <c r="AS100" s="246"/>
      <c r="AT100" s="246"/>
      <c r="AU100" s="271"/>
      <c r="AV100" s="246"/>
      <c r="AW100" s="246"/>
      <c r="AX100" s="246"/>
      <c r="AY100" s="271"/>
      <c r="AZ100" s="246"/>
      <c r="BA100" s="246"/>
      <c r="BB100" s="246"/>
      <c r="BC100" s="271"/>
      <c r="BD100" s="246"/>
      <c r="BE100" s="246"/>
      <c r="BF100" s="246"/>
      <c r="BG100" s="271"/>
      <c r="BH100" s="246"/>
      <c r="BI100" s="246"/>
      <c r="BJ100" s="246"/>
      <c r="BK100" s="271"/>
      <c r="BL100" s="246"/>
      <c r="BM100" s="246"/>
      <c r="BN100" s="246"/>
      <c r="BO100" s="271"/>
      <c r="BP100" s="246"/>
      <c r="BQ100" s="246"/>
      <c r="BR100" s="246"/>
      <c r="BS100" s="271"/>
      <c r="BT100" s="246"/>
      <c r="BU100" s="246"/>
      <c r="BV100" s="246"/>
      <c r="BW100" s="271"/>
      <c r="BX100" s="246"/>
      <c r="BY100" s="246"/>
      <c r="BZ100" s="246"/>
      <c r="CA100" s="271"/>
      <c r="CB100" s="246"/>
      <c r="CC100" s="246"/>
      <c r="CD100" s="246"/>
      <c r="CE100" s="271"/>
      <c r="CF100" s="246"/>
      <c r="CG100" s="246"/>
      <c r="CH100" s="246"/>
      <c r="CI100" s="271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/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8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</row>
    <row r="101" spans="1:192" s="247" customFormat="1">
      <c r="A101" s="246"/>
      <c r="B101" s="245"/>
      <c r="C101" s="253"/>
      <c r="D101" s="230"/>
      <c r="E101" s="254"/>
      <c r="F101" s="254"/>
      <c r="G101" s="271"/>
      <c r="H101" s="246"/>
      <c r="I101" s="246"/>
      <c r="J101" s="246"/>
      <c r="K101" s="271"/>
      <c r="L101" s="246"/>
      <c r="M101" s="246"/>
      <c r="N101" s="246"/>
      <c r="O101" s="271"/>
      <c r="P101" s="246"/>
      <c r="Q101" s="246"/>
      <c r="R101" s="246"/>
      <c r="S101" s="271"/>
      <c r="T101" s="246"/>
      <c r="U101" s="246"/>
      <c r="V101" s="246"/>
      <c r="W101" s="271"/>
      <c r="X101" s="246"/>
      <c r="Y101" s="246"/>
      <c r="Z101" s="246"/>
      <c r="AA101" s="271"/>
      <c r="AB101" s="246"/>
      <c r="AC101" s="246"/>
      <c r="AD101" s="246"/>
      <c r="AE101" s="271"/>
      <c r="AF101" s="246"/>
      <c r="AG101" s="246"/>
      <c r="AH101" s="246"/>
      <c r="AI101" s="271"/>
      <c r="AJ101" s="246"/>
      <c r="AK101" s="246"/>
      <c r="AL101" s="246"/>
      <c r="AM101" s="271"/>
      <c r="AN101" s="246"/>
      <c r="AO101" s="246"/>
      <c r="AP101" s="246"/>
      <c r="AQ101" s="271"/>
      <c r="AR101" s="246"/>
      <c r="AS101" s="246"/>
      <c r="AT101" s="246"/>
      <c r="AU101" s="271"/>
      <c r="AV101" s="246"/>
      <c r="AW101" s="246"/>
      <c r="AX101" s="246"/>
      <c r="AY101" s="271"/>
      <c r="AZ101" s="246"/>
      <c r="BA101" s="246"/>
      <c r="BB101" s="246"/>
      <c r="BC101" s="271"/>
      <c r="BD101" s="246"/>
      <c r="BE101" s="246"/>
      <c r="BF101" s="246"/>
      <c r="BG101" s="271"/>
      <c r="BH101" s="246"/>
      <c r="BI101" s="246"/>
      <c r="BJ101" s="246"/>
      <c r="BK101" s="271"/>
      <c r="BL101" s="246"/>
      <c r="BM101" s="246"/>
      <c r="BN101" s="246"/>
      <c r="BO101" s="271"/>
      <c r="BP101" s="246"/>
      <c r="BQ101" s="246"/>
      <c r="BR101" s="246"/>
      <c r="BS101" s="271"/>
      <c r="BT101" s="246"/>
      <c r="BU101" s="246"/>
      <c r="BV101" s="246"/>
      <c r="BW101" s="271"/>
      <c r="BX101" s="246"/>
      <c r="BY101" s="246"/>
      <c r="BZ101" s="246"/>
      <c r="CA101" s="271"/>
      <c r="CB101" s="246"/>
      <c r="CC101" s="246"/>
      <c r="CD101" s="246"/>
      <c r="CE101" s="271"/>
      <c r="CF101" s="246"/>
      <c r="CG101" s="246"/>
      <c r="CH101" s="246"/>
      <c r="CI101" s="271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6"/>
      <c r="DK101" s="246"/>
      <c r="DL101" s="246"/>
      <c r="DM101" s="246"/>
      <c r="DN101" s="246"/>
      <c r="DO101" s="246"/>
      <c r="DP101" s="246"/>
      <c r="DQ101" s="246"/>
      <c r="DR101" s="246"/>
      <c r="DS101" s="246"/>
      <c r="DT101" s="246"/>
      <c r="DU101" s="246"/>
      <c r="DV101" s="246"/>
      <c r="DW101" s="246"/>
      <c r="DX101" s="246"/>
      <c r="DY101" s="246"/>
      <c r="DZ101" s="246"/>
      <c r="EA101" s="246"/>
      <c r="EB101" s="246"/>
      <c r="EC101" s="246"/>
      <c r="ED101" s="246"/>
      <c r="EE101" s="246"/>
      <c r="EF101" s="246"/>
      <c r="EG101" s="246"/>
      <c r="EH101" s="246"/>
      <c r="EI101" s="246"/>
      <c r="EJ101" s="246"/>
      <c r="EK101" s="246"/>
      <c r="EL101" s="246"/>
      <c r="EM101" s="246"/>
      <c r="EN101" s="246"/>
      <c r="EO101" s="248"/>
      <c r="EP101" s="246"/>
      <c r="EQ101" s="246"/>
      <c r="ER101" s="246"/>
      <c r="ES101" s="246"/>
      <c r="ET101" s="246"/>
      <c r="EU101" s="246"/>
      <c r="EV101" s="246"/>
      <c r="EW101" s="246"/>
      <c r="EX101" s="246"/>
      <c r="EY101" s="246"/>
      <c r="EZ101" s="246"/>
      <c r="FA101" s="246"/>
      <c r="FB101" s="246"/>
      <c r="FC101" s="246"/>
      <c r="FD101" s="246"/>
      <c r="FE101" s="246"/>
      <c r="FF101" s="246"/>
      <c r="FG101" s="246"/>
      <c r="FH101" s="246"/>
      <c r="FI101" s="246"/>
      <c r="FJ101" s="246"/>
      <c r="FK101" s="246"/>
      <c r="FL101" s="246"/>
      <c r="FM101" s="246"/>
      <c r="FN101" s="246"/>
      <c r="FO101" s="246"/>
      <c r="FP101" s="246"/>
      <c r="FQ101" s="246"/>
      <c r="FR101" s="246"/>
      <c r="FS101" s="246"/>
      <c r="FT101" s="246"/>
      <c r="FU101" s="246"/>
      <c r="FV101" s="246"/>
      <c r="FW101" s="246"/>
      <c r="FX101" s="246"/>
      <c r="FY101" s="246"/>
      <c r="FZ101" s="246"/>
      <c r="GA101" s="246"/>
      <c r="GB101" s="246"/>
      <c r="GC101" s="246"/>
      <c r="GD101" s="246"/>
      <c r="GE101" s="246"/>
      <c r="GF101" s="246"/>
      <c r="GG101" s="246"/>
      <c r="GH101" s="246"/>
      <c r="GI101" s="246"/>
      <c r="GJ101" s="246"/>
    </row>
    <row r="102" spans="1:192" s="247" customFormat="1">
      <c r="A102" s="246"/>
      <c r="B102" s="245"/>
      <c r="C102" s="253"/>
      <c r="D102" s="230"/>
      <c r="E102" s="254"/>
      <c r="F102" s="254"/>
      <c r="G102" s="271"/>
      <c r="H102" s="246"/>
      <c r="I102" s="246"/>
      <c r="J102" s="246"/>
      <c r="K102" s="271"/>
      <c r="L102" s="246"/>
      <c r="M102" s="246"/>
      <c r="N102" s="246"/>
      <c r="O102" s="271"/>
      <c r="P102" s="246"/>
      <c r="Q102" s="246"/>
      <c r="R102" s="246"/>
      <c r="S102" s="271"/>
      <c r="T102" s="246"/>
      <c r="U102" s="246"/>
      <c r="V102" s="246"/>
      <c r="W102" s="271"/>
      <c r="X102" s="246"/>
      <c r="Y102" s="246"/>
      <c r="Z102" s="246"/>
      <c r="AA102" s="271"/>
      <c r="AB102" s="246"/>
      <c r="AC102" s="246"/>
      <c r="AD102" s="246"/>
      <c r="AE102" s="271"/>
      <c r="AF102" s="246"/>
      <c r="AG102" s="246"/>
      <c r="AH102" s="246"/>
      <c r="AI102" s="271"/>
      <c r="AJ102" s="246"/>
      <c r="AK102" s="246"/>
      <c r="AL102" s="246"/>
      <c r="AM102" s="271"/>
      <c r="AN102" s="246"/>
      <c r="AO102" s="246"/>
      <c r="AP102" s="246"/>
      <c r="AQ102" s="271"/>
      <c r="AR102" s="246"/>
      <c r="AS102" s="246"/>
      <c r="AT102" s="246"/>
      <c r="AU102" s="271"/>
      <c r="AV102" s="246"/>
      <c r="AW102" s="246"/>
      <c r="AX102" s="246"/>
      <c r="AY102" s="271"/>
      <c r="AZ102" s="246"/>
      <c r="BA102" s="246"/>
      <c r="BB102" s="246"/>
      <c r="BC102" s="271"/>
      <c r="BD102" s="246"/>
      <c r="BE102" s="246"/>
      <c r="BF102" s="246"/>
      <c r="BG102" s="271"/>
      <c r="BH102" s="246"/>
      <c r="BI102" s="246"/>
      <c r="BJ102" s="246"/>
      <c r="BK102" s="271"/>
      <c r="BL102" s="246"/>
      <c r="BM102" s="246"/>
      <c r="BN102" s="246"/>
      <c r="BO102" s="271"/>
      <c r="BP102" s="246"/>
      <c r="BQ102" s="246"/>
      <c r="BR102" s="246"/>
      <c r="BS102" s="271"/>
      <c r="BT102" s="246"/>
      <c r="BU102" s="246"/>
      <c r="BV102" s="246"/>
      <c r="BW102" s="271"/>
      <c r="BX102" s="246"/>
      <c r="BY102" s="246"/>
      <c r="BZ102" s="246"/>
      <c r="CA102" s="271"/>
      <c r="CB102" s="246"/>
      <c r="CC102" s="246"/>
      <c r="CD102" s="246"/>
      <c r="CE102" s="271"/>
      <c r="CF102" s="246"/>
      <c r="CG102" s="246"/>
      <c r="CH102" s="246"/>
      <c r="CI102" s="271"/>
      <c r="CJ102" s="246"/>
      <c r="CK102" s="246"/>
      <c r="CL102" s="246"/>
      <c r="CM102" s="246"/>
      <c r="CN102" s="246"/>
      <c r="CO102" s="246"/>
      <c r="CP102" s="246"/>
      <c r="CQ102" s="246"/>
      <c r="CR102" s="246"/>
      <c r="CS102" s="246"/>
      <c r="CT102" s="246"/>
      <c r="CU102" s="246"/>
      <c r="CV102" s="246"/>
      <c r="CW102" s="246"/>
      <c r="CX102" s="246"/>
      <c r="CY102" s="246"/>
      <c r="CZ102" s="246"/>
      <c r="DA102" s="246"/>
      <c r="DB102" s="246"/>
      <c r="DC102" s="246"/>
      <c r="DD102" s="246"/>
      <c r="DE102" s="246"/>
      <c r="DF102" s="246"/>
      <c r="DG102" s="246"/>
      <c r="DH102" s="246"/>
      <c r="DI102" s="246"/>
      <c r="DJ102" s="246"/>
      <c r="DK102" s="246"/>
      <c r="DL102" s="246"/>
      <c r="DM102" s="246"/>
      <c r="DN102" s="246"/>
      <c r="DO102" s="246"/>
      <c r="DP102" s="246"/>
      <c r="DQ102" s="246"/>
      <c r="DR102" s="246"/>
      <c r="DS102" s="246"/>
      <c r="DT102" s="246"/>
      <c r="DU102" s="246"/>
      <c r="DV102" s="246"/>
      <c r="DW102" s="246"/>
      <c r="DX102" s="246"/>
      <c r="DY102" s="246"/>
      <c r="DZ102" s="246"/>
      <c r="EA102" s="246"/>
      <c r="EB102" s="246"/>
      <c r="EC102" s="246"/>
      <c r="ED102" s="246"/>
      <c r="EE102" s="246"/>
      <c r="EF102" s="246"/>
      <c r="EG102" s="246"/>
      <c r="EH102" s="246"/>
      <c r="EI102" s="246"/>
      <c r="EJ102" s="246"/>
      <c r="EK102" s="246"/>
      <c r="EL102" s="246"/>
      <c r="EM102" s="246"/>
      <c r="EN102" s="246"/>
      <c r="EO102" s="248"/>
      <c r="EP102" s="246"/>
      <c r="EQ102" s="246"/>
      <c r="ER102" s="246"/>
      <c r="ES102" s="246"/>
      <c r="ET102" s="246"/>
      <c r="EU102" s="246"/>
      <c r="EV102" s="246"/>
      <c r="EW102" s="246"/>
      <c r="EX102" s="246"/>
      <c r="EY102" s="246"/>
      <c r="EZ102" s="246"/>
      <c r="FA102" s="246"/>
      <c r="FB102" s="246"/>
      <c r="FC102" s="246"/>
      <c r="FD102" s="246"/>
      <c r="FE102" s="246"/>
      <c r="FF102" s="246"/>
      <c r="FG102" s="246"/>
      <c r="FH102" s="246"/>
      <c r="FI102" s="246"/>
      <c r="FJ102" s="246"/>
      <c r="FK102" s="246"/>
      <c r="FL102" s="246"/>
      <c r="FM102" s="246"/>
      <c r="FN102" s="246"/>
      <c r="FO102" s="246"/>
      <c r="FP102" s="246"/>
      <c r="FQ102" s="246"/>
      <c r="FR102" s="246"/>
      <c r="FS102" s="246"/>
      <c r="FT102" s="246"/>
      <c r="FU102" s="246"/>
      <c r="FV102" s="246"/>
      <c r="FW102" s="246"/>
      <c r="FX102" s="246"/>
      <c r="FY102" s="246"/>
      <c r="FZ102" s="246"/>
      <c r="GA102" s="246"/>
      <c r="GB102" s="246"/>
      <c r="GC102" s="246"/>
      <c r="GD102" s="246"/>
      <c r="GE102" s="246"/>
      <c r="GF102" s="246"/>
      <c r="GG102" s="246"/>
      <c r="GH102" s="246"/>
      <c r="GI102" s="246"/>
      <c r="GJ102" s="246"/>
    </row>
    <row r="103" spans="1:192" s="247" customFormat="1">
      <c r="A103" s="246"/>
      <c r="B103" s="245"/>
      <c r="C103" s="253"/>
      <c r="D103" s="230"/>
      <c r="E103" s="254"/>
      <c r="F103" s="254"/>
      <c r="G103" s="271"/>
      <c r="H103" s="246"/>
      <c r="I103" s="246"/>
      <c r="J103" s="246"/>
      <c r="K103" s="271"/>
      <c r="L103" s="246"/>
      <c r="M103" s="246"/>
      <c r="N103" s="246"/>
      <c r="O103" s="271"/>
      <c r="P103" s="246"/>
      <c r="Q103" s="246"/>
      <c r="R103" s="246"/>
      <c r="S103" s="271"/>
      <c r="T103" s="246"/>
      <c r="U103" s="246"/>
      <c r="V103" s="246"/>
      <c r="W103" s="271"/>
      <c r="X103" s="246"/>
      <c r="Y103" s="246"/>
      <c r="Z103" s="246"/>
      <c r="AA103" s="271"/>
      <c r="AB103" s="246"/>
      <c r="AC103" s="246"/>
      <c r="AD103" s="246"/>
      <c r="AE103" s="271"/>
      <c r="AF103" s="246"/>
      <c r="AG103" s="246"/>
      <c r="AH103" s="246"/>
      <c r="AI103" s="271"/>
      <c r="AJ103" s="246"/>
      <c r="AK103" s="246"/>
      <c r="AL103" s="246"/>
      <c r="AM103" s="271"/>
      <c r="AN103" s="246"/>
      <c r="AO103" s="246"/>
      <c r="AP103" s="246"/>
      <c r="AQ103" s="271"/>
      <c r="AR103" s="246"/>
      <c r="AS103" s="246"/>
      <c r="AT103" s="246"/>
      <c r="AU103" s="271"/>
      <c r="AV103" s="246"/>
      <c r="AW103" s="246"/>
      <c r="AX103" s="246"/>
      <c r="AY103" s="271"/>
      <c r="AZ103" s="246"/>
      <c r="BA103" s="246"/>
      <c r="BB103" s="246"/>
      <c r="BC103" s="271"/>
      <c r="BD103" s="246"/>
      <c r="BE103" s="246"/>
      <c r="BF103" s="246"/>
      <c r="BG103" s="271"/>
      <c r="BH103" s="246"/>
      <c r="BI103" s="246"/>
      <c r="BJ103" s="246"/>
      <c r="BK103" s="271"/>
      <c r="BL103" s="246"/>
      <c r="BM103" s="246"/>
      <c r="BN103" s="246"/>
      <c r="BO103" s="271"/>
      <c r="BP103" s="246"/>
      <c r="BQ103" s="246"/>
      <c r="BR103" s="246"/>
      <c r="BS103" s="271"/>
      <c r="BT103" s="246"/>
      <c r="BU103" s="246"/>
      <c r="BV103" s="246"/>
      <c r="BW103" s="271"/>
      <c r="BX103" s="246"/>
      <c r="BY103" s="246"/>
      <c r="BZ103" s="246"/>
      <c r="CA103" s="271"/>
      <c r="CB103" s="246"/>
      <c r="CC103" s="246"/>
      <c r="CD103" s="246"/>
      <c r="CE103" s="271"/>
      <c r="CF103" s="246"/>
      <c r="CG103" s="246"/>
      <c r="CH103" s="246"/>
      <c r="CI103" s="271"/>
      <c r="CJ103" s="246"/>
      <c r="CK103" s="246"/>
      <c r="CL103" s="246"/>
      <c r="CM103" s="246"/>
      <c r="CN103" s="246"/>
      <c r="CO103" s="246"/>
      <c r="CP103" s="246"/>
      <c r="CQ103" s="246"/>
      <c r="CR103" s="246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6"/>
      <c r="DJ103" s="246"/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6"/>
      <c r="EB103" s="246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8"/>
      <c r="EP103" s="246"/>
      <c r="EQ103" s="246"/>
      <c r="ER103" s="246"/>
      <c r="ES103" s="246"/>
      <c r="ET103" s="246"/>
      <c r="EU103" s="246"/>
      <c r="EV103" s="246"/>
      <c r="EW103" s="246"/>
      <c r="EX103" s="246"/>
      <c r="EY103" s="246"/>
      <c r="EZ103" s="246"/>
      <c r="FA103" s="246"/>
      <c r="FB103" s="246"/>
      <c r="FC103" s="246"/>
      <c r="FD103" s="246"/>
      <c r="FE103" s="246"/>
      <c r="FF103" s="246"/>
      <c r="FG103" s="246"/>
      <c r="FH103" s="246"/>
      <c r="FI103" s="246"/>
      <c r="FJ103" s="246"/>
      <c r="FK103" s="246"/>
      <c r="FL103" s="246"/>
      <c r="FM103" s="246"/>
      <c r="FN103" s="246"/>
      <c r="FO103" s="246"/>
      <c r="FP103" s="246"/>
      <c r="FQ103" s="246"/>
      <c r="FR103" s="246"/>
      <c r="FS103" s="246"/>
      <c r="FT103" s="246"/>
      <c r="FU103" s="246"/>
      <c r="FV103" s="246"/>
      <c r="FW103" s="246"/>
      <c r="FX103" s="246"/>
      <c r="FY103" s="246"/>
      <c r="FZ103" s="246"/>
      <c r="GA103" s="246"/>
      <c r="GB103" s="246"/>
      <c r="GC103" s="246"/>
      <c r="GD103" s="246"/>
      <c r="GE103" s="246"/>
      <c r="GF103" s="246"/>
      <c r="GG103" s="246"/>
      <c r="GH103" s="246"/>
      <c r="GI103" s="246"/>
      <c r="GJ103" s="246"/>
    </row>
    <row r="104" spans="1:192" s="247" customFormat="1">
      <c r="A104" s="246"/>
      <c r="B104" s="245"/>
      <c r="C104" s="253"/>
      <c r="D104" s="230"/>
      <c r="E104" s="254"/>
      <c r="F104" s="254"/>
      <c r="G104" s="271"/>
      <c r="H104" s="246"/>
      <c r="I104" s="246"/>
      <c r="J104" s="246"/>
      <c r="K104" s="271"/>
      <c r="L104" s="246"/>
      <c r="M104" s="246"/>
      <c r="N104" s="246"/>
      <c r="O104" s="271"/>
      <c r="P104" s="246"/>
      <c r="Q104" s="246"/>
      <c r="R104" s="246"/>
      <c r="S104" s="271"/>
      <c r="T104" s="246"/>
      <c r="U104" s="246"/>
      <c r="V104" s="246"/>
      <c r="W104" s="271"/>
      <c r="X104" s="246"/>
      <c r="Y104" s="246"/>
      <c r="Z104" s="246"/>
      <c r="AA104" s="271"/>
      <c r="AB104" s="246"/>
      <c r="AC104" s="246"/>
      <c r="AD104" s="246"/>
      <c r="AE104" s="271"/>
      <c r="AF104" s="246"/>
      <c r="AG104" s="246"/>
      <c r="AH104" s="246"/>
      <c r="AI104" s="271"/>
      <c r="AJ104" s="246"/>
      <c r="AK104" s="246"/>
      <c r="AL104" s="246"/>
      <c r="AM104" s="271"/>
      <c r="AN104" s="246"/>
      <c r="AO104" s="246"/>
      <c r="AP104" s="246"/>
      <c r="AQ104" s="271"/>
      <c r="AR104" s="246"/>
      <c r="AS104" s="246"/>
      <c r="AT104" s="246"/>
      <c r="AU104" s="271"/>
      <c r="AV104" s="246"/>
      <c r="AW104" s="246"/>
      <c r="AX104" s="246"/>
      <c r="AY104" s="271"/>
      <c r="AZ104" s="246"/>
      <c r="BA104" s="246"/>
      <c r="BB104" s="246"/>
      <c r="BC104" s="271"/>
      <c r="BD104" s="246"/>
      <c r="BE104" s="246"/>
      <c r="BF104" s="246"/>
      <c r="BG104" s="271"/>
      <c r="BH104" s="246"/>
      <c r="BI104" s="246"/>
      <c r="BJ104" s="246"/>
      <c r="BK104" s="271"/>
      <c r="BL104" s="246"/>
      <c r="BM104" s="246"/>
      <c r="BN104" s="246"/>
      <c r="BO104" s="271"/>
      <c r="BP104" s="246"/>
      <c r="BQ104" s="246"/>
      <c r="BR104" s="246"/>
      <c r="BS104" s="271"/>
      <c r="BT104" s="246"/>
      <c r="BU104" s="246"/>
      <c r="BV104" s="246"/>
      <c r="BW104" s="271"/>
      <c r="BX104" s="246"/>
      <c r="BY104" s="246"/>
      <c r="BZ104" s="246"/>
      <c r="CA104" s="271"/>
      <c r="CB104" s="246"/>
      <c r="CC104" s="246"/>
      <c r="CD104" s="246"/>
      <c r="CE104" s="271"/>
      <c r="CF104" s="246"/>
      <c r="CG104" s="246"/>
      <c r="CH104" s="246"/>
      <c r="CI104" s="271"/>
      <c r="CJ104" s="246"/>
      <c r="CK104" s="246"/>
      <c r="CL104" s="246"/>
      <c r="CM104" s="246"/>
      <c r="CN104" s="246"/>
      <c r="CO104" s="246"/>
      <c r="CP104" s="246"/>
      <c r="CQ104" s="246"/>
      <c r="CR104" s="246"/>
      <c r="CS104" s="246"/>
      <c r="CT104" s="246"/>
      <c r="CU104" s="246"/>
      <c r="CV104" s="246"/>
      <c r="CW104" s="246"/>
      <c r="CX104" s="246"/>
      <c r="CY104" s="246"/>
      <c r="CZ104" s="246"/>
      <c r="DA104" s="246"/>
      <c r="DB104" s="246"/>
      <c r="DC104" s="246"/>
      <c r="DD104" s="246"/>
      <c r="DE104" s="246"/>
      <c r="DF104" s="246"/>
      <c r="DG104" s="246"/>
      <c r="DH104" s="246"/>
      <c r="DI104" s="246"/>
      <c r="DJ104" s="246"/>
      <c r="DK104" s="246"/>
      <c r="DL104" s="246"/>
      <c r="DM104" s="246"/>
      <c r="DN104" s="246"/>
      <c r="DO104" s="246"/>
      <c r="DP104" s="246"/>
      <c r="DQ104" s="246"/>
      <c r="DR104" s="246"/>
      <c r="DS104" s="246"/>
      <c r="DT104" s="246"/>
      <c r="DU104" s="246"/>
      <c r="DV104" s="246"/>
      <c r="DW104" s="246"/>
      <c r="DX104" s="246"/>
      <c r="DY104" s="246"/>
      <c r="DZ104" s="246"/>
      <c r="EA104" s="246"/>
      <c r="EB104" s="246"/>
      <c r="EC104" s="246"/>
      <c r="ED104" s="246"/>
      <c r="EE104" s="246"/>
      <c r="EF104" s="246"/>
      <c r="EG104" s="246"/>
      <c r="EH104" s="246"/>
      <c r="EI104" s="246"/>
      <c r="EJ104" s="246"/>
      <c r="EK104" s="246"/>
      <c r="EL104" s="246"/>
      <c r="EM104" s="246"/>
      <c r="EN104" s="246"/>
      <c r="EO104" s="248"/>
      <c r="EP104" s="246"/>
      <c r="EQ104" s="246"/>
      <c r="ER104" s="246"/>
      <c r="ES104" s="246"/>
      <c r="ET104" s="246"/>
      <c r="EU104" s="246"/>
      <c r="EV104" s="246"/>
      <c r="EW104" s="246"/>
      <c r="EX104" s="246"/>
      <c r="EY104" s="246"/>
      <c r="EZ104" s="246"/>
      <c r="FA104" s="246"/>
      <c r="FB104" s="246"/>
      <c r="FC104" s="246"/>
      <c r="FD104" s="246"/>
      <c r="FE104" s="246"/>
      <c r="FF104" s="246"/>
      <c r="FG104" s="246"/>
      <c r="FH104" s="246"/>
      <c r="FI104" s="246"/>
      <c r="FJ104" s="246"/>
      <c r="FK104" s="246"/>
      <c r="FL104" s="246"/>
      <c r="FM104" s="246"/>
      <c r="FN104" s="246"/>
      <c r="FO104" s="246"/>
      <c r="FP104" s="246"/>
      <c r="FQ104" s="246"/>
      <c r="FR104" s="246"/>
      <c r="FS104" s="246"/>
      <c r="FT104" s="246"/>
      <c r="FU104" s="246"/>
      <c r="FV104" s="246"/>
      <c r="FW104" s="246"/>
      <c r="FX104" s="246"/>
      <c r="FY104" s="246"/>
      <c r="FZ104" s="246"/>
      <c r="GA104" s="246"/>
      <c r="GB104" s="246"/>
      <c r="GC104" s="246"/>
      <c r="GD104" s="246"/>
      <c r="GE104" s="246"/>
      <c r="GF104" s="246"/>
      <c r="GG104" s="246"/>
      <c r="GH104" s="246"/>
      <c r="GI104" s="246"/>
      <c r="GJ104" s="246"/>
    </row>
    <row r="105" spans="1:192" s="247" customFormat="1">
      <c r="A105" s="246"/>
      <c r="B105" s="245"/>
      <c r="C105" s="253"/>
      <c r="D105" s="230"/>
      <c r="E105" s="254"/>
      <c r="F105" s="254"/>
      <c r="G105" s="271"/>
      <c r="H105" s="246"/>
      <c r="I105" s="246"/>
      <c r="J105" s="246"/>
      <c r="K105" s="271"/>
      <c r="L105" s="246"/>
      <c r="M105" s="246"/>
      <c r="N105" s="246"/>
      <c r="O105" s="271"/>
      <c r="P105" s="246"/>
      <c r="Q105" s="246"/>
      <c r="R105" s="246"/>
      <c r="S105" s="271"/>
      <c r="T105" s="246"/>
      <c r="U105" s="246"/>
      <c r="V105" s="246"/>
      <c r="W105" s="271"/>
      <c r="X105" s="246"/>
      <c r="Y105" s="246"/>
      <c r="Z105" s="246"/>
      <c r="AA105" s="271"/>
      <c r="AB105" s="246"/>
      <c r="AC105" s="246"/>
      <c r="AD105" s="246"/>
      <c r="AE105" s="271"/>
      <c r="AF105" s="246"/>
      <c r="AG105" s="246"/>
      <c r="AH105" s="246"/>
      <c r="AI105" s="271"/>
      <c r="AJ105" s="246"/>
      <c r="AK105" s="246"/>
      <c r="AL105" s="246"/>
      <c r="AM105" s="271"/>
      <c r="AN105" s="246"/>
      <c r="AO105" s="246"/>
      <c r="AP105" s="246"/>
      <c r="AQ105" s="271"/>
      <c r="AR105" s="246"/>
      <c r="AS105" s="246"/>
      <c r="AT105" s="246"/>
      <c r="AU105" s="271"/>
      <c r="AV105" s="246"/>
      <c r="AW105" s="246"/>
      <c r="AX105" s="246"/>
      <c r="AY105" s="271"/>
      <c r="AZ105" s="246"/>
      <c r="BA105" s="246"/>
      <c r="BB105" s="246"/>
      <c r="BC105" s="271"/>
      <c r="BD105" s="246"/>
      <c r="BE105" s="246"/>
      <c r="BF105" s="246"/>
      <c r="BG105" s="271"/>
      <c r="BH105" s="246"/>
      <c r="BI105" s="246"/>
      <c r="BJ105" s="246"/>
      <c r="BK105" s="271"/>
      <c r="BL105" s="246"/>
      <c r="BM105" s="246"/>
      <c r="BN105" s="246"/>
      <c r="BO105" s="271"/>
      <c r="BP105" s="246"/>
      <c r="BQ105" s="246"/>
      <c r="BR105" s="246"/>
      <c r="BS105" s="271"/>
      <c r="BT105" s="246"/>
      <c r="BU105" s="246"/>
      <c r="BV105" s="246"/>
      <c r="BW105" s="271"/>
      <c r="BX105" s="246"/>
      <c r="BY105" s="246"/>
      <c r="BZ105" s="246"/>
      <c r="CA105" s="271"/>
      <c r="CB105" s="246"/>
      <c r="CC105" s="246"/>
      <c r="CD105" s="246"/>
      <c r="CE105" s="271"/>
      <c r="CF105" s="246"/>
      <c r="CG105" s="246"/>
      <c r="CH105" s="246"/>
      <c r="CI105" s="271"/>
      <c r="CJ105" s="246"/>
      <c r="CK105" s="246"/>
      <c r="CL105" s="246"/>
      <c r="CM105" s="246"/>
      <c r="CN105" s="246"/>
      <c r="CO105" s="246"/>
      <c r="CP105" s="246"/>
      <c r="CQ105" s="246"/>
      <c r="CR105" s="246"/>
      <c r="CS105" s="246"/>
      <c r="CT105" s="246"/>
      <c r="CU105" s="246"/>
      <c r="CV105" s="246"/>
      <c r="CW105" s="246"/>
      <c r="CX105" s="246"/>
      <c r="CY105" s="246"/>
      <c r="CZ105" s="246"/>
      <c r="DA105" s="246"/>
      <c r="DB105" s="246"/>
      <c r="DC105" s="246"/>
      <c r="DD105" s="246"/>
      <c r="DE105" s="246"/>
      <c r="DF105" s="246"/>
      <c r="DG105" s="246"/>
      <c r="DH105" s="246"/>
      <c r="DI105" s="246"/>
      <c r="DJ105" s="246"/>
      <c r="DK105" s="246"/>
      <c r="DL105" s="246"/>
      <c r="DM105" s="246"/>
      <c r="DN105" s="246"/>
      <c r="DO105" s="246"/>
      <c r="DP105" s="246"/>
      <c r="DQ105" s="246"/>
      <c r="DR105" s="246"/>
      <c r="DS105" s="246"/>
      <c r="DT105" s="246"/>
      <c r="DU105" s="246"/>
      <c r="DV105" s="246"/>
      <c r="DW105" s="246"/>
      <c r="DX105" s="246"/>
      <c r="DY105" s="246"/>
      <c r="DZ105" s="246"/>
      <c r="EA105" s="246"/>
      <c r="EB105" s="246"/>
      <c r="EC105" s="246"/>
      <c r="ED105" s="246"/>
      <c r="EE105" s="246"/>
      <c r="EF105" s="246"/>
      <c r="EG105" s="246"/>
      <c r="EH105" s="246"/>
      <c r="EI105" s="246"/>
      <c r="EJ105" s="246"/>
      <c r="EK105" s="246"/>
      <c r="EL105" s="246"/>
      <c r="EM105" s="246"/>
      <c r="EN105" s="246"/>
      <c r="EO105" s="248"/>
      <c r="EP105" s="246"/>
      <c r="EQ105" s="246"/>
      <c r="ER105" s="246"/>
      <c r="ES105" s="246"/>
      <c r="ET105" s="246"/>
      <c r="EU105" s="246"/>
      <c r="EV105" s="246"/>
      <c r="EW105" s="246"/>
      <c r="EX105" s="246"/>
      <c r="EY105" s="246"/>
      <c r="EZ105" s="246"/>
      <c r="FA105" s="246"/>
      <c r="FB105" s="246"/>
      <c r="FC105" s="246"/>
      <c r="FD105" s="246"/>
      <c r="FE105" s="246"/>
      <c r="FF105" s="246"/>
      <c r="FG105" s="246"/>
      <c r="FH105" s="246"/>
      <c r="FI105" s="246"/>
      <c r="FJ105" s="246"/>
      <c r="FK105" s="246"/>
      <c r="FL105" s="246"/>
      <c r="FM105" s="246"/>
      <c r="FN105" s="246"/>
      <c r="FO105" s="246"/>
      <c r="FP105" s="246"/>
      <c r="FQ105" s="246"/>
      <c r="FR105" s="246"/>
      <c r="FS105" s="246"/>
      <c r="FT105" s="246"/>
      <c r="FU105" s="246"/>
      <c r="FV105" s="246"/>
      <c r="FW105" s="246"/>
      <c r="FX105" s="246"/>
      <c r="FY105" s="246"/>
      <c r="FZ105" s="246"/>
      <c r="GA105" s="246"/>
      <c r="GB105" s="246"/>
      <c r="GC105" s="246"/>
      <c r="GD105" s="246"/>
      <c r="GE105" s="246"/>
      <c r="GF105" s="246"/>
      <c r="GG105" s="246"/>
      <c r="GH105" s="246"/>
      <c r="GI105" s="246"/>
      <c r="GJ105" s="246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">
    <tabColor rgb="FFFFC000"/>
    <outlinePr summaryBelow="0" summaryRight="0"/>
  </sheetPr>
  <dimension ref="B1:L54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H1" si="0">F1+1</f>
        <v>5</v>
      </c>
      <c r="H1" s="80">
        <f t="shared" si="0"/>
        <v>6</v>
      </c>
      <c r="I1" s="96">
        <v>7</v>
      </c>
      <c r="L1" s="93" t="s">
        <v>311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310</v>
      </c>
      <c r="L2" s="88" t="str">
        <f>L$1 &amp; K2</f>
        <v>'YTD Calculation'!a1</v>
      </c>
    </row>
    <row r="3" spans="2:12">
      <c r="K3" s="92" t="s">
        <v>309</v>
      </c>
      <c r="L3" s="88" t="str">
        <f>L$1 &amp; K3</f>
        <v>'YTD Calculation'!b1:b200</v>
      </c>
    </row>
    <row r="4" spans="2:12">
      <c r="K4" s="92"/>
      <c r="L4" s="88"/>
    </row>
    <row r="5" spans="2:12">
      <c r="E5" s="79" t="str">
        <f ca="1">E6 &amp; ":::" &amp; E7</f>
        <v>2020.1:::Wgt % Return</v>
      </c>
      <c r="F5" s="79" t="str">
        <f t="shared" ref="F5:I5" ca="1" si="2">F6 &amp; ":::" &amp; F7</f>
        <v>2020.1:::% Return</v>
      </c>
      <c r="G5" s="79" t="str">
        <f t="shared" ca="1" si="2"/>
        <v>2020.1:::Annual  Return</v>
      </c>
      <c r="H5" s="79" t="str">
        <f t="shared" ca="1" si="2"/>
        <v>2020.1:::Wgt Mkt Cap %</v>
      </c>
      <c r="I5" s="79" t="str">
        <f t="shared" ca="1" si="2"/>
        <v>2020.1:::Mkt Cap</v>
      </c>
      <c r="K5" s="92"/>
      <c r="L5" s="88"/>
    </row>
    <row r="6" spans="2:12">
      <c r="E6" s="86">
        <f ca="1">OFFSET( INDIRECT( $L$2 ),E$2 - 1, E$1 - 1 )</f>
        <v>2020.1</v>
      </c>
      <c r="F6" s="86">
        <f ca="1">OFFSET( INDIRECT( $L$2 ),F$2 - 1, F$1 - 1 )</f>
        <v>2020.1</v>
      </c>
      <c r="G6" s="86">
        <f ca="1">OFFSET( INDIRECT( $L$2 ),G$2 - 1, G$1 - 1 )</f>
        <v>2020.1</v>
      </c>
      <c r="H6" s="86">
        <f ca="1">OFFSET( INDIRECT( $L$2 ),H$2 - 1, H$1 - 1 )</f>
        <v>2020.1</v>
      </c>
      <c r="I6" s="86">
        <f ca="1">OFFSET( INDIRECT( $L$2 ),I$2 - 1, I$1 - 1 )</f>
        <v>2020.1</v>
      </c>
    </row>
    <row r="7" spans="2:12">
      <c r="C7" s="79" t="s">
        <v>206</v>
      </c>
      <c r="E7" s="292" t="s">
        <v>409</v>
      </c>
      <c r="F7" s="293" t="s">
        <v>410</v>
      </c>
      <c r="G7" s="292" t="s">
        <v>411</v>
      </c>
      <c r="H7" s="292" t="s">
        <v>412</v>
      </c>
      <c r="I7" s="292" t="s">
        <v>312</v>
      </c>
    </row>
    <row r="8" spans="2:12">
      <c r="E8" s="86"/>
      <c r="F8" s="87"/>
      <c r="G8" s="86"/>
      <c r="H8" s="86"/>
      <c r="I8" s="86"/>
      <c r="L8" s="79" t="s">
        <v>307</v>
      </c>
    </row>
    <row r="9" spans="2:12">
      <c r="E9" s="86"/>
      <c r="F9" s="87"/>
      <c r="G9" s="86"/>
      <c r="H9" s="86"/>
      <c r="I9" s="86"/>
    </row>
    <row r="10" spans="2:12">
      <c r="B10" s="79" t="s">
        <v>43</v>
      </c>
      <c r="C10" s="81" t="s">
        <v>153</v>
      </c>
      <c r="D10" s="81"/>
      <c r="E10" s="89">
        <f ca="1">OFFSET( INDIRECT( $L$2 ), $L10 - 1, E$1 - 1 )</f>
        <v>-0.11352467919335832</v>
      </c>
      <c r="F10" s="90">
        <f t="shared" ref="F10:I29" ca="1" si="3">OFFSET( INDIRECT( $L$2 ), $L10 - 1, F$1 - 1 )</f>
        <v>-24.482567451028704</v>
      </c>
      <c r="G10" s="90">
        <f t="shared" ca="1" si="3"/>
        <v>69.190433790987001</v>
      </c>
      <c r="H10" s="89">
        <f ca="1">OFFSET( INDIRECT( $L$2 ), $L10 - 1, H$1 - 1 )</f>
        <v>4.0477618971945864E-3</v>
      </c>
      <c r="I10" s="91">
        <f t="shared" ca="1" si="3"/>
        <v>3131.0880000000002</v>
      </c>
      <c r="L10" s="79">
        <f ca="1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ref="E11:E24" ca="1" si="4">OFFSET( INDIRECT( $L$2 ), $L11 - 1, E$1 - 1 )</f>
        <v>-0.15983879077333504</v>
      </c>
      <c r="F11" s="90">
        <f t="shared" ca="1" si="3"/>
        <v>-11.056286549707595</v>
      </c>
      <c r="G11" s="90">
        <f t="shared" ca="1" si="3"/>
        <v>54.918267744611647</v>
      </c>
      <c r="H11" s="89">
        <f t="shared" ca="1" si="3"/>
        <v>1.4888991191146044E-2</v>
      </c>
      <c r="I11" s="91">
        <f t="shared" ca="1" si="3"/>
        <v>11517.164999999999</v>
      </c>
      <c r="L11" s="79">
        <f t="shared" ref="L11:L37" ca="1" si="5">MATCH( $C11, INDIRECT( L$3 ), 0 )</f>
        <v>105</v>
      </c>
    </row>
    <row r="12" spans="2:12">
      <c r="B12" s="79" t="s">
        <v>22</v>
      </c>
      <c r="C12" s="81" t="s">
        <v>145</v>
      </c>
      <c r="D12" s="81"/>
      <c r="E12" s="89">
        <f t="shared" ca="1" si="4"/>
        <v>-9.4419255619586723E-2</v>
      </c>
      <c r="F12" s="90">
        <f t="shared" ca="1" si="3"/>
        <v>-4.5247395833333144</v>
      </c>
      <c r="G12" s="90">
        <f t="shared" ca="1" si="3"/>
        <v>82.652058194184178</v>
      </c>
      <c r="H12" s="89">
        <f t="shared" ca="1" si="3"/>
        <v>2.3123754856998791E-2</v>
      </c>
      <c r="I12" s="91">
        <f t="shared" ca="1" si="3"/>
        <v>17887.047999999999</v>
      </c>
      <c r="L12" s="79">
        <f t="shared" ca="1" si="5"/>
        <v>62</v>
      </c>
    </row>
    <row r="13" spans="2:12">
      <c r="B13" s="79" t="s">
        <v>18</v>
      </c>
      <c r="C13" s="81" t="s">
        <v>120</v>
      </c>
      <c r="D13" s="81"/>
      <c r="E13" s="89">
        <f t="shared" ca="1" si="4"/>
        <v>-0.75466607813179398</v>
      </c>
      <c r="F13" s="90">
        <f t="shared" ca="1" si="3"/>
        <v>-14.633372129933331</v>
      </c>
      <c r="G13" s="90">
        <f t="shared" ca="1" si="3"/>
        <v>92.242867943976705</v>
      </c>
      <c r="H13" s="89">
        <f t="shared" ca="1" si="3"/>
        <v>5.1045708565503133E-2</v>
      </c>
      <c r="I13" s="91">
        <f t="shared" ca="1" si="3"/>
        <v>39485.673713100005</v>
      </c>
      <c r="L13" s="79">
        <f t="shared" ca="1" si="5"/>
        <v>8</v>
      </c>
    </row>
    <row r="14" spans="2:12">
      <c r="B14" s="79" t="s">
        <v>644</v>
      </c>
      <c r="C14" s="81" t="s">
        <v>645</v>
      </c>
      <c r="D14" s="81"/>
      <c r="E14" s="89">
        <f t="shared" ca="1" si="4"/>
        <v>-0.23733120503261679</v>
      </c>
      <c r="F14" s="90">
        <f t="shared" ca="1" si="3"/>
        <v>-13.565285379202496</v>
      </c>
      <c r="G14" s="90">
        <f t="shared" ca="1" si="3"/>
        <v>44.220000000000006</v>
      </c>
      <c r="H14" s="89">
        <f t="shared" ca="1" si="3"/>
        <v>1.7516348643211711E-2</v>
      </c>
      <c r="I14" s="91">
        <f t="shared" ca="1" si="3"/>
        <v>13549.519569960001</v>
      </c>
      <c r="L14" s="79">
        <f t="shared" ca="1" si="5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4"/>
        <v>-3.8037939974450569E-2</v>
      </c>
      <c r="F15" s="90">
        <f t="shared" ca="1" si="3"/>
        <v>-10.802661676024128</v>
      </c>
      <c r="G15" s="90">
        <f t="shared" ca="1" si="3"/>
        <v>48.775320654771974</v>
      </c>
      <c r="H15" s="89">
        <f t="shared" ca="1" si="3"/>
        <v>3.6366139905349469E-3</v>
      </c>
      <c r="I15" s="91">
        <f t="shared" ca="1" si="3"/>
        <v>2813.0504500000002</v>
      </c>
      <c r="L15" s="79">
        <f t="shared" ca="1" si="5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4"/>
        <v>-9.4158164213648032E-2</v>
      </c>
      <c r="F16" s="90">
        <f t="shared" ca="1" si="3"/>
        <v>-17.793481028775162</v>
      </c>
      <c r="G16" s="90">
        <f t="shared" ca="1" si="3"/>
        <v>72.361225560712526</v>
      </c>
      <c r="H16" s="89">
        <f t="shared" ca="1" si="3"/>
        <v>5.0213432587183048E-3</v>
      </c>
      <c r="I16" s="91">
        <f t="shared" ca="1" si="3"/>
        <v>3884.18786</v>
      </c>
      <c r="L16" s="79">
        <f t="shared" ca="1" si="5"/>
        <v>11</v>
      </c>
    </row>
    <row r="17" spans="2:12">
      <c r="B17" s="79" t="s">
        <v>28</v>
      </c>
      <c r="C17" s="81" t="s">
        <v>132</v>
      </c>
      <c r="D17" s="81"/>
      <c r="E17" s="89">
        <f t="shared" ca="1" si="4"/>
        <v>-0.63984895280873988</v>
      </c>
      <c r="F17" s="90">
        <f t="shared" ca="1" si="3"/>
        <v>-42.280894756142274</v>
      </c>
      <c r="G17" s="90">
        <f t="shared" ca="1" si="3"/>
        <v>18.501567716791278</v>
      </c>
      <c r="H17" s="89">
        <f t="shared" ca="1" si="3"/>
        <v>1.0027557000798788E-2</v>
      </c>
      <c r="I17" s="91">
        <f t="shared" ca="1" si="3"/>
        <v>7756.6724999999997</v>
      </c>
      <c r="L17" s="79">
        <f t="shared" ca="1" si="5"/>
        <v>35</v>
      </c>
    </row>
    <row r="18" spans="2:12">
      <c r="B18" s="79" t="s">
        <v>80</v>
      </c>
      <c r="C18" s="82" t="s">
        <v>149</v>
      </c>
      <c r="D18" s="82"/>
      <c r="E18" s="89">
        <f t="shared" ca="1" si="4"/>
        <v>-0.1151533099034978</v>
      </c>
      <c r="F18" s="90">
        <f t="shared" ca="1" si="3"/>
        <v>-5.8601209420751088</v>
      </c>
      <c r="G18" s="90">
        <f t="shared" ca="1" si="3"/>
        <v>66.223449229832909</v>
      </c>
      <c r="H18" s="89">
        <f t="shared" ca="1" si="3"/>
        <v>2.1493838960524741E-2</v>
      </c>
      <c r="I18" s="91">
        <f t="shared" ca="1" si="3"/>
        <v>16626.25</v>
      </c>
      <c r="L18" s="79">
        <f t="shared" ca="1" si="5"/>
        <v>68</v>
      </c>
    </row>
    <row r="19" spans="2:12">
      <c r="B19" s="79" t="s">
        <v>108</v>
      </c>
      <c r="C19" s="81" t="s">
        <v>151</v>
      </c>
      <c r="D19" s="82"/>
      <c r="E19" s="89">
        <f t="shared" ca="1" si="4"/>
        <v>-0.42965342754463348</v>
      </c>
      <c r="F19" s="90">
        <f t="shared" ca="1" si="3"/>
        <v>-12.937990494086439</v>
      </c>
      <c r="G19" s="90">
        <f t="shared" ca="1" si="3"/>
        <v>90.493809569271932</v>
      </c>
      <c r="H19" s="89">
        <f t="shared" ca="1" si="3"/>
        <v>3.3124525114534273E-2</v>
      </c>
      <c r="I19" s="91">
        <f t="shared" ca="1" si="3"/>
        <v>25623</v>
      </c>
      <c r="L19" s="79">
        <f t="shared" ca="1" si="5"/>
        <v>73</v>
      </c>
    </row>
    <row r="20" spans="2:12">
      <c r="B20" s="79" t="s">
        <v>11</v>
      </c>
      <c r="C20" s="82" t="s">
        <v>678</v>
      </c>
      <c r="D20" s="81"/>
      <c r="E20" s="89">
        <f t="shared" ca="1" si="4"/>
        <v>-0.87048553186613098</v>
      </c>
      <c r="F20" s="90">
        <f t="shared" ca="1" si="3"/>
        <v>-11.700072446269017</v>
      </c>
      <c r="G20" s="90">
        <f t="shared" ca="1" si="3"/>
        <v>86.718196712099598</v>
      </c>
      <c r="H20" s="89">
        <f t="shared" ca="1" si="3"/>
        <v>7.548103882188438E-2</v>
      </c>
      <c r="I20" s="91">
        <f t="shared" ca="1" si="3"/>
        <v>58387.271999999997</v>
      </c>
      <c r="L20" s="79">
        <f t="shared" ca="1" si="5"/>
        <v>22</v>
      </c>
    </row>
    <row r="21" spans="2:12">
      <c r="B21" s="79" t="s">
        <v>23</v>
      </c>
      <c r="C21" s="81" t="s">
        <v>125</v>
      </c>
      <c r="D21" s="82"/>
      <c r="E21" s="89">
        <f t="shared" ca="1" si="4"/>
        <v>-0.68523234518331189</v>
      </c>
      <c r="F21" s="90">
        <f t="shared" ca="1" si="3"/>
        <v>-26.093401093401102</v>
      </c>
      <c r="G21" s="90">
        <f t="shared" ca="1" si="3"/>
        <v>108.98297060652961</v>
      </c>
      <c r="H21" s="89">
        <f t="shared" ca="1" si="3"/>
        <v>2.2713175185323897E-2</v>
      </c>
      <c r="I21" s="91">
        <f t="shared" ca="1" si="3"/>
        <v>17569.45</v>
      </c>
      <c r="L21" s="79">
        <f t="shared" ca="1" si="5"/>
        <v>21</v>
      </c>
    </row>
    <row r="22" spans="2:12">
      <c r="B22" s="79" t="s">
        <v>12</v>
      </c>
      <c r="C22" s="81" t="s">
        <v>127</v>
      </c>
      <c r="D22" s="81"/>
      <c r="E22" s="89">
        <f t="shared" ca="1" si="4"/>
        <v>-0.75597779585031277</v>
      </c>
      <c r="F22" s="90">
        <f t="shared" ca="1" si="3"/>
        <v>-10.289441947154909</v>
      </c>
      <c r="G22" s="90">
        <f t="shared" ca="1" si="3"/>
        <v>96.852179045634259</v>
      </c>
      <c r="H22" s="89">
        <f t="shared" ca="1" si="3"/>
        <v>7.6223406706127886E-2</v>
      </c>
      <c r="I22" s="91">
        <f t="shared" ca="1" si="3"/>
        <v>58961.52</v>
      </c>
      <c r="L22" s="79">
        <f t="shared" ca="1" si="5"/>
        <v>23</v>
      </c>
    </row>
    <row r="23" spans="2:12">
      <c r="B23" s="79" t="s">
        <v>16</v>
      </c>
      <c r="C23" s="82" t="s">
        <v>142</v>
      </c>
      <c r="D23" s="81"/>
      <c r="E23" s="89">
        <f t="shared" ca="1" si="4"/>
        <v>-0.76617244896320924</v>
      </c>
      <c r="F23" s="90">
        <f t="shared" ca="1" si="3"/>
        <v>-26.498475003315214</v>
      </c>
      <c r="G23" s="90">
        <f t="shared" ca="1" si="3"/>
        <v>63.19683003965158</v>
      </c>
      <c r="H23" s="89">
        <f t="shared" ca="1" si="3"/>
        <v>2.4082407545900679E-2</v>
      </c>
      <c r="I23" s="91">
        <f t="shared" ca="1" si="3"/>
        <v>18628.599999999999</v>
      </c>
      <c r="L23" s="79">
        <f t="shared" ca="1" si="5"/>
        <v>55</v>
      </c>
    </row>
    <row r="24" spans="2:12">
      <c r="B24" s="79" t="s">
        <v>46</v>
      </c>
      <c r="C24" s="82" t="s">
        <v>128</v>
      </c>
      <c r="D24" s="82"/>
      <c r="E24" s="89">
        <f t="shared" ca="1" si="4"/>
        <v>2.0420269529540349E-3</v>
      </c>
      <c r="F24" s="90">
        <f t="shared" ca="1" si="3"/>
        <v>0.67020179702461657</v>
      </c>
      <c r="G24" s="90">
        <f t="shared" ca="1" si="3"/>
        <v>75.552056243521974</v>
      </c>
      <c r="H24" s="89">
        <f t="shared" ca="1" si="3"/>
        <v>3.5674587032456006E-3</v>
      </c>
      <c r="I24" s="91">
        <f t="shared" ca="1" si="3"/>
        <v>2759.5563721200001</v>
      </c>
      <c r="L24" s="79">
        <f t="shared" ca="1" si="5"/>
        <v>26</v>
      </c>
    </row>
    <row r="25" spans="2:12">
      <c r="B25" s="79" t="s">
        <v>15</v>
      </c>
      <c r="C25" s="82" t="s">
        <v>130</v>
      </c>
      <c r="D25" s="82"/>
      <c r="E25" s="89">
        <f t="shared" ref="E25:I38" ca="1" si="6">OFFSET( INDIRECT( $L$2 ), $L25 - 1, E$1 - 1 )</f>
        <v>-0.54733355688166363</v>
      </c>
      <c r="F25" s="90">
        <f t="shared" ca="1" si="3"/>
        <v>-20.784641068447407</v>
      </c>
      <c r="G25" s="90">
        <f t="shared" ca="1" si="3"/>
        <v>112.04277478038246</v>
      </c>
      <c r="H25" s="89">
        <f t="shared" ca="1" si="3"/>
        <v>2.3712618208287278E-2</v>
      </c>
      <c r="I25" s="91">
        <f t="shared" ca="1" si="3"/>
        <v>18342.55477626</v>
      </c>
      <c r="L25" s="79">
        <f t="shared" ca="1" si="5"/>
        <v>28</v>
      </c>
    </row>
    <row r="26" spans="2:12">
      <c r="B26" s="79" t="s">
        <v>624</v>
      </c>
      <c r="C26" s="728" t="s">
        <v>625</v>
      </c>
      <c r="D26" s="81"/>
      <c r="E26" s="89">
        <f t="shared" ca="1" si="6"/>
        <v>-0.22530212505544708</v>
      </c>
      <c r="F26" s="90">
        <f t="shared" ca="1" si="6"/>
        <v>-7.3968496532267558</v>
      </c>
      <c r="G26" s="90">
        <f t="shared" ca="1" si="6"/>
        <v>89.039984861501381</v>
      </c>
      <c r="H26" s="89">
        <f t="shared" ca="1" si="6"/>
        <v>3.2497472005723518E-2</v>
      </c>
      <c r="I26" s="91">
        <f t="shared" ca="1" si="6"/>
        <v>25137.952086059999</v>
      </c>
      <c r="L26" s="79">
        <f t="shared" ca="1" si="5"/>
        <v>45</v>
      </c>
    </row>
    <row r="27" spans="2:12">
      <c r="B27" s="79" t="s">
        <v>680</v>
      </c>
      <c r="C27" s="728" t="s">
        <v>679</v>
      </c>
      <c r="D27" s="81"/>
      <c r="E27" s="89">
        <f t="shared" ca="1" si="6"/>
        <v>-0.24717010366530975</v>
      </c>
      <c r="F27" s="90">
        <f t="shared" ca="1" si="6"/>
        <v>-14.648947611000162</v>
      </c>
      <c r="G27" s="90">
        <f t="shared" ca="1" si="6"/>
        <v>62.66439486824882</v>
      </c>
      <c r="H27" s="89">
        <f t="shared" ca="1" si="6"/>
        <v>1.7044431692598415E-2</v>
      </c>
      <c r="I27" s="91">
        <f t="shared" ca="1" si="6"/>
        <v>13184.474999999999</v>
      </c>
      <c r="L27" s="79">
        <f t="shared" ca="1" si="5"/>
        <v>39</v>
      </c>
    </row>
    <row r="28" spans="2:12">
      <c r="B28" s="79" t="s">
        <v>10</v>
      </c>
      <c r="C28" s="83" t="s">
        <v>158</v>
      </c>
      <c r="D28" s="82"/>
      <c r="E28" s="89">
        <f t="shared" ca="1" si="6"/>
        <v>-0.90283853492612987</v>
      </c>
      <c r="F28" s="90">
        <f t="shared" ca="1" si="3"/>
        <v>-18.419609563500781</v>
      </c>
      <c r="G28" s="90">
        <f t="shared" ca="1" si="3"/>
        <v>42.494641108555683</v>
      </c>
      <c r="H28" s="89">
        <f t="shared" ca="1" si="3"/>
        <v>4.6301849810343229E-2</v>
      </c>
      <c r="I28" s="91">
        <f t="shared" ca="1" si="3"/>
        <v>35816.130000000005</v>
      </c>
      <c r="L28" s="79">
        <f t="shared" ca="1" si="5"/>
        <v>94</v>
      </c>
    </row>
    <row r="29" spans="2:12">
      <c r="B29" s="79" t="s">
        <v>14</v>
      </c>
      <c r="C29" s="81" t="s">
        <v>136</v>
      </c>
      <c r="D29" s="83"/>
      <c r="E29" s="89">
        <f t="shared" ca="1" si="6"/>
        <v>-0.48389809803946809</v>
      </c>
      <c r="F29" s="90">
        <f t="shared" ca="1" si="3"/>
        <v>-16.748971193415652</v>
      </c>
      <c r="G29" s="90">
        <f t="shared" ca="1" si="3"/>
        <v>47.641870199301522</v>
      </c>
      <c r="H29" s="89">
        <f t="shared" ca="1" si="3"/>
        <v>2.7713591340458681E-2</v>
      </c>
      <c r="I29" s="91">
        <f t="shared" ca="1" si="3"/>
        <v>21437.45</v>
      </c>
      <c r="L29" s="79">
        <f t="shared" ca="1" si="5"/>
        <v>46</v>
      </c>
    </row>
    <row r="30" spans="2:12">
      <c r="B30" s="79" t="s">
        <v>36</v>
      </c>
      <c r="C30" s="81" t="s">
        <v>131</v>
      </c>
      <c r="D30" s="81"/>
      <c r="E30" s="89">
        <f t="shared" ca="1" si="6"/>
        <v>-4.190302592252669E-2</v>
      </c>
      <c r="F30" s="90">
        <f t="shared" ca="1" si="6"/>
        <v>-7.4263764404609685</v>
      </c>
      <c r="G30" s="90">
        <f t="shared" ca="1" si="6"/>
        <v>49.858183842256317</v>
      </c>
      <c r="H30" s="89">
        <f t="shared" ca="1" si="6"/>
        <v>6.0633981704945206E-3</v>
      </c>
      <c r="I30" s="91">
        <f t="shared" ca="1" si="6"/>
        <v>4690.2544499999995</v>
      </c>
      <c r="L30" s="79">
        <f t="shared" ca="1" si="5"/>
        <v>34</v>
      </c>
    </row>
    <row r="31" spans="2:12">
      <c r="B31" s="79" t="s">
        <v>42</v>
      </c>
      <c r="C31" s="81" t="s">
        <v>133</v>
      </c>
      <c r="D31" s="81"/>
      <c r="E31" s="89">
        <f t="shared" ca="1" si="6"/>
        <v>-0.10233621356057458</v>
      </c>
      <c r="F31" s="90">
        <f t="shared" ca="1" si="6"/>
        <v>-17.172284644194747</v>
      </c>
      <c r="G31" s="90">
        <f t="shared" ca="1" si="6"/>
        <v>98.064994660049877</v>
      </c>
      <c r="H31" s="89">
        <f t="shared" ca="1" si="6"/>
        <v>5.7315661719654337E-3</v>
      </c>
      <c r="I31" s="91">
        <f t="shared" ca="1" si="6"/>
        <v>4433.5705800000005</v>
      </c>
      <c r="L31" s="79">
        <f t="shared" ca="1" si="5"/>
        <v>36</v>
      </c>
    </row>
    <row r="32" spans="2:12">
      <c r="B32" s="79" t="s">
        <v>31</v>
      </c>
      <c r="C32" s="81" t="s">
        <v>167</v>
      </c>
      <c r="D32" s="84"/>
      <c r="E32" s="89">
        <f t="shared" ca="1" si="6"/>
        <v>-0.1762681746723799</v>
      </c>
      <c r="F32" s="90">
        <f t="shared" ca="1" si="6"/>
        <v>-26.935375294513641</v>
      </c>
      <c r="G32" s="90">
        <f t="shared" ca="1" si="6"/>
        <v>24.478490249124743</v>
      </c>
      <c r="H32" s="89">
        <f t="shared" ca="1" si="6"/>
        <v>5.5203120600253452E-3</v>
      </c>
      <c r="I32" s="91">
        <f t="shared" ca="1" si="6"/>
        <v>4270.1579999999994</v>
      </c>
      <c r="L32" s="79">
        <f t="shared" ca="1" si="5"/>
        <v>109</v>
      </c>
    </row>
    <row r="33" spans="2:12">
      <c r="B33" s="79" t="s">
        <v>50</v>
      </c>
      <c r="C33" s="81" t="s">
        <v>152</v>
      </c>
      <c r="D33" s="81"/>
      <c r="E33" s="89">
        <f t="shared" ca="1" si="6"/>
        <v>-4.9789280292068729E-2</v>
      </c>
      <c r="F33" s="90">
        <f t="shared" ca="1" si="6"/>
        <v>-16.490104034509013</v>
      </c>
      <c r="G33" s="90">
        <f t="shared" ca="1" si="6"/>
        <v>71.35251616651361</v>
      </c>
      <c r="H33" s="89">
        <f t="shared" ca="1" si="6"/>
        <v>2.9342074335881449E-3</v>
      </c>
      <c r="I33" s="91">
        <f t="shared" ca="1" si="6"/>
        <v>2269.71396</v>
      </c>
      <c r="L33" s="79">
        <f t="shared" ca="1" si="5"/>
        <v>82</v>
      </c>
    </row>
    <row r="34" spans="2:12">
      <c r="B34" s="79" t="s">
        <v>208</v>
      </c>
      <c r="C34" s="82" t="s">
        <v>207</v>
      </c>
      <c r="D34" s="81"/>
      <c r="E34" s="89">
        <f t="shared" ca="1" si="6"/>
        <v>-7.4547347721380013E-3</v>
      </c>
      <c r="F34" s="90">
        <f t="shared" ca="1" si="6"/>
        <v>-5.7813016187624466E-2</v>
      </c>
      <c r="G34" s="90">
        <f t="shared" ca="1" si="6"/>
        <v>268.88757281240873</v>
      </c>
      <c r="H34" s="89">
        <f t="shared" ca="1" si="6"/>
        <v>0.14993341912869501</v>
      </c>
      <c r="I34" s="91">
        <f t="shared" ca="1" si="6"/>
        <v>115978.84</v>
      </c>
      <c r="L34" s="79">
        <f t="shared" ca="1" si="5"/>
        <v>29</v>
      </c>
    </row>
    <row r="35" spans="2:12">
      <c r="B35" s="79" t="s">
        <v>25</v>
      </c>
      <c r="C35" s="81" t="s">
        <v>154</v>
      </c>
      <c r="D35" s="82"/>
      <c r="E35" s="89">
        <f t="shared" ca="1" si="6"/>
        <v>-0.10995540420605554</v>
      </c>
      <c r="F35" s="90">
        <f t="shared" ca="1" si="6"/>
        <v>-9.5545977011494365</v>
      </c>
      <c r="G35" s="90">
        <f t="shared" ca="1" si="6"/>
        <v>28.206103246783993</v>
      </c>
      <c r="H35" s="89">
        <f t="shared" ca="1" si="6"/>
        <v>1.2093832894430074E-2</v>
      </c>
      <c r="I35" s="91">
        <f t="shared" ca="1" si="6"/>
        <v>9355.0104999999985</v>
      </c>
      <c r="L35" s="79">
        <f t="shared" ca="1" si="5"/>
        <v>86</v>
      </c>
    </row>
    <row r="36" spans="2:12">
      <c r="B36" s="79" t="s">
        <v>170</v>
      </c>
      <c r="C36" s="82" t="s">
        <v>156</v>
      </c>
      <c r="D36" s="82"/>
      <c r="E36" s="89">
        <f t="shared" ca="1" si="6"/>
        <v>-6.2650120284056268E-2</v>
      </c>
      <c r="F36" s="90">
        <f t="shared" ca="1" si="6"/>
        <v>-15.682991488767961</v>
      </c>
      <c r="G36" s="90">
        <f t="shared" ca="1" si="6"/>
        <v>69.423668012281652</v>
      </c>
      <c r="H36" s="89">
        <f t="shared" ca="1" si="6"/>
        <v>3.9004548403860683E-3</v>
      </c>
      <c r="I36" s="91">
        <f t="shared" ca="1" si="6"/>
        <v>3017.1407447999995</v>
      </c>
      <c r="L36" s="79">
        <f t="shared" ca="1" si="5"/>
        <v>90</v>
      </c>
    </row>
    <row r="37" spans="2:12">
      <c r="B37" s="79" t="s">
        <v>35</v>
      </c>
      <c r="C37" s="81" t="s">
        <v>137</v>
      </c>
      <c r="D37" s="82"/>
      <c r="E37" s="89">
        <f t="shared" ref="E37:I47" ca="1" si="7">OFFSET( INDIRECT( $L$2 ), $L37 - 1, E$1 - 1 )</f>
        <v>-0.2953751086207933</v>
      </c>
      <c r="F37" s="90">
        <f t="shared" ca="1" si="7"/>
        <v>-30.025860130425009</v>
      </c>
      <c r="G37" s="90">
        <f t="shared" ca="1" si="7"/>
        <v>36.004148352411413</v>
      </c>
      <c r="H37" s="89">
        <f t="shared" ca="1" si="7"/>
        <v>7.9493081614020449E-3</v>
      </c>
      <c r="I37" s="91">
        <f t="shared" ca="1" si="7"/>
        <v>6149.0730000000003</v>
      </c>
      <c r="L37" s="79">
        <f t="shared" ca="1" si="5"/>
        <v>47</v>
      </c>
    </row>
    <row r="38" spans="2:12">
      <c r="B38" s="79" t="s">
        <v>48</v>
      </c>
      <c r="C38" s="81" t="s">
        <v>138</v>
      </c>
      <c r="D38" s="82"/>
      <c r="E38" s="89">
        <f t="shared" ca="1" si="6"/>
        <v>-2.8348542336046698E-2</v>
      </c>
      <c r="F38" s="90">
        <f t="shared" ca="1" si="6"/>
        <v>-12.595047767596023</v>
      </c>
      <c r="G38" s="90">
        <f t="shared" ca="1" si="6"/>
        <v>50.682101678125775</v>
      </c>
      <c r="H38" s="89">
        <f t="shared" ca="1" si="6"/>
        <v>2.2830091037825931E-3</v>
      </c>
      <c r="I38" s="91">
        <f t="shared" ca="1" si="6"/>
        <v>1765.9888576200001</v>
      </c>
      <c r="L38" s="79">
        <f t="shared" ref="L38:L49" ca="1" si="8">MATCH( $C38, INDIRECT( L$3 ), 0 )</f>
        <v>48</v>
      </c>
    </row>
    <row r="39" spans="2:12">
      <c r="B39" s="79" t="s">
        <v>109</v>
      </c>
      <c r="C39" s="82" t="s">
        <v>157</v>
      </c>
      <c r="D39" s="81"/>
      <c r="E39" s="89">
        <f t="shared" ca="1" si="7"/>
        <v>-0.10989065344898549</v>
      </c>
      <c r="F39" s="90">
        <f t="shared" ca="1" si="7"/>
        <v>-17.295308187672486</v>
      </c>
      <c r="G39" s="90">
        <f t="shared" ca="1" si="7"/>
        <v>9.6038715192578987</v>
      </c>
      <c r="H39" s="89">
        <f t="shared" ca="1" si="7"/>
        <v>6.1363948738111119E-3</v>
      </c>
      <c r="I39" s="91">
        <f t="shared" ca="1" si="7"/>
        <v>4746.72</v>
      </c>
      <c r="L39" s="79">
        <f t="shared" ca="1" si="8"/>
        <v>92</v>
      </c>
    </row>
    <row r="40" spans="2:12">
      <c r="B40" s="79" t="s">
        <v>30</v>
      </c>
      <c r="C40" s="81" t="s">
        <v>140</v>
      </c>
      <c r="D40" s="81"/>
      <c r="E40" s="89">
        <f t="shared" ca="1" si="7"/>
        <v>-0.16599005993304825</v>
      </c>
      <c r="F40" s="90">
        <f t="shared" ca="1" si="7"/>
        <v>-14.853219170465904</v>
      </c>
      <c r="G40" s="90">
        <f t="shared" ca="1" si="7"/>
        <v>87.22016460021473</v>
      </c>
      <c r="H40" s="89">
        <f t="shared" ca="1" si="7"/>
        <v>1.1016999062123662E-2</v>
      </c>
      <c r="I40" s="91">
        <f t="shared" ca="1" si="7"/>
        <v>8522.0411762200001</v>
      </c>
      <c r="L40" s="79">
        <f t="shared" ca="1" si="8"/>
        <v>51</v>
      </c>
    </row>
    <row r="41" spans="2:12">
      <c r="B41" s="79" t="s">
        <v>40</v>
      </c>
      <c r="C41" s="81" t="s">
        <v>159</v>
      </c>
      <c r="D41" s="82"/>
      <c r="E41" s="89">
        <f t="shared" ca="1" si="7"/>
        <v>-0.10963499576580772</v>
      </c>
      <c r="F41" s="90">
        <f t="shared" ca="1" si="7"/>
        <v>-24.457700650759207</v>
      </c>
      <c r="G41" s="90">
        <f t="shared" ca="1" si="7"/>
        <v>42.424234063105473</v>
      </c>
      <c r="H41" s="89">
        <f t="shared" ca="1" si="7"/>
        <v>3.9266168615436862E-3</v>
      </c>
      <c r="I41" s="91">
        <f t="shared" ca="1" si="7"/>
        <v>3037.3779999999997</v>
      </c>
      <c r="L41" s="79">
        <f t="shared" ca="1" si="8"/>
        <v>96</v>
      </c>
    </row>
    <row r="42" spans="2:12">
      <c r="B42" s="79" t="s">
        <v>84</v>
      </c>
      <c r="C42" s="84" t="s">
        <v>168</v>
      </c>
      <c r="D42" s="81"/>
      <c r="E42" s="89">
        <f t="shared" ca="1" si="7"/>
        <v>-7.3718845210271208E-2</v>
      </c>
      <c r="F42" s="90">
        <f t="shared" ca="1" si="7"/>
        <v>-13.380534145904265</v>
      </c>
      <c r="G42" s="90">
        <f t="shared" ca="1" si="7"/>
        <v>54.454133482106698</v>
      </c>
      <c r="H42" s="89">
        <f t="shared" ca="1" si="7"/>
        <v>5.5376672013924023E-3</v>
      </c>
      <c r="I42" s="91">
        <f t="shared" ca="1" si="7"/>
        <v>4283.5828199999996</v>
      </c>
      <c r="L42" s="79">
        <f t="shared" ca="1" si="8"/>
        <v>110</v>
      </c>
    </row>
    <row r="43" spans="2:12">
      <c r="B43" s="79" t="s">
        <v>74</v>
      </c>
      <c r="C43" s="82" t="s">
        <v>139</v>
      </c>
      <c r="D43" s="81"/>
      <c r="E43" s="89">
        <f t="shared" ca="1" si="7"/>
        <v>-0.86071693155250451</v>
      </c>
      <c r="F43" s="90">
        <f t="shared" ca="1" si="7"/>
        <v>-30.058528428093666</v>
      </c>
      <c r="G43" s="90">
        <f t="shared" ca="1" si="7"/>
        <v>30.44315572341414</v>
      </c>
      <c r="H43" s="89">
        <f t="shared" ca="1" si="7"/>
        <v>2.3243501327444606E-2</v>
      </c>
      <c r="I43" s="91">
        <f t="shared" ca="1" si="7"/>
        <v>17979.676159999999</v>
      </c>
      <c r="L43" s="79">
        <f t="shared" ca="1" si="8"/>
        <v>50</v>
      </c>
    </row>
    <row r="44" spans="2:12">
      <c r="B44" s="79" t="s">
        <v>17</v>
      </c>
      <c r="C44" s="81" t="s">
        <v>160</v>
      </c>
      <c r="D44" s="84"/>
      <c r="E44" s="89">
        <f t="shared" ca="1" si="7"/>
        <v>-0.76016946815312014</v>
      </c>
      <c r="F44" s="90">
        <f t="shared" ca="1" si="7"/>
        <v>-23.116003386960205</v>
      </c>
      <c r="G44" s="90">
        <f t="shared" ca="1" si="7"/>
        <v>52.182176984388683</v>
      </c>
      <c r="H44" s="89">
        <f t="shared" ca="1" si="7"/>
        <v>2.9261277022145808E-2</v>
      </c>
      <c r="I44" s="91">
        <f t="shared" ca="1" si="7"/>
        <v>22634.639999999999</v>
      </c>
      <c r="L44" s="79">
        <f t="shared" ca="1" si="8"/>
        <v>97</v>
      </c>
    </row>
    <row r="45" spans="2:12">
      <c r="B45" s="79" t="s">
        <v>19</v>
      </c>
      <c r="C45" s="82" t="s">
        <v>161</v>
      </c>
      <c r="D45" s="83"/>
      <c r="E45" s="89">
        <f t="shared" ca="1" si="7"/>
        <v>-1.1475850928917128</v>
      </c>
      <c r="F45" s="90">
        <f t="shared" ca="1" si="7"/>
        <v>-24.719434908898887</v>
      </c>
      <c r="G45" s="90">
        <f t="shared" ca="1" si="7"/>
        <v>128.21364416660549</v>
      </c>
      <c r="H45" s="89">
        <f t="shared" ca="1" si="7"/>
        <v>4.0593312364643593E-2</v>
      </c>
      <c r="I45" s="91">
        <f t="shared" ca="1" si="7"/>
        <v>31400.372959999997</v>
      </c>
      <c r="L45" s="79">
        <f t="shared" ca="1" si="8"/>
        <v>100</v>
      </c>
    </row>
    <row r="46" spans="2:12">
      <c r="B46" s="79" t="s">
        <v>13</v>
      </c>
      <c r="C46" s="82" t="s">
        <v>143</v>
      </c>
      <c r="D46" s="81"/>
      <c r="E46" s="89">
        <f t="shared" ca="1" si="7"/>
        <v>-1.0352518994509508</v>
      </c>
      <c r="F46" s="90">
        <f t="shared" ca="1" si="7"/>
        <v>-14.03453689167975</v>
      </c>
      <c r="G46" s="90">
        <f t="shared" ca="1" si="7"/>
        <v>65.90996623423095</v>
      </c>
      <c r="H46" s="89">
        <f t="shared" ca="1" si="7"/>
        <v>7.3211477163028893E-2</v>
      </c>
      <c r="I46" s="91">
        <f t="shared" ca="1" si="7"/>
        <v>56631.685219999999</v>
      </c>
      <c r="L46" s="79">
        <f t="shared" ca="1" si="8"/>
        <v>56</v>
      </c>
    </row>
    <row r="47" spans="2:12">
      <c r="B47" s="79" t="s">
        <v>52</v>
      </c>
      <c r="C47" s="82" t="s">
        <v>147</v>
      </c>
      <c r="D47" s="82"/>
      <c r="E47" s="89">
        <f t="shared" ca="1" si="7"/>
        <v>-1.502131929486813E-2</v>
      </c>
      <c r="F47" s="90">
        <f t="shared" ca="1" si="7"/>
        <v>-14.760595276609511</v>
      </c>
      <c r="G47" s="90">
        <f t="shared" ca="1" si="7"/>
        <v>59.294001367420229</v>
      </c>
      <c r="H47" s="89">
        <f t="shared" ca="1" si="7"/>
        <v>1.0073926294174491E-3</v>
      </c>
      <c r="I47" s="91">
        <f t="shared" ca="1" si="7"/>
        <v>779.25408000000004</v>
      </c>
      <c r="L47" s="79">
        <f t="shared" ca="1" si="8"/>
        <v>64</v>
      </c>
    </row>
    <row r="48" spans="2:12">
      <c r="B48" s="79" t="s">
        <v>27</v>
      </c>
      <c r="C48" s="82" t="s">
        <v>652</v>
      </c>
      <c r="D48" s="82"/>
      <c r="E48" s="89">
        <f t="shared" ref="E48:I49" ca="1" si="9">OFFSET( INDIRECT( $L$2 ), $L48 - 1, E$1 - 1 )</f>
        <v>-0.12084408377826138</v>
      </c>
      <c r="F48" s="90">
        <f t="shared" ca="1" si="9"/>
        <v>-3.7596226824243795</v>
      </c>
      <c r="G48" s="90">
        <f t="shared" ca="1" si="9"/>
        <v>100.71769145095386</v>
      </c>
      <c r="H48" s="89">
        <f t="shared" ca="1" si="9"/>
        <v>3.5933965235829826E-2</v>
      </c>
      <c r="I48" s="91">
        <f t="shared" ca="1" si="9"/>
        <v>27796.201999999997</v>
      </c>
      <c r="L48" s="79">
        <f t="shared" ca="1" si="8"/>
        <v>107</v>
      </c>
    </row>
    <row r="49" spans="2:12">
      <c r="B49" s="79" t="s">
        <v>24</v>
      </c>
      <c r="C49" s="81" t="s">
        <v>155</v>
      </c>
      <c r="D49" s="81"/>
      <c r="E49" s="89">
        <f t="shared" ca="1" si="9"/>
        <v>-0.15827913729886273</v>
      </c>
      <c r="F49" s="90">
        <f t="shared" ca="1" si="9"/>
        <v>-4.3471412820916715</v>
      </c>
      <c r="G49" s="90">
        <f t="shared" ca="1" si="9"/>
        <v>68.608366929796858</v>
      </c>
      <c r="H49" s="89">
        <f t="shared" ca="1" si="9"/>
        <v>4.0457994794791015E-2</v>
      </c>
      <c r="I49" s="91">
        <f t="shared" ca="1" si="9"/>
        <v>31295.699999999997</v>
      </c>
      <c r="L49" s="79">
        <f t="shared" ca="1" si="8"/>
        <v>89</v>
      </c>
    </row>
    <row r="50" spans="2:12">
      <c r="D50" s="82"/>
      <c r="E50" s="89"/>
      <c r="F50" s="90"/>
      <c r="G50" s="90"/>
      <c r="H50" s="89"/>
      <c r="I50" s="91"/>
    </row>
    <row r="51" spans="2:12">
      <c r="D51" s="82"/>
      <c r="E51" s="89"/>
      <c r="F51" s="90"/>
      <c r="G51" s="90"/>
      <c r="H51" s="89"/>
      <c r="I51" s="91"/>
    </row>
    <row r="52" spans="2:12">
      <c r="D52" s="81"/>
      <c r="E52" s="89"/>
      <c r="F52" s="90"/>
      <c r="G52" s="90"/>
      <c r="H52" s="89"/>
      <c r="I52" s="91"/>
    </row>
    <row r="54" spans="2:12">
      <c r="E54" s="97">
        <f ca="1">SUM(E10:E52)</f>
        <v>-13.590183408118726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109375" defaultRowHeight="13.8"/>
  <cols>
    <col min="1" max="1" width="3.33203125" style="701" customWidth="1"/>
    <col min="2" max="2" width="7.5546875" style="701" customWidth="1"/>
    <col min="3" max="3" width="30.109375" style="701" customWidth="1"/>
    <col min="4" max="4" width="11.44140625" style="714" customWidth="1"/>
    <col min="5" max="5" width="6.6640625" style="701" customWidth="1"/>
    <col min="6" max="6" width="34.44140625" style="701" customWidth="1"/>
    <col min="7" max="7" width="11.44140625" style="714" customWidth="1"/>
    <col min="8" max="8" width="6.6640625" style="701" customWidth="1"/>
    <col min="9" max="9" width="30.88671875" style="701" customWidth="1"/>
    <col min="10" max="10" width="11.44140625" style="714" customWidth="1"/>
    <col min="11" max="16384" width="9.109375" style="701"/>
  </cols>
  <sheetData>
    <row r="1" spans="1:10">
      <c r="A1" s="852" t="s">
        <v>408</v>
      </c>
      <c r="B1" s="852"/>
      <c r="C1" s="853"/>
      <c r="D1" s="700"/>
      <c r="G1" s="700"/>
      <c r="J1" s="700"/>
    </row>
    <row r="2" spans="1:10" s="702" customFormat="1" ht="18">
      <c r="B2" s="703" t="s">
        <v>632</v>
      </c>
      <c r="D2" s="704"/>
      <c r="G2" s="704"/>
      <c r="J2" s="704"/>
    </row>
    <row r="3" spans="1:10" s="702" customFormat="1">
      <c r="B3" s="705"/>
      <c r="C3" s="706" t="s">
        <v>711</v>
      </c>
      <c r="D3" s="707"/>
      <c r="F3" s="706"/>
      <c r="G3" s="707"/>
      <c r="I3" s="706"/>
      <c r="J3" s="707"/>
    </row>
    <row r="4" spans="1:10">
      <c r="C4" s="706"/>
      <c r="D4" s="707"/>
      <c r="F4" s="706"/>
      <c r="G4" s="707"/>
      <c r="I4" s="706"/>
      <c r="J4" s="707"/>
    </row>
    <row r="5" spans="1:10" ht="15.6">
      <c r="C5" s="708" t="s">
        <v>3</v>
      </c>
      <c r="D5" s="709" t="s">
        <v>691</v>
      </c>
      <c r="F5" s="708" t="s">
        <v>5</v>
      </c>
      <c r="G5" s="709" t="s">
        <v>690</v>
      </c>
      <c r="J5" s="701"/>
    </row>
    <row r="6" spans="1:10" s="710" customFormat="1">
      <c r="C6" s="711" t="s">
        <v>181</v>
      </c>
      <c r="D6" s="712"/>
      <c r="E6" s="713"/>
      <c r="F6" s="711" t="s">
        <v>180</v>
      </c>
      <c r="G6" s="712"/>
      <c r="H6" s="713"/>
    </row>
    <row r="7" spans="1:10" s="710" customFormat="1">
      <c r="C7" s="711" t="s">
        <v>194</v>
      </c>
      <c r="D7" s="712"/>
      <c r="E7" s="713"/>
      <c r="F7" s="711" t="s">
        <v>642</v>
      </c>
      <c r="G7" s="712"/>
      <c r="H7" s="713"/>
    </row>
    <row r="8" spans="1:10" s="710" customFormat="1">
      <c r="C8" s="711" t="s">
        <v>184</v>
      </c>
      <c r="D8" s="712"/>
      <c r="E8" s="713"/>
      <c r="F8" s="711" t="s">
        <v>633</v>
      </c>
      <c r="G8" s="712"/>
      <c r="H8" s="713"/>
    </row>
    <row r="9" spans="1:10" s="710" customFormat="1">
      <c r="C9" s="711" t="s">
        <v>175</v>
      </c>
      <c r="D9" s="712"/>
      <c r="E9" s="713"/>
      <c r="F9" s="711" t="s">
        <v>186</v>
      </c>
      <c r="G9" s="712"/>
      <c r="H9" s="713"/>
    </row>
    <row r="10" spans="1:10" s="710" customFormat="1">
      <c r="C10" s="711" t="s">
        <v>195</v>
      </c>
      <c r="D10" s="712"/>
      <c r="E10" s="713"/>
      <c r="F10" s="711" t="s">
        <v>189</v>
      </c>
      <c r="G10" s="712"/>
      <c r="H10" s="713"/>
    </row>
    <row r="11" spans="1:10" s="710" customFormat="1">
      <c r="C11" s="711" t="s">
        <v>185</v>
      </c>
      <c r="D11" s="712"/>
      <c r="E11" s="713"/>
      <c r="F11" s="711" t="s">
        <v>171</v>
      </c>
      <c r="G11" s="712"/>
      <c r="H11" s="713"/>
    </row>
    <row r="12" spans="1:10" s="710" customFormat="1">
      <c r="C12" s="711" t="s">
        <v>648</v>
      </c>
      <c r="D12" s="712"/>
      <c r="E12" s="713"/>
      <c r="F12" s="711" t="s">
        <v>182</v>
      </c>
      <c r="G12" s="712"/>
      <c r="H12" s="713"/>
    </row>
    <row r="13" spans="1:10" s="710" customFormat="1">
      <c r="C13" s="711" t="s">
        <v>196</v>
      </c>
      <c r="D13" s="712"/>
      <c r="E13" s="713"/>
      <c r="F13" s="711" t="s">
        <v>209</v>
      </c>
      <c r="G13" s="712"/>
      <c r="H13" s="713"/>
    </row>
    <row r="14" spans="1:10" s="710" customFormat="1">
      <c r="C14" s="711" t="s">
        <v>178</v>
      </c>
      <c r="D14" s="712"/>
      <c r="E14" s="713"/>
      <c r="F14" s="711" t="s">
        <v>193</v>
      </c>
      <c r="G14" s="712"/>
      <c r="H14" s="713"/>
    </row>
    <row r="15" spans="1:10" s="710" customFormat="1">
      <c r="C15" s="711" t="s">
        <v>683</v>
      </c>
      <c r="D15" s="712"/>
      <c r="E15" s="713"/>
      <c r="F15" s="711" t="s">
        <v>79</v>
      </c>
      <c r="G15" s="712"/>
      <c r="H15" s="713"/>
    </row>
    <row r="16" spans="1:10" s="710" customFormat="1">
      <c r="C16" s="711" t="s">
        <v>634</v>
      </c>
      <c r="D16" s="712"/>
      <c r="E16" s="713"/>
      <c r="F16" s="711"/>
      <c r="G16" s="712"/>
      <c r="H16" s="713"/>
    </row>
    <row r="17" spans="3:8" s="710" customFormat="1">
      <c r="C17" s="711" t="s">
        <v>179</v>
      </c>
      <c r="D17" s="712"/>
      <c r="E17" s="713"/>
      <c r="F17" s="711" t="s">
        <v>689</v>
      </c>
      <c r="G17" s="712"/>
      <c r="H17" s="713"/>
    </row>
    <row r="18" spans="3:8" s="710" customFormat="1">
      <c r="C18" s="711" t="s">
        <v>78</v>
      </c>
      <c r="D18" s="712"/>
      <c r="E18" s="713"/>
      <c r="F18" s="711" t="s">
        <v>689</v>
      </c>
      <c r="G18" s="712"/>
      <c r="H18" s="713"/>
    </row>
    <row r="19" spans="3:8" s="710" customFormat="1">
      <c r="C19" s="711" t="s">
        <v>187</v>
      </c>
      <c r="D19" s="712"/>
      <c r="E19" s="713"/>
      <c r="F19" s="711"/>
      <c r="G19" s="712"/>
      <c r="H19" s="713"/>
    </row>
    <row r="20" spans="3:8" s="710" customFormat="1">
      <c r="C20" s="711" t="s">
        <v>188</v>
      </c>
      <c r="D20" s="712"/>
      <c r="E20" s="713"/>
      <c r="F20" s="711"/>
      <c r="G20" s="712"/>
      <c r="H20" s="713"/>
    </row>
    <row r="21" spans="3:8" s="710" customFormat="1">
      <c r="C21" s="711" t="s">
        <v>681</v>
      </c>
      <c r="D21" s="712"/>
      <c r="E21" s="713"/>
      <c r="F21" s="711"/>
      <c r="G21" s="712"/>
      <c r="H21" s="713"/>
    </row>
    <row r="22" spans="3:8" s="710" customFormat="1">
      <c r="C22" s="711" t="s">
        <v>623</v>
      </c>
      <c r="D22" s="712"/>
      <c r="E22" s="713"/>
      <c r="F22" s="711"/>
      <c r="G22" s="712"/>
      <c r="H22" s="713"/>
    </row>
    <row r="23" spans="3:8" s="710" customFormat="1">
      <c r="C23" s="711" t="s">
        <v>81</v>
      </c>
      <c r="D23" s="712"/>
      <c r="E23" s="713"/>
      <c r="F23" s="711"/>
      <c r="G23" s="712"/>
      <c r="H23" s="713"/>
    </row>
    <row r="24" spans="3:8" s="710" customFormat="1">
      <c r="C24" s="711" t="s">
        <v>190</v>
      </c>
      <c r="D24" s="712"/>
      <c r="E24" s="713"/>
      <c r="F24" s="711"/>
      <c r="G24" s="712"/>
      <c r="H24" s="713"/>
    </row>
    <row r="25" spans="3:8" s="710" customFormat="1">
      <c r="C25" s="711" t="s">
        <v>635</v>
      </c>
      <c r="D25" s="712"/>
      <c r="E25" s="713"/>
      <c r="F25" s="711"/>
      <c r="G25" s="712"/>
      <c r="H25" s="713"/>
    </row>
    <row r="26" spans="3:8" s="710" customFormat="1">
      <c r="C26" s="711" t="s">
        <v>173</v>
      </c>
      <c r="D26" s="712"/>
      <c r="E26" s="713"/>
      <c r="F26" s="711"/>
      <c r="G26" s="712"/>
      <c r="H26" s="713"/>
    </row>
    <row r="27" spans="3:8" s="710" customFormat="1">
      <c r="C27" s="711" t="s">
        <v>197</v>
      </c>
      <c r="D27" s="712"/>
      <c r="E27" s="713"/>
      <c r="F27" s="711"/>
      <c r="G27" s="712"/>
      <c r="H27" s="713"/>
    </row>
    <row r="28" spans="3:8" s="710" customFormat="1">
      <c r="C28" s="711" t="s">
        <v>191</v>
      </c>
      <c r="D28" s="712"/>
      <c r="E28" s="713"/>
      <c r="F28" s="711"/>
      <c r="G28" s="712"/>
      <c r="H28" s="713"/>
    </row>
    <row r="29" spans="3:8" s="710" customFormat="1">
      <c r="C29" s="711" t="s">
        <v>83</v>
      </c>
      <c r="D29" s="712"/>
      <c r="E29" s="713"/>
      <c r="F29" s="711"/>
      <c r="G29" s="712"/>
      <c r="H29" s="713"/>
    </row>
    <row r="30" spans="3:8" s="710" customFormat="1">
      <c r="C30" s="711" t="s">
        <v>198</v>
      </c>
      <c r="D30" s="712"/>
      <c r="E30" s="713"/>
      <c r="F30" s="711"/>
      <c r="G30" s="712"/>
      <c r="H30" s="713"/>
    </row>
    <row r="31" spans="3:8" s="710" customFormat="1">
      <c r="C31" s="711" t="s">
        <v>174</v>
      </c>
      <c r="D31" s="712"/>
      <c r="E31" s="713"/>
      <c r="F31" s="711"/>
      <c r="G31" s="712"/>
      <c r="H31" s="713"/>
    </row>
    <row r="32" spans="3:8" s="710" customFormat="1">
      <c r="C32" s="711" t="s">
        <v>199</v>
      </c>
      <c r="D32" s="712"/>
      <c r="E32" s="713"/>
      <c r="F32" s="711"/>
      <c r="G32" s="712"/>
      <c r="H32" s="713"/>
    </row>
    <row r="33" spans="1:10" s="710" customFormat="1">
      <c r="C33" s="711" t="s">
        <v>200</v>
      </c>
      <c r="D33" s="712"/>
      <c r="E33" s="713"/>
      <c r="F33" s="711"/>
      <c r="G33" s="712"/>
      <c r="H33" s="713"/>
    </row>
    <row r="34" spans="1:10" s="710" customFormat="1">
      <c r="C34" s="711" t="s">
        <v>183</v>
      </c>
      <c r="D34" s="712"/>
      <c r="E34" s="713"/>
      <c r="F34" s="711"/>
      <c r="G34" s="712"/>
      <c r="H34" s="713"/>
    </row>
    <row r="35" spans="1:10" s="710" customFormat="1">
      <c r="C35" s="711" t="s">
        <v>192</v>
      </c>
      <c r="D35" s="712"/>
      <c r="E35" s="713"/>
      <c r="F35" s="711"/>
      <c r="G35" s="712"/>
      <c r="H35" s="713"/>
    </row>
    <row r="36" spans="1:10" s="710" customFormat="1">
      <c r="C36" s="711" t="s">
        <v>636</v>
      </c>
      <c r="D36" s="712"/>
      <c r="E36" s="713"/>
      <c r="F36" s="711"/>
      <c r="G36" s="712"/>
      <c r="H36" s="713"/>
    </row>
    <row r="37" spans="1:10" s="710" customFormat="1">
      <c r="C37" s="711" t="s">
        <v>172</v>
      </c>
      <c r="D37" s="712"/>
      <c r="E37" s="713"/>
      <c r="F37" s="711"/>
      <c r="G37" s="712"/>
      <c r="H37" s="713"/>
    </row>
    <row r="38" spans="1:10" s="710" customFormat="1">
      <c r="C38" s="711" t="s">
        <v>201</v>
      </c>
      <c r="D38" s="712"/>
      <c r="E38" s="713"/>
      <c r="F38" s="711"/>
      <c r="G38" s="712"/>
      <c r="H38" s="713"/>
    </row>
    <row r="39" spans="1:10" s="710" customFormat="1">
      <c r="C39" s="711" t="s">
        <v>643</v>
      </c>
      <c r="D39" s="712"/>
      <c r="E39" s="713"/>
      <c r="F39" s="711"/>
      <c r="G39" s="712"/>
      <c r="H39" s="713"/>
    </row>
    <row r="40" spans="1:10" s="710" customFormat="1">
      <c r="C40" s="711" t="s">
        <v>82</v>
      </c>
      <c r="D40" s="712"/>
      <c r="E40" s="713"/>
      <c r="F40" s="701"/>
      <c r="G40" s="712"/>
      <c r="H40" s="713"/>
    </row>
    <row r="41" spans="1:10">
      <c r="J41" s="701"/>
    </row>
    <row r="42" spans="1:10">
      <c r="J42" s="701"/>
    </row>
    <row r="43" spans="1:10">
      <c r="C43" s="715" t="s">
        <v>637</v>
      </c>
      <c r="J43" s="701"/>
    </row>
    <row r="44" spans="1:10">
      <c r="C44" s="716" t="s">
        <v>663</v>
      </c>
      <c r="J44" s="701"/>
    </row>
    <row r="45" spans="1:10">
      <c r="C45" s="716" t="s">
        <v>664</v>
      </c>
      <c r="J45" s="701"/>
    </row>
    <row r="47" spans="1:10" s="714" customFormat="1">
      <c r="A47" s="701"/>
      <c r="B47" s="701"/>
      <c r="C47" s="717" t="s">
        <v>638</v>
      </c>
      <c r="E47" s="701"/>
      <c r="F47" s="701"/>
      <c r="H47" s="701"/>
      <c r="I47" s="701"/>
    </row>
  </sheetData>
  <mergeCells count="1">
    <mergeCell ref="A1:C1"/>
  </mergeCells>
  <conditionalFormatting sqref="F6:F40 C6:C42">
    <cfRule type="expression" dxfId="3" priority="2">
      <formula>NOT( ISERROR( FIND( "*", C6 ) ) )</formula>
    </cfRule>
  </conditionalFormatting>
  <conditionalFormatting sqref="C39:C42">
    <cfRule type="expression" dxfId="2" priority="1">
      <formula>NOT( ISERROR( FIND( "*", C39 )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  <hyperlink ref="I1" location="Contents!A1" display="Go to Contents" xr:uid="{00000000-0004-0000-0100-000003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">
    <tabColor rgb="FFFFC000"/>
    <outlinePr summaryBelow="0" summaryRight="0"/>
  </sheetPr>
  <dimension ref="B1:L49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I1" si="0">F1+1</f>
        <v>5</v>
      </c>
      <c r="H1" s="80">
        <f t="shared" si="0"/>
        <v>6</v>
      </c>
      <c r="I1" s="80">
        <f t="shared" si="0"/>
        <v>7</v>
      </c>
      <c r="L1" s="93" t="s">
        <v>308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310</v>
      </c>
      <c r="L2" s="88" t="str">
        <f>L$1 &amp; K2</f>
        <v>'12-Month Calculation'!a1</v>
      </c>
    </row>
    <row r="3" spans="2:12">
      <c r="E3" s="94"/>
      <c r="F3" s="80"/>
      <c r="G3" s="80"/>
      <c r="H3" s="80"/>
      <c r="I3" s="80"/>
      <c r="K3" s="92" t="s">
        <v>309</v>
      </c>
      <c r="L3" s="88" t="str">
        <f>L$1 &amp; K3</f>
        <v>'12-Month Calculation'!b1:b200</v>
      </c>
    </row>
    <row r="4" spans="2:12">
      <c r="E4" s="94"/>
      <c r="F4" s="80"/>
      <c r="G4" s="80"/>
      <c r="H4" s="80"/>
      <c r="I4" s="80"/>
      <c r="L4" s="93"/>
    </row>
    <row r="6" spans="2:12">
      <c r="E6" s="86">
        <f ca="1">OFFSET( INDIRECT( $L$2 ),E$2 - 1, E$1 - 1 )</f>
        <v>2020.1</v>
      </c>
      <c r="F6" s="86">
        <f t="shared" ref="F6:I6" ca="1" si="2">OFFSET( INDIRECT( $L$2 ),F$2 - 1, F$1 - 1 )</f>
        <v>2020.1</v>
      </c>
      <c r="G6" s="86">
        <f t="shared" ca="1" si="2"/>
        <v>2020.1</v>
      </c>
      <c r="H6" s="86">
        <f t="shared" ca="1" si="2"/>
        <v>2020.1</v>
      </c>
      <c r="I6" s="86">
        <f t="shared" ca="1" si="2"/>
        <v>2020.1</v>
      </c>
    </row>
    <row r="7" spans="2:12">
      <c r="C7" s="79" t="s">
        <v>206</v>
      </c>
      <c r="E7" s="86" t="s">
        <v>111</v>
      </c>
      <c r="F7" s="87"/>
      <c r="G7" s="86" t="s">
        <v>112</v>
      </c>
      <c r="H7" s="86" t="s">
        <v>113</v>
      </c>
      <c r="I7" s="86"/>
    </row>
    <row r="8" spans="2:12">
      <c r="E8" s="86" t="s">
        <v>76</v>
      </c>
      <c r="F8" s="87" t="s">
        <v>76</v>
      </c>
      <c r="G8" s="86" t="s">
        <v>114</v>
      </c>
      <c r="H8" s="86" t="s">
        <v>115</v>
      </c>
      <c r="I8" s="86" t="s">
        <v>116</v>
      </c>
      <c r="L8" s="79" t="s">
        <v>307</v>
      </c>
    </row>
    <row r="9" spans="2:12">
      <c r="E9" s="86" t="s">
        <v>117</v>
      </c>
      <c r="F9" s="87" t="s">
        <v>117</v>
      </c>
      <c r="G9" s="86" t="s">
        <v>118</v>
      </c>
      <c r="H9" s="86" t="s">
        <v>119</v>
      </c>
      <c r="I9" s="86" t="s">
        <v>115</v>
      </c>
    </row>
    <row r="10" spans="2:12">
      <c r="B10" s="79" t="s">
        <v>43</v>
      </c>
      <c r="C10" s="81" t="s">
        <v>153</v>
      </c>
      <c r="D10" s="81"/>
      <c r="E10" s="89">
        <f t="shared" ref="E10:I17" ca="1" si="3">OFFSET( INDIRECT( $L$2 ), $L10 - 1, E$1 - 1 )</f>
        <v>-0.12745636893295209</v>
      </c>
      <c r="F10" s="90">
        <f t="shared" ca="1" si="3"/>
        <v>-23.878159003702571</v>
      </c>
      <c r="G10" s="90">
        <f t="shared" ca="1" si="3"/>
        <v>71.345059287108825</v>
      </c>
      <c r="H10" s="89">
        <f t="shared" ca="1" si="3"/>
        <v>4.0477618971945864E-3</v>
      </c>
      <c r="I10" s="91">
        <f t="shared" ca="1" si="3"/>
        <v>3131.0880000000002</v>
      </c>
      <c r="L10" s="79">
        <f t="shared" ref="L10:L36" ca="1" si="4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ca="1" si="3"/>
        <v>7.4927106896675824E-2</v>
      </c>
      <c r="F11" s="90">
        <f t="shared" ca="1" si="3"/>
        <v>5.3784314653441578</v>
      </c>
      <c r="G11" s="90">
        <f t="shared" ca="1" si="3"/>
        <v>56.455773226830559</v>
      </c>
      <c r="H11" s="89">
        <f t="shared" ca="1" si="3"/>
        <v>1.4888991191146044E-2</v>
      </c>
      <c r="I11" s="91">
        <f t="shared" ca="1" si="3"/>
        <v>11517.164999999999</v>
      </c>
      <c r="L11" s="79">
        <f t="shared" ca="1" si="4"/>
        <v>105</v>
      </c>
    </row>
    <row r="12" spans="2:12">
      <c r="B12" s="79" t="s">
        <v>22</v>
      </c>
      <c r="C12" s="81" t="s">
        <v>145</v>
      </c>
      <c r="D12" s="81"/>
      <c r="E12" s="89">
        <f t="shared" ca="1" si="3"/>
        <v>3.563018739298425E-2</v>
      </c>
      <c r="F12" s="90">
        <f t="shared" ca="1" si="3"/>
        <v>1.570321878349823</v>
      </c>
      <c r="G12" s="90">
        <f t="shared" ca="1" si="3"/>
        <v>85.191187356986376</v>
      </c>
      <c r="H12" s="89">
        <f t="shared" ca="1" si="3"/>
        <v>2.3123754856998791E-2</v>
      </c>
      <c r="I12" s="91">
        <f t="shared" ca="1" si="3"/>
        <v>17887.047999999999</v>
      </c>
      <c r="L12" s="79">
        <f t="shared" ca="1" si="4"/>
        <v>62</v>
      </c>
    </row>
    <row r="13" spans="2:12">
      <c r="B13" s="79" t="s">
        <v>18</v>
      </c>
      <c r="C13" s="81" t="s">
        <v>120</v>
      </c>
      <c r="D13" s="81"/>
      <c r="E13" s="89">
        <f t="shared" ca="1" si="3"/>
        <v>-7.9065929914823876E-2</v>
      </c>
      <c r="F13" s="90">
        <f t="shared" ca="1" si="3"/>
        <v>-1.5140604209761377</v>
      </c>
      <c r="G13" s="90">
        <f t="shared" ca="1" si="3"/>
        <v>94.937940442648411</v>
      </c>
      <c r="H13" s="89">
        <f t="shared" ca="1" si="3"/>
        <v>5.1045708565503133E-2</v>
      </c>
      <c r="I13" s="91">
        <f t="shared" ca="1" si="3"/>
        <v>39485.673713100005</v>
      </c>
      <c r="L13" s="79">
        <f t="shared" ca="1" si="4"/>
        <v>8</v>
      </c>
    </row>
    <row r="14" spans="2:12">
      <c r="B14" s="79" t="s">
        <v>644</v>
      </c>
      <c r="C14" s="81" t="s">
        <v>645</v>
      </c>
      <c r="D14" s="81"/>
      <c r="E14" s="89">
        <f t="shared" ca="1" si="3"/>
        <v>-0.18837507299442494</v>
      </c>
      <c r="F14" s="90">
        <f t="shared" ca="1" si="3"/>
        <v>-9.553128103277075</v>
      </c>
      <c r="G14" s="90">
        <f t="shared" ca="1" si="3"/>
        <v>45.367763503616565</v>
      </c>
      <c r="H14" s="89">
        <f t="shared" ca="1" si="3"/>
        <v>1.7516348643211711E-2</v>
      </c>
      <c r="I14" s="91">
        <f t="shared" ca="1" si="3"/>
        <v>13549.519569960001</v>
      </c>
      <c r="L14" s="79">
        <f t="shared" ca="1" si="4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3"/>
        <v>2.7798886949027737E-2</v>
      </c>
      <c r="F15" s="90">
        <f t="shared" ca="1" si="3"/>
        <v>8.2354547629904129</v>
      </c>
      <c r="G15" s="90">
        <f t="shared" ca="1" si="3"/>
        <v>50.254304420108106</v>
      </c>
      <c r="H15" s="89">
        <f t="shared" ca="1" si="3"/>
        <v>3.6366139905349469E-3</v>
      </c>
      <c r="I15" s="91">
        <f t="shared" ca="1" si="3"/>
        <v>2813.0504500000002</v>
      </c>
      <c r="L15" s="79">
        <f t="shared" ca="1" si="4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3"/>
        <v>-5.6566685965513876E-2</v>
      </c>
      <c r="F16" s="90">
        <f t="shared" ca="1" si="3"/>
        <v>-11.090389703662606</v>
      </c>
      <c r="G16" s="90">
        <f t="shared" ca="1" si="3"/>
        <v>74.391395437572655</v>
      </c>
      <c r="H16" s="89">
        <f t="shared" ca="1" si="3"/>
        <v>5.0213432587183048E-3</v>
      </c>
      <c r="I16" s="91">
        <f t="shared" ca="1" si="3"/>
        <v>3884.18786</v>
      </c>
      <c r="L16" s="79">
        <f t="shared" ca="1" si="4"/>
        <v>11</v>
      </c>
    </row>
    <row r="17" spans="2:12">
      <c r="B17" s="79" t="s">
        <v>28</v>
      </c>
      <c r="C17" s="81" t="s">
        <v>132</v>
      </c>
      <c r="D17" s="81"/>
      <c r="E17" s="89">
        <f t="shared" ca="1" si="3"/>
        <v>-0.82243412050043851</v>
      </c>
      <c r="F17" s="90">
        <f t="shared" ca="1" si="3"/>
        <v>-47.170316204617571</v>
      </c>
      <c r="G17" s="90">
        <f t="shared" ca="1" si="3"/>
        <v>19.255447219195201</v>
      </c>
      <c r="H17" s="89">
        <f t="shared" ca="1" si="3"/>
        <v>1.0027557000798788E-2</v>
      </c>
      <c r="I17" s="91">
        <f t="shared" ca="1" si="3"/>
        <v>7756.6724999999997</v>
      </c>
      <c r="L17" s="79">
        <f t="shared" ca="1" si="4"/>
        <v>35</v>
      </c>
    </row>
    <row r="18" spans="2:12">
      <c r="B18" s="79" t="s">
        <v>80</v>
      </c>
      <c r="C18" s="82" t="s">
        <v>149</v>
      </c>
      <c r="D18" s="82"/>
      <c r="E18" s="89">
        <f t="shared" ref="E18:I26" ca="1" si="5">OFFSET( INDIRECT( $L$2 ), $L18 - 1, E$1 - 1 )</f>
        <v>0.168849085269039</v>
      </c>
      <c r="F18" s="90">
        <f t="shared" ca="1" si="5"/>
        <v>8.5146620016041563</v>
      </c>
      <c r="G18" s="90">
        <f t="shared" ca="1" si="5"/>
        <v>67.916846799089669</v>
      </c>
      <c r="H18" s="89">
        <f t="shared" ca="1" si="5"/>
        <v>2.1493838960524741E-2</v>
      </c>
      <c r="I18" s="91">
        <f t="shared" ca="1" si="5"/>
        <v>16626.25</v>
      </c>
      <c r="L18" s="79">
        <f t="shared" ca="1" si="4"/>
        <v>68</v>
      </c>
    </row>
    <row r="19" spans="2:12">
      <c r="B19" s="79" t="s">
        <v>108</v>
      </c>
      <c r="C19" s="81" t="s">
        <v>151</v>
      </c>
      <c r="D19" s="81"/>
      <c r="E19" s="89">
        <f t="shared" ca="1" si="5"/>
        <v>-0.16183771363820862</v>
      </c>
      <c r="F19" s="90">
        <f t="shared" ca="1" si="5"/>
        <v>-4.8381889160095888</v>
      </c>
      <c r="G19" s="90">
        <f t="shared" ca="1" si="5"/>
        <v>93.334336713992116</v>
      </c>
      <c r="H19" s="89">
        <f t="shared" ca="1" si="5"/>
        <v>3.3124525114534273E-2</v>
      </c>
      <c r="I19" s="91">
        <f t="shared" ca="1" si="5"/>
        <v>25623</v>
      </c>
      <c r="L19" s="79">
        <f t="shared" ca="1" si="4"/>
        <v>73</v>
      </c>
    </row>
    <row r="20" spans="2:12">
      <c r="B20" s="79" t="s">
        <v>11</v>
      </c>
      <c r="C20" s="82" t="s">
        <v>678</v>
      </c>
      <c r="D20" s="82"/>
      <c r="E20" s="89">
        <f t="shared" ca="1" si="5"/>
        <v>-8.2399054594631191E-2</v>
      </c>
      <c r="F20" s="90">
        <f t="shared" ca="1" si="5"/>
        <v>-1.298463743510192</v>
      </c>
      <c r="G20" s="90">
        <f t="shared" ca="1" si="5"/>
        <v>89.209303579528751</v>
      </c>
      <c r="H20" s="89">
        <f t="shared" ca="1" si="5"/>
        <v>7.548103882188438E-2</v>
      </c>
      <c r="I20" s="91">
        <f t="shared" ca="1" si="5"/>
        <v>58387.271999999997</v>
      </c>
      <c r="L20" s="79">
        <f t="shared" ca="1" si="4"/>
        <v>22</v>
      </c>
    </row>
    <row r="21" spans="2:12">
      <c r="B21" s="79" t="s">
        <v>23</v>
      </c>
      <c r="C21" s="81" t="s">
        <v>125</v>
      </c>
      <c r="D21" s="81"/>
      <c r="E21" s="89">
        <f t="shared" ca="1" si="5"/>
        <v>-0.60925985849600217</v>
      </c>
      <c r="F21" s="90">
        <f t="shared" ca="1" si="5"/>
        <v>-21.325793720093365</v>
      </c>
      <c r="G21" s="90">
        <f t="shared" ca="1" si="5"/>
        <v>112.05934317482864</v>
      </c>
      <c r="H21" s="89">
        <f t="shared" ca="1" si="5"/>
        <v>2.2713175185323897E-2</v>
      </c>
      <c r="I21" s="91">
        <f t="shared" ca="1" si="5"/>
        <v>17569.45</v>
      </c>
      <c r="L21" s="79">
        <f t="shared" ca="1" si="4"/>
        <v>21</v>
      </c>
    </row>
    <row r="22" spans="2:12">
      <c r="B22" s="79" t="s">
        <v>12</v>
      </c>
      <c r="C22" s="81" t="s">
        <v>127</v>
      </c>
      <c r="D22" s="81"/>
      <c r="E22" s="89">
        <f t="shared" ca="1" si="5"/>
        <v>-0.50479631037551309</v>
      </c>
      <c r="F22" s="90">
        <f t="shared" ca="1" si="5"/>
        <v>-6.2607643579901895</v>
      </c>
      <c r="G22" s="90">
        <f t="shared" ca="1" si="5"/>
        <v>100.21050652887078</v>
      </c>
      <c r="H22" s="89">
        <f t="shared" ca="1" si="5"/>
        <v>7.6223406706127886E-2</v>
      </c>
      <c r="I22" s="91">
        <f t="shared" ca="1" si="5"/>
        <v>58961.52</v>
      </c>
      <c r="L22" s="79">
        <f t="shared" ca="1" si="4"/>
        <v>23</v>
      </c>
    </row>
    <row r="23" spans="2:12">
      <c r="B23" s="79" t="s">
        <v>16</v>
      </c>
      <c r="C23" s="82" t="s">
        <v>142</v>
      </c>
      <c r="D23" s="82"/>
      <c r="E23" s="89">
        <f t="shared" ca="1" si="5"/>
        <v>-0.20864482412771296</v>
      </c>
      <c r="F23" s="90">
        <f t="shared" ca="1" si="5"/>
        <v>-8.1685697396438162</v>
      </c>
      <c r="G23" s="90">
        <f t="shared" ca="1" si="5"/>
        <v>64.612612776569833</v>
      </c>
      <c r="H23" s="89">
        <f t="shared" ca="1" si="5"/>
        <v>2.4082407545900679E-2</v>
      </c>
      <c r="I23" s="91">
        <f t="shared" ca="1" si="5"/>
        <v>18628.599999999999</v>
      </c>
      <c r="L23" s="79">
        <f t="shared" ca="1" si="4"/>
        <v>55</v>
      </c>
    </row>
    <row r="24" spans="2:12">
      <c r="B24" s="79" t="s">
        <v>46</v>
      </c>
      <c r="C24" s="82" t="s">
        <v>128</v>
      </c>
      <c r="D24" s="82"/>
      <c r="E24" s="89">
        <f t="shared" ca="1" si="5"/>
        <v>5.4934981101221456E-2</v>
      </c>
      <c r="F24" s="90">
        <f t="shared" ca="1" si="5"/>
        <v>18.214902747129535</v>
      </c>
      <c r="G24" s="90">
        <f t="shared" ca="1" si="5"/>
        <v>77.394080382967061</v>
      </c>
      <c r="H24" s="89">
        <f t="shared" ca="1" si="5"/>
        <v>3.5674587032456006E-3</v>
      </c>
      <c r="I24" s="91">
        <f t="shared" ca="1" si="5"/>
        <v>2759.5563721200001</v>
      </c>
      <c r="L24" s="79">
        <f t="shared" ca="1" si="4"/>
        <v>26</v>
      </c>
    </row>
    <row r="25" spans="2:12">
      <c r="B25" s="79" t="s">
        <v>15</v>
      </c>
      <c r="C25" s="82" t="s">
        <v>130</v>
      </c>
      <c r="D25" s="82"/>
      <c r="E25" s="89">
        <f t="shared" ca="1" si="5"/>
        <v>3.6735432320736623E-2</v>
      </c>
      <c r="F25" s="90">
        <f t="shared" ca="1" si="5"/>
        <v>1.6734690867590718</v>
      </c>
      <c r="G25" s="90">
        <f t="shared" ca="1" si="5"/>
        <v>116.2347123384739</v>
      </c>
      <c r="H25" s="89">
        <f t="shared" ca="1" si="5"/>
        <v>2.3712618208287278E-2</v>
      </c>
      <c r="I25" s="91">
        <f t="shared" ca="1" si="5"/>
        <v>18342.55477626</v>
      </c>
      <c r="L25" s="79">
        <f t="shared" ca="1" si="4"/>
        <v>28</v>
      </c>
    </row>
    <row r="26" spans="2:12">
      <c r="B26" s="79" t="s">
        <v>624</v>
      </c>
      <c r="C26" s="728" t="s">
        <v>625</v>
      </c>
      <c r="D26" s="83"/>
      <c r="E26" s="89">
        <f t="shared" ca="1" si="5"/>
        <v>0.37678671576632111</v>
      </c>
      <c r="F26" s="90">
        <f t="shared" ca="1" si="5"/>
        <v>13.224027977925168</v>
      </c>
      <c r="G26" s="90">
        <f t="shared" ca="1" si="5"/>
        <v>91.340406676200558</v>
      </c>
      <c r="H26" s="89">
        <f t="shared" ca="1" si="5"/>
        <v>3.2497472005723518E-2</v>
      </c>
      <c r="I26" s="91">
        <f t="shared" ca="1" si="5"/>
        <v>25137.952086059999</v>
      </c>
      <c r="L26" s="79">
        <f t="shared" ca="1" si="4"/>
        <v>45</v>
      </c>
    </row>
    <row r="27" spans="2:12">
      <c r="B27" s="79" t="s">
        <v>680</v>
      </c>
      <c r="C27" s="728" t="s">
        <v>679</v>
      </c>
      <c r="D27" s="81"/>
      <c r="E27" s="89">
        <f t="shared" ref="E27:I35" ca="1" si="6">OFFSET( INDIRECT( $L$2 ), $L27 - 1, E$1 - 1 )</f>
        <v>-4.1436354215700126E-2</v>
      </c>
      <c r="F27" s="90">
        <f t="shared" ca="1" si="6"/>
        <v>-2.1001980838137868</v>
      </c>
      <c r="G27" s="90">
        <f t="shared" ca="1" si="6"/>
        <v>64.459236674715001</v>
      </c>
      <c r="H27" s="89">
        <f t="shared" ca="1" si="6"/>
        <v>1.7044431692598415E-2</v>
      </c>
      <c r="I27" s="91">
        <f t="shared" ca="1" si="6"/>
        <v>13184.474999999999</v>
      </c>
      <c r="L27" s="79">
        <f t="shared" ca="1" si="4"/>
        <v>39</v>
      </c>
    </row>
    <row r="28" spans="2:12">
      <c r="B28" s="79" t="s">
        <v>10</v>
      </c>
      <c r="C28" s="83" t="s">
        <v>158</v>
      </c>
      <c r="D28" s="81"/>
      <c r="E28" s="89">
        <f t="shared" ca="1" si="6"/>
        <v>-1.4774822459070511</v>
      </c>
      <c r="F28" s="90">
        <f t="shared" ca="1" si="6"/>
        <v>-24.087129390440133</v>
      </c>
      <c r="G28" s="90">
        <f t="shared" ca="1" si="6"/>
        <v>43.845883636288008</v>
      </c>
      <c r="H28" s="89">
        <f t="shared" ca="1" si="6"/>
        <v>4.6301849810343229E-2</v>
      </c>
      <c r="I28" s="91">
        <f t="shared" ca="1" si="6"/>
        <v>35816.130000000005</v>
      </c>
      <c r="L28" s="79">
        <f t="shared" ca="1" si="4"/>
        <v>94</v>
      </c>
    </row>
    <row r="29" spans="2:12">
      <c r="B29" s="79" t="s">
        <v>14</v>
      </c>
      <c r="C29" s="81" t="s">
        <v>136</v>
      </c>
      <c r="D29" s="81"/>
      <c r="E29" s="89">
        <f t="shared" ca="1" si="6"/>
        <v>-8.6602033698654612E-3</v>
      </c>
      <c r="F29" s="90">
        <f t="shared" ca="1" si="6"/>
        <v>-0.33431220005473161</v>
      </c>
      <c r="G29" s="90">
        <f t="shared" ca="1" si="6"/>
        <v>49.275419658712522</v>
      </c>
      <c r="H29" s="89">
        <f t="shared" ca="1" si="6"/>
        <v>2.7713591340458681E-2</v>
      </c>
      <c r="I29" s="91">
        <f t="shared" ca="1" si="6"/>
        <v>21437.45</v>
      </c>
      <c r="L29" s="79">
        <f t="shared" ca="1" si="4"/>
        <v>46</v>
      </c>
    </row>
    <row r="30" spans="2:12">
      <c r="B30" s="79" t="s">
        <v>36</v>
      </c>
      <c r="C30" s="81" t="s">
        <v>131</v>
      </c>
      <c r="D30" s="81"/>
      <c r="E30" s="89">
        <f t="shared" ca="1" si="6"/>
        <v>4.8702914694356989E-2</v>
      </c>
      <c r="F30" s="90">
        <f t="shared" ca="1" si="6"/>
        <v>8.6726698237155944</v>
      </c>
      <c r="G30" s="90">
        <f t="shared" ca="1" si="6"/>
        <v>51.467690082051817</v>
      </c>
      <c r="H30" s="89">
        <f t="shared" ca="1" si="6"/>
        <v>6.0633981704945206E-3</v>
      </c>
      <c r="I30" s="91">
        <f t="shared" ca="1" si="6"/>
        <v>4690.2544499999995</v>
      </c>
      <c r="L30" s="79">
        <f t="shared" ca="1" si="4"/>
        <v>34</v>
      </c>
    </row>
    <row r="31" spans="2:12">
      <c r="B31" s="79" t="s">
        <v>42</v>
      </c>
      <c r="C31" s="81" t="s">
        <v>133</v>
      </c>
      <c r="D31" s="81"/>
      <c r="E31" s="89">
        <f t="shared" ca="1" si="6"/>
        <v>-6.0405558102519664E-2</v>
      </c>
      <c r="F31" s="90">
        <f t="shared" ca="1" si="6"/>
        <v>-9.5095513242942182</v>
      </c>
      <c r="G31" s="90">
        <f t="shared" ca="1" si="6"/>
        <v>100.41282949471086</v>
      </c>
      <c r="H31" s="89">
        <f t="shared" ca="1" si="6"/>
        <v>5.7315661719654337E-3</v>
      </c>
      <c r="I31" s="91">
        <f t="shared" ca="1" si="6"/>
        <v>4433.5705800000005</v>
      </c>
      <c r="L31" s="79">
        <f t="shared" ca="1" si="4"/>
        <v>36</v>
      </c>
    </row>
    <row r="32" spans="2:12">
      <c r="B32" s="79" t="s">
        <v>31</v>
      </c>
      <c r="C32" s="81" t="s">
        <v>167</v>
      </c>
      <c r="D32" s="81"/>
      <c r="E32" s="89">
        <f t="shared" ca="1" si="6"/>
        <v>-9.0173088702396723E-2</v>
      </c>
      <c r="F32" s="90">
        <f t="shared" ca="1" si="6"/>
        <v>-14.096272476830517</v>
      </c>
      <c r="G32" s="90">
        <f t="shared" ca="1" si="6"/>
        <v>25.224941713519097</v>
      </c>
      <c r="H32" s="89">
        <f t="shared" ca="1" si="6"/>
        <v>5.5203120600253452E-3</v>
      </c>
      <c r="I32" s="91">
        <f t="shared" ca="1" si="6"/>
        <v>4270.1579999999994</v>
      </c>
      <c r="L32" s="79">
        <f t="shared" ca="1" si="4"/>
        <v>109</v>
      </c>
    </row>
    <row r="33" spans="2:12">
      <c r="B33" s="79" t="s">
        <v>50</v>
      </c>
      <c r="C33" s="81" t="s">
        <v>152</v>
      </c>
      <c r="D33" s="82"/>
      <c r="E33" s="89">
        <f t="shared" ca="1" si="6"/>
        <v>-5.5037596948057446E-3</v>
      </c>
      <c r="F33" s="90">
        <f t="shared" ca="1" si="6"/>
        <v>-1.8458668017744317</v>
      </c>
      <c r="G33" s="90">
        <f t="shared" ca="1" si="6"/>
        <v>72.847940621576626</v>
      </c>
      <c r="H33" s="89">
        <f t="shared" ca="1" si="6"/>
        <v>2.9342074335881449E-3</v>
      </c>
      <c r="I33" s="91">
        <f t="shared" ca="1" si="6"/>
        <v>2269.71396</v>
      </c>
      <c r="L33" s="79">
        <f t="shared" ca="1" si="4"/>
        <v>82</v>
      </c>
    </row>
    <row r="34" spans="2:12">
      <c r="B34" s="79" t="s">
        <v>208</v>
      </c>
      <c r="C34" s="82" t="s">
        <v>207</v>
      </c>
      <c r="D34" s="81"/>
      <c r="E34" s="89">
        <f t="shared" ca="1" si="6"/>
        <v>3.158300944753698</v>
      </c>
      <c r="F34" s="90">
        <f t="shared" ca="1" si="6"/>
        <v>27.284684806329906</v>
      </c>
      <c r="G34" s="90">
        <f t="shared" ca="1" si="6"/>
        <v>275.16313771576586</v>
      </c>
      <c r="H34" s="89">
        <f t="shared" ca="1" si="6"/>
        <v>0.14993341912869501</v>
      </c>
      <c r="I34" s="91">
        <f t="shared" ca="1" si="6"/>
        <v>115978.84</v>
      </c>
      <c r="L34" s="79">
        <f t="shared" ca="1" si="4"/>
        <v>29</v>
      </c>
    </row>
    <row r="35" spans="2:12">
      <c r="B35" s="79" t="s">
        <v>25</v>
      </c>
      <c r="C35" s="81" t="s">
        <v>154</v>
      </c>
      <c r="D35" s="82"/>
      <c r="E35" s="89">
        <f t="shared" ca="1" si="6"/>
        <v>-0.13317772513260295</v>
      </c>
      <c r="F35" s="90">
        <f t="shared" ca="1" si="6"/>
        <v>-10.301081550361602</v>
      </c>
      <c r="G35" s="90">
        <f t="shared" ca="1" si="6"/>
        <v>28.831239847554322</v>
      </c>
      <c r="H35" s="89">
        <f t="shared" ca="1" si="6"/>
        <v>1.2093832894430074E-2</v>
      </c>
      <c r="I35" s="91">
        <f t="shared" ca="1" si="6"/>
        <v>9355.0104999999985</v>
      </c>
      <c r="L35" s="79">
        <f t="shared" ca="1" si="4"/>
        <v>86</v>
      </c>
    </row>
    <row r="36" spans="2:12">
      <c r="B36" s="79" t="s">
        <v>170</v>
      </c>
      <c r="C36" s="82" t="s">
        <v>156</v>
      </c>
      <c r="D36" s="82"/>
      <c r="E36" s="89">
        <f t="shared" ref="E36:I42" ca="1" si="7">OFFSET( INDIRECT( $L$2 ), $L36 - 1, E$1 - 1 )</f>
        <v>-5.4009593770006019E-2</v>
      </c>
      <c r="F36" s="90">
        <f t="shared" ca="1" si="7"/>
        <v>-12.127956454344979</v>
      </c>
      <c r="G36" s="90">
        <f t="shared" ca="1" si="7"/>
        <v>71.358202269948208</v>
      </c>
      <c r="H36" s="89">
        <f t="shared" ca="1" si="7"/>
        <v>3.9004548403860683E-3</v>
      </c>
      <c r="I36" s="91">
        <f t="shared" ca="1" si="7"/>
        <v>3017.1407447999995</v>
      </c>
      <c r="L36" s="79">
        <f t="shared" ca="1" si="4"/>
        <v>90</v>
      </c>
    </row>
    <row r="37" spans="2:12">
      <c r="B37" s="79" t="s">
        <v>35</v>
      </c>
      <c r="C37" s="81" t="s">
        <v>137</v>
      </c>
      <c r="D37" s="81"/>
      <c r="E37" s="89">
        <f t="shared" ca="1" si="7"/>
        <v>-0.28280835978880703</v>
      </c>
      <c r="F37" s="90">
        <f t="shared" ca="1" si="7"/>
        <v>-25.955080448779178</v>
      </c>
      <c r="G37" s="90">
        <f t="shared" ca="1" si="7"/>
        <v>37.067977319027499</v>
      </c>
      <c r="H37" s="89">
        <f t="shared" ca="1" si="7"/>
        <v>7.9493081614020449E-3</v>
      </c>
      <c r="I37" s="91">
        <f t="shared" ca="1" si="7"/>
        <v>6149.0730000000003</v>
      </c>
      <c r="L37" s="79">
        <f t="shared" ref="L37:L49" ca="1" si="8">MATCH( $C37, INDIRECT( L$3 ), 0 )</f>
        <v>47</v>
      </c>
    </row>
    <row r="38" spans="2:12">
      <c r="B38" s="79" t="s">
        <v>48</v>
      </c>
      <c r="C38" s="81" t="s">
        <v>138</v>
      </c>
      <c r="D38" s="81"/>
      <c r="E38" s="89">
        <f t="shared" ca="1" si="7"/>
        <v>-2.0489621643818293E-2</v>
      </c>
      <c r="F38" s="90">
        <f t="shared" ca="1" si="7"/>
        <v>-8.2077212263528274</v>
      </c>
      <c r="G38" s="90">
        <f t="shared" ca="1" si="7"/>
        <v>52.471924443347717</v>
      </c>
      <c r="H38" s="89">
        <f t="shared" ca="1" si="7"/>
        <v>2.2830091037825931E-3</v>
      </c>
      <c r="I38" s="91">
        <f t="shared" ca="1" si="7"/>
        <v>1765.9888576200001</v>
      </c>
      <c r="L38" s="79">
        <f t="shared" ca="1" si="8"/>
        <v>48</v>
      </c>
    </row>
    <row r="39" spans="2:12">
      <c r="B39" s="79" t="s">
        <v>109</v>
      </c>
      <c r="C39" s="82" t="s">
        <v>157</v>
      </c>
      <c r="D39" s="82"/>
      <c r="E39" s="89">
        <f t="shared" ca="1" si="7"/>
        <v>-0.5763409766880998</v>
      </c>
      <c r="F39" s="90">
        <f t="shared" ca="1" si="7"/>
        <v>-49.494382022471903</v>
      </c>
      <c r="G39" s="90">
        <f t="shared" ca="1" si="7"/>
        <v>9.8600258962791933</v>
      </c>
      <c r="H39" s="89">
        <f t="shared" ca="1" si="7"/>
        <v>6.1363948738111119E-3</v>
      </c>
      <c r="I39" s="91">
        <f t="shared" ca="1" si="7"/>
        <v>4746.72</v>
      </c>
      <c r="L39" s="79">
        <f t="shared" ca="1" si="8"/>
        <v>92</v>
      </c>
    </row>
    <row r="40" spans="2:12">
      <c r="B40" s="79" t="s">
        <v>30</v>
      </c>
      <c r="C40" s="81" t="s">
        <v>140</v>
      </c>
      <c r="D40" s="81"/>
      <c r="E40" s="89">
        <f t="shared" ca="1" si="7"/>
        <v>-0.24325000673998948</v>
      </c>
      <c r="F40" s="90">
        <f t="shared" ca="1" si="7"/>
        <v>-17.937205069729998</v>
      </c>
      <c r="G40" s="90">
        <f t="shared" ca="1" si="7"/>
        <v>89.812133873710181</v>
      </c>
      <c r="H40" s="89">
        <f t="shared" ca="1" si="7"/>
        <v>1.1016999062123662E-2</v>
      </c>
      <c r="I40" s="91">
        <f t="shared" ca="1" si="7"/>
        <v>8522.0411762200001</v>
      </c>
      <c r="L40" s="79">
        <f t="shared" ca="1" si="8"/>
        <v>51</v>
      </c>
    </row>
    <row r="41" spans="2:12">
      <c r="B41" s="79" t="s">
        <v>40</v>
      </c>
      <c r="C41" s="81" t="s">
        <v>159</v>
      </c>
      <c r="D41" s="81"/>
      <c r="E41" s="89">
        <f t="shared" ca="1" si="7"/>
        <v>-8.4559701196229464E-2</v>
      </c>
      <c r="F41" s="90">
        <f t="shared" ca="1" si="7"/>
        <v>-17.669722061800019</v>
      </c>
      <c r="G41" s="90">
        <f t="shared" ca="1" si="7"/>
        <v>43.384082837669943</v>
      </c>
      <c r="H41" s="89">
        <f t="shared" ca="1" si="7"/>
        <v>3.9266168615436862E-3</v>
      </c>
      <c r="I41" s="91">
        <f t="shared" ca="1" si="7"/>
        <v>3037.3779999999997</v>
      </c>
      <c r="L41" s="79">
        <f t="shared" ca="1" si="8"/>
        <v>96</v>
      </c>
    </row>
    <row r="42" spans="2:12">
      <c r="B42" s="79" t="s">
        <v>84</v>
      </c>
      <c r="C42" s="84" t="s">
        <v>168</v>
      </c>
      <c r="D42" s="84"/>
      <c r="E42" s="89">
        <f t="shared" ca="1" si="7"/>
        <v>-2.8233420184821119E-2</v>
      </c>
      <c r="F42" s="90">
        <f t="shared" ca="1" si="7"/>
        <v>-4.824447361433104</v>
      </c>
      <c r="G42" s="90">
        <f t="shared" ca="1" si="7"/>
        <v>55.849567904446076</v>
      </c>
      <c r="H42" s="89">
        <f t="shared" ca="1" si="7"/>
        <v>5.5376672013924023E-3</v>
      </c>
      <c r="I42" s="91">
        <f t="shared" ca="1" si="7"/>
        <v>4283.5828199999996</v>
      </c>
      <c r="L42" s="79">
        <f t="shared" ca="1" si="8"/>
        <v>110</v>
      </c>
    </row>
    <row r="43" spans="2:12">
      <c r="B43" s="79" t="s">
        <v>74</v>
      </c>
      <c r="C43" s="82" t="s">
        <v>139</v>
      </c>
      <c r="D43" s="82"/>
      <c r="E43" s="89">
        <f t="shared" ref="E43:I49" ca="1" si="9">OFFSET( INDIRECT( $L$2 ), $L43 - 1, E$1 - 1 )</f>
        <v>-0.50646605745041318</v>
      </c>
      <c r="F43" s="90">
        <f t="shared" ca="1" si="9"/>
        <v>-17.901399471342604</v>
      </c>
      <c r="G43" s="90">
        <f t="shared" ca="1" si="9"/>
        <v>31.526679832983771</v>
      </c>
      <c r="H43" s="89">
        <f t="shared" ca="1" si="9"/>
        <v>2.3243501327444606E-2</v>
      </c>
      <c r="I43" s="91">
        <f t="shared" ca="1" si="9"/>
        <v>17979.676159999999</v>
      </c>
      <c r="L43" s="79">
        <f t="shared" ca="1" si="8"/>
        <v>50</v>
      </c>
    </row>
    <row r="44" spans="2:12">
      <c r="B44" s="79" t="s">
        <v>17</v>
      </c>
      <c r="C44" s="81" t="s">
        <v>160</v>
      </c>
      <c r="D44" s="81"/>
      <c r="E44" s="89">
        <f t="shared" ca="1" si="9"/>
        <v>-0.82483798980705247</v>
      </c>
      <c r="F44" s="90">
        <f t="shared" ca="1" si="9"/>
        <v>-21.770355438480237</v>
      </c>
      <c r="G44" s="90">
        <f t="shared" ca="1" si="9"/>
        <v>53.723921065887595</v>
      </c>
      <c r="H44" s="89">
        <f t="shared" ca="1" si="9"/>
        <v>2.9261277022145808E-2</v>
      </c>
      <c r="I44" s="91">
        <f t="shared" ca="1" si="9"/>
        <v>22634.639999999999</v>
      </c>
      <c r="L44" s="79">
        <f t="shared" ca="1" si="8"/>
        <v>97</v>
      </c>
    </row>
    <row r="45" spans="2:12">
      <c r="B45" s="79" t="s">
        <v>19</v>
      </c>
      <c r="C45" s="82" t="s">
        <v>161</v>
      </c>
      <c r="D45" s="82"/>
      <c r="E45" s="89">
        <f t="shared" ca="1" si="9"/>
        <v>-0.32359138161932938</v>
      </c>
      <c r="F45" s="90">
        <f t="shared" ca="1" si="9"/>
        <v>-7.5729283033753365</v>
      </c>
      <c r="G45" s="90">
        <f t="shared" ca="1" si="9"/>
        <v>131.02364536647971</v>
      </c>
      <c r="H45" s="89">
        <f t="shared" ca="1" si="9"/>
        <v>4.0593312364643593E-2</v>
      </c>
      <c r="I45" s="91">
        <f t="shared" ca="1" si="9"/>
        <v>31400.372959999997</v>
      </c>
      <c r="L45" s="79">
        <f t="shared" ca="1" si="8"/>
        <v>100</v>
      </c>
    </row>
    <row r="46" spans="2:12">
      <c r="B46" s="79" t="s">
        <v>13</v>
      </c>
      <c r="C46" s="82" t="s">
        <v>143</v>
      </c>
      <c r="D46" s="82"/>
      <c r="E46" s="89">
        <f t="shared" ca="1" si="9"/>
        <v>0.61893869241015576</v>
      </c>
      <c r="F46" s="90">
        <f t="shared" ca="1" si="9"/>
        <v>9.2769828777454997</v>
      </c>
      <c r="G46" s="90">
        <f t="shared" ca="1" si="9"/>
        <v>68.357078594564655</v>
      </c>
      <c r="H46" s="89">
        <f t="shared" ca="1" si="9"/>
        <v>7.3211477163028893E-2</v>
      </c>
      <c r="I46" s="91">
        <f t="shared" ca="1" si="9"/>
        <v>56631.685219999999</v>
      </c>
      <c r="L46" s="79">
        <f t="shared" ca="1" si="8"/>
        <v>56</v>
      </c>
    </row>
    <row r="47" spans="2:12">
      <c r="B47" s="79" t="s">
        <v>52</v>
      </c>
      <c r="C47" s="82" t="s">
        <v>147</v>
      </c>
      <c r="D47" s="82"/>
      <c r="E47" s="89">
        <f t="shared" ca="1" si="9"/>
        <v>-9.7733891127757826E-4</v>
      </c>
      <c r="F47" s="90">
        <f t="shared" ca="1" si="9"/>
        <v>-0.96185122261412959</v>
      </c>
      <c r="G47" s="90">
        <f t="shared" ca="1" si="9"/>
        <v>61.081250585571055</v>
      </c>
      <c r="H47" s="89">
        <f t="shared" ca="1" si="9"/>
        <v>1.0073926294174491E-3</v>
      </c>
      <c r="I47" s="91">
        <f t="shared" ca="1" si="9"/>
        <v>779.25408000000004</v>
      </c>
      <c r="L47" s="79">
        <f t="shared" ca="1" si="8"/>
        <v>64</v>
      </c>
    </row>
    <row r="48" spans="2:12">
      <c r="B48" s="79" t="s">
        <v>27</v>
      </c>
      <c r="C48" s="82" t="s">
        <v>652</v>
      </c>
      <c r="D48" s="82"/>
      <c r="E48" s="89">
        <f t="shared" ca="1" si="9"/>
        <v>0.45673278463991696</v>
      </c>
      <c r="F48" s="90">
        <f t="shared" ca="1" si="9"/>
        <v>14.467154379696856</v>
      </c>
      <c r="G48" s="90">
        <f t="shared" ca="1" si="9"/>
        <v>103.46905745250481</v>
      </c>
      <c r="H48" s="89">
        <f t="shared" ca="1" si="9"/>
        <v>3.5933965235829826E-2</v>
      </c>
      <c r="I48" s="91">
        <f t="shared" ca="1" si="9"/>
        <v>27796.201999999997</v>
      </c>
      <c r="L48" s="79">
        <f t="shared" ca="1" si="8"/>
        <v>107</v>
      </c>
    </row>
    <row r="49" spans="2:12">
      <c r="B49" s="79" t="s">
        <v>24</v>
      </c>
      <c r="C49" s="81" t="s">
        <v>155</v>
      </c>
      <c r="D49" s="81"/>
      <c r="E49" s="89">
        <f t="shared" ca="1" si="9"/>
        <v>0.36904700941118795</v>
      </c>
      <c r="F49" s="90">
        <f t="shared" ca="1" si="9"/>
        <v>10.153929840576904</v>
      </c>
      <c r="G49" s="90">
        <f t="shared" ca="1" si="9"/>
        <v>70.539832097025538</v>
      </c>
      <c r="H49" s="89">
        <f t="shared" ca="1" si="9"/>
        <v>4.0457994794791015E-2</v>
      </c>
      <c r="I49" s="91">
        <f t="shared" ca="1" si="9"/>
        <v>31295.699999999997</v>
      </c>
      <c r="L49" s="79">
        <f t="shared" ca="1" si="8"/>
        <v>89</v>
      </c>
    </row>
  </sheetData>
  <sortState xmlns:xlrd2="http://schemas.microsoft.com/office/spreadsheetml/2017/richdata2"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CEFBA-9466-4645-A9E4-A4D57D54F291}">
  <dimension ref="A1:MQ1053"/>
  <sheetViews>
    <sheetView zoomScale="85" zoomScaleNormal="85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8" sqref="C8"/>
    </sheetView>
  </sheetViews>
  <sheetFormatPr defaultColWidth="9.109375" defaultRowHeight="13.2"/>
  <cols>
    <col min="1" max="1" width="9" style="633" customWidth="1"/>
    <col min="2" max="2" width="41" style="720" customWidth="1"/>
    <col min="3" max="5" width="10.77734375" customWidth="1"/>
    <col min="6" max="20" width="10.88671875" style="826" customWidth="1"/>
    <col min="21" max="29" width="10.88671875" style="720" customWidth="1"/>
    <col min="30" max="35" width="10.6640625" style="788" customWidth="1"/>
    <col min="36" max="47" width="10.6640625" style="723" customWidth="1"/>
    <col min="48" max="59" width="10.6640625" style="720" customWidth="1"/>
    <col min="60" max="60" width="10.5546875" style="720" customWidth="1"/>
    <col min="61" max="86" width="10.6640625" style="720" customWidth="1"/>
    <col min="87" max="98" width="10.5546875" style="720" customWidth="1"/>
    <col min="99" max="99" width="10.44140625" style="720" customWidth="1"/>
    <col min="100" max="101" width="9.44140625" style="720" customWidth="1"/>
    <col min="102" max="107" width="9.5546875" style="720" customWidth="1"/>
    <col min="108" max="108" width="9.33203125" style="720" customWidth="1"/>
    <col min="109" max="110" width="9.5546875" style="720" customWidth="1"/>
    <col min="111" max="111" width="9.44140625" style="720" customWidth="1"/>
    <col min="112" max="116" width="9.5546875" style="720" customWidth="1"/>
    <col min="117" max="131" width="9.44140625" style="720" customWidth="1"/>
    <col min="132" max="146" width="9.5546875" style="720" customWidth="1"/>
    <col min="147" max="149" width="9.33203125" style="720" customWidth="1"/>
    <col min="150" max="150" width="9.109375" style="720" customWidth="1"/>
    <col min="151" max="173" width="9.33203125" style="720" customWidth="1"/>
    <col min="174" max="176" width="9.33203125" style="728" customWidth="1"/>
    <col min="177" max="181" width="9.33203125" style="723" customWidth="1"/>
    <col min="182" max="182" width="9.33203125" style="722" customWidth="1"/>
    <col min="183" max="184" width="8.44140625" style="723" customWidth="1"/>
    <col min="185" max="185" width="8.44140625" style="722" customWidth="1"/>
    <col min="186" max="248" width="8.44140625" style="720" customWidth="1"/>
    <col min="249" max="249" width="8" style="720" customWidth="1"/>
    <col min="250" max="251" width="8.44140625" style="720" customWidth="1"/>
    <col min="252" max="252" width="8" style="720" customWidth="1"/>
    <col min="253" max="253" width="8.44140625" style="720" customWidth="1"/>
    <col min="254" max="254" width="8.5546875" style="720" customWidth="1"/>
    <col min="255" max="255" width="7.6640625" style="720" customWidth="1"/>
    <col min="256" max="256" width="9" style="720" customWidth="1"/>
    <col min="257" max="257" width="7.6640625" style="720" customWidth="1"/>
    <col min="258" max="258" width="8.109375" style="720" customWidth="1"/>
    <col min="259" max="259" width="9" style="720" customWidth="1"/>
    <col min="260" max="260" width="7.109375" style="720" customWidth="1"/>
    <col min="261" max="261" width="7.33203125" style="720" customWidth="1"/>
    <col min="262" max="262" width="8" style="720" customWidth="1"/>
    <col min="263" max="263" width="7.33203125" style="720" customWidth="1"/>
    <col min="264" max="16384" width="9.109375" style="720"/>
  </cols>
  <sheetData>
    <row r="1" spans="1:355">
      <c r="B1" s="737" t="s">
        <v>547</v>
      </c>
      <c r="U1" s="737"/>
      <c r="V1" s="737"/>
      <c r="W1" s="737"/>
      <c r="X1" s="737"/>
      <c r="Y1" s="737"/>
      <c r="Z1" s="737"/>
      <c r="AA1" s="737"/>
      <c r="AB1" s="737"/>
      <c r="AC1" s="73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37"/>
      <c r="AW1" s="737"/>
      <c r="AX1" s="737"/>
      <c r="AY1" s="737"/>
      <c r="AZ1" s="737"/>
      <c r="BA1" s="737"/>
      <c r="BB1" s="737"/>
      <c r="BC1" s="737"/>
      <c r="BD1" s="737"/>
      <c r="BE1" s="737"/>
      <c r="BF1" s="737"/>
      <c r="BG1" s="737"/>
      <c r="BH1" s="737"/>
      <c r="BI1" s="737"/>
      <c r="BJ1" s="737"/>
      <c r="BK1" s="737"/>
      <c r="BL1" s="737"/>
      <c r="BM1" s="737"/>
      <c r="BN1" s="737"/>
      <c r="BO1" s="737"/>
      <c r="BP1" s="737"/>
      <c r="BQ1" s="737"/>
      <c r="BR1" s="737"/>
      <c r="BS1" s="737"/>
      <c r="BT1" s="737"/>
      <c r="BU1" s="737"/>
      <c r="BV1" s="737"/>
      <c r="BW1" s="737"/>
      <c r="BX1" s="737"/>
      <c r="BY1" s="737"/>
      <c r="BZ1" s="737"/>
      <c r="CA1" s="737"/>
      <c r="CB1" s="737"/>
      <c r="CC1" s="737"/>
      <c r="CD1" s="737"/>
      <c r="CE1" s="737"/>
      <c r="CF1" s="737"/>
      <c r="CG1" s="737"/>
      <c r="CH1" s="737"/>
      <c r="CI1" s="737"/>
      <c r="CJ1" s="737"/>
      <c r="CK1" s="737"/>
      <c r="CL1" s="737"/>
      <c r="CM1" s="737"/>
      <c r="CN1" s="737"/>
      <c r="CO1" s="737"/>
      <c r="CP1" s="737"/>
      <c r="CQ1" s="737"/>
      <c r="CR1" s="737"/>
      <c r="CS1" s="737"/>
      <c r="CT1" s="737"/>
      <c r="CU1" s="737"/>
      <c r="CV1" s="737"/>
      <c r="CW1" s="737"/>
      <c r="CX1" s="737"/>
      <c r="CY1" s="737"/>
      <c r="CZ1" s="737"/>
      <c r="DA1" s="737"/>
      <c r="DB1" s="737"/>
      <c r="DC1" s="737"/>
      <c r="DD1" s="737"/>
      <c r="DE1" s="737"/>
      <c r="DF1" s="737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737"/>
      <c r="DW1" s="737"/>
      <c r="DX1" s="737"/>
      <c r="DY1" s="737"/>
      <c r="DZ1" s="737"/>
      <c r="EA1" s="737"/>
      <c r="EB1" s="737"/>
      <c r="EC1" s="737"/>
      <c r="ED1" s="737"/>
      <c r="EE1" s="737"/>
      <c r="EF1" s="737"/>
      <c r="EG1" s="737"/>
      <c r="EH1" s="737"/>
      <c r="EI1" s="737"/>
      <c r="EJ1" s="737"/>
      <c r="EK1" s="737"/>
      <c r="EL1" s="737"/>
      <c r="EM1" s="737"/>
      <c r="EN1" s="737"/>
      <c r="EO1" s="737"/>
      <c r="EP1" s="737"/>
      <c r="EQ1" s="737"/>
      <c r="ER1" s="737"/>
      <c r="ES1" s="737"/>
      <c r="ET1" s="737"/>
      <c r="EU1" s="737"/>
      <c r="EV1" s="737"/>
      <c r="EW1" s="737"/>
      <c r="EX1" s="737"/>
      <c r="EY1" s="737"/>
      <c r="EZ1" s="737"/>
      <c r="FA1" s="737"/>
      <c r="FB1" s="737"/>
      <c r="FC1" s="737"/>
      <c r="FD1" s="737"/>
      <c r="FE1" s="737"/>
      <c r="FF1" s="737"/>
      <c r="FG1" s="737"/>
      <c r="FH1" s="737"/>
      <c r="FI1" s="737"/>
      <c r="FJ1" s="737"/>
      <c r="FK1" s="737"/>
      <c r="FL1" s="737"/>
      <c r="FM1" s="737"/>
      <c r="FN1" s="737"/>
      <c r="FO1" s="727"/>
      <c r="FP1" s="727"/>
      <c r="FQ1" s="727"/>
      <c r="FR1" s="726"/>
      <c r="FS1" s="726"/>
      <c r="FT1" s="726"/>
      <c r="FU1" s="727"/>
      <c r="FV1" s="727"/>
      <c r="FW1" s="727"/>
      <c r="FX1" s="727"/>
      <c r="FY1" s="727"/>
      <c r="FZ1" s="727"/>
      <c r="GA1" s="727"/>
      <c r="GB1" s="727"/>
      <c r="GC1" s="727"/>
      <c r="GD1" s="737"/>
      <c r="GE1" s="737"/>
      <c r="GF1" s="737"/>
      <c r="GG1" s="737"/>
      <c r="GH1" s="737"/>
      <c r="GI1" s="737"/>
      <c r="GJ1" s="737"/>
      <c r="GK1" s="737"/>
      <c r="GL1" s="737"/>
      <c r="GM1" s="737"/>
      <c r="GN1" s="737"/>
      <c r="GO1" s="737"/>
      <c r="GP1" s="737"/>
      <c r="GQ1" s="737"/>
      <c r="GR1" s="737"/>
      <c r="GS1" s="737"/>
      <c r="GT1" s="737"/>
      <c r="GU1" s="737"/>
      <c r="GV1" s="737"/>
      <c r="GW1" s="737"/>
      <c r="GX1" s="737"/>
      <c r="GY1" s="737"/>
      <c r="GZ1" s="737"/>
      <c r="HA1" s="737"/>
      <c r="HB1" s="737"/>
      <c r="HC1" s="737"/>
      <c r="HD1" s="737"/>
      <c r="HE1" s="737"/>
      <c r="HF1" s="737"/>
      <c r="HG1" s="737"/>
      <c r="HH1" s="737"/>
      <c r="HI1" s="737"/>
      <c r="HJ1" s="737"/>
      <c r="HK1" s="737"/>
      <c r="HL1" s="737"/>
      <c r="HM1" s="737"/>
      <c r="HN1" s="737"/>
      <c r="HO1" s="737"/>
      <c r="HP1" s="737"/>
      <c r="HQ1" s="737"/>
      <c r="HR1" s="737"/>
      <c r="HS1" s="737"/>
      <c r="HT1" s="737"/>
      <c r="HU1" s="737"/>
      <c r="HV1" s="737"/>
      <c r="HW1" s="737"/>
      <c r="HX1" s="737"/>
      <c r="HY1" s="737"/>
      <c r="HZ1" s="737"/>
      <c r="IA1" s="737"/>
      <c r="IB1" s="737"/>
      <c r="IC1" s="737"/>
      <c r="ID1" s="737"/>
      <c r="IE1" s="737"/>
      <c r="IF1" s="737"/>
      <c r="IG1" s="737"/>
      <c r="IH1" s="737"/>
      <c r="II1" s="737"/>
      <c r="IJ1" s="721"/>
      <c r="IK1" s="721"/>
      <c r="IL1" s="721"/>
      <c r="IM1" s="721"/>
      <c r="IN1" s="721"/>
      <c r="IO1" s="721"/>
      <c r="IP1" s="721"/>
      <c r="IQ1" s="721"/>
      <c r="IR1" s="721"/>
      <c r="IS1" s="721"/>
      <c r="IT1" s="721"/>
      <c r="IU1" s="721"/>
      <c r="IV1" s="721"/>
      <c r="IW1" s="721"/>
      <c r="IX1" s="721"/>
      <c r="IY1" s="721"/>
      <c r="IZ1" s="721"/>
      <c r="JA1" s="721"/>
      <c r="JB1" s="721"/>
      <c r="JC1" s="721"/>
      <c r="JD1" s="721"/>
      <c r="JE1" s="721"/>
      <c r="JF1" s="721"/>
      <c r="JG1" s="721"/>
      <c r="JH1" s="721"/>
      <c r="JI1" s="721"/>
      <c r="JJ1" s="721"/>
      <c r="JK1" s="721"/>
      <c r="JL1" s="721"/>
      <c r="JM1" s="721"/>
      <c r="JN1" s="721"/>
      <c r="JO1" s="721"/>
      <c r="JP1" s="721"/>
      <c r="JQ1" s="721"/>
      <c r="JR1" s="721"/>
      <c r="JS1" s="721"/>
      <c r="JT1" s="721"/>
      <c r="JU1" s="721"/>
      <c r="JV1" s="721"/>
      <c r="JW1" s="721"/>
      <c r="JX1" s="721"/>
      <c r="JY1" s="721"/>
      <c r="JZ1" s="721"/>
      <c r="KA1" s="721"/>
      <c r="KB1" s="721"/>
      <c r="KC1" s="721"/>
      <c r="KD1" s="721"/>
      <c r="KE1" s="721"/>
      <c r="KF1" s="721"/>
      <c r="KG1" s="721"/>
      <c r="KH1" s="721"/>
      <c r="KI1" s="721"/>
      <c r="KJ1" s="721"/>
      <c r="KK1" s="721"/>
      <c r="KL1" s="721"/>
      <c r="KM1" s="721"/>
      <c r="KN1" s="721"/>
      <c r="KO1" s="721"/>
      <c r="KP1" s="721"/>
      <c r="KQ1" s="721"/>
      <c r="KR1" s="721"/>
      <c r="KS1" s="721"/>
      <c r="KT1" s="721"/>
      <c r="KU1" s="721"/>
      <c r="KV1" s="721"/>
      <c r="KW1" s="721"/>
      <c r="KX1" s="721"/>
      <c r="KY1" s="721"/>
      <c r="KZ1" s="721"/>
      <c r="LA1" s="721"/>
      <c r="LB1" s="721"/>
      <c r="LC1" s="721"/>
      <c r="LD1" s="721"/>
      <c r="LE1" s="721"/>
      <c r="LF1" s="721"/>
      <c r="LG1" s="721"/>
      <c r="LH1" s="721"/>
      <c r="LI1" s="721"/>
      <c r="LJ1" s="721"/>
      <c r="LK1" s="721"/>
      <c r="LL1" s="721"/>
      <c r="LM1" s="721"/>
      <c r="LN1" s="721"/>
      <c r="LO1" s="721"/>
      <c r="LP1" s="721"/>
      <c r="LQ1" s="721"/>
      <c r="LR1" s="721"/>
      <c r="LS1" s="721"/>
      <c r="LT1" s="721"/>
      <c r="LU1" s="721"/>
      <c r="LV1" s="721"/>
      <c r="LW1" s="721"/>
      <c r="LX1" s="721"/>
      <c r="LY1" s="721"/>
      <c r="LZ1" s="721"/>
      <c r="MA1" s="721"/>
      <c r="MB1" s="721"/>
      <c r="MC1" s="721"/>
      <c r="MD1" s="721"/>
      <c r="ME1" s="721"/>
      <c r="MF1" s="721"/>
      <c r="MG1" s="721"/>
      <c r="MH1" s="721"/>
      <c r="MI1" s="721"/>
      <c r="MJ1" s="721"/>
      <c r="MK1" s="721"/>
      <c r="ML1" s="721"/>
      <c r="MM1" s="721"/>
      <c r="MN1" s="721"/>
      <c r="MO1" s="721"/>
      <c r="MP1" s="721"/>
      <c r="MQ1" s="721"/>
    </row>
    <row r="2" spans="1:355">
      <c r="B2" s="737" t="s">
        <v>2</v>
      </c>
      <c r="U2" s="737"/>
      <c r="V2" s="737"/>
      <c r="W2" s="737"/>
      <c r="X2" s="737"/>
      <c r="Y2" s="737"/>
      <c r="Z2" s="737"/>
      <c r="AA2" s="737"/>
      <c r="AB2" s="737"/>
      <c r="AC2" s="737"/>
      <c r="AJ2" s="727"/>
      <c r="AK2" s="727"/>
      <c r="AL2" s="727"/>
      <c r="AM2" s="727"/>
      <c r="AN2" s="727"/>
      <c r="AO2" s="727"/>
      <c r="AP2" s="727"/>
      <c r="AQ2" s="727"/>
      <c r="AR2" s="727"/>
      <c r="AS2" s="727"/>
      <c r="AT2" s="727"/>
      <c r="AU2" s="727"/>
      <c r="AV2" s="737"/>
      <c r="AW2" s="737"/>
      <c r="AX2" s="737"/>
      <c r="AY2" s="737"/>
      <c r="AZ2" s="737"/>
      <c r="BA2" s="737"/>
      <c r="BB2" s="737"/>
      <c r="BC2" s="737"/>
      <c r="BD2" s="737"/>
      <c r="BE2" s="737"/>
      <c r="BF2" s="737"/>
      <c r="BG2" s="737"/>
      <c r="BH2" s="737"/>
      <c r="BI2" s="737"/>
      <c r="BJ2" s="737"/>
      <c r="BK2" s="737"/>
      <c r="BL2" s="737"/>
      <c r="BM2" s="737"/>
      <c r="BN2" s="737"/>
      <c r="BO2" s="737"/>
      <c r="BP2" s="737"/>
      <c r="BQ2" s="737"/>
      <c r="BR2" s="737"/>
      <c r="BS2" s="737"/>
      <c r="BT2" s="737"/>
      <c r="BU2" s="737"/>
      <c r="BV2" s="737"/>
      <c r="BW2" s="737"/>
      <c r="BX2" s="737"/>
      <c r="BY2" s="737"/>
      <c r="BZ2" s="737"/>
      <c r="CA2" s="737"/>
      <c r="CB2" s="737"/>
      <c r="CC2" s="737"/>
      <c r="CD2" s="737"/>
      <c r="CE2" s="737"/>
      <c r="CF2" s="737"/>
      <c r="CG2" s="737"/>
      <c r="CH2" s="737"/>
      <c r="CI2" s="737"/>
      <c r="CJ2" s="737"/>
      <c r="CK2" s="737"/>
      <c r="CL2" s="737"/>
      <c r="CM2" s="737"/>
      <c r="CN2" s="737"/>
      <c r="CO2" s="737"/>
      <c r="CP2" s="737"/>
      <c r="CQ2" s="737"/>
      <c r="CR2" s="737"/>
      <c r="CS2" s="737"/>
      <c r="CT2" s="737"/>
      <c r="CU2" s="737"/>
      <c r="CV2" s="737"/>
      <c r="CW2" s="737"/>
      <c r="CX2" s="737"/>
      <c r="CY2" s="737"/>
      <c r="CZ2" s="737"/>
      <c r="DA2" s="737"/>
      <c r="DB2" s="737"/>
      <c r="DC2" s="737"/>
      <c r="DD2" s="737"/>
      <c r="DE2" s="737"/>
      <c r="DF2" s="737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737"/>
      <c r="DW2" s="737"/>
      <c r="DX2" s="737"/>
      <c r="DY2" s="737"/>
      <c r="DZ2" s="737"/>
      <c r="EA2" s="737"/>
      <c r="EB2" s="737"/>
      <c r="EC2" s="737"/>
      <c r="ED2" s="737"/>
      <c r="EE2" s="737"/>
      <c r="EF2" s="737"/>
      <c r="EG2" s="737"/>
      <c r="EH2" s="737"/>
      <c r="EI2" s="737"/>
      <c r="EJ2" s="737"/>
      <c r="EK2" s="737"/>
      <c r="EL2" s="737"/>
      <c r="EM2" s="737"/>
      <c r="EN2" s="737"/>
      <c r="EO2" s="737"/>
      <c r="EP2" s="737"/>
      <c r="EQ2" s="737"/>
      <c r="ER2" s="737"/>
      <c r="ES2" s="737"/>
      <c r="ET2" s="737"/>
      <c r="EU2" s="737"/>
      <c r="EV2" s="737"/>
      <c r="EW2" s="737"/>
      <c r="EX2" s="737"/>
      <c r="EY2" s="737"/>
      <c r="EZ2" s="737"/>
      <c r="FA2" s="737"/>
      <c r="FB2" s="737"/>
      <c r="FC2" s="737"/>
      <c r="FD2" s="737"/>
      <c r="FE2" s="737"/>
      <c r="FF2" s="737"/>
      <c r="FG2" s="737"/>
      <c r="FH2" s="737"/>
      <c r="FI2" s="737"/>
      <c r="FJ2" s="737"/>
      <c r="FK2" s="737"/>
      <c r="FL2" s="737"/>
      <c r="FM2" s="737"/>
      <c r="FN2" s="737"/>
      <c r="FO2" s="727"/>
      <c r="FP2" s="727"/>
      <c r="FQ2" s="727"/>
      <c r="FR2" s="726"/>
      <c r="FS2" s="726"/>
      <c r="FT2" s="726"/>
      <c r="FU2" s="727"/>
      <c r="FV2" s="727"/>
      <c r="FW2" s="727"/>
      <c r="FX2" s="727"/>
      <c r="FY2" s="727"/>
      <c r="FZ2" s="727"/>
      <c r="GA2" s="727"/>
      <c r="GB2" s="727"/>
      <c r="GC2" s="727"/>
      <c r="GD2" s="737"/>
      <c r="GE2" s="737"/>
      <c r="GF2" s="737"/>
      <c r="GG2" s="737"/>
      <c r="GH2" s="737"/>
      <c r="GI2" s="737"/>
      <c r="GJ2" s="737"/>
      <c r="GK2" s="737"/>
      <c r="GL2" s="737"/>
      <c r="GM2" s="737"/>
      <c r="GN2" s="737"/>
      <c r="GO2" s="737"/>
      <c r="GP2" s="737"/>
      <c r="GQ2" s="737"/>
      <c r="GR2" s="737"/>
      <c r="GS2" s="737"/>
      <c r="GT2" s="737"/>
      <c r="GU2" s="737"/>
      <c r="GV2" s="737"/>
      <c r="GW2" s="737"/>
      <c r="GX2" s="737"/>
      <c r="GY2" s="737"/>
      <c r="GZ2" s="737"/>
      <c r="HA2" s="737"/>
      <c r="HB2" s="737"/>
      <c r="HC2" s="737"/>
      <c r="HD2" s="737"/>
      <c r="HE2" s="737"/>
      <c r="HF2" s="737"/>
      <c r="HG2" s="737"/>
      <c r="HH2" s="737"/>
      <c r="HI2" s="737"/>
      <c r="HJ2" s="737"/>
      <c r="HK2" s="737"/>
      <c r="HL2" s="737"/>
      <c r="HM2" s="737"/>
      <c r="HN2" s="737"/>
      <c r="HO2" s="737"/>
      <c r="HP2" s="737"/>
      <c r="HQ2" s="737"/>
      <c r="HR2" s="737"/>
      <c r="HS2" s="737"/>
      <c r="HT2" s="737"/>
      <c r="HU2" s="737"/>
      <c r="HV2" s="737"/>
      <c r="HW2" s="737"/>
      <c r="HX2" s="737"/>
      <c r="HY2" s="737"/>
      <c r="HZ2" s="737"/>
      <c r="IA2" s="737"/>
      <c r="IB2" s="737"/>
      <c r="IC2" s="737"/>
      <c r="ID2" s="737"/>
      <c r="IE2" s="737"/>
      <c r="IF2" s="737"/>
      <c r="IG2" s="737"/>
      <c r="IH2" s="737"/>
      <c r="II2" s="737"/>
      <c r="IJ2" s="721"/>
      <c r="IK2" s="721"/>
      <c r="IL2" s="721"/>
      <c r="IM2" s="721"/>
      <c r="IN2" s="721"/>
      <c r="IO2" s="721"/>
      <c r="IP2" s="721"/>
      <c r="IQ2" s="721"/>
      <c r="IR2" s="721"/>
      <c r="IS2" s="721"/>
      <c r="IT2" s="721"/>
      <c r="IU2" s="721"/>
      <c r="IV2" s="721"/>
      <c r="IW2" s="721"/>
      <c r="IX2" s="721"/>
      <c r="IY2" s="721"/>
      <c r="IZ2" s="721"/>
      <c r="JA2" s="721"/>
      <c r="JB2" s="721"/>
      <c r="JC2" s="721"/>
      <c r="JD2" s="721"/>
      <c r="JE2" s="721"/>
      <c r="JF2" s="721"/>
      <c r="JG2" s="721"/>
      <c r="JH2" s="721"/>
      <c r="JI2" s="721"/>
      <c r="JJ2" s="721"/>
      <c r="JK2" s="721"/>
      <c r="JL2" s="721"/>
      <c r="JM2" s="721"/>
      <c r="JN2" s="721"/>
      <c r="JO2" s="721"/>
      <c r="JP2" s="721"/>
      <c r="JQ2" s="721"/>
      <c r="JR2" s="721"/>
      <c r="JS2" s="721"/>
      <c r="JT2" s="721"/>
      <c r="JU2" s="721"/>
      <c r="JV2" s="721"/>
      <c r="JW2" s="721"/>
      <c r="JX2" s="721"/>
      <c r="JY2" s="721"/>
      <c r="JZ2" s="721"/>
      <c r="KA2" s="721"/>
      <c r="KB2" s="721"/>
      <c r="KC2" s="721"/>
      <c r="KD2" s="721"/>
      <c r="KE2" s="721"/>
      <c r="KF2" s="721"/>
      <c r="KG2" s="721"/>
      <c r="KH2" s="721"/>
      <c r="KI2" s="721"/>
      <c r="KJ2" s="721"/>
      <c r="KK2" s="721"/>
      <c r="KL2" s="721"/>
      <c r="KM2" s="721"/>
      <c r="KN2" s="721"/>
      <c r="KO2" s="721"/>
      <c r="KP2" s="721"/>
      <c r="KQ2" s="721"/>
      <c r="KR2" s="721"/>
      <c r="KS2" s="721"/>
      <c r="KT2" s="721"/>
      <c r="KU2" s="721"/>
      <c r="KV2" s="721"/>
      <c r="KW2" s="721"/>
      <c r="KX2" s="721"/>
      <c r="KY2" s="721"/>
      <c r="KZ2" s="721"/>
      <c r="LA2" s="721"/>
      <c r="LB2" s="721"/>
      <c r="LC2" s="721"/>
      <c r="LD2" s="721"/>
      <c r="LE2" s="721"/>
      <c r="LF2" s="721"/>
      <c r="LG2" s="721"/>
      <c r="LH2" s="721"/>
      <c r="LI2" s="721"/>
      <c r="LJ2" s="721"/>
      <c r="LK2" s="721"/>
      <c r="LL2" s="721"/>
      <c r="LM2" s="721"/>
      <c r="LN2" s="721"/>
      <c r="LO2" s="721"/>
      <c r="LP2" s="721"/>
      <c r="LQ2" s="721"/>
      <c r="LR2" s="721"/>
      <c r="LS2" s="721"/>
      <c r="LT2" s="721"/>
      <c r="LU2" s="721"/>
      <c r="LV2" s="721"/>
      <c r="LW2" s="721"/>
      <c r="LX2" s="721"/>
      <c r="LY2" s="721"/>
      <c r="LZ2" s="721"/>
      <c r="MA2" s="721"/>
      <c r="MB2" s="721"/>
      <c r="MC2" s="721"/>
      <c r="MD2" s="721"/>
      <c r="ME2" s="721"/>
      <c r="MF2" s="721"/>
      <c r="MG2" s="721"/>
      <c r="MH2" s="721"/>
      <c r="MI2" s="721"/>
      <c r="MJ2" s="721"/>
      <c r="MK2" s="721"/>
      <c r="ML2" s="721"/>
      <c r="MM2" s="721"/>
      <c r="MN2" s="721"/>
      <c r="MO2" s="721"/>
      <c r="MP2" s="721"/>
      <c r="MQ2" s="721"/>
    </row>
    <row r="3" spans="1:355">
      <c r="B3" s="737"/>
      <c r="U3" s="737"/>
      <c r="V3" s="737"/>
      <c r="W3" s="737"/>
      <c r="X3" s="737"/>
      <c r="Y3" s="737"/>
      <c r="Z3" s="737"/>
      <c r="AA3" s="737"/>
      <c r="AB3" s="737"/>
      <c r="AC3" s="737"/>
      <c r="AJ3" s="727"/>
      <c r="AK3" s="727"/>
      <c r="AL3" s="727"/>
      <c r="AM3" s="727"/>
      <c r="AN3" s="727"/>
      <c r="AO3" s="727"/>
      <c r="AP3" s="727"/>
      <c r="AQ3" s="727"/>
      <c r="AR3" s="727"/>
      <c r="AS3" s="727"/>
      <c r="AT3" s="727"/>
      <c r="AU3" s="727"/>
      <c r="AV3" s="737"/>
      <c r="AW3" s="737"/>
      <c r="AX3" s="737"/>
      <c r="AY3" s="737"/>
      <c r="AZ3" s="737"/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737"/>
      <c r="BM3" s="737"/>
      <c r="BN3" s="737"/>
      <c r="BO3" s="737"/>
      <c r="BP3" s="737"/>
      <c r="BQ3" s="737"/>
      <c r="BR3" s="737"/>
      <c r="BS3" s="737"/>
      <c r="BT3" s="737"/>
      <c r="BU3" s="737"/>
      <c r="BV3" s="737"/>
      <c r="BW3" s="737"/>
      <c r="BX3" s="737"/>
      <c r="BY3" s="737"/>
      <c r="BZ3" s="737"/>
      <c r="CA3" s="737"/>
      <c r="CB3" s="737"/>
      <c r="CC3" s="737"/>
      <c r="CD3" s="737"/>
      <c r="CE3" s="737"/>
      <c r="CF3" s="737"/>
      <c r="CG3" s="737"/>
      <c r="CH3" s="737"/>
      <c r="CI3" s="737"/>
      <c r="CJ3" s="737"/>
      <c r="CK3" s="737"/>
      <c r="CL3" s="737"/>
      <c r="CM3" s="737"/>
      <c r="CN3" s="737"/>
      <c r="CO3" s="737"/>
      <c r="CP3" s="737"/>
      <c r="CQ3" s="737"/>
      <c r="CR3" s="737"/>
      <c r="CS3" s="737"/>
      <c r="CT3" s="737"/>
      <c r="CU3" s="737"/>
      <c r="CV3" s="737"/>
      <c r="CW3" s="737"/>
      <c r="CX3" s="737"/>
      <c r="CY3" s="737"/>
      <c r="CZ3" s="737"/>
      <c r="DA3" s="737"/>
      <c r="DB3" s="737"/>
      <c r="DC3" s="737"/>
      <c r="DD3" s="737"/>
      <c r="DE3" s="737"/>
      <c r="DF3" s="737"/>
      <c r="DG3" s="737"/>
      <c r="DH3" s="737"/>
      <c r="DI3" s="737"/>
      <c r="DJ3" s="737"/>
      <c r="DK3" s="737"/>
      <c r="DL3" s="737"/>
      <c r="DM3" s="737"/>
      <c r="DN3" s="737"/>
      <c r="DO3" s="737"/>
      <c r="DP3" s="737"/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737"/>
      <c r="EC3" s="737"/>
      <c r="ED3" s="737"/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737"/>
      <c r="EQ3" s="737"/>
      <c r="ER3" s="737"/>
      <c r="ES3" s="737"/>
      <c r="ET3" s="737"/>
      <c r="EU3" s="737"/>
      <c r="EV3" s="737"/>
      <c r="EW3" s="737"/>
      <c r="EX3" s="737"/>
      <c r="EY3" s="737"/>
      <c r="EZ3" s="737"/>
      <c r="FA3" s="737"/>
      <c r="FB3" s="737"/>
      <c r="FC3" s="737"/>
      <c r="FD3" s="737"/>
      <c r="FE3" s="737"/>
      <c r="FF3" s="737"/>
      <c r="FG3" s="737"/>
      <c r="FH3" s="737"/>
      <c r="FI3" s="737"/>
      <c r="FJ3" s="737"/>
      <c r="FK3" s="737"/>
      <c r="FL3" s="737"/>
      <c r="FM3" s="737"/>
      <c r="FN3" s="737"/>
      <c r="FO3" s="727"/>
      <c r="FP3" s="727"/>
      <c r="FQ3" s="727"/>
      <c r="FR3" s="726"/>
      <c r="FS3" s="726"/>
      <c r="FT3" s="726"/>
      <c r="FU3" s="727"/>
      <c r="FV3" s="727"/>
      <c r="FW3" s="727"/>
      <c r="FX3" s="727"/>
      <c r="FY3" s="727"/>
      <c r="FZ3" s="727"/>
      <c r="GA3" s="727"/>
      <c r="GB3" s="727"/>
      <c r="GC3" s="727"/>
      <c r="GD3" s="737"/>
      <c r="GE3" s="737"/>
      <c r="GF3" s="737"/>
      <c r="GG3" s="737"/>
      <c r="GH3" s="737"/>
      <c r="GI3" s="737"/>
      <c r="GJ3" s="737"/>
      <c r="GK3" s="737"/>
      <c r="GL3" s="737"/>
      <c r="GM3" s="737"/>
      <c r="GN3" s="737"/>
      <c r="GO3" s="737"/>
      <c r="GP3" s="737"/>
      <c r="GQ3" s="737"/>
      <c r="GR3" s="737"/>
      <c r="GS3" s="737"/>
      <c r="GT3" s="737"/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737"/>
      <c r="HG3" s="737"/>
      <c r="HH3" s="737"/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737"/>
      <c r="HU3" s="737"/>
      <c r="HV3" s="737"/>
      <c r="HW3" s="737"/>
      <c r="HX3" s="737"/>
      <c r="HY3" s="737"/>
      <c r="HZ3" s="737"/>
      <c r="IA3" s="737"/>
      <c r="IB3" s="737"/>
      <c r="IC3" s="737"/>
      <c r="ID3" s="737"/>
      <c r="IE3" s="737"/>
      <c r="IF3" s="737"/>
      <c r="IG3" s="737"/>
      <c r="IH3" s="737"/>
      <c r="II3" s="737"/>
      <c r="IJ3" s="721"/>
      <c r="IK3" s="721"/>
      <c r="IL3" s="721"/>
      <c r="IM3" s="721"/>
      <c r="IN3" s="721"/>
      <c r="IO3" s="721"/>
      <c r="IP3" s="721"/>
      <c r="IQ3" s="721"/>
      <c r="IR3" s="721"/>
      <c r="IS3" s="721"/>
      <c r="IT3" s="721"/>
      <c r="IU3" s="721"/>
      <c r="IV3" s="721"/>
      <c r="IW3" s="721"/>
      <c r="IX3" s="721"/>
      <c r="IY3" s="721"/>
      <c r="IZ3" s="721"/>
      <c r="JA3" s="721"/>
      <c r="JB3" s="721"/>
      <c r="JC3" s="721"/>
      <c r="JD3" s="721"/>
      <c r="JE3" s="721"/>
      <c r="JF3" s="721"/>
      <c r="JG3" s="721"/>
      <c r="JH3" s="721"/>
      <c r="JI3" s="721"/>
      <c r="JJ3" s="721"/>
      <c r="JK3" s="721"/>
      <c r="JL3" s="721"/>
      <c r="JM3" s="721"/>
      <c r="JN3" s="721"/>
      <c r="JO3" s="721"/>
      <c r="JP3" s="721"/>
      <c r="JQ3" s="721"/>
      <c r="JR3" s="721"/>
      <c r="JS3" s="721"/>
      <c r="JT3" s="721"/>
      <c r="JU3" s="721"/>
      <c r="JV3" s="721"/>
      <c r="JW3" s="721"/>
      <c r="JX3" s="721"/>
      <c r="JY3" s="721"/>
      <c r="JZ3" s="721"/>
      <c r="KA3" s="721"/>
      <c r="KB3" s="721"/>
      <c r="KC3" s="721"/>
      <c r="KD3" s="721"/>
      <c r="KE3" s="721"/>
      <c r="KF3" s="721"/>
      <c r="KG3" s="721"/>
      <c r="KH3" s="721"/>
      <c r="KI3" s="721"/>
      <c r="KJ3" s="721"/>
      <c r="KK3" s="721"/>
      <c r="KL3" s="721"/>
      <c r="KM3" s="721"/>
      <c r="KN3" s="721"/>
      <c r="KO3" s="721"/>
      <c r="KP3" s="721"/>
      <c r="KQ3" s="721"/>
      <c r="KR3" s="721"/>
      <c r="KS3" s="721"/>
      <c r="KT3" s="721"/>
      <c r="KU3" s="721"/>
      <c r="KV3" s="721"/>
      <c r="KW3" s="721"/>
      <c r="KX3" s="721"/>
      <c r="KY3" s="721"/>
      <c r="KZ3" s="721"/>
      <c r="LA3" s="721"/>
      <c r="LB3" s="721"/>
      <c r="LC3" s="721"/>
      <c r="LD3" s="721"/>
      <c r="LE3" s="721"/>
      <c r="LF3" s="721"/>
      <c r="LG3" s="721"/>
      <c r="LH3" s="721"/>
      <c r="LI3" s="721"/>
      <c r="LJ3" s="721"/>
      <c r="LK3" s="721"/>
      <c r="LL3" s="721"/>
      <c r="LM3" s="721"/>
      <c r="LN3" s="721"/>
      <c r="LO3" s="721"/>
      <c r="LP3" s="721"/>
      <c r="LQ3" s="721"/>
      <c r="LR3" s="721"/>
      <c r="LS3" s="721"/>
      <c r="LT3" s="721"/>
      <c r="LU3" s="721"/>
      <c r="LV3" s="721"/>
      <c r="LW3" s="721"/>
      <c r="LX3" s="721"/>
      <c r="LY3" s="721"/>
      <c r="LZ3" s="721"/>
      <c r="MA3" s="721"/>
      <c r="MB3" s="721"/>
      <c r="MC3" s="721"/>
      <c r="MD3" s="721"/>
      <c r="ME3" s="721"/>
      <c r="MF3" s="721"/>
      <c r="MG3" s="721"/>
      <c r="MH3" s="721"/>
      <c r="MI3" s="721"/>
      <c r="MJ3" s="721"/>
      <c r="MK3" s="721"/>
      <c r="ML3" s="721"/>
      <c r="MM3" s="721"/>
      <c r="MN3" s="721"/>
      <c r="MO3" s="721"/>
      <c r="MP3" s="721"/>
      <c r="MQ3" s="721"/>
    </row>
    <row r="4" spans="1:355">
      <c r="B4" s="737"/>
      <c r="U4" s="737"/>
      <c r="V4" s="737"/>
      <c r="W4" s="737"/>
      <c r="X4" s="737"/>
      <c r="Y4" s="737"/>
      <c r="Z4" s="737"/>
      <c r="AA4" s="737"/>
      <c r="AB4" s="737"/>
      <c r="AC4" s="737"/>
      <c r="AJ4" s="727"/>
      <c r="AK4" s="727"/>
      <c r="AL4" s="727"/>
      <c r="AM4" s="727"/>
      <c r="AN4" s="727"/>
      <c r="AO4" s="727"/>
      <c r="AP4" s="727"/>
      <c r="AQ4" s="727"/>
      <c r="AR4" s="727"/>
      <c r="AS4" s="727"/>
      <c r="AT4" s="727"/>
      <c r="AU4" s="727"/>
      <c r="AV4" s="737"/>
      <c r="AW4" s="737"/>
      <c r="AX4" s="737"/>
      <c r="AY4" s="737"/>
      <c r="AZ4" s="737"/>
      <c r="BA4" s="737"/>
      <c r="BB4" s="737"/>
      <c r="BC4" s="737"/>
      <c r="BD4" s="737"/>
      <c r="BE4" s="737"/>
      <c r="BF4" s="737"/>
      <c r="BG4" s="737"/>
      <c r="BH4" s="737"/>
      <c r="BI4" s="737"/>
      <c r="BJ4" s="737"/>
      <c r="BK4" s="737"/>
      <c r="BL4" s="737"/>
      <c r="BM4" s="737"/>
      <c r="BN4" s="737"/>
      <c r="BO4" s="737"/>
      <c r="BP4" s="737"/>
      <c r="BQ4" s="737"/>
      <c r="BR4" s="737"/>
      <c r="BS4" s="737"/>
      <c r="BT4" s="737"/>
      <c r="BU4" s="737"/>
      <c r="BV4" s="737"/>
      <c r="BW4" s="737"/>
      <c r="BX4" s="737"/>
      <c r="BY4" s="737"/>
      <c r="BZ4" s="737"/>
      <c r="CA4" s="737"/>
      <c r="CB4" s="737"/>
      <c r="CC4" s="737"/>
      <c r="CD4" s="737"/>
      <c r="CE4" s="737"/>
      <c r="CF4" s="737"/>
      <c r="CG4" s="737"/>
      <c r="CH4" s="737"/>
      <c r="CI4" s="737"/>
      <c r="CJ4" s="737"/>
      <c r="CK4" s="737"/>
      <c r="CL4" s="737"/>
      <c r="CM4" s="737"/>
      <c r="CN4" s="737"/>
      <c r="CO4" s="737"/>
      <c r="CP4" s="737"/>
      <c r="CQ4" s="737"/>
      <c r="CR4" s="737"/>
      <c r="CS4" s="737"/>
      <c r="CT4" s="737"/>
      <c r="CU4" s="737"/>
      <c r="CV4" s="737"/>
      <c r="CW4" s="737"/>
      <c r="CX4" s="737"/>
      <c r="CY4" s="737"/>
      <c r="CZ4" s="737"/>
      <c r="DA4" s="737"/>
      <c r="DB4" s="737"/>
      <c r="DC4" s="737"/>
      <c r="DD4" s="737"/>
      <c r="DE4" s="737"/>
      <c r="DF4" s="737"/>
      <c r="DG4" s="737"/>
      <c r="DH4" s="737"/>
      <c r="DI4" s="737"/>
      <c r="DJ4" s="737"/>
      <c r="DK4" s="737"/>
      <c r="DL4" s="737"/>
      <c r="DM4" s="737"/>
      <c r="DN4" s="737"/>
      <c r="DO4" s="737"/>
      <c r="DP4" s="737"/>
      <c r="DQ4" s="737"/>
      <c r="DR4" s="737"/>
      <c r="DS4" s="737"/>
      <c r="DT4" s="737"/>
      <c r="DU4" s="737"/>
      <c r="DV4" s="737"/>
      <c r="DW4" s="737"/>
      <c r="DX4" s="737"/>
      <c r="DY4" s="737"/>
      <c r="DZ4" s="737"/>
      <c r="EA4" s="737"/>
      <c r="EB4" s="737"/>
      <c r="EC4" s="737"/>
      <c r="ED4" s="737"/>
      <c r="EE4" s="737"/>
      <c r="EF4" s="737"/>
      <c r="EG4" s="737"/>
      <c r="EH4" s="737"/>
      <c r="EI4" s="737"/>
      <c r="EJ4" s="737"/>
      <c r="EK4" s="737"/>
      <c r="EL4" s="737"/>
      <c r="EM4" s="737"/>
      <c r="EN4" s="737"/>
      <c r="EO4" s="737"/>
      <c r="EP4" s="737"/>
      <c r="EQ4" s="737"/>
      <c r="ER4" s="737"/>
      <c r="ES4" s="737"/>
      <c r="ET4" s="737"/>
      <c r="EU4" s="737"/>
      <c r="EV4" s="737"/>
      <c r="EW4" s="737"/>
      <c r="EX4" s="737"/>
      <c r="EY4" s="737"/>
      <c r="EZ4" s="737"/>
      <c r="FA4" s="737"/>
      <c r="FB4" s="737"/>
      <c r="FC4" s="737"/>
      <c r="FD4" s="737"/>
      <c r="FE4" s="737"/>
      <c r="FF4" s="737"/>
      <c r="FG4" s="737"/>
      <c r="FH4" s="737"/>
      <c r="FI4" s="737"/>
      <c r="FJ4" s="737"/>
      <c r="FK4" s="737"/>
      <c r="FL4" s="737"/>
      <c r="FM4" s="737"/>
      <c r="FN4" s="737"/>
      <c r="FO4" s="727"/>
      <c r="FP4" s="727"/>
      <c r="FQ4" s="727"/>
      <c r="FR4" s="726"/>
      <c r="FS4" s="726"/>
      <c r="FT4" s="726"/>
      <c r="FU4" s="727"/>
      <c r="FV4" s="727"/>
      <c r="FW4" s="727"/>
      <c r="FX4" s="727"/>
      <c r="FY4" s="727"/>
      <c r="FZ4" s="727"/>
      <c r="GA4" s="727"/>
      <c r="GB4" s="727"/>
      <c r="GC4" s="727"/>
      <c r="GD4" s="737"/>
      <c r="GE4" s="737"/>
      <c r="GF4" s="737"/>
      <c r="GG4" s="737"/>
      <c r="GH4" s="737"/>
      <c r="GI4" s="737"/>
      <c r="GJ4" s="737"/>
      <c r="GK4" s="737"/>
      <c r="GL4" s="737"/>
      <c r="GM4" s="737"/>
      <c r="GN4" s="737"/>
      <c r="GO4" s="737"/>
      <c r="GP4" s="737"/>
      <c r="GQ4" s="737"/>
      <c r="GR4" s="737"/>
      <c r="GS4" s="737"/>
      <c r="GT4" s="737"/>
      <c r="GU4" s="737"/>
      <c r="GV4" s="737"/>
      <c r="GW4" s="737"/>
      <c r="GX4" s="737"/>
      <c r="GY4" s="737"/>
      <c r="GZ4" s="737"/>
      <c r="HA4" s="737"/>
      <c r="HB4" s="737"/>
      <c r="HC4" s="737"/>
      <c r="HD4" s="737"/>
      <c r="HE4" s="737"/>
      <c r="HF4" s="737"/>
      <c r="HG4" s="737"/>
      <c r="HH4" s="737"/>
      <c r="HI4" s="737"/>
      <c r="HJ4" s="737"/>
      <c r="HK4" s="737"/>
      <c r="HL4" s="737"/>
      <c r="HM4" s="737"/>
      <c r="HN4" s="737"/>
      <c r="HO4" s="737"/>
      <c r="HP4" s="737"/>
      <c r="HQ4" s="737"/>
      <c r="HR4" s="737"/>
      <c r="HS4" s="737"/>
      <c r="HT4" s="737"/>
      <c r="HU4" s="737"/>
      <c r="HV4" s="737"/>
      <c r="HW4" s="737"/>
      <c r="HX4" s="737"/>
      <c r="HY4" s="737"/>
      <c r="HZ4" s="737"/>
      <c r="IA4" s="737"/>
      <c r="IB4" s="737"/>
      <c r="IC4" s="737"/>
      <c r="ID4" s="737"/>
      <c r="IE4" s="737"/>
      <c r="IF4" s="737"/>
      <c r="IG4" s="737"/>
      <c r="IH4" s="737"/>
      <c r="II4" s="737"/>
      <c r="IJ4" s="721"/>
      <c r="IK4" s="721"/>
      <c r="IL4" s="721"/>
      <c r="IM4" s="721"/>
      <c r="IN4" s="721"/>
      <c r="IO4" s="721"/>
      <c r="IP4" s="721"/>
      <c r="IQ4" s="721"/>
      <c r="IR4" s="721"/>
      <c r="IS4" s="721"/>
      <c r="IT4" s="721"/>
      <c r="IU4" s="721"/>
      <c r="IV4" s="721"/>
      <c r="IW4" s="721"/>
      <c r="IX4" s="721"/>
      <c r="IY4" s="721"/>
      <c r="IZ4" s="721"/>
      <c r="JA4" s="721"/>
      <c r="JB4" s="721"/>
      <c r="JC4" s="721"/>
      <c r="JD4" s="721"/>
      <c r="JE4" s="721"/>
      <c r="JF4" s="721"/>
      <c r="JG4" s="721"/>
      <c r="JH4" s="721"/>
      <c r="JI4" s="721"/>
      <c r="JJ4" s="721"/>
      <c r="JK4" s="721"/>
      <c r="JL4" s="721"/>
      <c r="JM4" s="721"/>
      <c r="JN4" s="721"/>
      <c r="JO4" s="721"/>
      <c r="JP4" s="721"/>
      <c r="JQ4" s="721"/>
      <c r="JR4" s="721"/>
      <c r="JS4" s="721"/>
      <c r="JT4" s="721"/>
      <c r="JU4" s="721"/>
      <c r="JV4" s="721"/>
      <c r="JW4" s="721"/>
      <c r="JX4" s="721"/>
      <c r="JY4" s="721"/>
      <c r="JZ4" s="721"/>
      <c r="KA4" s="721"/>
      <c r="KB4" s="721"/>
      <c r="KC4" s="721"/>
      <c r="KD4" s="721"/>
      <c r="KE4" s="721"/>
      <c r="KF4" s="721"/>
      <c r="KG4" s="721"/>
      <c r="KH4" s="721"/>
      <c r="KI4" s="721"/>
      <c r="KJ4" s="721"/>
      <c r="KK4" s="721"/>
      <c r="KL4" s="721"/>
      <c r="KM4" s="721"/>
      <c r="KN4" s="721"/>
      <c r="KO4" s="721"/>
      <c r="KP4" s="721"/>
      <c r="KQ4" s="721"/>
      <c r="KR4" s="721"/>
      <c r="KS4" s="721"/>
      <c r="KT4" s="721"/>
      <c r="KU4" s="721"/>
      <c r="KV4" s="721"/>
      <c r="KW4" s="721"/>
      <c r="KX4" s="721"/>
      <c r="KY4" s="721"/>
      <c r="KZ4" s="721"/>
      <c r="LA4" s="721"/>
      <c r="LB4" s="721"/>
      <c r="LC4" s="721"/>
      <c r="LD4" s="721"/>
      <c r="LE4" s="721"/>
      <c r="LF4" s="721"/>
      <c r="LG4" s="721"/>
      <c r="LH4" s="721"/>
      <c r="LI4" s="721"/>
      <c r="LJ4" s="721"/>
      <c r="LK4" s="721"/>
      <c r="LL4" s="721"/>
      <c r="LM4" s="721"/>
      <c r="LN4" s="721"/>
      <c r="LO4" s="721"/>
      <c r="LP4" s="721"/>
      <c r="LQ4" s="721"/>
      <c r="LR4" s="721"/>
      <c r="LS4" s="721"/>
      <c r="LT4" s="721"/>
      <c r="LU4" s="721"/>
      <c r="LV4" s="721"/>
      <c r="LW4" s="721"/>
      <c r="LX4" s="721"/>
      <c r="LY4" s="721"/>
      <c r="LZ4" s="721"/>
      <c r="MA4" s="721"/>
      <c r="MB4" s="721"/>
      <c r="MC4" s="721"/>
      <c r="MD4" s="721"/>
      <c r="ME4" s="721"/>
      <c r="MF4" s="721"/>
      <c r="MG4" s="721"/>
      <c r="MH4" s="721"/>
      <c r="MI4" s="721"/>
      <c r="MJ4" s="721"/>
      <c r="MK4" s="721"/>
      <c r="ML4" s="721"/>
      <c r="MM4" s="721"/>
      <c r="MN4" s="721"/>
      <c r="MO4" s="721"/>
      <c r="MP4" s="721"/>
      <c r="MQ4" s="721"/>
    </row>
    <row r="5" spans="1:355" ht="13.8">
      <c r="B5" s="737"/>
      <c r="C5" s="230" t="str">
        <f t="shared" ref="C5:E5" si="0">C6 &amp;":::" &amp; C7</f>
        <v>2020.1:::Shares</v>
      </c>
      <c r="D5" s="230" t="str">
        <f t="shared" si="0"/>
        <v>2020.1:::Price</v>
      </c>
      <c r="E5" s="230" t="str">
        <f t="shared" si="0"/>
        <v>2020.1:::Dividend</v>
      </c>
      <c r="F5" s="230" t="str">
        <f t="shared" ref="F5:H5" si="1">F6 &amp;":::" &amp; F7</f>
        <v>2019.4:::Shares</v>
      </c>
      <c r="G5" s="230" t="str">
        <f t="shared" si="1"/>
        <v>2019.4:::Price</v>
      </c>
      <c r="H5" s="230" t="str">
        <f t="shared" si="1"/>
        <v>2019.4:::Dividend</v>
      </c>
      <c r="I5" s="230" t="str">
        <f t="shared" ref="I5:K5" si="2">I6 &amp;":::" &amp; I7</f>
        <v>2019.3:::Shares</v>
      </c>
      <c r="J5" s="230" t="str">
        <f t="shared" si="2"/>
        <v>2019.3:::Price</v>
      </c>
      <c r="K5" s="230" t="str">
        <f t="shared" si="2"/>
        <v>2019.3:::Dividend</v>
      </c>
      <c r="L5" s="230" t="str">
        <f t="shared" ref="L5:N5" si="3">L6 &amp;":::" &amp; L7</f>
        <v>2019.2:::Shares</v>
      </c>
      <c r="M5" s="230" t="str">
        <f t="shared" si="3"/>
        <v>2019.2:::Price</v>
      </c>
      <c r="N5" s="230" t="str">
        <f t="shared" si="3"/>
        <v>2019.2:::Dividend</v>
      </c>
      <c r="O5" s="230" t="str">
        <f t="shared" ref="O5:Q5" si="4">O6 &amp;":::" &amp; O7</f>
        <v>2019.1:::Shares</v>
      </c>
      <c r="P5" s="230" t="str">
        <f t="shared" si="4"/>
        <v>2019.1:::Price</v>
      </c>
      <c r="Q5" s="230" t="str">
        <f t="shared" si="4"/>
        <v>2019.1:::Dividend</v>
      </c>
      <c r="R5" s="230" t="str">
        <f t="shared" ref="R5:T5" si="5">R6 &amp;":::" &amp; R7</f>
        <v>2018.4:::Shares</v>
      </c>
      <c r="S5" s="230" t="str">
        <f t="shared" si="5"/>
        <v>2018.4:::Price</v>
      </c>
      <c r="T5" s="230" t="str">
        <f t="shared" si="5"/>
        <v>2018.4:::Dividend</v>
      </c>
      <c r="U5" s="230" t="str">
        <f t="shared" ref="U5:W5" si="6">U6 &amp;":::" &amp; U7</f>
        <v>2018.3:::Shares</v>
      </c>
      <c r="V5" s="230" t="str">
        <f t="shared" si="6"/>
        <v>2018.3:::Price</v>
      </c>
      <c r="W5" s="230" t="str">
        <f t="shared" si="6"/>
        <v>2018.3:::Dividend</v>
      </c>
      <c r="X5" s="230" t="str">
        <f t="shared" ref="X5:Z5" si="7">X6 &amp;":::" &amp; X7</f>
        <v>2018.2:::Shares</v>
      </c>
      <c r="Y5" s="230" t="str">
        <f t="shared" si="7"/>
        <v>2018.2:::Price</v>
      </c>
      <c r="Z5" s="230" t="str">
        <f t="shared" si="7"/>
        <v>2018.2:::Dividend</v>
      </c>
      <c r="AA5" s="230" t="str">
        <f t="shared" ref="AA5:AC5" si="8">AA6 &amp;":::" &amp; AA7</f>
        <v>2018.1:::Shares</v>
      </c>
      <c r="AB5" s="230" t="str">
        <f t="shared" si="8"/>
        <v>2018.1:::Price</v>
      </c>
      <c r="AC5" s="230" t="str">
        <f t="shared" si="8"/>
        <v>2018.1:::Dividend</v>
      </c>
      <c r="AD5" s="230" t="str">
        <f t="shared" ref="AD5:BD5" si="9">AD6 &amp;":::" &amp; AD7</f>
        <v>2017.4:::Shares</v>
      </c>
      <c r="AE5" s="230" t="str">
        <f t="shared" si="9"/>
        <v>2017.4:::Price</v>
      </c>
      <c r="AF5" s="230" t="str">
        <f t="shared" si="9"/>
        <v>2017.4:::Dividend</v>
      </c>
      <c r="AG5" s="230" t="str">
        <f t="shared" si="9"/>
        <v>2017.3:::Shares</v>
      </c>
      <c r="AH5" s="230" t="str">
        <f t="shared" si="9"/>
        <v>2017.3:::Price</v>
      </c>
      <c r="AI5" s="230" t="str">
        <f t="shared" si="9"/>
        <v>2017.3:::Dividend</v>
      </c>
      <c r="AJ5" s="230" t="str">
        <f t="shared" si="9"/>
        <v>2017.2:::Shares</v>
      </c>
      <c r="AK5" s="230" t="str">
        <f t="shared" si="9"/>
        <v>2017.2:::Price</v>
      </c>
      <c r="AL5" s="230" t="str">
        <f t="shared" si="9"/>
        <v>2017.2:::Dividend</v>
      </c>
      <c r="AM5" s="230" t="str">
        <f t="shared" si="9"/>
        <v>2017.1:::Shares</v>
      </c>
      <c r="AN5" s="230" t="str">
        <f t="shared" si="9"/>
        <v>2017.1:::Price</v>
      </c>
      <c r="AO5" s="230" t="str">
        <f t="shared" si="9"/>
        <v>2017.1:::Dividend</v>
      </c>
      <c r="AP5" s="230" t="str">
        <f t="shared" si="9"/>
        <v>2016.4:::Shares</v>
      </c>
      <c r="AQ5" s="230" t="str">
        <f t="shared" si="9"/>
        <v>2016.4:::Price</v>
      </c>
      <c r="AR5" s="230" t="str">
        <f t="shared" si="9"/>
        <v>2016.4:::Dividend</v>
      </c>
      <c r="AS5" s="230" t="str">
        <f t="shared" si="9"/>
        <v>2016.3:::Shares</v>
      </c>
      <c r="AT5" s="230" t="str">
        <f t="shared" si="9"/>
        <v>2016.3:::Price</v>
      </c>
      <c r="AU5" s="230" t="str">
        <f t="shared" si="9"/>
        <v>2016.3:::Dividend</v>
      </c>
      <c r="AV5" s="230" t="str">
        <f t="shared" si="9"/>
        <v>2016.2:::Shares</v>
      </c>
      <c r="AW5" s="230" t="str">
        <f t="shared" si="9"/>
        <v>2016.2:::Price</v>
      </c>
      <c r="AX5" s="230" t="str">
        <f t="shared" si="9"/>
        <v>2016.2:::Dividend</v>
      </c>
      <c r="AY5" s="230" t="str">
        <f t="shared" si="9"/>
        <v>2016.1:::Shares</v>
      </c>
      <c r="AZ5" s="230" t="str">
        <f t="shared" si="9"/>
        <v>2016.1:::Price</v>
      </c>
      <c r="BA5" s="230" t="str">
        <f t="shared" si="9"/>
        <v>2016.1:::Dividend</v>
      </c>
      <c r="BB5" s="230" t="str">
        <f t="shared" si="9"/>
        <v>2015.4:::Shares</v>
      </c>
      <c r="BC5" s="230" t="str">
        <f t="shared" si="9"/>
        <v>2015.4:::Price</v>
      </c>
      <c r="BD5" s="230" t="str">
        <f t="shared" si="9"/>
        <v>2015.4:::Dividend</v>
      </c>
      <c r="BE5" s="230" t="str">
        <f>BE6 &amp;":::" &amp; BE7</f>
        <v>2015.3:::Shares</v>
      </c>
      <c r="BF5" s="230" t="str">
        <f t="shared" ref="BF5:BG5" si="10">BF6 &amp;":::" &amp; BF7</f>
        <v>2015.3:::Price</v>
      </c>
      <c r="BG5" s="230" t="str">
        <f t="shared" si="10"/>
        <v>2015.3:::Dividend</v>
      </c>
      <c r="BH5" s="230" t="str">
        <f>BH6 &amp;":::" &amp; BH7</f>
        <v>2015.2:::Shares</v>
      </c>
      <c r="BI5" s="230" t="str">
        <f t="shared" ref="BI5:BJ5" si="11">BI6 &amp;":::" &amp; BI7</f>
        <v>2015.2:::Price</v>
      </c>
      <c r="BJ5" s="230" t="str">
        <f t="shared" si="11"/>
        <v>2015.2:::Dividend</v>
      </c>
      <c r="BK5" s="230" t="str">
        <f>BK6 &amp;":::" &amp; BK7</f>
        <v>2015.1:::Shares</v>
      </c>
      <c r="BL5" s="230" t="str">
        <f t="shared" ref="BL5:BM5" si="12">BL6 &amp;":::" &amp; BL7</f>
        <v>2015.1:::Price</v>
      </c>
      <c r="BM5" s="230" t="str">
        <f t="shared" si="12"/>
        <v>2015.1:::Dividend</v>
      </c>
      <c r="BN5" s="230" t="str">
        <f>BN6 &amp;":::" &amp; BN7</f>
        <v>2014.4:::Shares</v>
      </c>
      <c r="BO5" s="230" t="str">
        <f t="shared" ref="BO5:BP5" si="13">BO6 &amp;":::" &amp; BO7</f>
        <v>2014.4:::Price</v>
      </c>
      <c r="BP5" s="230" t="str">
        <f t="shared" si="13"/>
        <v>2014.4:::Dividend</v>
      </c>
      <c r="BQ5" s="230" t="str">
        <f>BQ6 &amp;":::" &amp; BQ7</f>
        <v>2014.3:::Shares</v>
      </c>
      <c r="BR5" s="230" t="str">
        <f t="shared" ref="BR5:BS5" si="14">BR6 &amp;":::" &amp; BR7</f>
        <v>2014.3:::Price</v>
      </c>
      <c r="BS5" s="230" t="str">
        <f t="shared" si="14"/>
        <v>2014.3:::Dividend</v>
      </c>
      <c r="BT5" s="230" t="str">
        <f>BT6 &amp;":::" &amp; BT7</f>
        <v>2014.2:::Shares</v>
      </c>
      <c r="BU5" s="230" t="str">
        <f t="shared" ref="BU5:BV5" si="15">BU6 &amp;":::" &amp; BU7</f>
        <v>2014.2:::Price</v>
      </c>
      <c r="BV5" s="230" t="str">
        <f t="shared" si="15"/>
        <v>2014.2:::Dividend</v>
      </c>
      <c r="BW5" s="230" t="str">
        <f>BW6 &amp;":::" &amp; BW7</f>
        <v>2014.1:::Shares</v>
      </c>
      <c r="BX5" s="230" t="str">
        <f t="shared" ref="BX5:BY5" si="16">BX6 &amp;":::" &amp; BX7</f>
        <v>2014.1:::Price</v>
      </c>
      <c r="BY5" s="230" t="str">
        <f t="shared" si="16"/>
        <v>2014.1:::Dividend</v>
      </c>
      <c r="BZ5" s="230" t="str">
        <f>BZ6 &amp;":::" &amp; BZ7</f>
        <v>2013.4:::Shares</v>
      </c>
      <c r="CA5" s="230" t="str">
        <f t="shared" ref="CA5:EL5" si="17">CA6 &amp;":::" &amp; CA7</f>
        <v>2013.4:::Price</v>
      </c>
      <c r="CB5" s="230" t="str">
        <f t="shared" si="17"/>
        <v>2013.4:::Dividend</v>
      </c>
      <c r="CC5" s="230" t="str">
        <f t="shared" si="17"/>
        <v>2013.3:::Shares</v>
      </c>
      <c r="CD5" s="230" t="str">
        <f t="shared" si="17"/>
        <v>2013.3:::Price</v>
      </c>
      <c r="CE5" s="230" t="str">
        <f t="shared" si="17"/>
        <v>2013.3:::Dividend</v>
      </c>
      <c r="CF5" s="230" t="str">
        <f t="shared" si="17"/>
        <v>2013.2:::Shares</v>
      </c>
      <c r="CG5" s="230" t="str">
        <f t="shared" si="17"/>
        <v>2013.2:::Price</v>
      </c>
      <c r="CH5" s="230" t="str">
        <f t="shared" si="17"/>
        <v>2013.2:::Dividend</v>
      </c>
      <c r="CI5" s="230" t="str">
        <f t="shared" si="17"/>
        <v>2013.1:::Shares</v>
      </c>
      <c r="CJ5" s="230" t="str">
        <f t="shared" si="17"/>
        <v>2013.1:::Price</v>
      </c>
      <c r="CK5" s="230" t="str">
        <f t="shared" si="17"/>
        <v>2013.1:::Dividend</v>
      </c>
      <c r="CL5" s="230" t="str">
        <f t="shared" si="17"/>
        <v>2012.4:::Shares</v>
      </c>
      <c r="CM5" s="230" t="str">
        <f t="shared" si="17"/>
        <v>2012.4:::Price</v>
      </c>
      <c r="CN5" s="230" t="str">
        <f t="shared" si="17"/>
        <v>2012.4:::Dividend</v>
      </c>
      <c r="CO5" s="230" t="str">
        <f t="shared" si="17"/>
        <v>2012.3:::Shares</v>
      </c>
      <c r="CP5" s="230" t="str">
        <f t="shared" si="17"/>
        <v>2012.3:::Price</v>
      </c>
      <c r="CQ5" s="230" t="str">
        <f t="shared" si="17"/>
        <v>2012.3:::Dividend</v>
      </c>
      <c r="CR5" s="230" t="str">
        <f t="shared" si="17"/>
        <v>2012.2:::Shares</v>
      </c>
      <c r="CS5" s="230" t="str">
        <f t="shared" si="17"/>
        <v>2012.2:::Price</v>
      </c>
      <c r="CT5" s="230" t="str">
        <f t="shared" si="17"/>
        <v>2012.2:::Dividend</v>
      </c>
      <c r="CU5" s="230" t="str">
        <f t="shared" si="17"/>
        <v>2012.1:::Shares</v>
      </c>
      <c r="CV5" s="230" t="str">
        <f t="shared" si="17"/>
        <v>2012.1:::Price</v>
      </c>
      <c r="CW5" s="230" t="str">
        <f t="shared" si="17"/>
        <v>2012.1:::Dividend</v>
      </c>
      <c r="CX5" s="230" t="str">
        <f t="shared" si="17"/>
        <v>2011.4:::Shares</v>
      </c>
      <c r="CY5" s="230" t="str">
        <f t="shared" si="17"/>
        <v>2011.4:::Price</v>
      </c>
      <c r="CZ5" s="230" t="str">
        <f t="shared" si="17"/>
        <v>2011.4:::Dividend</v>
      </c>
      <c r="DA5" s="230" t="str">
        <f t="shared" si="17"/>
        <v>2011.3:::Shares</v>
      </c>
      <c r="DB5" s="230" t="str">
        <f t="shared" si="17"/>
        <v>2011.3:::Price</v>
      </c>
      <c r="DC5" s="230" t="str">
        <f t="shared" si="17"/>
        <v>2011.3:::Dividend</v>
      </c>
      <c r="DD5" s="230" t="str">
        <f t="shared" si="17"/>
        <v>2011.2:::Shares</v>
      </c>
      <c r="DE5" s="230" t="str">
        <f t="shared" si="17"/>
        <v>2011.2:::Price</v>
      </c>
      <c r="DF5" s="230" t="str">
        <f t="shared" si="17"/>
        <v>2011.2:::Dividend</v>
      </c>
      <c r="DG5" s="230" t="str">
        <f t="shared" si="17"/>
        <v>2011.1:::Shares</v>
      </c>
      <c r="DH5" s="230" t="str">
        <f t="shared" si="17"/>
        <v>2011.1:::Price</v>
      </c>
      <c r="DI5" s="230" t="str">
        <f t="shared" si="17"/>
        <v>2011.1:::Dividend</v>
      </c>
      <c r="DJ5" s="230" t="str">
        <f t="shared" si="17"/>
        <v>2010.4:::Shares</v>
      </c>
      <c r="DK5" s="230" t="str">
        <f t="shared" si="17"/>
        <v>2010.4:::Price</v>
      </c>
      <c r="DL5" s="230" t="str">
        <f t="shared" si="17"/>
        <v>2010.4:::Dividend</v>
      </c>
      <c r="DM5" s="230" t="str">
        <f t="shared" si="17"/>
        <v>2010.3:::Shares</v>
      </c>
      <c r="DN5" s="230" t="str">
        <f t="shared" si="17"/>
        <v>2010.3:::Price</v>
      </c>
      <c r="DO5" s="230" t="str">
        <f t="shared" si="17"/>
        <v>2010.3:::Dividend</v>
      </c>
      <c r="DP5" s="230" t="str">
        <f t="shared" si="17"/>
        <v>2010.2:::Shares</v>
      </c>
      <c r="DQ5" s="230" t="str">
        <f t="shared" si="17"/>
        <v>2010.2:::Price</v>
      </c>
      <c r="DR5" s="230" t="str">
        <f t="shared" si="17"/>
        <v>2010.2:::Dividend</v>
      </c>
      <c r="DS5" s="230" t="str">
        <f t="shared" si="17"/>
        <v>2010.1:::Shares</v>
      </c>
      <c r="DT5" s="230" t="str">
        <f t="shared" si="17"/>
        <v>2010.1:::Price</v>
      </c>
      <c r="DU5" s="230" t="str">
        <f t="shared" si="17"/>
        <v>2010.1:::Dividend</v>
      </c>
      <c r="DV5" s="230" t="str">
        <f t="shared" si="17"/>
        <v>2009.4:::Shares</v>
      </c>
      <c r="DW5" s="230" t="str">
        <f t="shared" si="17"/>
        <v>2009.4:::Price</v>
      </c>
      <c r="DX5" s="230" t="str">
        <f t="shared" si="17"/>
        <v>2009.4:::Dividend</v>
      </c>
      <c r="DY5" s="230" t="str">
        <f t="shared" si="17"/>
        <v>2009.3:::Shares</v>
      </c>
      <c r="DZ5" s="230" t="str">
        <f t="shared" si="17"/>
        <v>2009.3:::Price</v>
      </c>
      <c r="EA5" s="230" t="str">
        <f t="shared" si="17"/>
        <v>2009.3:::Dividend</v>
      </c>
      <c r="EB5" s="230" t="str">
        <f t="shared" si="17"/>
        <v>2009.2:::Shares</v>
      </c>
      <c r="EC5" s="230" t="str">
        <f t="shared" si="17"/>
        <v>2009.2:::Price</v>
      </c>
      <c r="ED5" s="230" t="str">
        <f t="shared" si="17"/>
        <v>2009.2:::Dividend</v>
      </c>
      <c r="EE5" s="230" t="str">
        <f t="shared" si="17"/>
        <v>2009.1:::Shares</v>
      </c>
      <c r="EF5" s="230" t="str">
        <f t="shared" si="17"/>
        <v>2009.1:::Price</v>
      </c>
      <c r="EG5" s="230" t="str">
        <f t="shared" si="17"/>
        <v>2009.1:::Dividend</v>
      </c>
      <c r="EH5" s="230" t="str">
        <f t="shared" si="17"/>
        <v>2008.4:::Shares</v>
      </c>
      <c r="EI5" s="230" t="str">
        <f t="shared" si="17"/>
        <v>2008.4:::Price</v>
      </c>
      <c r="EJ5" s="230" t="str">
        <f t="shared" si="17"/>
        <v>2008.4:::Dividend</v>
      </c>
      <c r="EK5" s="230" t="str">
        <f t="shared" si="17"/>
        <v>2008.3:::Shares</v>
      </c>
      <c r="EL5" s="230" t="str">
        <f t="shared" si="17"/>
        <v>2008.3:::Price</v>
      </c>
      <c r="EM5" s="230" t="str">
        <f t="shared" ref="EM5:GX5" si="18">EM6 &amp;":::" &amp; EM7</f>
        <v>2008.3:::Dividend</v>
      </c>
      <c r="EN5" s="230" t="str">
        <f t="shared" si="18"/>
        <v>2008.2:::Shares</v>
      </c>
      <c r="EO5" s="230" t="str">
        <f t="shared" si="18"/>
        <v>2008.2:::Price</v>
      </c>
      <c r="EP5" s="230" t="str">
        <f t="shared" si="18"/>
        <v>2008.2:::Dividend</v>
      </c>
      <c r="EQ5" s="230" t="str">
        <f t="shared" si="18"/>
        <v>2008.1:::Shares</v>
      </c>
      <c r="ER5" s="230" t="str">
        <f t="shared" si="18"/>
        <v>2008.1:::Price</v>
      </c>
      <c r="ES5" s="230" t="str">
        <f t="shared" si="18"/>
        <v>2008.1:::Dividend</v>
      </c>
      <c r="ET5" s="230" t="str">
        <f t="shared" si="18"/>
        <v>2007.4:::Shares</v>
      </c>
      <c r="EU5" s="230" t="str">
        <f t="shared" si="18"/>
        <v>2007.4:::Price</v>
      </c>
      <c r="EV5" s="230" t="str">
        <f t="shared" si="18"/>
        <v>2007.4:::Dividend</v>
      </c>
      <c r="EW5" s="230" t="str">
        <f t="shared" si="18"/>
        <v>2007.3:::Shares</v>
      </c>
      <c r="EX5" s="230" t="str">
        <f t="shared" si="18"/>
        <v>2007.3:::Price</v>
      </c>
      <c r="EY5" s="230" t="str">
        <f t="shared" si="18"/>
        <v>2007.3:::Dividend</v>
      </c>
      <c r="EZ5" s="230" t="str">
        <f t="shared" si="18"/>
        <v>2007.2:::Shares</v>
      </c>
      <c r="FA5" s="230" t="str">
        <f t="shared" si="18"/>
        <v>2007.2:::Price</v>
      </c>
      <c r="FB5" s="230" t="str">
        <f t="shared" si="18"/>
        <v>2007.2:::Dividend</v>
      </c>
      <c r="FC5" s="230" t="str">
        <f t="shared" si="18"/>
        <v>2007.1:::Shares</v>
      </c>
      <c r="FD5" s="230" t="str">
        <f t="shared" si="18"/>
        <v>2007.1:::Price</v>
      </c>
      <c r="FE5" s="230" t="str">
        <f t="shared" si="18"/>
        <v>2007.1:::Dividend</v>
      </c>
      <c r="FF5" s="230" t="str">
        <f t="shared" si="18"/>
        <v>2006.4:::Shares</v>
      </c>
      <c r="FG5" s="230" t="str">
        <f t="shared" si="18"/>
        <v>2006.4:::Price</v>
      </c>
      <c r="FH5" s="230" t="str">
        <f t="shared" si="18"/>
        <v>2006.4:::Dividend</v>
      </c>
      <c r="FI5" s="230" t="str">
        <f t="shared" si="18"/>
        <v>2006.3:::Shares</v>
      </c>
      <c r="FJ5" s="230" t="str">
        <f t="shared" si="18"/>
        <v>2006.3:::Price</v>
      </c>
      <c r="FK5" s="230" t="str">
        <f t="shared" si="18"/>
        <v>2006.3:::Dividend</v>
      </c>
      <c r="FL5" s="230" t="str">
        <f t="shared" si="18"/>
        <v>2006.2:::Shares</v>
      </c>
      <c r="FM5" s="230" t="str">
        <f t="shared" si="18"/>
        <v>2006.2:::Price</v>
      </c>
      <c r="FN5" s="230" t="str">
        <f t="shared" si="18"/>
        <v>2006.2:::Dividend</v>
      </c>
      <c r="FO5" s="230" t="str">
        <f t="shared" si="18"/>
        <v>2006.1:::Shares</v>
      </c>
      <c r="FP5" s="230" t="str">
        <f t="shared" si="18"/>
        <v>2006.1:::Price</v>
      </c>
      <c r="FQ5" s="230" t="str">
        <f t="shared" si="18"/>
        <v>2006.1:::Dividend</v>
      </c>
      <c r="FR5" s="230" t="str">
        <f t="shared" si="18"/>
        <v>2005.4:::Shares</v>
      </c>
      <c r="FS5" s="230" t="str">
        <f t="shared" si="18"/>
        <v>2005.4:::Price</v>
      </c>
      <c r="FT5" s="230" t="str">
        <f t="shared" si="18"/>
        <v>2005.4:::Dividend</v>
      </c>
      <c r="FU5" s="230" t="str">
        <f t="shared" si="18"/>
        <v>2005.3:::Shares</v>
      </c>
      <c r="FV5" s="230" t="str">
        <f t="shared" si="18"/>
        <v>2005.3:::Price</v>
      </c>
      <c r="FW5" s="230" t="str">
        <f t="shared" si="18"/>
        <v>2005.3:::Dividend</v>
      </c>
      <c r="FX5" s="230" t="str">
        <f t="shared" si="18"/>
        <v>2005.2:::Shares</v>
      </c>
      <c r="FY5" s="230" t="str">
        <f t="shared" si="18"/>
        <v>2005.2:::Price</v>
      </c>
      <c r="FZ5" s="230" t="str">
        <f t="shared" si="18"/>
        <v>2005.2:::Dividend</v>
      </c>
      <c r="GA5" s="230" t="str">
        <f t="shared" si="18"/>
        <v>2005.1:::Shares</v>
      </c>
      <c r="GB5" s="230" t="str">
        <f t="shared" si="18"/>
        <v>2005.1:::Price</v>
      </c>
      <c r="GC5" s="230" t="str">
        <f t="shared" si="18"/>
        <v>2005.1:::Dividend</v>
      </c>
      <c r="GD5" s="230" t="str">
        <f t="shared" si="18"/>
        <v>2004.4:::Shares</v>
      </c>
      <c r="GE5" s="230" t="str">
        <f t="shared" si="18"/>
        <v>2004.4:::Price</v>
      </c>
      <c r="GF5" s="230" t="str">
        <f t="shared" si="18"/>
        <v>2004.4:::Dividend</v>
      </c>
      <c r="GG5" s="230" t="str">
        <f t="shared" si="18"/>
        <v>2004.3:::Shares</v>
      </c>
      <c r="GH5" s="230" t="str">
        <f t="shared" si="18"/>
        <v>2004.3:::Price</v>
      </c>
      <c r="GI5" s="230" t="str">
        <f t="shared" si="18"/>
        <v>2004.3:::Dividend</v>
      </c>
      <c r="GJ5" s="230" t="str">
        <f t="shared" si="18"/>
        <v>2004.2:::Shares</v>
      </c>
      <c r="GK5" s="230" t="str">
        <f t="shared" si="18"/>
        <v>2004.2:::Price</v>
      </c>
      <c r="GL5" s="230" t="str">
        <f t="shared" si="18"/>
        <v>2004.2:::Dividend</v>
      </c>
      <c r="GM5" s="230" t="str">
        <f t="shared" si="18"/>
        <v>2004.1:::Shares</v>
      </c>
      <c r="GN5" s="230" t="str">
        <f t="shared" si="18"/>
        <v>2004.1:::Price</v>
      </c>
      <c r="GO5" s="230" t="str">
        <f t="shared" si="18"/>
        <v>2004.1:::Dividend</v>
      </c>
      <c r="GP5" s="230" t="str">
        <f t="shared" si="18"/>
        <v>2003.4:::Shares</v>
      </c>
      <c r="GQ5" s="230" t="str">
        <f t="shared" si="18"/>
        <v>2003.4:::Price</v>
      </c>
      <c r="GR5" s="230" t="str">
        <f t="shared" si="18"/>
        <v>2003.4:::Dividend</v>
      </c>
      <c r="GS5" s="230" t="str">
        <f t="shared" si="18"/>
        <v>2003.3:::Shares</v>
      </c>
      <c r="GT5" s="230" t="str">
        <f t="shared" si="18"/>
        <v>2003.3:::Price</v>
      </c>
      <c r="GU5" s="230" t="str">
        <f t="shared" si="18"/>
        <v>2003.3:::Dividend</v>
      </c>
      <c r="GV5" s="230" t="str">
        <f t="shared" si="18"/>
        <v>2003.2:::Shares</v>
      </c>
      <c r="GW5" s="230" t="str">
        <f t="shared" si="18"/>
        <v>2003.2:::Price</v>
      </c>
      <c r="GX5" s="230" t="str">
        <f t="shared" si="18"/>
        <v>2003.2:::Dividend</v>
      </c>
      <c r="GY5" s="230" t="str">
        <f t="shared" ref="GY5:JJ5" si="19">GY6 &amp;":::" &amp; GY7</f>
        <v>2003.1:::Shares</v>
      </c>
      <c r="GZ5" s="230" t="str">
        <f t="shared" si="19"/>
        <v>2003.1:::Price</v>
      </c>
      <c r="HA5" s="230" t="str">
        <f t="shared" si="19"/>
        <v>2003.1:::Dividend</v>
      </c>
      <c r="HB5" s="230" t="str">
        <f t="shared" si="19"/>
        <v>2002.4:::Shares</v>
      </c>
      <c r="HC5" s="230" t="str">
        <f t="shared" si="19"/>
        <v>2002.4:::Price</v>
      </c>
      <c r="HD5" s="230" t="str">
        <f t="shared" si="19"/>
        <v>2002.4:::Dividend</v>
      </c>
      <c r="HE5" s="230" t="str">
        <f t="shared" si="19"/>
        <v>2002.3:::Shares</v>
      </c>
      <c r="HF5" s="230" t="str">
        <f t="shared" si="19"/>
        <v>2002.3:::Price</v>
      </c>
      <c r="HG5" s="230" t="str">
        <f t="shared" si="19"/>
        <v>2002.3:::Dividend</v>
      </c>
      <c r="HH5" s="230" t="str">
        <f t="shared" si="19"/>
        <v>2002.2:::Shares</v>
      </c>
      <c r="HI5" s="230" t="str">
        <f t="shared" si="19"/>
        <v>2002.2:::Price</v>
      </c>
      <c r="HJ5" s="230" t="str">
        <f t="shared" si="19"/>
        <v>2002.2:::Dividend</v>
      </c>
      <c r="HK5" s="230" t="str">
        <f t="shared" si="19"/>
        <v>2002.1:::Shares</v>
      </c>
      <c r="HL5" s="230" t="str">
        <f t="shared" si="19"/>
        <v>2002.1:::Price</v>
      </c>
      <c r="HM5" s="230" t="str">
        <f t="shared" si="19"/>
        <v>2002.1:::Dividend</v>
      </c>
      <c r="HN5" s="230" t="str">
        <f t="shared" si="19"/>
        <v>2001.4:::Shares</v>
      </c>
      <c r="HO5" s="230" t="str">
        <f t="shared" si="19"/>
        <v>2001.4:::Price</v>
      </c>
      <c r="HP5" s="230" t="str">
        <f t="shared" si="19"/>
        <v>2001.4:::Dividend</v>
      </c>
      <c r="HQ5" s="230" t="str">
        <f t="shared" si="19"/>
        <v>2001.3:::Shares</v>
      </c>
      <c r="HR5" s="230" t="str">
        <f t="shared" si="19"/>
        <v>2001.3:::Price</v>
      </c>
      <c r="HS5" s="230" t="str">
        <f t="shared" si="19"/>
        <v>2001.3:::Dividend</v>
      </c>
      <c r="HT5" s="230" t="str">
        <f t="shared" si="19"/>
        <v>2001.2:::Shares</v>
      </c>
      <c r="HU5" s="230" t="str">
        <f t="shared" si="19"/>
        <v>2001.2:::Price</v>
      </c>
      <c r="HV5" s="230" t="str">
        <f t="shared" si="19"/>
        <v>2001.2:::Dividend</v>
      </c>
      <c r="HW5" s="230" t="str">
        <f t="shared" si="19"/>
        <v>2001.1:::Shares</v>
      </c>
      <c r="HX5" s="230" t="str">
        <f t="shared" si="19"/>
        <v>2001.1:::Price</v>
      </c>
      <c r="HY5" s="230" t="str">
        <f t="shared" si="19"/>
        <v>2001.1:::Dividend</v>
      </c>
      <c r="HZ5" s="230" t="str">
        <f t="shared" si="19"/>
        <v>2000.4:::Shares</v>
      </c>
      <c r="IA5" s="230" t="str">
        <f t="shared" si="19"/>
        <v>2000.4:::Price</v>
      </c>
      <c r="IB5" s="230" t="str">
        <f t="shared" si="19"/>
        <v>2000.4:::Dividend</v>
      </c>
      <c r="IC5" s="230" t="str">
        <f t="shared" si="19"/>
        <v>2000.3:::Shares</v>
      </c>
      <c r="ID5" s="230" t="str">
        <f t="shared" si="19"/>
        <v>2000.3:::Price</v>
      </c>
      <c r="IE5" s="230" t="str">
        <f t="shared" si="19"/>
        <v>2000.3:::Dividend</v>
      </c>
      <c r="IF5" s="230" t="str">
        <f t="shared" si="19"/>
        <v>2000.2:::Shares</v>
      </c>
      <c r="IG5" s="230" t="str">
        <f t="shared" si="19"/>
        <v>2000.2:::Price</v>
      </c>
      <c r="IH5" s="230" t="str">
        <f t="shared" si="19"/>
        <v>2000.2:::Dividend</v>
      </c>
      <c r="II5" s="230" t="str">
        <f t="shared" si="19"/>
        <v>2000.1:::Shares</v>
      </c>
      <c r="IJ5" s="230" t="str">
        <f t="shared" si="19"/>
        <v>2000.1:::Price</v>
      </c>
      <c r="IK5" s="230" t="str">
        <f t="shared" si="19"/>
        <v>2000.1:::Dividend</v>
      </c>
      <c r="IL5" s="230" t="str">
        <f t="shared" si="19"/>
        <v>1999.4:::Shares</v>
      </c>
      <c r="IM5" s="230" t="str">
        <f t="shared" si="19"/>
        <v>1999.4:::Price</v>
      </c>
      <c r="IN5" s="230" t="str">
        <f t="shared" si="19"/>
        <v>1999.4:::Dividend</v>
      </c>
      <c r="IO5" s="230" t="str">
        <f t="shared" si="19"/>
        <v>1999.3:::Shares</v>
      </c>
      <c r="IP5" s="230" t="str">
        <f t="shared" si="19"/>
        <v>1999.3:::Price</v>
      </c>
      <c r="IQ5" s="230" t="str">
        <f t="shared" si="19"/>
        <v>1999.3:::Dividend</v>
      </c>
      <c r="IR5" s="230" t="str">
        <f t="shared" si="19"/>
        <v>1999.2:::Shares</v>
      </c>
      <c r="IS5" s="230" t="str">
        <f t="shared" si="19"/>
        <v>1999.2:::Price</v>
      </c>
      <c r="IT5" s="230" t="str">
        <f t="shared" si="19"/>
        <v>1999.2:::Dividend</v>
      </c>
      <c r="IU5" s="230" t="str">
        <f t="shared" si="19"/>
        <v>1999.1:::Shares</v>
      </c>
      <c r="IV5" s="230" t="str">
        <f t="shared" si="19"/>
        <v>1999.1:::Price</v>
      </c>
      <c r="IW5" s="230" t="str">
        <f t="shared" si="19"/>
        <v>1999.1:::Dividend</v>
      </c>
      <c r="IX5" s="230" t="str">
        <f t="shared" si="19"/>
        <v>1998.4:::Shares</v>
      </c>
      <c r="IY5" s="230" t="str">
        <f t="shared" si="19"/>
        <v>1998.4:::Price</v>
      </c>
      <c r="IZ5" s="230" t="str">
        <f t="shared" si="19"/>
        <v>1998.4:::Dividend</v>
      </c>
      <c r="JA5" s="230" t="str">
        <f t="shared" si="19"/>
        <v>1998.3:::Shares</v>
      </c>
      <c r="JB5" s="230" t="str">
        <f t="shared" si="19"/>
        <v>1998.3:::Price</v>
      </c>
      <c r="JC5" s="230" t="str">
        <f t="shared" si="19"/>
        <v>1998.3:::Dividend</v>
      </c>
      <c r="JD5" s="230" t="str">
        <f t="shared" si="19"/>
        <v>1998.2:::Shares</v>
      </c>
      <c r="JE5" s="230" t="str">
        <f t="shared" si="19"/>
        <v>1998.2:::Price</v>
      </c>
      <c r="JF5" s="230" t="str">
        <f t="shared" si="19"/>
        <v>1998.2:::Dividend</v>
      </c>
      <c r="JG5" s="230" t="str">
        <f t="shared" si="19"/>
        <v>1998.1:::Shares</v>
      </c>
      <c r="JH5" s="230" t="str">
        <f t="shared" si="19"/>
        <v>1998.1:::Price</v>
      </c>
      <c r="JI5" s="230" t="str">
        <f t="shared" si="19"/>
        <v>1998.1:::Dividend</v>
      </c>
      <c r="JJ5" s="230" t="str">
        <f t="shared" si="19"/>
        <v>1997.4:::Shares</v>
      </c>
      <c r="JK5" s="230" t="str">
        <f t="shared" ref="JK5:LV5" si="20">JK6 &amp;":::" &amp; JK7</f>
        <v>1997.4:::Price</v>
      </c>
      <c r="JL5" s="230" t="str">
        <f t="shared" si="20"/>
        <v>1997.4:::Dividend</v>
      </c>
      <c r="JM5" s="230" t="str">
        <f t="shared" si="20"/>
        <v>1997.3:::Shares</v>
      </c>
      <c r="JN5" s="230" t="str">
        <f t="shared" si="20"/>
        <v>1997.3:::Price</v>
      </c>
      <c r="JO5" s="230" t="str">
        <f t="shared" si="20"/>
        <v>1997.3:::Dividend</v>
      </c>
      <c r="JP5" s="230" t="str">
        <f t="shared" si="20"/>
        <v>1997.2:::Shares</v>
      </c>
      <c r="JQ5" s="230" t="str">
        <f t="shared" si="20"/>
        <v>1997.2:::Price</v>
      </c>
      <c r="JR5" s="230" t="str">
        <f t="shared" si="20"/>
        <v>1997.2:::Dividend</v>
      </c>
      <c r="JS5" s="230" t="str">
        <f t="shared" si="20"/>
        <v>1997.1:::Shares</v>
      </c>
      <c r="JT5" s="230" t="str">
        <f t="shared" si="20"/>
        <v>1997.1:::Price</v>
      </c>
      <c r="JU5" s="230" t="str">
        <f t="shared" si="20"/>
        <v>1997.1:::Dividend</v>
      </c>
      <c r="JV5" s="230" t="str">
        <f t="shared" si="20"/>
        <v>1996.4:::Shares</v>
      </c>
      <c r="JW5" s="230" t="str">
        <f t="shared" si="20"/>
        <v>1996.4:::Price</v>
      </c>
      <c r="JX5" s="230" t="str">
        <f t="shared" si="20"/>
        <v>1996.4:::Dividend</v>
      </c>
      <c r="JY5" s="230" t="str">
        <f t="shared" si="20"/>
        <v>1996.3:::Shares</v>
      </c>
      <c r="JZ5" s="230" t="str">
        <f t="shared" si="20"/>
        <v>1996.3:::Price</v>
      </c>
      <c r="KA5" s="230" t="str">
        <f t="shared" si="20"/>
        <v>1996.3:::Dividend</v>
      </c>
      <c r="KB5" s="230" t="str">
        <f t="shared" si="20"/>
        <v>1996.2:::Shares</v>
      </c>
      <c r="KC5" s="230" t="str">
        <f t="shared" si="20"/>
        <v>1996.2:::Price</v>
      </c>
      <c r="KD5" s="230" t="str">
        <f t="shared" si="20"/>
        <v>1996.2:::Dividend</v>
      </c>
      <c r="KE5" s="230" t="str">
        <f t="shared" si="20"/>
        <v>1996.1:::Shares</v>
      </c>
      <c r="KF5" s="230" t="str">
        <f t="shared" si="20"/>
        <v>1996.1:::Price</v>
      </c>
      <c r="KG5" s="230" t="str">
        <f t="shared" si="20"/>
        <v>1996.1:::Dividend</v>
      </c>
      <c r="KH5" s="230" t="str">
        <f t="shared" si="20"/>
        <v>1995.4:::Shares</v>
      </c>
      <c r="KI5" s="230" t="str">
        <f t="shared" si="20"/>
        <v>1995.4:::Price</v>
      </c>
      <c r="KJ5" s="230" t="str">
        <f t="shared" si="20"/>
        <v>1995.4:::Dividend</v>
      </c>
      <c r="KK5" s="230" t="str">
        <f t="shared" si="20"/>
        <v>1995.3:::Shares</v>
      </c>
      <c r="KL5" s="230" t="str">
        <f t="shared" si="20"/>
        <v>1995.3:::Price</v>
      </c>
      <c r="KM5" s="230" t="str">
        <f t="shared" si="20"/>
        <v>1995.3:::Dividend</v>
      </c>
      <c r="KN5" s="230" t="str">
        <f t="shared" si="20"/>
        <v>1995.2:::Shares</v>
      </c>
      <c r="KO5" s="230" t="str">
        <f t="shared" si="20"/>
        <v>1995.2:::Price</v>
      </c>
      <c r="KP5" s="230" t="str">
        <f t="shared" si="20"/>
        <v>1995.2:::Dividend</v>
      </c>
      <c r="KQ5" s="230" t="str">
        <f t="shared" si="20"/>
        <v>1995.1:::Shares</v>
      </c>
      <c r="KR5" s="230" t="str">
        <f t="shared" si="20"/>
        <v>1995.1:::Price</v>
      </c>
      <c r="KS5" s="230" t="str">
        <f t="shared" si="20"/>
        <v>1995.1:::Dividend</v>
      </c>
      <c r="KT5" s="230" t="str">
        <f t="shared" si="20"/>
        <v>1994.4:::Shares</v>
      </c>
      <c r="KU5" s="230" t="str">
        <f t="shared" si="20"/>
        <v>1994.4:::Price</v>
      </c>
      <c r="KV5" s="230" t="str">
        <f t="shared" si="20"/>
        <v>1994.4:::Dividend</v>
      </c>
      <c r="KW5" s="230" t="str">
        <f t="shared" si="20"/>
        <v>1994.3:::Shares</v>
      </c>
      <c r="KX5" s="230" t="str">
        <f t="shared" si="20"/>
        <v>1994.3:::Price</v>
      </c>
      <c r="KY5" s="230" t="str">
        <f t="shared" si="20"/>
        <v>1994.3:::Dividend</v>
      </c>
      <c r="KZ5" s="230" t="str">
        <f t="shared" si="20"/>
        <v>1994.2:::Shares</v>
      </c>
      <c r="LA5" s="230" t="str">
        <f t="shared" si="20"/>
        <v>1994.2:::Price</v>
      </c>
      <c r="LB5" s="230" t="str">
        <f t="shared" si="20"/>
        <v>1994.2:::Dividend</v>
      </c>
      <c r="LC5" s="230" t="str">
        <f t="shared" si="20"/>
        <v>1994.1:::Shares</v>
      </c>
      <c r="LD5" s="230" t="str">
        <f t="shared" si="20"/>
        <v>1994.1:::Price</v>
      </c>
      <c r="LE5" s="230" t="str">
        <f t="shared" si="20"/>
        <v>1994.1:::Dividend</v>
      </c>
      <c r="LF5" s="230" t="str">
        <f t="shared" si="20"/>
        <v>1993.4:::Shares</v>
      </c>
      <c r="LG5" s="230" t="str">
        <f t="shared" si="20"/>
        <v>1993.4:::Price</v>
      </c>
      <c r="LH5" s="230" t="str">
        <f t="shared" si="20"/>
        <v>1993.4:::Dividend</v>
      </c>
      <c r="LI5" s="230" t="str">
        <f t="shared" si="20"/>
        <v>1993.3:::Shares</v>
      </c>
      <c r="LJ5" s="230" t="str">
        <f t="shared" si="20"/>
        <v>1993.3:::Price</v>
      </c>
      <c r="LK5" s="230" t="str">
        <f t="shared" si="20"/>
        <v>1993.3:::Dividend</v>
      </c>
      <c r="LL5" s="230" t="str">
        <f t="shared" si="20"/>
        <v>1993.2:::Shares</v>
      </c>
      <c r="LM5" s="230" t="str">
        <f t="shared" si="20"/>
        <v>1993.2:::Price</v>
      </c>
      <c r="LN5" s="230" t="str">
        <f t="shared" si="20"/>
        <v>1993.2:::Dividend</v>
      </c>
      <c r="LO5" s="230" t="str">
        <f t="shared" si="20"/>
        <v>1993.1:::Shares</v>
      </c>
      <c r="LP5" s="230" t="str">
        <f t="shared" si="20"/>
        <v>1993.1:::Price</v>
      </c>
      <c r="LQ5" s="230" t="str">
        <f t="shared" si="20"/>
        <v>1993.1:::Dividend</v>
      </c>
      <c r="LR5" s="230" t="str">
        <f t="shared" si="20"/>
        <v>1992.4:::Shares</v>
      </c>
      <c r="LS5" s="230" t="str">
        <f t="shared" si="20"/>
        <v>1992.4:::Price</v>
      </c>
      <c r="LT5" s="230" t="str">
        <f t="shared" si="20"/>
        <v>1992.4:::Dividend</v>
      </c>
      <c r="LU5" s="230" t="str">
        <f t="shared" si="20"/>
        <v>1992.3:::Shares</v>
      </c>
      <c r="LV5" s="230" t="str">
        <f t="shared" si="20"/>
        <v>1992.3:::Price</v>
      </c>
      <c r="LW5" s="230" t="str">
        <f t="shared" ref="LW5:MQ5" si="21">LW6 &amp;":::" &amp; LW7</f>
        <v>1992.3:::Dividend</v>
      </c>
      <c r="LX5" s="230" t="str">
        <f t="shared" si="21"/>
        <v>1992.2:::Shares</v>
      </c>
      <c r="LY5" s="230" t="str">
        <f t="shared" si="21"/>
        <v>1992.2:::Price</v>
      </c>
      <c r="LZ5" s="230" t="str">
        <f t="shared" si="21"/>
        <v>1992.2:::Dividend</v>
      </c>
      <c r="MA5" s="230" t="str">
        <f t="shared" si="21"/>
        <v>1992.1:::Shares</v>
      </c>
      <c r="MB5" s="230" t="str">
        <f t="shared" si="21"/>
        <v>1992.1:::Price</v>
      </c>
      <c r="MC5" s="230" t="str">
        <f t="shared" si="21"/>
        <v>1992.1:::Dividend</v>
      </c>
      <c r="MD5" s="230" t="str">
        <f t="shared" si="21"/>
        <v>1991.4:::Shares</v>
      </c>
      <c r="ME5" s="230" t="str">
        <f t="shared" si="21"/>
        <v>1991.4:::Price</v>
      </c>
      <c r="MF5" s="230" t="str">
        <f t="shared" si="21"/>
        <v>1991.4:::Dividend</v>
      </c>
      <c r="MG5" s="230" t="str">
        <f t="shared" si="21"/>
        <v>1991.3:::Shares</v>
      </c>
      <c r="MH5" s="230" t="str">
        <f t="shared" si="21"/>
        <v>1991.3:::Price</v>
      </c>
      <c r="MI5" s="230" t="str">
        <f t="shared" si="21"/>
        <v>1991.3:::Dividend</v>
      </c>
      <c r="MJ5" s="230" t="str">
        <f t="shared" si="21"/>
        <v>1991.2:::Shares</v>
      </c>
      <c r="MK5" s="230" t="str">
        <f t="shared" si="21"/>
        <v>1991.2:::Price</v>
      </c>
      <c r="ML5" s="230" t="str">
        <f t="shared" si="21"/>
        <v>1991.2:::Dividend</v>
      </c>
      <c r="MM5" s="230" t="str">
        <f t="shared" si="21"/>
        <v>1991.1:::Shares</v>
      </c>
      <c r="MN5" s="230" t="str">
        <f t="shared" si="21"/>
        <v>1991.1:::Price</v>
      </c>
      <c r="MO5" s="230" t="str">
        <f t="shared" si="21"/>
        <v>1991.1:::Dividend</v>
      </c>
      <c r="MP5" s="230" t="str">
        <f t="shared" si="21"/>
        <v>1990.4:::Shares</v>
      </c>
      <c r="MQ5" s="230" t="str">
        <f t="shared" si="21"/>
        <v>1990.4:::Price</v>
      </c>
    </row>
    <row r="6" spans="1:355" ht="13.8">
      <c r="B6" s="737"/>
      <c r="C6" s="659">
        <v>2020.1</v>
      </c>
      <c r="D6" s="659">
        <v>2020.1</v>
      </c>
      <c r="E6" s="659">
        <v>2020.1</v>
      </c>
      <c r="F6" s="659">
        <v>2019.4</v>
      </c>
      <c r="G6" s="659">
        <v>2019.4</v>
      </c>
      <c r="H6" s="659">
        <v>2019.4</v>
      </c>
      <c r="I6" s="659">
        <v>2019.3</v>
      </c>
      <c r="J6" s="659">
        <v>2019.3</v>
      </c>
      <c r="K6" s="659">
        <v>2019.3</v>
      </c>
      <c r="L6" s="659">
        <v>2019.2</v>
      </c>
      <c r="M6" s="659">
        <v>2019.2</v>
      </c>
      <c r="N6" s="659">
        <v>2019.2</v>
      </c>
      <c r="O6" s="659">
        <v>2019.1</v>
      </c>
      <c r="P6" s="659">
        <v>2019.1</v>
      </c>
      <c r="Q6" s="659">
        <v>2019.1</v>
      </c>
      <c r="R6" s="659">
        <v>2018.4</v>
      </c>
      <c r="S6" s="659">
        <v>2018.4</v>
      </c>
      <c r="T6" s="659">
        <v>2018.4</v>
      </c>
      <c r="U6" s="659">
        <v>2018.3</v>
      </c>
      <c r="V6" s="659">
        <v>2018.3</v>
      </c>
      <c r="W6" s="659">
        <v>2018.3</v>
      </c>
      <c r="X6" s="659">
        <v>2018.2</v>
      </c>
      <c r="Y6" s="659">
        <v>2018.2</v>
      </c>
      <c r="Z6" s="659">
        <v>2018.2</v>
      </c>
      <c r="AA6" s="659">
        <v>2018.1</v>
      </c>
      <c r="AB6" s="659">
        <v>2018.1</v>
      </c>
      <c r="AC6" s="659">
        <v>2018.1</v>
      </c>
      <c r="AD6" s="659">
        <v>2017.4</v>
      </c>
      <c r="AE6" s="659">
        <v>2017.4</v>
      </c>
      <c r="AF6" s="659">
        <v>2017.4</v>
      </c>
      <c r="AG6" s="659">
        <v>2017.3</v>
      </c>
      <c r="AH6" s="659">
        <v>2017.3</v>
      </c>
      <c r="AI6" s="659">
        <v>2017.3</v>
      </c>
      <c r="AJ6" s="659">
        <v>2017.2</v>
      </c>
      <c r="AK6" s="659">
        <v>2017.2</v>
      </c>
      <c r="AL6" s="659">
        <v>2017.2</v>
      </c>
      <c r="AM6" s="659">
        <v>2017.1</v>
      </c>
      <c r="AN6" s="659">
        <v>2017.1</v>
      </c>
      <c r="AO6" s="659">
        <v>2017.1</v>
      </c>
      <c r="AP6" s="659">
        <v>2016.4</v>
      </c>
      <c r="AQ6" s="659">
        <v>2016.4</v>
      </c>
      <c r="AR6" s="659">
        <v>2016.4</v>
      </c>
      <c r="AS6" s="659">
        <v>2016.3</v>
      </c>
      <c r="AT6" s="659">
        <v>2016.3</v>
      </c>
      <c r="AU6" s="659">
        <v>2016.3</v>
      </c>
      <c r="AV6" s="658">
        <v>2016.2</v>
      </c>
      <c r="AW6" s="658">
        <v>2016.2</v>
      </c>
      <c r="AX6" s="658">
        <v>2016.2</v>
      </c>
      <c r="AY6" s="658">
        <v>2016.1</v>
      </c>
      <c r="AZ6" s="658">
        <v>2016.1</v>
      </c>
      <c r="BA6" s="658">
        <v>2016.1</v>
      </c>
      <c r="BB6" s="658">
        <v>2015.4</v>
      </c>
      <c r="BC6" s="658">
        <v>2015.4</v>
      </c>
      <c r="BD6" s="658">
        <v>2015.4</v>
      </c>
      <c r="BE6" s="658">
        <v>2015.3</v>
      </c>
      <c r="BF6" s="658">
        <v>2015.3</v>
      </c>
      <c r="BG6" s="658">
        <v>2015.3</v>
      </c>
      <c r="BH6" s="658">
        <v>2015.2</v>
      </c>
      <c r="BI6" s="658">
        <v>2015.2</v>
      </c>
      <c r="BJ6" s="658">
        <v>2015.2</v>
      </c>
      <c r="BK6" s="658">
        <v>2015.1</v>
      </c>
      <c r="BL6" s="658">
        <v>2015.1</v>
      </c>
      <c r="BM6" s="658">
        <v>2015.1</v>
      </c>
      <c r="BN6" s="658">
        <v>2014.4</v>
      </c>
      <c r="BO6" s="658">
        <v>2014.4</v>
      </c>
      <c r="BP6" s="658">
        <v>2014.4</v>
      </c>
      <c r="BQ6" s="658">
        <v>2014.3</v>
      </c>
      <c r="BR6" s="658">
        <v>2014.3</v>
      </c>
      <c r="BS6" s="658">
        <v>2014.3</v>
      </c>
      <c r="BT6" s="658">
        <v>2014.2</v>
      </c>
      <c r="BU6" s="658">
        <v>2014.2</v>
      </c>
      <c r="BV6" s="658">
        <v>2014.2</v>
      </c>
      <c r="BW6" s="658">
        <v>2014.1</v>
      </c>
      <c r="BX6" s="658">
        <v>2014.1</v>
      </c>
      <c r="BY6" s="658">
        <v>2014.1</v>
      </c>
      <c r="BZ6" s="658">
        <v>2013.4</v>
      </c>
      <c r="CA6" s="658">
        <v>2013.4</v>
      </c>
      <c r="CB6" s="658">
        <v>2013.4</v>
      </c>
      <c r="CC6" s="658">
        <v>2013.3</v>
      </c>
      <c r="CD6" s="658">
        <v>2013.3</v>
      </c>
      <c r="CE6" s="658">
        <v>2013.3</v>
      </c>
      <c r="CF6" s="658">
        <v>2013.2</v>
      </c>
      <c r="CG6" s="658">
        <v>2013.2</v>
      </c>
      <c r="CH6" s="658">
        <v>2013.2</v>
      </c>
      <c r="CI6" s="658">
        <v>2013.1</v>
      </c>
      <c r="CJ6" s="658">
        <v>2013.1</v>
      </c>
      <c r="CK6" s="658">
        <v>2013.1</v>
      </c>
      <c r="CL6" s="659">
        <v>2012.4</v>
      </c>
      <c r="CM6" s="659">
        <v>2012.4</v>
      </c>
      <c r="CN6" s="659">
        <v>2012.4</v>
      </c>
      <c r="CO6" s="659">
        <v>2012.3</v>
      </c>
      <c r="CP6" s="659">
        <v>2012.3</v>
      </c>
      <c r="CQ6" s="659">
        <v>2012.3</v>
      </c>
      <c r="CR6" s="659">
        <v>2012.2</v>
      </c>
      <c r="CS6" s="659">
        <v>2012.2</v>
      </c>
      <c r="CT6" s="659">
        <v>2012.2</v>
      </c>
      <c r="CU6" s="659">
        <v>2012.1</v>
      </c>
      <c r="CV6" s="659">
        <v>2012.1</v>
      </c>
      <c r="CW6" s="659">
        <v>2012.1</v>
      </c>
      <c r="CX6" s="659">
        <v>2011.4</v>
      </c>
      <c r="CY6" s="659">
        <v>2011.4</v>
      </c>
      <c r="CZ6" s="659">
        <v>2011.4</v>
      </c>
      <c r="DA6" s="659">
        <v>2011.3</v>
      </c>
      <c r="DB6" s="659">
        <v>2011.3</v>
      </c>
      <c r="DC6" s="659">
        <v>2011.3</v>
      </c>
      <c r="DD6" s="659">
        <v>2011.2</v>
      </c>
      <c r="DE6" s="659">
        <v>2011.2</v>
      </c>
      <c r="DF6" s="659">
        <v>2011.2</v>
      </c>
      <c r="DG6" s="659">
        <v>2011.1</v>
      </c>
      <c r="DH6" s="659">
        <v>2011.1</v>
      </c>
      <c r="DI6" s="659">
        <v>2011.1</v>
      </c>
      <c r="DJ6" s="659">
        <v>2010.4</v>
      </c>
      <c r="DK6" s="659">
        <v>2010.4</v>
      </c>
      <c r="DL6" s="659">
        <v>2010.4</v>
      </c>
      <c r="DM6" s="659">
        <v>2010.3</v>
      </c>
      <c r="DN6" s="659">
        <v>2010.3</v>
      </c>
      <c r="DO6" s="659">
        <v>2010.3</v>
      </c>
      <c r="DP6" s="659">
        <v>2010.2</v>
      </c>
      <c r="DQ6" s="659">
        <v>2010.2</v>
      </c>
      <c r="DR6" s="659">
        <v>2010.2</v>
      </c>
      <c r="DS6" s="659">
        <v>2010.1</v>
      </c>
      <c r="DT6" s="659">
        <v>2010.1</v>
      </c>
      <c r="DU6" s="659">
        <v>2010.1</v>
      </c>
      <c r="DV6" s="659">
        <v>2009.4</v>
      </c>
      <c r="DW6" s="659">
        <v>2009.4</v>
      </c>
      <c r="DX6" s="659">
        <v>2009.4</v>
      </c>
      <c r="DY6" s="659">
        <v>2009.3</v>
      </c>
      <c r="DZ6" s="659">
        <v>2009.3</v>
      </c>
      <c r="EA6" s="659">
        <v>2009.3</v>
      </c>
      <c r="EB6" s="659">
        <v>2009.2</v>
      </c>
      <c r="EC6" s="659">
        <v>2009.2</v>
      </c>
      <c r="ED6" s="659">
        <v>2009.2</v>
      </c>
      <c r="EE6" s="659">
        <v>2009.1</v>
      </c>
      <c r="EF6" s="659">
        <v>2009.1</v>
      </c>
      <c r="EG6" s="659">
        <v>2009.1</v>
      </c>
      <c r="EH6" s="659">
        <v>2008.4</v>
      </c>
      <c r="EI6" s="659">
        <v>2008.4</v>
      </c>
      <c r="EJ6" s="659">
        <v>2008.4</v>
      </c>
      <c r="EK6" s="659">
        <v>2008.3</v>
      </c>
      <c r="EL6" s="659">
        <v>2008.3</v>
      </c>
      <c r="EM6" s="659">
        <v>2008.3</v>
      </c>
      <c r="EN6" s="659">
        <v>2008.2</v>
      </c>
      <c r="EO6" s="659">
        <v>2008.2</v>
      </c>
      <c r="EP6" s="659">
        <v>2008.2</v>
      </c>
      <c r="EQ6" s="659">
        <v>2008.1</v>
      </c>
      <c r="ER6" s="659">
        <v>2008.1</v>
      </c>
      <c r="ES6" s="659">
        <v>2008.1</v>
      </c>
      <c r="ET6" s="659">
        <v>2007.4</v>
      </c>
      <c r="EU6" s="659">
        <v>2007.4</v>
      </c>
      <c r="EV6" s="659">
        <v>2007.4</v>
      </c>
      <c r="EW6" s="659">
        <v>2007.3</v>
      </c>
      <c r="EX6" s="659">
        <v>2007.3</v>
      </c>
      <c r="EY6" s="659">
        <v>2007.3</v>
      </c>
      <c r="EZ6" s="659">
        <v>2007.2</v>
      </c>
      <c r="FA6" s="659">
        <v>2007.2</v>
      </c>
      <c r="FB6" s="659">
        <v>2007.2</v>
      </c>
      <c r="FC6" s="659">
        <v>2007.1</v>
      </c>
      <c r="FD6" s="659">
        <v>2007.1</v>
      </c>
      <c r="FE6" s="659">
        <v>2007.1</v>
      </c>
      <c r="FF6" s="659">
        <v>2006.4</v>
      </c>
      <c r="FG6" s="659">
        <v>2006.4</v>
      </c>
      <c r="FH6" s="659">
        <v>2006.4</v>
      </c>
      <c r="FI6" s="659">
        <v>2006.3</v>
      </c>
      <c r="FJ6" s="659">
        <v>2006.3</v>
      </c>
      <c r="FK6" s="659">
        <v>2006.3</v>
      </c>
      <c r="FL6" s="659">
        <v>2006.2</v>
      </c>
      <c r="FM6" s="659">
        <v>2006.2</v>
      </c>
      <c r="FN6" s="659">
        <v>2006.2</v>
      </c>
      <c r="FO6" s="659">
        <v>2006.1</v>
      </c>
      <c r="FP6" s="659">
        <v>2006.1</v>
      </c>
      <c r="FQ6" s="659">
        <v>2006.1</v>
      </c>
      <c r="FR6" s="659">
        <v>2005.4</v>
      </c>
      <c r="FS6" s="659">
        <v>2005.4</v>
      </c>
      <c r="FT6" s="659">
        <v>2005.4</v>
      </c>
      <c r="FU6" s="659">
        <v>2005.3</v>
      </c>
      <c r="FV6" s="659">
        <v>2005.3</v>
      </c>
      <c r="FW6" s="659">
        <v>2005.3</v>
      </c>
      <c r="FX6" s="659">
        <v>2005.2</v>
      </c>
      <c r="FY6" s="659">
        <v>2005.2</v>
      </c>
      <c r="FZ6" s="659">
        <v>2005.2</v>
      </c>
      <c r="GA6" s="659">
        <v>2005.1</v>
      </c>
      <c r="GB6" s="659">
        <v>2005.1</v>
      </c>
      <c r="GC6" s="659">
        <v>2005.1</v>
      </c>
      <c r="GD6" s="659">
        <v>2004.4</v>
      </c>
      <c r="GE6" s="659">
        <v>2004.4</v>
      </c>
      <c r="GF6" s="659">
        <v>2004.4</v>
      </c>
      <c r="GG6" s="659">
        <v>2004.3</v>
      </c>
      <c r="GH6" s="659">
        <v>2004.3</v>
      </c>
      <c r="GI6" s="659">
        <v>2004.3</v>
      </c>
      <c r="GJ6" s="659">
        <v>2004.2</v>
      </c>
      <c r="GK6" s="659">
        <v>2004.2</v>
      </c>
      <c r="GL6" s="659">
        <v>2004.2</v>
      </c>
      <c r="GM6" s="659">
        <v>2004.1</v>
      </c>
      <c r="GN6" s="659">
        <v>2004.1</v>
      </c>
      <c r="GO6" s="659">
        <v>2004.1</v>
      </c>
      <c r="GP6" s="659">
        <v>2003.4</v>
      </c>
      <c r="GQ6" s="659">
        <v>2003.4</v>
      </c>
      <c r="GR6" s="659">
        <v>2003.4</v>
      </c>
      <c r="GS6" s="659">
        <v>2003.3</v>
      </c>
      <c r="GT6" s="659">
        <v>2003.3</v>
      </c>
      <c r="GU6" s="659">
        <v>2003.3</v>
      </c>
      <c r="GV6" s="659">
        <v>2003.2</v>
      </c>
      <c r="GW6" s="659">
        <v>2003.2</v>
      </c>
      <c r="GX6" s="659">
        <v>2003.2</v>
      </c>
      <c r="GY6" s="659">
        <v>2003.1</v>
      </c>
      <c r="GZ6" s="659">
        <v>2003.1</v>
      </c>
      <c r="HA6" s="659">
        <v>2003.1</v>
      </c>
      <c r="HB6" s="659">
        <v>2002.4</v>
      </c>
      <c r="HC6" s="659">
        <v>2002.4</v>
      </c>
      <c r="HD6" s="659">
        <v>2002.4</v>
      </c>
      <c r="HE6" s="659">
        <v>2002.3</v>
      </c>
      <c r="HF6" s="659">
        <v>2002.3</v>
      </c>
      <c r="HG6" s="659">
        <v>2002.3</v>
      </c>
      <c r="HH6" s="659">
        <v>2002.2</v>
      </c>
      <c r="HI6" s="659">
        <v>2002.2</v>
      </c>
      <c r="HJ6" s="659">
        <v>2002.2</v>
      </c>
      <c r="HK6" s="659">
        <v>2002.1</v>
      </c>
      <c r="HL6" s="659">
        <v>2002.1</v>
      </c>
      <c r="HM6" s="659">
        <v>2002.1</v>
      </c>
      <c r="HN6" s="659">
        <v>2001.4</v>
      </c>
      <c r="HO6" s="659">
        <v>2001.4</v>
      </c>
      <c r="HP6" s="659">
        <v>2001.4</v>
      </c>
      <c r="HQ6" s="659">
        <v>2001.3</v>
      </c>
      <c r="HR6" s="659">
        <v>2001.3</v>
      </c>
      <c r="HS6" s="659">
        <v>2001.3</v>
      </c>
      <c r="HT6" s="659">
        <v>2001.2</v>
      </c>
      <c r="HU6" s="659">
        <v>2001.2</v>
      </c>
      <c r="HV6" s="659">
        <v>2001.2</v>
      </c>
      <c r="HW6" s="659">
        <v>2001.1</v>
      </c>
      <c r="HX6" s="659">
        <v>2001.1</v>
      </c>
      <c r="HY6" s="659">
        <v>2001.1</v>
      </c>
      <c r="HZ6" s="659">
        <v>2000.4</v>
      </c>
      <c r="IA6" s="659">
        <v>2000.4</v>
      </c>
      <c r="IB6" s="659">
        <v>2000.4</v>
      </c>
      <c r="IC6" s="659">
        <v>2000.3</v>
      </c>
      <c r="ID6" s="660">
        <v>2000.3</v>
      </c>
      <c r="IE6" s="660">
        <v>2000.3</v>
      </c>
      <c r="IF6" s="659">
        <v>2000.2</v>
      </c>
      <c r="IG6" s="660">
        <v>2000.2</v>
      </c>
      <c r="IH6" s="660">
        <v>2000.2</v>
      </c>
      <c r="II6" s="660">
        <v>2000.1</v>
      </c>
      <c r="IJ6" s="660">
        <v>2000.1</v>
      </c>
      <c r="IK6" s="660">
        <v>2000.1</v>
      </c>
      <c r="IL6" s="660">
        <v>1999.4</v>
      </c>
      <c r="IM6" s="660">
        <v>1999.4</v>
      </c>
      <c r="IN6" s="660">
        <v>1999.4</v>
      </c>
      <c r="IO6" s="660">
        <v>1999.3</v>
      </c>
      <c r="IP6" s="660">
        <v>1999.3</v>
      </c>
      <c r="IQ6" s="660">
        <v>1999.3</v>
      </c>
      <c r="IR6" s="660">
        <v>1999.2</v>
      </c>
      <c r="IS6" s="660">
        <v>1999.2</v>
      </c>
      <c r="IT6" s="660">
        <v>1999.2</v>
      </c>
      <c r="IU6" s="660">
        <v>1999.1</v>
      </c>
      <c r="IV6" s="660">
        <v>1999.1</v>
      </c>
      <c r="IW6" s="660">
        <v>1999.1</v>
      </c>
      <c r="IX6" s="660">
        <v>1998.4</v>
      </c>
      <c r="IY6" s="660">
        <v>1998.4</v>
      </c>
      <c r="IZ6" s="660">
        <v>1998.4</v>
      </c>
      <c r="JA6" s="660">
        <v>1998.3</v>
      </c>
      <c r="JB6" s="660">
        <v>1998.3</v>
      </c>
      <c r="JC6" s="660">
        <v>1998.3</v>
      </c>
      <c r="JD6" s="660">
        <v>1998.2</v>
      </c>
      <c r="JE6" s="660">
        <v>1998.2</v>
      </c>
      <c r="JF6" s="660">
        <v>1998.2</v>
      </c>
      <c r="JG6" s="660">
        <v>1998.1</v>
      </c>
      <c r="JH6" s="660">
        <v>1998.1</v>
      </c>
      <c r="JI6" s="660">
        <v>1998.1</v>
      </c>
      <c r="JJ6" s="660">
        <v>1997.4</v>
      </c>
      <c r="JK6" s="660">
        <v>1997.4</v>
      </c>
      <c r="JL6" s="660">
        <v>1997.4</v>
      </c>
      <c r="JM6" s="660">
        <v>1997.3</v>
      </c>
      <c r="JN6" s="660">
        <v>1997.3</v>
      </c>
      <c r="JO6" s="660">
        <v>1997.3</v>
      </c>
      <c r="JP6" s="660">
        <v>1997.2</v>
      </c>
      <c r="JQ6" s="660">
        <v>1997.2</v>
      </c>
      <c r="JR6" s="660">
        <v>1997.2</v>
      </c>
      <c r="JS6" s="660">
        <v>1997.1</v>
      </c>
      <c r="JT6" s="660">
        <v>1997.1</v>
      </c>
      <c r="JU6" s="660">
        <v>1997.1</v>
      </c>
      <c r="JV6" s="660">
        <v>1996.4</v>
      </c>
      <c r="JW6" s="660">
        <v>1996.4</v>
      </c>
      <c r="JX6" s="660">
        <v>1996.4</v>
      </c>
      <c r="JY6" s="660">
        <v>1996.3</v>
      </c>
      <c r="JZ6" s="660">
        <v>1996.3</v>
      </c>
      <c r="KA6" s="660">
        <v>1996.3</v>
      </c>
      <c r="KB6" s="660">
        <v>1996.2</v>
      </c>
      <c r="KC6" s="660">
        <v>1996.2</v>
      </c>
      <c r="KD6" s="660">
        <v>1996.2</v>
      </c>
      <c r="KE6" s="660">
        <v>1996.1</v>
      </c>
      <c r="KF6" s="660">
        <v>1996.1</v>
      </c>
      <c r="KG6" s="660">
        <v>1996.1</v>
      </c>
      <c r="KH6" s="660">
        <v>1995.4</v>
      </c>
      <c r="KI6" s="660">
        <v>1995.4</v>
      </c>
      <c r="KJ6" s="660">
        <v>1995.4</v>
      </c>
      <c r="KK6" s="660">
        <v>1995.3</v>
      </c>
      <c r="KL6" s="660">
        <v>1995.3</v>
      </c>
      <c r="KM6" s="660">
        <v>1995.3</v>
      </c>
      <c r="KN6" s="660">
        <v>1995.2</v>
      </c>
      <c r="KO6" s="660">
        <v>1995.2</v>
      </c>
      <c r="KP6" s="660">
        <v>1995.2</v>
      </c>
      <c r="KQ6" s="660">
        <v>1995.1</v>
      </c>
      <c r="KR6" s="660">
        <v>1995.1</v>
      </c>
      <c r="KS6" s="660">
        <v>1995.1</v>
      </c>
      <c r="KT6" s="660">
        <v>1994.4</v>
      </c>
      <c r="KU6" s="660">
        <v>1994.4</v>
      </c>
      <c r="KV6" s="660">
        <v>1994.4</v>
      </c>
      <c r="KW6" s="660">
        <v>1994.3</v>
      </c>
      <c r="KX6" s="660">
        <v>1994.3</v>
      </c>
      <c r="KY6" s="660">
        <v>1994.3</v>
      </c>
      <c r="KZ6" s="660">
        <v>1994.2</v>
      </c>
      <c r="LA6" s="660">
        <v>1994.2</v>
      </c>
      <c r="LB6" s="660">
        <v>1994.2</v>
      </c>
      <c r="LC6" s="660">
        <v>1994.1</v>
      </c>
      <c r="LD6" s="660">
        <v>1994.1</v>
      </c>
      <c r="LE6" s="660">
        <v>1994.1</v>
      </c>
      <c r="LF6" s="660">
        <v>1993.4</v>
      </c>
      <c r="LG6" s="660">
        <v>1993.4</v>
      </c>
      <c r="LH6" s="660">
        <v>1993.4</v>
      </c>
      <c r="LI6" s="660">
        <v>1993.3</v>
      </c>
      <c r="LJ6" s="660">
        <v>1993.3</v>
      </c>
      <c r="LK6" s="660">
        <v>1993.3</v>
      </c>
      <c r="LL6" s="660">
        <v>1993.2</v>
      </c>
      <c r="LM6" s="660">
        <v>1993.2</v>
      </c>
      <c r="LN6" s="660">
        <v>1993.2</v>
      </c>
      <c r="LO6" s="660">
        <v>1993.1</v>
      </c>
      <c r="LP6" s="660">
        <v>1993.1</v>
      </c>
      <c r="LQ6" s="660">
        <v>1993.1</v>
      </c>
      <c r="LR6" s="660">
        <v>1992.4</v>
      </c>
      <c r="LS6" s="660">
        <v>1992.4</v>
      </c>
      <c r="LT6" s="660">
        <v>1992.4</v>
      </c>
      <c r="LU6" s="660">
        <v>1992.3</v>
      </c>
      <c r="LV6" s="660">
        <v>1992.3</v>
      </c>
      <c r="LW6" s="660">
        <v>1992.3</v>
      </c>
      <c r="LX6" s="660">
        <v>1992.2</v>
      </c>
      <c r="LY6" s="660">
        <v>1992.2</v>
      </c>
      <c r="LZ6" s="660">
        <v>1992.2</v>
      </c>
      <c r="MA6" s="660">
        <v>1992.1</v>
      </c>
      <c r="MB6" s="660">
        <v>1992.1</v>
      </c>
      <c r="MC6" s="660">
        <v>1992.1</v>
      </c>
      <c r="MD6" s="660">
        <v>1991.4</v>
      </c>
      <c r="ME6" s="660">
        <v>1991.4</v>
      </c>
      <c r="MF6" s="660">
        <v>1991.4</v>
      </c>
      <c r="MG6" s="660">
        <v>1991.3</v>
      </c>
      <c r="MH6" s="660">
        <v>1991.3</v>
      </c>
      <c r="MI6" s="660">
        <v>1991.3</v>
      </c>
      <c r="MJ6" s="660">
        <v>1991.2</v>
      </c>
      <c r="MK6" s="660">
        <v>1991.2</v>
      </c>
      <c r="ML6" s="660">
        <v>1991.2</v>
      </c>
      <c r="MM6" s="660">
        <v>1991.1</v>
      </c>
      <c r="MN6" s="660">
        <v>1991.1</v>
      </c>
      <c r="MO6" s="660">
        <v>1991.1</v>
      </c>
      <c r="MP6" s="660">
        <v>1990.4</v>
      </c>
      <c r="MQ6" s="660">
        <v>1990.4</v>
      </c>
    </row>
    <row r="7" spans="1:355" ht="13.8">
      <c r="B7" s="737"/>
      <c r="C7" s="659" t="s">
        <v>244</v>
      </c>
      <c r="D7" s="659" t="s">
        <v>245</v>
      </c>
      <c r="E7" s="659" t="s">
        <v>389</v>
      </c>
      <c r="F7" s="659" t="s">
        <v>244</v>
      </c>
      <c r="G7" s="659" t="s">
        <v>245</v>
      </c>
      <c r="H7" s="659" t="s">
        <v>389</v>
      </c>
      <c r="I7" s="659" t="s">
        <v>244</v>
      </c>
      <c r="J7" s="659" t="s">
        <v>245</v>
      </c>
      <c r="K7" s="659" t="s">
        <v>389</v>
      </c>
      <c r="L7" s="659" t="s">
        <v>244</v>
      </c>
      <c r="M7" s="659" t="s">
        <v>245</v>
      </c>
      <c r="N7" s="659" t="s">
        <v>389</v>
      </c>
      <c r="O7" s="659" t="s">
        <v>244</v>
      </c>
      <c r="P7" s="659" t="s">
        <v>245</v>
      </c>
      <c r="Q7" s="659" t="s">
        <v>389</v>
      </c>
      <c r="R7" s="659" t="s">
        <v>244</v>
      </c>
      <c r="S7" s="659" t="s">
        <v>245</v>
      </c>
      <c r="T7" s="659" t="s">
        <v>389</v>
      </c>
      <c r="U7" s="659" t="s">
        <v>244</v>
      </c>
      <c r="V7" s="659" t="s">
        <v>245</v>
      </c>
      <c r="W7" s="659" t="s">
        <v>389</v>
      </c>
      <c r="X7" s="659" t="s">
        <v>244</v>
      </c>
      <c r="Y7" s="659" t="s">
        <v>245</v>
      </c>
      <c r="Z7" s="659" t="s">
        <v>389</v>
      </c>
      <c r="AA7" s="659" t="s">
        <v>244</v>
      </c>
      <c r="AB7" s="659" t="s">
        <v>245</v>
      </c>
      <c r="AC7" s="659" t="s">
        <v>389</v>
      </c>
      <c r="AD7" s="659" t="s">
        <v>244</v>
      </c>
      <c r="AE7" s="659" t="s">
        <v>245</v>
      </c>
      <c r="AF7" s="659" t="s">
        <v>389</v>
      </c>
      <c r="AG7" s="659" t="s">
        <v>244</v>
      </c>
      <c r="AH7" s="659" t="s">
        <v>245</v>
      </c>
      <c r="AI7" s="659" t="s">
        <v>389</v>
      </c>
      <c r="AJ7" s="659" t="s">
        <v>244</v>
      </c>
      <c r="AK7" s="659" t="s">
        <v>245</v>
      </c>
      <c r="AL7" s="659" t="s">
        <v>389</v>
      </c>
      <c r="AM7" s="659" t="s">
        <v>244</v>
      </c>
      <c r="AN7" s="659" t="s">
        <v>245</v>
      </c>
      <c r="AO7" s="659" t="s">
        <v>389</v>
      </c>
      <c r="AP7" s="659" t="s">
        <v>244</v>
      </c>
      <c r="AQ7" s="659" t="s">
        <v>245</v>
      </c>
      <c r="AR7" s="659" t="s">
        <v>389</v>
      </c>
      <c r="AS7" s="659" t="s">
        <v>244</v>
      </c>
      <c r="AT7" s="659" t="s">
        <v>245</v>
      </c>
      <c r="AU7" s="659" t="s">
        <v>389</v>
      </c>
      <c r="AV7" s="658" t="s">
        <v>244</v>
      </c>
      <c r="AW7" s="658" t="s">
        <v>245</v>
      </c>
      <c r="AX7" s="658" t="s">
        <v>389</v>
      </c>
      <c r="AY7" s="658" t="s">
        <v>244</v>
      </c>
      <c r="AZ7" s="658" t="s">
        <v>245</v>
      </c>
      <c r="BA7" s="658" t="s">
        <v>389</v>
      </c>
      <c r="BB7" s="658" t="s">
        <v>244</v>
      </c>
      <c r="BC7" s="658" t="s">
        <v>245</v>
      </c>
      <c r="BD7" s="658" t="s">
        <v>389</v>
      </c>
      <c r="BE7" s="658" t="s">
        <v>244</v>
      </c>
      <c r="BF7" s="658" t="s">
        <v>245</v>
      </c>
      <c r="BG7" s="658" t="s">
        <v>389</v>
      </c>
      <c r="BH7" s="658" t="s">
        <v>244</v>
      </c>
      <c r="BI7" s="661" t="s">
        <v>245</v>
      </c>
      <c r="BJ7" s="661" t="s">
        <v>389</v>
      </c>
      <c r="BK7" s="658" t="s">
        <v>244</v>
      </c>
      <c r="BL7" s="661" t="s">
        <v>245</v>
      </c>
      <c r="BM7" s="661" t="s">
        <v>389</v>
      </c>
      <c r="BN7" s="658" t="s">
        <v>244</v>
      </c>
      <c r="BO7" s="661" t="s">
        <v>245</v>
      </c>
      <c r="BP7" s="661" t="s">
        <v>389</v>
      </c>
      <c r="BQ7" s="658" t="s">
        <v>244</v>
      </c>
      <c r="BR7" s="661" t="s">
        <v>245</v>
      </c>
      <c r="BS7" s="661" t="s">
        <v>389</v>
      </c>
      <c r="BT7" s="658" t="s">
        <v>244</v>
      </c>
      <c r="BU7" s="661" t="s">
        <v>245</v>
      </c>
      <c r="BV7" s="661" t="s">
        <v>389</v>
      </c>
      <c r="BW7" s="658" t="s">
        <v>244</v>
      </c>
      <c r="BX7" s="661" t="s">
        <v>245</v>
      </c>
      <c r="BY7" s="661" t="s">
        <v>389</v>
      </c>
      <c r="BZ7" s="658" t="s">
        <v>244</v>
      </c>
      <c r="CA7" s="661" t="s">
        <v>245</v>
      </c>
      <c r="CB7" s="661" t="s">
        <v>389</v>
      </c>
      <c r="CC7" s="658" t="s">
        <v>244</v>
      </c>
      <c r="CD7" s="661" t="s">
        <v>245</v>
      </c>
      <c r="CE7" s="661" t="s">
        <v>389</v>
      </c>
      <c r="CF7" s="658" t="s">
        <v>244</v>
      </c>
      <c r="CG7" s="661" t="s">
        <v>245</v>
      </c>
      <c r="CH7" s="661" t="s">
        <v>389</v>
      </c>
      <c r="CI7" s="658" t="s">
        <v>244</v>
      </c>
      <c r="CJ7" s="661" t="s">
        <v>245</v>
      </c>
      <c r="CK7" s="661" t="s">
        <v>389</v>
      </c>
      <c r="CL7" s="659" t="s">
        <v>244</v>
      </c>
      <c r="CM7" s="660" t="s">
        <v>245</v>
      </c>
      <c r="CN7" s="660" t="s">
        <v>389</v>
      </c>
      <c r="CO7" s="659" t="s">
        <v>244</v>
      </c>
      <c r="CP7" s="660" t="s">
        <v>245</v>
      </c>
      <c r="CQ7" s="660" t="s">
        <v>389</v>
      </c>
      <c r="CR7" s="659" t="s">
        <v>244</v>
      </c>
      <c r="CS7" s="660" t="s">
        <v>245</v>
      </c>
      <c r="CT7" s="660" t="s">
        <v>389</v>
      </c>
      <c r="CU7" s="659" t="s">
        <v>244</v>
      </c>
      <c r="CV7" s="660" t="s">
        <v>245</v>
      </c>
      <c r="CW7" s="660" t="s">
        <v>389</v>
      </c>
      <c r="CX7" s="659" t="s">
        <v>244</v>
      </c>
      <c r="CY7" s="660" t="s">
        <v>245</v>
      </c>
      <c r="CZ7" s="660" t="s">
        <v>389</v>
      </c>
      <c r="DA7" s="659" t="s">
        <v>244</v>
      </c>
      <c r="DB7" s="660" t="s">
        <v>245</v>
      </c>
      <c r="DC7" s="660" t="s">
        <v>389</v>
      </c>
      <c r="DD7" s="659" t="s">
        <v>244</v>
      </c>
      <c r="DE7" s="660" t="s">
        <v>245</v>
      </c>
      <c r="DF7" s="660" t="s">
        <v>389</v>
      </c>
      <c r="DG7" s="659" t="s">
        <v>244</v>
      </c>
      <c r="DH7" s="660" t="s">
        <v>245</v>
      </c>
      <c r="DI7" s="660" t="s">
        <v>389</v>
      </c>
      <c r="DJ7" s="659" t="s">
        <v>244</v>
      </c>
      <c r="DK7" s="660" t="s">
        <v>245</v>
      </c>
      <c r="DL7" s="660" t="s">
        <v>389</v>
      </c>
      <c r="DM7" s="659" t="s">
        <v>244</v>
      </c>
      <c r="DN7" s="660" t="s">
        <v>245</v>
      </c>
      <c r="DO7" s="660" t="s">
        <v>389</v>
      </c>
      <c r="DP7" s="659" t="s">
        <v>244</v>
      </c>
      <c r="DQ7" s="660" t="s">
        <v>245</v>
      </c>
      <c r="DR7" s="660" t="s">
        <v>389</v>
      </c>
      <c r="DS7" s="659" t="s">
        <v>244</v>
      </c>
      <c r="DT7" s="660" t="s">
        <v>245</v>
      </c>
      <c r="DU7" s="660" t="s">
        <v>389</v>
      </c>
      <c r="DV7" s="659" t="s">
        <v>244</v>
      </c>
      <c r="DW7" s="660" t="s">
        <v>245</v>
      </c>
      <c r="DX7" s="660" t="s">
        <v>389</v>
      </c>
      <c r="DY7" s="659" t="s">
        <v>244</v>
      </c>
      <c r="DZ7" s="660" t="s">
        <v>245</v>
      </c>
      <c r="EA7" s="660" t="s">
        <v>389</v>
      </c>
      <c r="EB7" s="659" t="s">
        <v>244</v>
      </c>
      <c r="EC7" s="660" t="s">
        <v>245</v>
      </c>
      <c r="ED7" s="660" t="s">
        <v>389</v>
      </c>
      <c r="EE7" s="659" t="s">
        <v>244</v>
      </c>
      <c r="EF7" s="660" t="s">
        <v>245</v>
      </c>
      <c r="EG7" s="660" t="s">
        <v>389</v>
      </c>
      <c r="EH7" s="659" t="s">
        <v>244</v>
      </c>
      <c r="EI7" s="660" t="s">
        <v>245</v>
      </c>
      <c r="EJ7" s="660" t="s">
        <v>389</v>
      </c>
      <c r="EK7" s="659" t="s">
        <v>244</v>
      </c>
      <c r="EL7" s="660" t="s">
        <v>245</v>
      </c>
      <c r="EM7" s="660" t="s">
        <v>389</v>
      </c>
      <c r="EN7" s="659" t="s">
        <v>244</v>
      </c>
      <c r="EO7" s="660" t="s">
        <v>245</v>
      </c>
      <c r="EP7" s="660" t="s">
        <v>389</v>
      </c>
      <c r="EQ7" s="659" t="s">
        <v>244</v>
      </c>
      <c r="ER7" s="660" t="s">
        <v>245</v>
      </c>
      <c r="ES7" s="660" t="s">
        <v>389</v>
      </c>
      <c r="ET7" s="659" t="s">
        <v>244</v>
      </c>
      <c r="EU7" s="660" t="s">
        <v>245</v>
      </c>
      <c r="EV7" s="660" t="s">
        <v>389</v>
      </c>
      <c r="EW7" s="659" t="s">
        <v>244</v>
      </c>
      <c r="EX7" s="660" t="s">
        <v>245</v>
      </c>
      <c r="EY7" s="660" t="s">
        <v>389</v>
      </c>
      <c r="EZ7" s="659" t="s">
        <v>244</v>
      </c>
      <c r="FA7" s="660" t="s">
        <v>245</v>
      </c>
      <c r="FB7" s="660" t="s">
        <v>389</v>
      </c>
      <c r="FC7" s="659" t="s">
        <v>244</v>
      </c>
      <c r="FD7" s="660" t="s">
        <v>245</v>
      </c>
      <c r="FE7" s="660" t="s">
        <v>389</v>
      </c>
      <c r="FF7" s="659" t="s">
        <v>244</v>
      </c>
      <c r="FG7" s="660" t="s">
        <v>245</v>
      </c>
      <c r="FH7" s="660" t="s">
        <v>389</v>
      </c>
      <c r="FI7" s="659" t="s">
        <v>244</v>
      </c>
      <c r="FJ7" s="660" t="s">
        <v>245</v>
      </c>
      <c r="FK7" s="660" t="s">
        <v>389</v>
      </c>
      <c r="FL7" s="659" t="s">
        <v>244</v>
      </c>
      <c r="FM7" s="660" t="s">
        <v>245</v>
      </c>
      <c r="FN7" s="660" t="s">
        <v>389</v>
      </c>
      <c r="FO7" s="659" t="s">
        <v>244</v>
      </c>
      <c r="FP7" s="660" t="s">
        <v>245</v>
      </c>
      <c r="FQ7" s="660" t="s">
        <v>389</v>
      </c>
      <c r="FR7" s="659" t="s">
        <v>244</v>
      </c>
      <c r="FS7" s="660" t="s">
        <v>245</v>
      </c>
      <c r="FT7" s="660" t="s">
        <v>389</v>
      </c>
      <c r="FU7" s="659" t="s">
        <v>244</v>
      </c>
      <c r="FV7" s="660" t="s">
        <v>245</v>
      </c>
      <c r="FW7" s="660" t="s">
        <v>389</v>
      </c>
      <c r="FX7" s="659" t="s">
        <v>244</v>
      </c>
      <c r="FY7" s="660" t="s">
        <v>245</v>
      </c>
      <c r="FZ7" s="660" t="s">
        <v>389</v>
      </c>
      <c r="GA7" s="659" t="s">
        <v>244</v>
      </c>
      <c r="GB7" s="660" t="s">
        <v>245</v>
      </c>
      <c r="GC7" s="660" t="s">
        <v>389</v>
      </c>
      <c r="GD7" s="659" t="s">
        <v>244</v>
      </c>
      <c r="GE7" s="660" t="s">
        <v>245</v>
      </c>
      <c r="GF7" s="660" t="s">
        <v>389</v>
      </c>
      <c r="GG7" s="659" t="s">
        <v>244</v>
      </c>
      <c r="GH7" s="660" t="s">
        <v>245</v>
      </c>
      <c r="GI7" s="660" t="s">
        <v>389</v>
      </c>
      <c r="GJ7" s="659" t="s">
        <v>244</v>
      </c>
      <c r="GK7" s="660" t="s">
        <v>245</v>
      </c>
      <c r="GL7" s="660" t="s">
        <v>389</v>
      </c>
      <c r="GM7" s="659" t="s">
        <v>244</v>
      </c>
      <c r="GN7" s="660" t="s">
        <v>245</v>
      </c>
      <c r="GO7" s="660" t="s">
        <v>389</v>
      </c>
      <c r="GP7" s="659" t="s">
        <v>244</v>
      </c>
      <c r="GQ7" s="660" t="s">
        <v>245</v>
      </c>
      <c r="GR7" s="660" t="s">
        <v>389</v>
      </c>
      <c r="GS7" s="659" t="s">
        <v>244</v>
      </c>
      <c r="GT7" s="660" t="s">
        <v>245</v>
      </c>
      <c r="GU7" s="660" t="s">
        <v>389</v>
      </c>
      <c r="GV7" s="659" t="s">
        <v>244</v>
      </c>
      <c r="GW7" s="660" t="s">
        <v>245</v>
      </c>
      <c r="GX7" s="660" t="s">
        <v>389</v>
      </c>
      <c r="GY7" s="659" t="s">
        <v>244</v>
      </c>
      <c r="GZ7" s="660" t="s">
        <v>245</v>
      </c>
      <c r="HA7" s="660" t="s">
        <v>389</v>
      </c>
      <c r="HB7" s="659" t="s">
        <v>244</v>
      </c>
      <c r="HC7" s="660" t="s">
        <v>245</v>
      </c>
      <c r="HD7" s="660" t="s">
        <v>389</v>
      </c>
      <c r="HE7" s="659" t="s">
        <v>244</v>
      </c>
      <c r="HF7" s="660" t="s">
        <v>245</v>
      </c>
      <c r="HG7" s="660" t="s">
        <v>389</v>
      </c>
      <c r="HH7" s="659" t="s">
        <v>244</v>
      </c>
      <c r="HI7" s="660" t="s">
        <v>245</v>
      </c>
      <c r="HJ7" s="660" t="s">
        <v>389</v>
      </c>
      <c r="HK7" s="659" t="s">
        <v>244</v>
      </c>
      <c r="HL7" s="660" t="s">
        <v>245</v>
      </c>
      <c r="HM7" s="660" t="s">
        <v>389</v>
      </c>
      <c r="HN7" s="659" t="s">
        <v>244</v>
      </c>
      <c r="HO7" s="660" t="s">
        <v>245</v>
      </c>
      <c r="HP7" s="660" t="s">
        <v>389</v>
      </c>
      <c r="HQ7" s="659" t="s">
        <v>244</v>
      </c>
      <c r="HR7" s="660" t="s">
        <v>245</v>
      </c>
      <c r="HS7" s="660" t="s">
        <v>389</v>
      </c>
      <c r="HT7" s="659" t="s">
        <v>244</v>
      </c>
      <c r="HU7" s="660" t="s">
        <v>245</v>
      </c>
      <c r="HV7" s="660" t="s">
        <v>389</v>
      </c>
      <c r="HW7" s="659" t="s">
        <v>244</v>
      </c>
      <c r="HX7" s="660" t="s">
        <v>245</v>
      </c>
      <c r="HY7" s="660" t="s">
        <v>389</v>
      </c>
      <c r="HZ7" s="659" t="s">
        <v>244</v>
      </c>
      <c r="IA7" s="660" t="s">
        <v>245</v>
      </c>
      <c r="IB7" s="660" t="s">
        <v>389</v>
      </c>
      <c r="IC7" s="659" t="s">
        <v>244</v>
      </c>
      <c r="ID7" s="660" t="s">
        <v>245</v>
      </c>
      <c r="IE7" s="660" t="s">
        <v>389</v>
      </c>
      <c r="IF7" s="659" t="s">
        <v>244</v>
      </c>
      <c r="IG7" s="660" t="s">
        <v>245</v>
      </c>
      <c r="IH7" s="660" t="s">
        <v>389</v>
      </c>
      <c r="II7" s="660" t="s">
        <v>244</v>
      </c>
      <c r="IJ7" s="660" t="s">
        <v>245</v>
      </c>
      <c r="IK7" s="660" t="s">
        <v>389</v>
      </c>
      <c r="IL7" s="660" t="s">
        <v>244</v>
      </c>
      <c r="IM7" s="660" t="s">
        <v>245</v>
      </c>
      <c r="IN7" s="660" t="s">
        <v>389</v>
      </c>
      <c r="IO7" s="660" t="s">
        <v>244</v>
      </c>
      <c r="IP7" s="660" t="s">
        <v>245</v>
      </c>
      <c r="IQ7" s="660" t="s">
        <v>389</v>
      </c>
      <c r="IR7" s="660" t="s">
        <v>244</v>
      </c>
      <c r="IS7" s="660" t="s">
        <v>245</v>
      </c>
      <c r="IT7" s="660" t="s">
        <v>389</v>
      </c>
      <c r="IU7" s="660" t="s">
        <v>244</v>
      </c>
      <c r="IV7" s="660" t="s">
        <v>245</v>
      </c>
      <c r="IW7" s="660" t="s">
        <v>389</v>
      </c>
      <c r="IX7" s="660" t="s">
        <v>244</v>
      </c>
      <c r="IY7" s="660" t="s">
        <v>245</v>
      </c>
      <c r="IZ7" s="660" t="s">
        <v>389</v>
      </c>
      <c r="JA7" s="660" t="s">
        <v>244</v>
      </c>
      <c r="JB7" s="660" t="s">
        <v>245</v>
      </c>
      <c r="JC7" s="660" t="s">
        <v>389</v>
      </c>
      <c r="JD7" s="660" t="s">
        <v>244</v>
      </c>
      <c r="JE7" s="660" t="s">
        <v>245</v>
      </c>
      <c r="JF7" s="660" t="s">
        <v>389</v>
      </c>
      <c r="JG7" s="660" t="s">
        <v>244</v>
      </c>
      <c r="JH7" s="660" t="s">
        <v>245</v>
      </c>
      <c r="JI7" s="660" t="s">
        <v>389</v>
      </c>
      <c r="JJ7" s="660" t="s">
        <v>244</v>
      </c>
      <c r="JK7" s="660" t="s">
        <v>245</v>
      </c>
      <c r="JL7" s="660" t="s">
        <v>389</v>
      </c>
      <c r="JM7" s="660" t="s">
        <v>244</v>
      </c>
      <c r="JN7" s="660" t="s">
        <v>245</v>
      </c>
      <c r="JO7" s="660" t="s">
        <v>389</v>
      </c>
      <c r="JP7" s="660" t="s">
        <v>244</v>
      </c>
      <c r="JQ7" s="660" t="s">
        <v>245</v>
      </c>
      <c r="JR7" s="660" t="s">
        <v>389</v>
      </c>
      <c r="JS7" s="660" t="s">
        <v>244</v>
      </c>
      <c r="JT7" s="660" t="s">
        <v>245</v>
      </c>
      <c r="JU7" s="660" t="s">
        <v>389</v>
      </c>
      <c r="JV7" s="660" t="s">
        <v>244</v>
      </c>
      <c r="JW7" s="660" t="s">
        <v>245</v>
      </c>
      <c r="JX7" s="660" t="s">
        <v>389</v>
      </c>
      <c r="JY7" s="660" t="s">
        <v>244</v>
      </c>
      <c r="JZ7" s="660" t="s">
        <v>245</v>
      </c>
      <c r="KA7" s="660" t="s">
        <v>389</v>
      </c>
      <c r="KB7" s="660" t="s">
        <v>244</v>
      </c>
      <c r="KC7" s="660" t="s">
        <v>245</v>
      </c>
      <c r="KD7" s="660" t="s">
        <v>389</v>
      </c>
      <c r="KE7" s="660" t="s">
        <v>244</v>
      </c>
      <c r="KF7" s="660" t="s">
        <v>245</v>
      </c>
      <c r="KG7" s="660" t="s">
        <v>389</v>
      </c>
      <c r="KH7" s="660" t="s">
        <v>244</v>
      </c>
      <c r="KI7" s="660" t="s">
        <v>245</v>
      </c>
      <c r="KJ7" s="660" t="s">
        <v>389</v>
      </c>
      <c r="KK7" s="660" t="s">
        <v>244</v>
      </c>
      <c r="KL7" s="660" t="s">
        <v>245</v>
      </c>
      <c r="KM7" s="660" t="s">
        <v>389</v>
      </c>
      <c r="KN7" s="660" t="s">
        <v>244</v>
      </c>
      <c r="KO7" s="660" t="s">
        <v>245</v>
      </c>
      <c r="KP7" s="660" t="s">
        <v>389</v>
      </c>
      <c r="KQ7" s="660" t="s">
        <v>244</v>
      </c>
      <c r="KR7" s="660" t="s">
        <v>245</v>
      </c>
      <c r="KS7" s="660" t="s">
        <v>389</v>
      </c>
      <c r="KT7" s="660" t="s">
        <v>244</v>
      </c>
      <c r="KU7" s="660" t="s">
        <v>245</v>
      </c>
      <c r="KV7" s="660" t="s">
        <v>389</v>
      </c>
      <c r="KW7" s="660" t="s">
        <v>244</v>
      </c>
      <c r="KX7" s="660" t="s">
        <v>245</v>
      </c>
      <c r="KY7" s="660" t="s">
        <v>389</v>
      </c>
      <c r="KZ7" s="660" t="s">
        <v>244</v>
      </c>
      <c r="LA7" s="660" t="s">
        <v>245</v>
      </c>
      <c r="LB7" s="660" t="s">
        <v>389</v>
      </c>
      <c r="LC7" s="660" t="s">
        <v>244</v>
      </c>
      <c r="LD7" s="660" t="s">
        <v>245</v>
      </c>
      <c r="LE7" s="660" t="s">
        <v>389</v>
      </c>
      <c r="LF7" s="660" t="s">
        <v>244</v>
      </c>
      <c r="LG7" s="660" t="s">
        <v>245</v>
      </c>
      <c r="LH7" s="660" t="s">
        <v>389</v>
      </c>
      <c r="LI7" s="660" t="s">
        <v>244</v>
      </c>
      <c r="LJ7" s="660" t="s">
        <v>245</v>
      </c>
      <c r="LK7" s="660" t="s">
        <v>389</v>
      </c>
      <c r="LL7" s="660" t="s">
        <v>244</v>
      </c>
      <c r="LM7" s="660" t="s">
        <v>245</v>
      </c>
      <c r="LN7" s="660" t="s">
        <v>389</v>
      </c>
      <c r="LO7" s="660" t="s">
        <v>244</v>
      </c>
      <c r="LP7" s="660" t="s">
        <v>245</v>
      </c>
      <c r="LQ7" s="660" t="s">
        <v>389</v>
      </c>
      <c r="LR7" s="660" t="s">
        <v>244</v>
      </c>
      <c r="LS7" s="660" t="s">
        <v>245</v>
      </c>
      <c r="LT7" s="660" t="s">
        <v>389</v>
      </c>
      <c r="LU7" s="660" t="s">
        <v>244</v>
      </c>
      <c r="LV7" s="660" t="s">
        <v>245</v>
      </c>
      <c r="LW7" s="660" t="s">
        <v>389</v>
      </c>
      <c r="LX7" s="660" t="s">
        <v>244</v>
      </c>
      <c r="LY7" s="660" t="s">
        <v>245</v>
      </c>
      <c r="LZ7" s="660" t="s">
        <v>389</v>
      </c>
      <c r="MA7" s="660" t="s">
        <v>244</v>
      </c>
      <c r="MB7" s="660" t="s">
        <v>245</v>
      </c>
      <c r="MC7" s="660" t="s">
        <v>389</v>
      </c>
      <c r="MD7" s="660" t="s">
        <v>244</v>
      </c>
      <c r="ME7" s="660" t="s">
        <v>245</v>
      </c>
      <c r="MF7" s="660" t="s">
        <v>389</v>
      </c>
      <c r="MG7" s="660" t="s">
        <v>244</v>
      </c>
      <c r="MH7" s="660" t="s">
        <v>245</v>
      </c>
      <c r="MI7" s="660" t="s">
        <v>389</v>
      </c>
      <c r="MJ7" s="660" t="s">
        <v>244</v>
      </c>
      <c r="MK7" s="660" t="s">
        <v>245</v>
      </c>
      <c r="ML7" s="660" t="s">
        <v>389</v>
      </c>
      <c r="MM7" s="660" t="s">
        <v>244</v>
      </c>
      <c r="MN7" s="660" t="s">
        <v>245</v>
      </c>
      <c r="MO7" s="660" t="s">
        <v>389</v>
      </c>
      <c r="MP7" s="660" t="s">
        <v>244</v>
      </c>
      <c r="MQ7" s="660" t="s">
        <v>245</v>
      </c>
    </row>
    <row r="8" spans="1:355" ht="15">
      <c r="B8" s="738"/>
      <c r="C8" s="883"/>
      <c r="D8" s="883"/>
      <c r="E8" s="883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7"/>
      <c r="AF8" s="797"/>
      <c r="AG8" s="797"/>
      <c r="AH8" s="797"/>
      <c r="AI8" s="797"/>
      <c r="AJ8" s="797"/>
      <c r="AK8" s="797"/>
      <c r="AL8" s="797"/>
      <c r="AM8" s="797"/>
      <c r="AN8" s="797"/>
      <c r="AO8" s="797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8"/>
      <c r="BG8" s="738"/>
      <c r="BH8" s="738"/>
      <c r="BI8" s="738"/>
      <c r="BJ8" s="738"/>
      <c r="BK8" s="738"/>
      <c r="BL8" s="738"/>
      <c r="BM8" s="738"/>
      <c r="BN8" s="738"/>
      <c r="BO8" s="738"/>
      <c r="BP8" s="738"/>
      <c r="BQ8" s="738"/>
      <c r="BR8" s="738"/>
      <c r="BS8" s="738"/>
      <c r="BT8" s="738"/>
      <c r="BU8" s="738"/>
      <c r="BV8" s="738"/>
      <c r="BW8" s="738"/>
      <c r="BX8" s="738"/>
      <c r="BY8" s="738"/>
      <c r="BZ8" s="738"/>
      <c r="CA8" s="738"/>
      <c r="CB8" s="738"/>
      <c r="CC8" s="738"/>
      <c r="CD8" s="738"/>
      <c r="CE8" s="738"/>
      <c r="CF8" s="738"/>
      <c r="CG8" s="738"/>
      <c r="CH8" s="738"/>
      <c r="CI8" s="738"/>
      <c r="CJ8" s="738"/>
      <c r="CK8" s="738"/>
      <c r="CL8" s="738"/>
      <c r="CM8" s="738"/>
      <c r="CN8" s="738"/>
      <c r="CO8" s="738"/>
      <c r="CP8" s="738"/>
      <c r="CQ8" s="738"/>
      <c r="CR8" s="738"/>
      <c r="CS8" s="738"/>
      <c r="CT8" s="738"/>
      <c r="CU8" s="738"/>
      <c r="CV8" s="738"/>
      <c r="CW8" s="738"/>
      <c r="CX8" s="738"/>
      <c r="CY8" s="738"/>
      <c r="CZ8" s="738"/>
      <c r="DA8" s="738"/>
      <c r="DB8" s="738"/>
      <c r="DC8" s="738"/>
      <c r="DD8" s="738"/>
      <c r="DE8" s="738"/>
      <c r="DF8" s="738"/>
      <c r="DG8" s="738"/>
      <c r="DH8" s="738"/>
      <c r="DI8" s="738"/>
      <c r="DJ8" s="738"/>
      <c r="DK8" s="738"/>
      <c r="DL8" s="738"/>
      <c r="DM8" s="738"/>
      <c r="DN8" s="738"/>
      <c r="DO8" s="738"/>
      <c r="DP8" s="738"/>
      <c r="DQ8" s="738"/>
      <c r="DR8" s="738"/>
      <c r="DS8" s="738"/>
      <c r="DT8" s="738"/>
      <c r="DU8" s="738"/>
      <c r="DV8" s="738"/>
      <c r="DW8" s="738"/>
      <c r="DX8" s="738"/>
      <c r="DY8" s="738"/>
      <c r="DZ8" s="738"/>
      <c r="EA8" s="738"/>
      <c r="EB8" s="738"/>
      <c r="EC8" s="738"/>
      <c r="ED8" s="738"/>
      <c r="EE8" s="738"/>
      <c r="EF8" s="738"/>
      <c r="EG8" s="738"/>
      <c r="EH8" s="738"/>
      <c r="EI8" s="738"/>
      <c r="EJ8" s="738"/>
      <c r="EK8" s="738"/>
      <c r="EL8" s="738"/>
      <c r="EM8" s="738"/>
      <c r="EN8" s="738"/>
      <c r="EO8" s="738"/>
      <c r="EP8" s="738"/>
      <c r="EQ8" s="738"/>
      <c r="ER8" s="738"/>
      <c r="ES8" s="738"/>
      <c r="ET8" s="738"/>
      <c r="EU8" s="738"/>
      <c r="EV8" s="738"/>
      <c r="EW8" s="738"/>
      <c r="EX8" s="738"/>
      <c r="EY8" s="738"/>
      <c r="EZ8" s="738"/>
      <c r="FA8" s="738"/>
      <c r="FB8" s="738"/>
      <c r="FC8" s="723"/>
      <c r="FD8" s="723"/>
      <c r="FE8" s="723"/>
      <c r="FF8" s="738"/>
      <c r="FG8" s="738"/>
      <c r="FH8" s="738"/>
      <c r="FI8" s="738"/>
      <c r="FJ8" s="738"/>
      <c r="FK8" s="738"/>
      <c r="FL8" s="738"/>
      <c r="FM8" s="738"/>
      <c r="FN8" s="738"/>
      <c r="FO8" s="738"/>
      <c r="FP8" s="738"/>
      <c r="FQ8" s="738"/>
      <c r="FR8" s="738"/>
      <c r="FS8" s="738"/>
      <c r="FT8" s="738"/>
      <c r="FU8" s="738"/>
      <c r="FV8" s="738"/>
      <c r="FW8" s="738"/>
      <c r="FX8" s="738"/>
      <c r="FY8" s="738"/>
      <c r="FZ8" s="738"/>
      <c r="GA8" s="738"/>
      <c r="GB8" s="738"/>
      <c r="GC8" s="738"/>
      <c r="GD8" s="738"/>
      <c r="GE8" s="738"/>
      <c r="GF8" s="738"/>
      <c r="GG8" s="738"/>
      <c r="GH8" s="738"/>
      <c r="GI8" s="738"/>
      <c r="GJ8" s="738"/>
      <c r="GK8" s="738"/>
      <c r="GL8" s="738"/>
      <c r="GM8" s="738"/>
      <c r="GN8" s="738"/>
      <c r="GO8" s="738"/>
      <c r="GP8" s="738"/>
      <c r="GQ8" s="738"/>
      <c r="GR8" s="738"/>
      <c r="GS8" s="738"/>
      <c r="GT8" s="738"/>
      <c r="GU8" s="738"/>
      <c r="GV8" s="738"/>
      <c r="GW8" s="738"/>
      <c r="GX8" s="738"/>
      <c r="GY8" s="738"/>
      <c r="GZ8" s="738"/>
      <c r="HA8" s="738"/>
      <c r="HB8" s="738"/>
      <c r="HC8" s="738"/>
      <c r="HD8" s="738"/>
      <c r="HE8" s="738"/>
      <c r="HF8" s="738"/>
      <c r="HG8" s="738"/>
      <c r="HH8" s="738"/>
      <c r="HI8" s="738"/>
      <c r="HJ8" s="738"/>
      <c r="HK8" s="738"/>
      <c r="HL8" s="738"/>
      <c r="HM8" s="738"/>
      <c r="HN8" s="738"/>
      <c r="HO8" s="738"/>
      <c r="HP8" s="738"/>
      <c r="HQ8" s="738"/>
      <c r="HR8" s="738"/>
      <c r="HS8" s="738"/>
      <c r="HT8" s="738"/>
      <c r="HU8" s="738"/>
      <c r="HV8" s="738"/>
      <c r="HW8" s="738"/>
      <c r="HX8" s="738"/>
      <c r="HY8" s="738"/>
      <c r="HZ8" s="738"/>
      <c r="IA8" s="738"/>
      <c r="IB8" s="738"/>
      <c r="IC8" s="738"/>
      <c r="ID8" s="738"/>
      <c r="IE8" s="738"/>
      <c r="IF8" s="738"/>
      <c r="IG8" s="738"/>
      <c r="IH8" s="738"/>
      <c r="II8" s="738"/>
      <c r="IJ8" s="739"/>
      <c r="IK8" s="739"/>
      <c r="IL8" s="739"/>
      <c r="IM8" s="739"/>
      <c r="IN8" s="739"/>
      <c r="IO8" s="739"/>
      <c r="IP8" s="739"/>
      <c r="IQ8" s="739"/>
      <c r="IR8" s="721"/>
      <c r="IS8" s="721"/>
      <c r="IT8" s="721"/>
      <c r="IU8" s="721"/>
      <c r="IV8" s="721"/>
      <c r="IW8" s="721"/>
      <c r="IX8" s="721"/>
      <c r="IY8" s="721"/>
      <c r="IZ8" s="721"/>
      <c r="JA8" s="721"/>
      <c r="JB8" s="721"/>
      <c r="JC8" s="721"/>
      <c r="JD8" s="721"/>
      <c r="JE8" s="721"/>
      <c r="JF8" s="721"/>
      <c r="JG8" s="721"/>
      <c r="JH8" s="721"/>
      <c r="JI8" s="721"/>
      <c r="JJ8" s="721"/>
      <c r="JK8" s="721"/>
      <c r="JL8" s="721"/>
      <c r="JM8" s="721"/>
      <c r="JN8" s="721"/>
      <c r="JO8" s="721"/>
      <c r="JP8" s="721"/>
      <c r="JQ8" s="721"/>
      <c r="JR8" s="721"/>
      <c r="JS8" s="721"/>
      <c r="JT8" s="721"/>
      <c r="JU8" s="721"/>
      <c r="JV8" s="721"/>
      <c r="JW8" s="721"/>
      <c r="JX8" s="721"/>
      <c r="JY8" s="721"/>
      <c r="JZ8" s="721"/>
      <c r="KA8" s="721"/>
      <c r="KB8" s="721"/>
      <c r="KC8" s="721"/>
      <c r="KD8" s="721"/>
      <c r="KE8" s="721"/>
      <c r="KF8" s="721"/>
      <c r="KG8" s="721"/>
      <c r="KH8" s="721"/>
      <c r="KI8" s="721"/>
      <c r="KJ8" s="721"/>
      <c r="KK8" s="721"/>
      <c r="KL8" s="721"/>
      <c r="KM8" s="721"/>
      <c r="KN8" s="721"/>
      <c r="KO8" s="721"/>
      <c r="KP8" s="721"/>
      <c r="KQ8" s="721"/>
      <c r="KR8" s="721"/>
      <c r="KS8" s="721"/>
      <c r="KT8" s="721"/>
      <c r="KU8" s="721"/>
      <c r="KV8" s="721"/>
      <c r="KW8" s="721"/>
      <c r="KX8" s="721"/>
      <c r="KY8" s="721"/>
      <c r="KZ8" s="721"/>
      <c r="LA8" s="721"/>
      <c r="LB8" s="721"/>
      <c r="LC8" s="721"/>
      <c r="LD8" s="721"/>
      <c r="LE8" s="721"/>
      <c r="LF8" s="721"/>
      <c r="LG8" s="721"/>
      <c r="LH8" s="721"/>
      <c r="LI8" s="721"/>
      <c r="LJ8" s="721"/>
      <c r="LK8" s="721"/>
      <c r="LL8" s="721"/>
      <c r="LM8" s="721"/>
      <c r="LN8" s="721"/>
      <c r="LO8" s="721"/>
      <c r="LP8" s="721"/>
      <c r="LQ8" s="721"/>
      <c r="LR8" s="721"/>
      <c r="LS8" s="721"/>
      <c r="LT8" s="721"/>
      <c r="LU8" s="721"/>
      <c r="LV8" s="721"/>
      <c r="LW8" s="721"/>
      <c r="LX8" s="721"/>
      <c r="LY8" s="721"/>
      <c r="LZ8" s="721"/>
      <c r="MA8" s="721"/>
      <c r="MB8" s="721"/>
      <c r="MC8" s="721"/>
      <c r="MD8" s="721"/>
      <c r="ME8" s="721"/>
      <c r="MF8" s="721"/>
      <c r="MG8" s="721"/>
      <c r="MH8" s="721"/>
      <c r="MI8" s="721"/>
      <c r="MJ8" s="721"/>
      <c r="MK8" s="721"/>
      <c r="ML8" s="721"/>
      <c r="MM8" s="721"/>
      <c r="MN8" s="721"/>
      <c r="MO8" s="721"/>
      <c r="MP8" s="721"/>
      <c r="MQ8" s="721"/>
    </row>
    <row r="9" spans="1:355">
      <c r="B9" s="737"/>
      <c r="U9" s="826"/>
      <c r="V9" s="826"/>
      <c r="W9" s="826"/>
      <c r="X9" s="826"/>
      <c r="Y9" s="826"/>
      <c r="Z9" s="826"/>
      <c r="AA9" s="788"/>
      <c r="AB9" s="788"/>
      <c r="AC9" s="788"/>
      <c r="AD9" s="826"/>
      <c r="AE9" s="826"/>
      <c r="AF9" s="826"/>
      <c r="AG9" s="826"/>
      <c r="AH9" s="826"/>
      <c r="AI9" s="826"/>
      <c r="AJ9" s="826"/>
      <c r="AK9" s="826"/>
      <c r="AL9" s="826"/>
      <c r="AM9" s="826"/>
      <c r="AN9" s="826"/>
      <c r="AO9" s="826"/>
      <c r="AP9" s="727"/>
      <c r="AQ9" s="727"/>
      <c r="AR9" s="727"/>
      <c r="AS9" s="727"/>
      <c r="AT9" s="727"/>
      <c r="AU9" s="727"/>
      <c r="AV9" s="727"/>
      <c r="AW9" s="727"/>
      <c r="AX9" s="727"/>
      <c r="AY9" s="727"/>
      <c r="AZ9" s="727"/>
      <c r="BA9" s="727"/>
      <c r="BB9" s="737"/>
      <c r="BC9" s="737"/>
      <c r="BD9" s="737"/>
      <c r="BE9" s="737"/>
      <c r="BF9" s="737"/>
      <c r="BG9" s="737"/>
      <c r="BH9" s="737"/>
      <c r="BI9" s="737"/>
      <c r="BJ9" s="737"/>
      <c r="BK9" s="737"/>
      <c r="BL9" s="737"/>
      <c r="BM9" s="737"/>
      <c r="BN9" s="727"/>
      <c r="BO9" s="727"/>
      <c r="BP9" s="727"/>
      <c r="BQ9" s="727"/>
      <c r="BR9" s="727"/>
      <c r="BS9" s="727"/>
      <c r="BT9" s="727"/>
      <c r="BU9" s="727"/>
      <c r="BV9" s="727"/>
      <c r="BW9" s="737"/>
      <c r="BX9" s="737"/>
      <c r="BY9" s="737"/>
      <c r="BZ9" s="727"/>
      <c r="CA9" s="727"/>
      <c r="CB9" s="727"/>
      <c r="CC9" s="727"/>
      <c r="CD9" s="727"/>
      <c r="CE9" s="727"/>
      <c r="CF9" s="727"/>
      <c r="CG9" s="727"/>
      <c r="CH9" s="727"/>
      <c r="CI9" s="737"/>
      <c r="CJ9" s="737"/>
      <c r="CK9" s="737"/>
      <c r="CL9" s="727"/>
      <c r="CM9" s="727"/>
      <c r="CN9" s="727"/>
      <c r="CO9" s="727"/>
      <c r="CP9" s="727"/>
      <c r="CQ9" s="727"/>
      <c r="CR9" s="727"/>
      <c r="CS9" s="727"/>
      <c r="CT9" s="727"/>
      <c r="CU9" s="737"/>
      <c r="CV9" s="737"/>
      <c r="CW9" s="737"/>
      <c r="CX9" s="727"/>
      <c r="CY9" s="727"/>
      <c r="CZ9" s="727"/>
      <c r="DA9" s="727"/>
      <c r="DB9" s="727"/>
      <c r="DC9" s="727"/>
      <c r="DD9" s="727"/>
      <c r="DE9" s="727"/>
      <c r="DF9" s="727"/>
      <c r="DG9" s="727"/>
      <c r="DH9" s="727"/>
      <c r="DI9" s="727"/>
      <c r="DJ9" s="727"/>
      <c r="DK9" s="727"/>
      <c r="DL9" s="727"/>
      <c r="DM9" s="727"/>
      <c r="DN9" s="727"/>
      <c r="DO9" s="727"/>
      <c r="DP9" s="727"/>
      <c r="DQ9" s="727"/>
      <c r="DR9" s="727"/>
      <c r="DS9" s="727"/>
      <c r="DT9" s="727"/>
      <c r="DU9" s="727"/>
      <c r="DV9" s="727"/>
      <c r="DW9" s="727"/>
      <c r="DX9" s="727"/>
      <c r="DY9" s="727"/>
      <c r="DZ9" s="727"/>
      <c r="EA9" s="727"/>
      <c r="EB9" s="727"/>
      <c r="EC9" s="727"/>
      <c r="ED9" s="727"/>
      <c r="EE9" s="727"/>
      <c r="EF9" s="727"/>
      <c r="EG9" s="727"/>
      <c r="EH9" s="737"/>
      <c r="EI9" s="737"/>
      <c r="EJ9" s="737"/>
      <c r="EK9" s="737"/>
      <c r="EL9" s="737"/>
      <c r="EM9" s="737"/>
      <c r="EN9" s="737"/>
      <c r="EO9" s="737"/>
      <c r="EP9" s="737"/>
      <c r="EQ9" s="727"/>
      <c r="ER9" s="727"/>
      <c r="ES9" s="727"/>
      <c r="ET9" s="727"/>
      <c r="EU9" s="727"/>
      <c r="EV9" s="727"/>
      <c r="EW9" s="737"/>
      <c r="EX9" s="737"/>
      <c r="EY9" s="737"/>
      <c r="EZ9" s="737"/>
      <c r="FA9" s="737"/>
      <c r="FB9" s="737"/>
      <c r="FC9" s="723"/>
      <c r="FD9" s="723"/>
      <c r="FE9" s="723"/>
      <c r="FF9" s="727"/>
      <c r="FG9" s="727"/>
      <c r="FH9" s="727"/>
      <c r="FI9" s="727"/>
      <c r="FJ9" s="727"/>
      <c r="FK9" s="727"/>
      <c r="FL9" s="727"/>
      <c r="FM9" s="727"/>
      <c r="FN9" s="727"/>
      <c r="FO9" s="727"/>
      <c r="FP9" s="727"/>
      <c r="FQ9" s="727"/>
      <c r="FR9" s="727"/>
      <c r="FS9" s="727"/>
      <c r="FT9" s="727"/>
      <c r="FU9" s="727"/>
      <c r="FV9" s="727"/>
      <c r="FW9" s="727"/>
      <c r="FX9" s="727"/>
      <c r="FY9" s="727"/>
      <c r="FZ9" s="727"/>
      <c r="GA9" s="727"/>
      <c r="GB9" s="727"/>
      <c r="GC9" s="727"/>
      <c r="GD9" s="727"/>
      <c r="GE9" s="727"/>
      <c r="GF9" s="727"/>
      <c r="GG9" s="727"/>
      <c r="GH9" s="727"/>
      <c r="GI9" s="727"/>
      <c r="GJ9" s="727"/>
      <c r="GK9" s="727"/>
      <c r="GL9" s="727"/>
      <c r="GM9" s="727"/>
      <c r="GN9" s="727"/>
      <c r="GO9" s="727"/>
      <c r="GP9" s="727"/>
      <c r="GQ9" s="727"/>
      <c r="GR9" s="727"/>
      <c r="GS9" s="727"/>
      <c r="GT9" s="727"/>
      <c r="GU9" s="727"/>
      <c r="GV9" s="727"/>
      <c r="GW9" s="727"/>
      <c r="GX9" s="727"/>
      <c r="GY9" s="727"/>
      <c r="GZ9" s="727"/>
      <c r="HA9" s="727"/>
      <c r="HB9" s="737"/>
      <c r="HC9" s="737"/>
      <c r="HD9" s="737"/>
      <c r="HE9" s="727"/>
      <c r="HF9" s="727"/>
      <c r="HG9" s="727"/>
      <c r="HH9" s="727"/>
      <c r="HI9" s="727"/>
      <c r="HJ9" s="727"/>
      <c r="HK9" s="727"/>
      <c r="HL9" s="727"/>
      <c r="HM9" s="727"/>
      <c r="HN9" s="737"/>
      <c r="HO9" s="737"/>
      <c r="HP9" s="737"/>
      <c r="HQ9" s="737"/>
      <c r="HR9" s="737"/>
      <c r="HS9" s="737"/>
      <c r="HT9" s="727"/>
      <c r="HU9" s="727"/>
      <c r="HV9" s="727"/>
      <c r="HW9" s="737"/>
      <c r="HX9" s="737"/>
      <c r="HY9" s="737"/>
      <c r="HZ9" s="727"/>
      <c r="IA9" s="727"/>
      <c r="IB9" s="727"/>
      <c r="IC9" s="737"/>
      <c r="ID9" s="737"/>
      <c r="IE9" s="737"/>
      <c r="IF9" s="727"/>
      <c r="IG9" s="727"/>
      <c r="IH9" s="727"/>
      <c r="II9" s="727"/>
      <c r="IJ9" s="722"/>
      <c r="IK9" s="722"/>
      <c r="IL9" s="722"/>
      <c r="IM9" s="722"/>
      <c r="IN9" s="722"/>
      <c r="IO9" s="722"/>
      <c r="IP9" s="722"/>
      <c r="IQ9" s="722"/>
      <c r="IR9" s="721"/>
      <c r="IS9" s="721"/>
      <c r="IT9" s="721"/>
      <c r="IU9" s="721"/>
      <c r="IV9" s="721"/>
      <c r="IW9" s="721"/>
      <c r="IX9" s="721"/>
      <c r="IY9" s="721"/>
      <c r="IZ9" s="721"/>
      <c r="JA9" s="721"/>
      <c r="JB9" s="721"/>
      <c r="JC9" s="721"/>
      <c r="JD9" s="721"/>
      <c r="JE9" s="721"/>
      <c r="JF9" s="721"/>
      <c r="JG9" s="721"/>
      <c r="JH9" s="721"/>
      <c r="JI9" s="721"/>
      <c r="JJ9" s="721"/>
      <c r="JK9" s="721"/>
      <c r="JL9" s="721"/>
      <c r="JM9" s="721"/>
      <c r="JN9" s="721"/>
      <c r="JO9" s="721"/>
      <c r="JP9" s="721"/>
      <c r="JQ9" s="721"/>
      <c r="JR9" s="721"/>
      <c r="JS9" s="721"/>
      <c r="JT9" s="721"/>
      <c r="JU9" s="721"/>
      <c r="JV9" s="721"/>
      <c r="JW9" s="721"/>
      <c r="JX9" s="721"/>
      <c r="JY9" s="721"/>
      <c r="JZ9" s="721"/>
      <c r="KA9" s="721"/>
      <c r="KB9" s="721"/>
      <c r="KC9" s="721"/>
      <c r="KD9" s="721"/>
      <c r="KE9" s="721"/>
      <c r="KF9" s="721"/>
      <c r="KG9" s="721"/>
      <c r="KH9" s="721"/>
      <c r="KI9" s="721"/>
      <c r="KJ9" s="721"/>
      <c r="KK9" s="721"/>
      <c r="KL9" s="721"/>
      <c r="KM9" s="721"/>
      <c r="KN9" s="721"/>
      <c r="KO9" s="721"/>
      <c r="KP9" s="721"/>
      <c r="KQ9" s="721"/>
      <c r="KR9" s="721"/>
      <c r="KS9" s="721"/>
      <c r="KT9" s="721"/>
      <c r="KU9" s="721"/>
      <c r="KV9" s="721"/>
      <c r="KW9" s="721"/>
      <c r="KX9" s="721"/>
      <c r="KY9" s="721"/>
      <c r="KZ9" s="721"/>
      <c r="LA9" s="721"/>
      <c r="LB9" s="721"/>
      <c r="LC9" s="721"/>
      <c r="LD9" s="721"/>
      <c r="LE9" s="721"/>
      <c r="LF9" s="721"/>
      <c r="LG9" s="721"/>
      <c r="LH9" s="721"/>
      <c r="LI9" s="721"/>
      <c r="LJ9" s="721"/>
      <c r="LK9" s="721"/>
      <c r="LL9" s="721"/>
      <c r="LM9" s="721"/>
      <c r="LN9" s="721"/>
      <c r="LO9" s="721"/>
      <c r="LP9" s="721"/>
      <c r="LQ9" s="721"/>
      <c r="LR9" s="721"/>
      <c r="LS9" s="721"/>
      <c r="LT9" s="721"/>
      <c r="LU9" s="721"/>
      <c r="LV9" s="721"/>
      <c r="LW9" s="721"/>
      <c r="LX9" s="721"/>
      <c r="LY9" s="721"/>
      <c r="LZ9" s="721"/>
      <c r="MA9" s="721"/>
      <c r="MB9" s="721"/>
      <c r="MC9" s="721"/>
      <c r="MD9" s="721"/>
      <c r="ME9" s="721"/>
      <c r="MF9" s="721"/>
      <c r="MG9" s="721"/>
      <c r="MH9" s="721"/>
      <c r="MI9" s="721"/>
      <c r="MJ9" s="721"/>
      <c r="MK9" s="721"/>
      <c r="ML9" s="721"/>
      <c r="MM9" s="721"/>
      <c r="MN9" s="721"/>
      <c r="MO9" s="721"/>
      <c r="MP9" s="721"/>
      <c r="MQ9" s="721"/>
    </row>
    <row r="10" spans="1:355">
      <c r="A10" s="633" t="s">
        <v>390</v>
      </c>
      <c r="B10" s="723" t="s">
        <v>249</v>
      </c>
      <c r="C10" s="886"/>
      <c r="D10" s="886"/>
      <c r="E10" s="886"/>
      <c r="F10" s="788"/>
      <c r="G10" s="788"/>
      <c r="H10" s="788"/>
      <c r="I10" s="788"/>
      <c r="J10" s="788"/>
      <c r="K10" s="788"/>
      <c r="L10" s="828"/>
      <c r="M10" s="829"/>
      <c r="N10" s="828"/>
      <c r="O10" s="828"/>
      <c r="P10" s="828"/>
      <c r="Q10" s="828"/>
      <c r="R10" s="828"/>
      <c r="S10" s="828"/>
      <c r="T10" s="828"/>
      <c r="U10" s="788"/>
      <c r="V10" s="827"/>
      <c r="W10" s="788"/>
      <c r="X10" s="788"/>
      <c r="Y10" s="788"/>
      <c r="Z10" s="788"/>
      <c r="AA10" s="788"/>
      <c r="AB10" s="788"/>
      <c r="AC10" s="788"/>
      <c r="AJ10" s="788"/>
      <c r="AK10" s="788"/>
      <c r="AL10" s="788"/>
      <c r="AM10" s="788"/>
      <c r="AN10" s="788"/>
      <c r="AO10" s="788"/>
      <c r="AV10" s="723"/>
      <c r="AW10" s="723"/>
      <c r="AX10" s="723"/>
      <c r="AY10" s="723"/>
      <c r="AZ10" s="723"/>
      <c r="BA10" s="723"/>
      <c r="BB10" s="723"/>
      <c r="BC10" s="723"/>
      <c r="BD10" s="723"/>
      <c r="BE10" s="723"/>
      <c r="BF10" s="723"/>
      <c r="BG10" s="723"/>
      <c r="BH10" s="723"/>
      <c r="BI10" s="723"/>
      <c r="BJ10" s="723"/>
      <c r="BK10" s="723"/>
      <c r="BL10" s="723"/>
      <c r="BM10" s="723"/>
      <c r="BN10" s="723"/>
      <c r="BO10" s="723"/>
      <c r="BP10" s="723"/>
      <c r="BQ10" s="723"/>
      <c r="BR10" s="723"/>
      <c r="BS10" s="723"/>
      <c r="BT10" s="723"/>
      <c r="BU10" s="723"/>
      <c r="BV10" s="723"/>
      <c r="BW10" s="728"/>
      <c r="BX10" s="728"/>
      <c r="BY10" s="728"/>
      <c r="BZ10" s="723"/>
      <c r="CA10" s="723"/>
      <c r="CB10" s="723"/>
      <c r="CC10" s="723"/>
      <c r="CD10" s="723"/>
      <c r="CE10" s="723"/>
      <c r="CF10" s="723"/>
      <c r="CG10" s="723"/>
      <c r="CH10" s="723"/>
      <c r="CI10" s="723"/>
      <c r="CJ10" s="723"/>
      <c r="CK10" s="723"/>
      <c r="CL10" s="723"/>
      <c r="CM10" s="723"/>
      <c r="CN10" s="723"/>
      <c r="CO10" s="723"/>
      <c r="CP10" s="723"/>
      <c r="CQ10" s="723"/>
      <c r="CR10" s="723"/>
      <c r="CS10" s="723"/>
      <c r="CT10" s="723"/>
      <c r="CU10" s="723"/>
      <c r="CV10" s="723"/>
      <c r="CW10" s="723"/>
      <c r="CX10" s="722"/>
      <c r="CY10" s="723"/>
      <c r="CZ10" s="723"/>
      <c r="DA10" s="723"/>
      <c r="DB10" s="723"/>
      <c r="DC10" s="740"/>
      <c r="DD10" s="723"/>
      <c r="DE10" s="723"/>
      <c r="DF10" s="723"/>
      <c r="DG10" s="723"/>
      <c r="DH10" s="723"/>
      <c r="DI10" s="723"/>
      <c r="DJ10" s="723">
        <v>169.77439100000001</v>
      </c>
      <c r="DK10" s="723">
        <v>24.24</v>
      </c>
      <c r="DL10" s="723">
        <v>0.15</v>
      </c>
      <c r="DM10" s="723">
        <v>169.68248199999999</v>
      </c>
      <c r="DN10" s="723">
        <v>24.52</v>
      </c>
      <c r="DO10" s="723">
        <v>0.15</v>
      </c>
      <c r="DP10" s="723">
        <v>169.65734800000001</v>
      </c>
      <c r="DQ10" s="723">
        <v>20.68</v>
      </c>
      <c r="DR10" s="723">
        <v>0.15</v>
      </c>
      <c r="DS10" s="723">
        <v>169.6</v>
      </c>
      <c r="DT10" s="725">
        <v>23</v>
      </c>
      <c r="DU10" s="723">
        <v>0.15</v>
      </c>
      <c r="DV10" s="723">
        <v>169.56526199999999</v>
      </c>
      <c r="DW10" s="723">
        <v>23.48</v>
      </c>
      <c r="DX10" s="723">
        <v>0.15</v>
      </c>
      <c r="DY10" s="723">
        <v>169.50591800000001</v>
      </c>
      <c r="DZ10" s="723">
        <v>26.52</v>
      </c>
      <c r="EA10" s="723">
        <v>0.15</v>
      </c>
      <c r="EB10" s="723">
        <v>169.4435</v>
      </c>
      <c r="EC10" s="723">
        <v>25.65</v>
      </c>
      <c r="ED10" s="723">
        <v>0.15</v>
      </c>
      <c r="EE10" s="723">
        <v>169.13300000000001</v>
      </c>
      <c r="EF10" s="723">
        <v>23.17</v>
      </c>
      <c r="EG10" s="723">
        <v>0.15</v>
      </c>
      <c r="EH10" s="723">
        <v>168.894148</v>
      </c>
      <c r="EI10" s="723">
        <v>33.86</v>
      </c>
      <c r="EJ10" s="723">
        <v>0.15</v>
      </c>
      <c r="EK10" s="723">
        <v>168.23614799999999</v>
      </c>
      <c r="EL10" s="723">
        <v>36.770000000000003</v>
      </c>
      <c r="EM10" s="723">
        <v>0.15</v>
      </c>
      <c r="EN10" s="723">
        <v>167.56007500000001</v>
      </c>
      <c r="EO10" s="723">
        <v>50.11</v>
      </c>
      <c r="EP10" s="723">
        <v>0.15</v>
      </c>
      <c r="EQ10" s="723">
        <v>166.02159700000001</v>
      </c>
      <c r="ER10" s="723">
        <v>50.5</v>
      </c>
      <c r="ES10" s="723">
        <v>0.15</v>
      </c>
      <c r="ET10" s="722">
        <v>166.101169</v>
      </c>
      <c r="EU10" s="722">
        <v>63.61</v>
      </c>
      <c r="EV10" s="722">
        <v>0.15</v>
      </c>
      <c r="EW10" s="723">
        <v>165.79401200000001</v>
      </c>
      <c r="EX10" s="723">
        <v>52.26</v>
      </c>
      <c r="EY10" s="723">
        <v>0</v>
      </c>
      <c r="EZ10" s="723">
        <v>165.49433200000001</v>
      </c>
      <c r="FA10" s="723">
        <v>51.74</v>
      </c>
      <c r="FB10" s="723">
        <v>0</v>
      </c>
      <c r="FC10" s="723">
        <v>164.18416500000001</v>
      </c>
      <c r="FD10" s="741">
        <v>49.14</v>
      </c>
      <c r="FE10" s="723">
        <v>0</v>
      </c>
      <c r="FF10" s="722">
        <v>164.81299999999999</v>
      </c>
      <c r="FG10" s="722">
        <v>45.91</v>
      </c>
      <c r="FH10" s="722">
        <v>0</v>
      </c>
      <c r="FI10" s="722">
        <v>163.52622099999999</v>
      </c>
      <c r="FJ10" s="722">
        <v>40.17</v>
      </c>
      <c r="FK10" s="722">
        <v>0</v>
      </c>
      <c r="FL10" s="722">
        <v>163.08031199999999</v>
      </c>
      <c r="FM10" s="722">
        <v>37.07</v>
      </c>
      <c r="FN10" s="722">
        <v>0</v>
      </c>
      <c r="FO10" s="722">
        <v>162.84200000000001</v>
      </c>
      <c r="FP10" s="722">
        <v>33.85</v>
      </c>
      <c r="FQ10" s="722">
        <v>0</v>
      </c>
      <c r="FR10" s="722">
        <v>162.71100000000001</v>
      </c>
      <c r="FS10" s="742">
        <v>31.65</v>
      </c>
      <c r="FT10" s="743">
        <v>0</v>
      </c>
      <c r="FU10" s="722">
        <v>156.73074399999999</v>
      </c>
      <c r="FV10" s="722">
        <v>30.72</v>
      </c>
      <c r="FW10" s="722">
        <v>0</v>
      </c>
      <c r="FX10" s="722">
        <v>137.41796400000001</v>
      </c>
      <c r="FY10" s="722">
        <v>25.22</v>
      </c>
      <c r="FZ10" s="722">
        <v>0</v>
      </c>
      <c r="GA10" s="723">
        <v>127.117439</v>
      </c>
      <c r="GB10" s="723">
        <v>20.66</v>
      </c>
      <c r="GC10" s="722">
        <v>0</v>
      </c>
      <c r="GD10" s="744">
        <v>127.117439</v>
      </c>
      <c r="GE10" s="741">
        <v>19.71</v>
      </c>
      <c r="GF10" s="745">
        <v>0</v>
      </c>
      <c r="GG10" s="744">
        <v>126.971447</v>
      </c>
      <c r="GH10" s="723">
        <v>15.96</v>
      </c>
      <c r="GI10" s="722">
        <v>0</v>
      </c>
      <c r="GJ10" s="722">
        <v>126.969238</v>
      </c>
      <c r="GK10" s="722">
        <v>15.41</v>
      </c>
      <c r="GL10" s="722">
        <v>0</v>
      </c>
      <c r="GM10" s="723">
        <v>126.968238</v>
      </c>
      <c r="GN10" s="723">
        <v>13.71</v>
      </c>
      <c r="GO10" s="723">
        <v>0</v>
      </c>
      <c r="GP10" s="740">
        <v>125.5</v>
      </c>
      <c r="GQ10" s="723">
        <v>12.76</v>
      </c>
      <c r="GR10" s="723">
        <v>0</v>
      </c>
      <c r="GS10" s="740">
        <v>125.5</v>
      </c>
      <c r="GT10" s="723">
        <v>9.14</v>
      </c>
      <c r="GU10" s="723">
        <v>0</v>
      </c>
      <c r="GV10" s="723">
        <v>125.5</v>
      </c>
      <c r="GW10" s="723">
        <v>8.4499999999999993</v>
      </c>
      <c r="GX10" s="723">
        <v>0</v>
      </c>
      <c r="GY10" s="723">
        <v>125.5</v>
      </c>
      <c r="GZ10" s="723">
        <v>6.21</v>
      </c>
      <c r="HA10" s="723">
        <v>0</v>
      </c>
      <c r="HB10" s="727">
        <v>125.43652</v>
      </c>
      <c r="HC10" s="722">
        <v>7.56</v>
      </c>
      <c r="HD10" s="722">
        <v>0</v>
      </c>
      <c r="HE10" s="727">
        <v>125.43652</v>
      </c>
      <c r="HF10" s="727">
        <v>13.1</v>
      </c>
      <c r="HG10" s="727">
        <v>0.43</v>
      </c>
      <c r="HH10" s="727">
        <v>125.248884</v>
      </c>
      <c r="HI10" s="727">
        <v>25.75</v>
      </c>
      <c r="HJ10" s="727">
        <v>0.43</v>
      </c>
      <c r="HK10" s="727">
        <v>125.059</v>
      </c>
      <c r="HL10" s="727">
        <v>41.35</v>
      </c>
      <c r="HM10" s="727">
        <v>0.43</v>
      </c>
      <c r="HN10" s="727">
        <v>124.867</v>
      </c>
      <c r="HO10" s="727">
        <v>36.22</v>
      </c>
      <c r="HP10" s="727">
        <v>0.43</v>
      </c>
      <c r="HQ10" s="727">
        <v>119.842</v>
      </c>
      <c r="HR10" s="727">
        <v>36.700000000000003</v>
      </c>
      <c r="HS10" s="727">
        <v>0.43</v>
      </c>
      <c r="HT10" s="727">
        <v>110.43600000000001</v>
      </c>
      <c r="HU10" s="727">
        <v>48.25</v>
      </c>
      <c r="HV10" s="727">
        <v>0.43</v>
      </c>
      <c r="HW10" s="727">
        <v>110.43600000000001</v>
      </c>
      <c r="HX10" s="727">
        <v>46.26</v>
      </c>
      <c r="HY10" s="727">
        <v>0.43</v>
      </c>
      <c r="HZ10" s="727">
        <v>110.43600000000001</v>
      </c>
      <c r="IA10" s="727">
        <v>48.1875</v>
      </c>
      <c r="IB10" s="727">
        <v>0.43</v>
      </c>
      <c r="IC10" s="727">
        <v>110.43600000000001</v>
      </c>
      <c r="ID10" s="727">
        <v>38</v>
      </c>
      <c r="IE10" s="727">
        <v>0.43</v>
      </c>
      <c r="IF10" s="727">
        <v>110.43600000000001</v>
      </c>
      <c r="IG10" s="727">
        <v>27.5625</v>
      </c>
      <c r="IH10" s="727">
        <v>0.43</v>
      </c>
      <c r="II10" s="727">
        <v>110.43600000000001</v>
      </c>
      <c r="IJ10" s="722">
        <v>27.75</v>
      </c>
      <c r="IK10" s="722">
        <v>0.43</v>
      </c>
      <c r="IL10" s="722">
        <v>114.12</v>
      </c>
      <c r="IM10" s="727">
        <v>26.9375</v>
      </c>
      <c r="IN10" s="722">
        <v>0.43</v>
      </c>
      <c r="IO10" s="722">
        <v>118.152</v>
      </c>
      <c r="IP10" s="727">
        <v>31.875</v>
      </c>
      <c r="IQ10" s="722">
        <v>0.43</v>
      </c>
      <c r="IR10" s="721">
        <v>122.44</v>
      </c>
      <c r="IS10" s="721">
        <v>32.0625</v>
      </c>
      <c r="IT10" s="721">
        <v>0.43</v>
      </c>
      <c r="IU10" s="721">
        <v>122.43</v>
      </c>
      <c r="IV10" s="721">
        <v>29.5</v>
      </c>
      <c r="IW10" s="721">
        <v>0.43</v>
      </c>
      <c r="IX10" s="721">
        <v>122.43</v>
      </c>
      <c r="IY10" s="721">
        <v>34.5</v>
      </c>
      <c r="IZ10" s="721">
        <v>0.43</v>
      </c>
      <c r="JA10" s="721">
        <v>122.43</v>
      </c>
      <c r="JB10" s="721">
        <v>31.562999999999999</v>
      </c>
      <c r="JC10" s="721">
        <v>0.43</v>
      </c>
      <c r="JD10" s="721">
        <v>122.43</v>
      </c>
      <c r="JE10" s="721">
        <v>30.125</v>
      </c>
      <c r="JF10" s="721">
        <v>0.43</v>
      </c>
      <c r="JG10" s="721">
        <v>122.43</v>
      </c>
      <c r="JH10" s="721">
        <v>33.5625</v>
      </c>
      <c r="JI10" s="721">
        <v>0.43</v>
      </c>
      <c r="JJ10" s="721">
        <v>122.43</v>
      </c>
      <c r="JK10" s="721">
        <v>32.5</v>
      </c>
      <c r="JL10" s="721">
        <v>0.43</v>
      </c>
      <c r="JM10" s="721">
        <v>121.283</v>
      </c>
      <c r="JN10" s="721">
        <v>30.25</v>
      </c>
      <c r="JO10" s="721">
        <v>0.43</v>
      </c>
      <c r="JP10" s="721">
        <v>121.283</v>
      </c>
      <c r="JQ10" s="721">
        <v>26.6875</v>
      </c>
      <c r="JR10" s="721">
        <v>0.43</v>
      </c>
      <c r="JS10" s="721">
        <v>121.283</v>
      </c>
      <c r="JT10" s="721">
        <v>29.625</v>
      </c>
      <c r="JU10" s="721">
        <v>0.43</v>
      </c>
      <c r="JV10" s="721">
        <v>121.283</v>
      </c>
      <c r="JW10" s="721">
        <v>30.375</v>
      </c>
      <c r="JX10" s="721">
        <v>0.44</v>
      </c>
      <c r="JY10" s="721">
        <v>120.05500000000001</v>
      </c>
      <c r="JZ10" s="721">
        <v>29</v>
      </c>
      <c r="KA10" s="721">
        <v>0.42</v>
      </c>
      <c r="KB10" s="721">
        <v>120.05500000000001</v>
      </c>
      <c r="KC10" s="721">
        <v>30.875</v>
      </c>
      <c r="KD10" s="721">
        <v>0.42</v>
      </c>
      <c r="KE10" s="721">
        <v>120.05500000000001</v>
      </c>
      <c r="KF10" s="721">
        <v>30.375</v>
      </c>
      <c r="KG10" s="721">
        <v>0.42</v>
      </c>
      <c r="KH10" s="721">
        <v>120.05500000000001</v>
      </c>
      <c r="KI10" s="721">
        <v>28.625</v>
      </c>
      <c r="KJ10" s="721">
        <v>0.42</v>
      </c>
      <c r="KK10" s="721">
        <v>119.297</v>
      </c>
      <c r="KL10" s="721">
        <v>25.5</v>
      </c>
      <c r="KM10" s="721">
        <v>0.41</v>
      </c>
      <c r="KN10" s="721">
        <v>119.297</v>
      </c>
      <c r="KO10" s="721">
        <v>23.5</v>
      </c>
      <c r="KP10" s="721">
        <v>0.41</v>
      </c>
      <c r="KQ10" s="721">
        <v>119.297</v>
      </c>
      <c r="KR10" s="721">
        <v>22.625</v>
      </c>
      <c r="KS10" s="721">
        <v>0.41</v>
      </c>
      <c r="KT10" s="721">
        <v>117.786</v>
      </c>
      <c r="KU10" s="721">
        <v>21.75</v>
      </c>
      <c r="KV10" s="721">
        <v>0.41</v>
      </c>
      <c r="KW10" s="721">
        <v>117.786</v>
      </c>
      <c r="KX10" s="721">
        <v>20.125</v>
      </c>
      <c r="KY10" s="721">
        <v>0.41</v>
      </c>
      <c r="KZ10" s="721">
        <v>116.809</v>
      </c>
      <c r="LA10" s="721">
        <v>21</v>
      </c>
      <c r="LB10" s="721">
        <v>0.41</v>
      </c>
      <c r="LC10" s="721">
        <v>114.58799999999999</v>
      </c>
      <c r="LD10" s="721">
        <v>22.75</v>
      </c>
      <c r="LE10" s="721">
        <v>0.41</v>
      </c>
      <c r="LF10" s="721">
        <v>114.58799999999999</v>
      </c>
      <c r="LG10" s="721">
        <v>26.5</v>
      </c>
      <c r="LH10" s="721">
        <v>0.41</v>
      </c>
      <c r="LI10" s="721">
        <v>114.58799999999999</v>
      </c>
      <c r="LJ10" s="721">
        <v>27.875</v>
      </c>
      <c r="LK10" s="721">
        <v>0.41</v>
      </c>
      <c r="LL10" s="721">
        <v>114.256</v>
      </c>
      <c r="LM10" s="721">
        <v>26.5625</v>
      </c>
      <c r="LN10" s="721">
        <v>0.40500000000000003</v>
      </c>
      <c r="LO10" s="721">
        <v>113.902</v>
      </c>
      <c r="LP10" s="721">
        <v>25.5625</v>
      </c>
      <c r="LQ10" s="721">
        <v>0.40500000000000003</v>
      </c>
      <c r="LR10" s="721">
        <v>110.452</v>
      </c>
      <c r="LS10" s="721">
        <v>23.38</v>
      </c>
      <c r="LT10" s="721">
        <v>0.41</v>
      </c>
      <c r="LU10" s="721">
        <v>110.452</v>
      </c>
      <c r="LV10" s="721">
        <v>23.5</v>
      </c>
      <c r="LW10" s="721">
        <v>0.4</v>
      </c>
      <c r="LX10" s="721">
        <v>109.08</v>
      </c>
      <c r="LY10" s="721">
        <v>22</v>
      </c>
      <c r="LZ10" s="721">
        <v>0.4</v>
      </c>
      <c r="MA10" s="721">
        <v>108.456</v>
      </c>
      <c r="MB10" s="721">
        <v>20.88</v>
      </c>
      <c r="MC10" s="721">
        <v>0.4</v>
      </c>
      <c r="MD10" s="721">
        <v>107.548</v>
      </c>
      <c r="ME10" s="721">
        <v>22.25</v>
      </c>
      <c r="MF10" s="721">
        <v>0.4</v>
      </c>
      <c r="MG10" s="721">
        <v>107.366</v>
      </c>
      <c r="MH10" s="721">
        <v>21.81</v>
      </c>
      <c r="MI10" s="721">
        <v>0.39500000000000002</v>
      </c>
      <c r="MJ10" s="721">
        <v>107.18</v>
      </c>
      <c r="MK10" s="721">
        <v>19.309999999999999</v>
      </c>
      <c r="ML10" s="721">
        <v>0.39500000000000002</v>
      </c>
      <c r="MM10" s="721">
        <v>106.996</v>
      </c>
      <c r="MN10" s="721">
        <v>19.625</v>
      </c>
      <c r="MO10" s="721">
        <v>0.39500000000000002</v>
      </c>
      <c r="MP10" s="721">
        <v>106.102</v>
      </c>
      <c r="MQ10" s="721">
        <v>18.440000000000001</v>
      </c>
    </row>
    <row r="11" spans="1:355">
      <c r="A11" s="633" t="s">
        <v>18</v>
      </c>
      <c r="B11" s="726" t="s">
        <v>120</v>
      </c>
      <c r="C11" s="885">
        <v>493.694345</v>
      </c>
      <c r="D11" s="885">
        <v>79.98</v>
      </c>
      <c r="E11" s="885">
        <v>0.7</v>
      </c>
      <c r="F11" s="828">
        <v>493.83903400000003</v>
      </c>
      <c r="G11" s="828">
        <v>94.51</v>
      </c>
      <c r="H11" s="828">
        <v>0.7</v>
      </c>
      <c r="I11" s="828">
        <v>493.58434699999998</v>
      </c>
      <c r="J11" s="828">
        <v>93.69</v>
      </c>
      <c r="K11" s="828">
        <v>0.67</v>
      </c>
      <c r="L11" s="828">
        <v>493.309076</v>
      </c>
      <c r="M11" s="829">
        <v>88.01</v>
      </c>
      <c r="N11" s="828">
        <v>0.67</v>
      </c>
      <c r="O11" s="828">
        <v>492.77460000000002</v>
      </c>
      <c r="P11" s="828">
        <v>83.75</v>
      </c>
      <c r="Q11" s="828">
        <v>0.67</v>
      </c>
      <c r="R11" s="828">
        <v>492.98474099999999</v>
      </c>
      <c r="S11" s="828">
        <v>74.739999999999995</v>
      </c>
      <c r="T11" s="839">
        <v>0.67</v>
      </c>
      <c r="U11" s="828">
        <v>492.68834199999998</v>
      </c>
      <c r="V11" s="829">
        <v>70.88</v>
      </c>
      <c r="W11" s="828">
        <v>0.62</v>
      </c>
      <c r="X11" s="832">
        <v>492.267402</v>
      </c>
      <c r="Y11" s="788">
        <v>69.25</v>
      </c>
      <c r="Z11" s="788">
        <v>0.62</v>
      </c>
      <c r="AA11" s="788">
        <v>491.91367500000001</v>
      </c>
      <c r="AB11" s="788">
        <v>68.59</v>
      </c>
      <c r="AC11" s="788">
        <v>0.62</v>
      </c>
      <c r="AD11" s="788">
        <v>491.84072200000003</v>
      </c>
      <c r="AE11" s="788">
        <v>73.569999999999993</v>
      </c>
      <c r="AF11" s="801">
        <v>0.62</v>
      </c>
      <c r="AG11" s="788">
        <v>491.790752</v>
      </c>
      <c r="AH11" s="788">
        <v>70.239999999999995</v>
      </c>
      <c r="AI11" s="788">
        <v>0.59</v>
      </c>
      <c r="AJ11" s="788">
        <v>491.712042</v>
      </c>
      <c r="AK11" s="788">
        <v>69.47</v>
      </c>
      <c r="AL11" s="788">
        <v>0.59</v>
      </c>
      <c r="AM11" s="828">
        <v>491.49545799999999</v>
      </c>
      <c r="AN11" s="828">
        <v>67.13</v>
      </c>
      <c r="AO11" s="828">
        <v>0.59</v>
      </c>
      <c r="AP11" s="788">
        <v>491.69780900000001</v>
      </c>
      <c r="AQ11" s="788">
        <v>62.96</v>
      </c>
      <c r="AR11" s="795">
        <v>0.59</v>
      </c>
      <c r="AS11" s="727">
        <v>491.459541</v>
      </c>
      <c r="AT11" s="727">
        <v>64.209999999999994</v>
      </c>
      <c r="AU11" s="727">
        <v>0.56000000000000005</v>
      </c>
      <c r="AV11" s="727">
        <v>491.10839199999998</v>
      </c>
      <c r="AW11" s="727">
        <v>70.09</v>
      </c>
      <c r="AX11" s="727">
        <v>0.56000000000000005</v>
      </c>
      <c r="AY11" s="727">
        <v>490.34052200000002</v>
      </c>
      <c r="AZ11" s="727">
        <v>66.400000000000006</v>
      </c>
      <c r="BA11" s="727">
        <v>0.56000000000000005</v>
      </c>
      <c r="BB11" s="727">
        <v>490.64892900000001</v>
      </c>
      <c r="BC11" s="727">
        <v>58.27</v>
      </c>
      <c r="BD11" s="727">
        <v>0.56000000000000005</v>
      </c>
      <c r="BE11" s="727">
        <v>490.20748200000003</v>
      </c>
      <c r="BF11" s="727">
        <v>56.86</v>
      </c>
      <c r="BG11" s="727">
        <v>0.53</v>
      </c>
      <c r="BH11" s="727">
        <v>489.59798599999999</v>
      </c>
      <c r="BI11" s="727">
        <v>52.97</v>
      </c>
      <c r="BJ11" s="727">
        <v>0.53</v>
      </c>
      <c r="BK11" s="726">
        <v>489.28893699999998</v>
      </c>
      <c r="BL11" s="726">
        <v>56.25</v>
      </c>
      <c r="BM11" s="726">
        <v>0.53</v>
      </c>
      <c r="BN11" s="727">
        <v>488.912892</v>
      </c>
      <c r="BO11" s="727">
        <v>60.72</v>
      </c>
      <c r="BP11" s="746">
        <v>0.53</v>
      </c>
      <c r="BQ11" s="727">
        <v>488.29157600000002</v>
      </c>
      <c r="BR11" s="727">
        <v>52.21</v>
      </c>
      <c r="BS11" s="727">
        <v>0.5</v>
      </c>
      <c r="BT11" s="727">
        <v>487.86708900000002</v>
      </c>
      <c r="BU11" s="727">
        <v>55.77</v>
      </c>
      <c r="BV11" s="727">
        <v>0.5</v>
      </c>
      <c r="BW11" s="726">
        <v>486.61955499999999</v>
      </c>
      <c r="BX11" s="726">
        <v>50.66</v>
      </c>
      <c r="BY11" s="726">
        <v>0.5</v>
      </c>
      <c r="BZ11" s="727">
        <v>486.93274700000001</v>
      </c>
      <c r="CA11" s="727">
        <v>46.74</v>
      </c>
      <c r="CB11" s="746">
        <v>0.5</v>
      </c>
      <c r="CC11" s="727">
        <v>486.293026</v>
      </c>
      <c r="CD11" s="727">
        <v>43.35</v>
      </c>
      <c r="CE11" s="727">
        <v>0.49</v>
      </c>
      <c r="CF11" s="727">
        <v>485.823668</v>
      </c>
      <c r="CG11" s="727">
        <v>44.78</v>
      </c>
      <c r="CH11" s="746">
        <v>0.49</v>
      </c>
      <c r="CI11" s="726">
        <v>484.68246900000003</v>
      </c>
      <c r="CJ11" s="726">
        <v>48.63</v>
      </c>
      <c r="CK11" s="726">
        <v>0.47</v>
      </c>
      <c r="CL11" s="727">
        <v>484.97954299999998</v>
      </c>
      <c r="CM11" s="727">
        <v>42.68</v>
      </c>
      <c r="CN11" s="727">
        <v>0.47</v>
      </c>
      <c r="CO11" s="727">
        <v>484.50002899999998</v>
      </c>
      <c r="CP11" s="727">
        <v>43.94</v>
      </c>
      <c r="CQ11" s="727">
        <v>0.47</v>
      </c>
      <c r="CR11" s="727">
        <v>483.828101</v>
      </c>
      <c r="CS11" s="727">
        <v>39.9</v>
      </c>
      <c r="CT11" s="727">
        <v>0.47</v>
      </c>
      <c r="CU11" s="726">
        <v>482.16928200000001</v>
      </c>
      <c r="CV11" s="726">
        <v>38.58</v>
      </c>
      <c r="CW11" s="726">
        <v>0.47</v>
      </c>
      <c r="CX11" s="727">
        <v>482.49873400000001</v>
      </c>
      <c r="CY11" s="727">
        <v>41.31</v>
      </c>
      <c r="CZ11" s="727">
        <v>0.47</v>
      </c>
      <c r="DA11" s="727">
        <v>481.928494</v>
      </c>
      <c r="DB11" s="727">
        <v>38.020000000000003</v>
      </c>
      <c r="DC11" s="727">
        <v>0.46</v>
      </c>
      <c r="DD11" s="727">
        <v>481.14427000000001</v>
      </c>
      <c r="DE11" s="727">
        <v>37.68</v>
      </c>
      <c r="DF11" s="727">
        <v>0.46</v>
      </c>
      <c r="DG11" s="727">
        <v>480.42215399999998</v>
      </c>
      <c r="DH11" s="727">
        <v>35.14</v>
      </c>
      <c r="DI11" s="727">
        <v>0.46</v>
      </c>
      <c r="DJ11" s="727">
        <v>479.57813900000002</v>
      </c>
      <c r="DK11" s="727">
        <v>35.979999999999997</v>
      </c>
      <c r="DL11" s="747">
        <v>0.46</v>
      </c>
      <c r="DM11" s="727">
        <v>479.05077399999999</v>
      </c>
      <c r="DN11" s="727">
        <v>36.229999999999997</v>
      </c>
      <c r="DO11" s="727">
        <v>0.42</v>
      </c>
      <c r="DP11" s="727">
        <v>478.42953499999999</v>
      </c>
      <c r="DQ11" s="727">
        <v>32.299999999999997</v>
      </c>
      <c r="DR11" s="727">
        <v>0.42</v>
      </c>
      <c r="DS11" s="727">
        <v>477.94477899999998</v>
      </c>
      <c r="DT11" s="748">
        <v>34.18</v>
      </c>
      <c r="DU11" s="727">
        <v>0.41</v>
      </c>
      <c r="DV11" s="727">
        <v>476.94814300000002</v>
      </c>
      <c r="DW11" s="727">
        <v>34.79</v>
      </c>
      <c r="DX11" s="727">
        <v>0.41</v>
      </c>
      <c r="DY11" s="727">
        <v>472.22004099999998</v>
      </c>
      <c r="DZ11" s="727">
        <v>30.99</v>
      </c>
      <c r="EA11" s="727">
        <v>0.41</v>
      </c>
      <c r="EB11" s="727">
        <v>406.82659999999998</v>
      </c>
      <c r="EC11" s="727">
        <v>28.89</v>
      </c>
      <c r="ED11" s="727">
        <v>0.41</v>
      </c>
      <c r="EE11" s="727">
        <v>403.73</v>
      </c>
      <c r="EF11" s="727">
        <v>25.26</v>
      </c>
      <c r="EG11" s="727">
        <v>0.41</v>
      </c>
      <c r="EH11" s="727">
        <v>402.28677900000002</v>
      </c>
      <c r="EI11" s="727">
        <v>33.28</v>
      </c>
      <c r="EJ11" s="727">
        <v>0.41</v>
      </c>
      <c r="EK11" s="727">
        <v>401.513958</v>
      </c>
      <c r="EL11" s="727">
        <v>37.03</v>
      </c>
      <c r="EM11" s="727">
        <v>0.41</v>
      </c>
      <c r="EN11" s="727">
        <v>400.79799300000002</v>
      </c>
      <c r="EO11" s="727">
        <v>40.229999999999997</v>
      </c>
      <c r="EP11" s="727">
        <v>0.41</v>
      </c>
      <c r="EQ11" s="727">
        <v>398.78474499999999</v>
      </c>
      <c r="ER11" s="727">
        <v>41.63</v>
      </c>
      <c r="ES11" s="727">
        <v>0.41</v>
      </c>
      <c r="ET11" s="727">
        <v>399.22256900000002</v>
      </c>
      <c r="EU11" s="727">
        <v>46.56</v>
      </c>
      <c r="EV11" s="727">
        <v>0.41</v>
      </c>
      <c r="EW11" s="727">
        <v>398.67924199999999</v>
      </c>
      <c r="EX11" s="727">
        <v>46.08</v>
      </c>
      <c r="EY11" s="727">
        <v>0.39</v>
      </c>
      <c r="EZ11" s="727">
        <v>397.31464199999999</v>
      </c>
      <c r="FA11" s="727">
        <v>45.04</v>
      </c>
      <c r="FB11" s="727">
        <v>0.39</v>
      </c>
      <c r="FC11" s="723">
        <v>394.21952299999998</v>
      </c>
      <c r="FD11" s="741">
        <v>48.75</v>
      </c>
      <c r="FE11" s="723">
        <v>0.39</v>
      </c>
      <c r="FF11" s="727">
        <v>393.9</v>
      </c>
      <c r="FG11" s="727">
        <v>42.58</v>
      </c>
      <c r="FH11" s="749">
        <v>0.39</v>
      </c>
      <c r="FI11" s="727">
        <v>393.7</v>
      </c>
      <c r="FJ11" s="727">
        <v>36.369999999999997</v>
      </c>
      <c r="FK11" s="727">
        <v>0.37</v>
      </c>
      <c r="FL11" s="727">
        <v>394</v>
      </c>
      <c r="FM11" s="727">
        <v>34.25</v>
      </c>
      <c r="FN11" s="727">
        <v>0.37</v>
      </c>
      <c r="FO11" s="727">
        <v>394</v>
      </c>
      <c r="FP11" s="727">
        <v>34.020000000000003</v>
      </c>
      <c r="FQ11" s="727">
        <v>0.37</v>
      </c>
      <c r="FR11" s="727">
        <v>389</v>
      </c>
      <c r="FS11" s="742">
        <v>37.090000000000003</v>
      </c>
      <c r="FT11" s="626">
        <f>1.48/4</f>
        <v>0.37</v>
      </c>
      <c r="FU11" s="727">
        <v>384</v>
      </c>
      <c r="FV11" s="727">
        <v>39.700000000000003</v>
      </c>
      <c r="FW11" s="727">
        <v>0.35</v>
      </c>
      <c r="FX11" s="727">
        <v>393</v>
      </c>
      <c r="FY11" s="727">
        <v>36.869999999999997</v>
      </c>
      <c r="FZ11" s="727">
        <v>0.35</v>
      </c>
      <c r="GA11" s="727">
        <v>396</v>
      </c>
      <c r="GB11" s="727">
        <v>34.06</v>
      </c>
      <c r="GC11" s="727">
        <v>0.35</v>
      </c>
      <c r="GD11" s="750">
        <v>396</v>
      </c>
      <c r="GE11" s="741">
        <v>34.340000000000003</v>
      </c>
      <c r="GF11" s="751">
        <v>0.35</v>
      </c>
      <c r="GG11" s="750">
        <v>396</v>
      </c>
      <c r="GH11" s="727">
        <v>31.96</v>
      </c>
      <c r="GI11" s="727">
        <v>0.35</v>
      </c>
      <c r="GJ11" s="727">
        <v>395</v>
      </c>
      <c r="GK11" s="727">
        <v>32</v>
      </c>
      <c r="GL11" s="727">
        <v>0.35</v>
      </c>
      <c r="GM11" s="727">
        <v>385</v>
      </c>
      <c r="GN11" s="727">
        <v>32.92</v>
      </c>
      <c r="GO11" s="727">
        <v>0.35</v>
      </c>
      <c r="GP11" s="727">
        <v>395</v>
      </c>
      <c r="GQ11" s="727">
        <v>30.51</v>
      </c>
      <c r="GR11" s="727">
        <v>0.35</v>
      </c>
      <c r="GS11" s="727">
        <v>395</v>
      </c>
      <c r="GT11" s="727">
        <v>30</v>
      </c>
      <c r="GU11" s="727">
        <v>0.35</v>
      </c>
      <c r="GV11" s="727">
        <v>356</v>
      </c>
      <c r="GW11" s="727">
        <v>29.83</v>
      </c>
      <c r="GX11" s="727">
        <v>0.35</v>
      </c>
      <c r="GY11" s="727">
        <v>338.8</v>
      </c>
      <c r="GZ11" s="727">
        <v>22.85</v>
      </c>
      <c r="HA11" s="727">
        <v>0.6</v>
      </c>
      <c r="HB11" s="727">
        <v>339</v>
      </c>
      <c r="HC11" s="727">
        <v>27.33</v>
      </c>
      <c r="HD11" s="727">
        <v>0.6</v>
      </c>
      <c r="HE11" s="727">
        <v>326</v>
      </c>
      <c r="HF11" s="727">
        <v>28.51</v>
      </c>
      <c r="HG11" s="727">
        <v>0.6</v>
      </c>
      <c r="HH11" s="727">
        <v>322</v>
      </c>
      <c r="HI11" s="727">
        <v>40.020000000000003</v>
      </c>
      <c r="HJ11" s="727">
        <v>0.6</v>
      </c>
      <c r="HK11" s="727">
        <v>322.2</v>
      </c>
      <c r="HL11" s="727">
        <v>46.09</v>
      </c>
      <c r="HM11" s="727">
        <v>0.6</v>
      </c>
      <c r="HN11" s="727">
        <v>322</v>
      </c>
      <c r="HO11" s="727">
        <v>43.53</v>
      </c>
      <c r="HP11" s="727">
        <v>0.6</v>
      </c>
      <c r="HQ11" s="727">
        <v>322</v>
      </c>
      <c r="HR11" s="727">
        <v>43.23</v>
      </c>
      <c r="HS11" s="727">
        <v>0.6</v>
      </c>
      <c r="HT11" s="727">
        <v>322</v>
      </c>
      <c r="HU11" s="727">
        <v>46.17</v>
      </c>
      <c r="HV11" s="727">
        <v>0.6</v>
      </c>
      <c r="HW11" s="727">
        <v>322</v>
      </c>
      <c r="HX11" s="727">
        <v>47</v>
      </c>
      <c r="HY11" s="727">
        <v>0.6</v>
      </c>
      <c r="HZ11" s="727">
        <v>322</v>
      </c>
      <c r="IA11" s="727">
        <v>46.5</v>
      </c>
      <c r="IB11" s="727">
        <v>0.6</v>
      </c>
      <c r="IC11" s="727">
        <v>322</v>
      </c>
      <c r="ID11" s="727">
        <v>39.125</v>
      </c>
      <c r="IE11" s="727">
        <v>0.6</v>
      </c>
      <c r="IF11" s="727">
        <v>194.1</v>
      </c>
      <c r="IG11" s="727">
        <v>29.625</v>
      </c>
      <c r="IH11" s="727">
        <v>0.6</v>
      </c>
      <c r="II11" s="727">
        <v>194</v>
      </c>
      <c r="IJ11" s="722">
        <v>29.8125</v>
      </c>
      <c r="IK11" s="722">
        <v>0.6</v>
      </c>
      <c r="IL11" s="722">
        <v>194</v>
      </c>
      <c r="IM11" s="727">
        <v>32.125</v>
      </c>
      <c r="IN11" s="722">
        <v>0.6</v>
      </c>
      <c r="IO11" s="722">
        <v>193</v>
      </c>
      <c r="IP11" s="727">
        <v>34.125</v>
      </c>
      <c r="IQ11" s="722">
        <v>0.6</v>
      </c>
      <c r="IR11" s="721">
        <v>190.77</v>
      </c>
      <c r="IS11" s="721">
        <v>37.5625</v>
      </c>
      <c r="IT11" s="721">
        <v>0.6</v>
      </c>
      <c r="IU11" s="721">
        <v>190.9</v>
      </c>
      <c r="IV11" s="721">
        <v>39.6875</v>
      </c>
      <c r="IW11" s="721">
        <v>0.6</v>
      </c>
      <c r="IX11" s="721">
        <v>190.9</v>
      </c>
      <c r="IY11" s="721">
        <v>47.063000000000002</v>
      </c>
      <c r="IZ11" s="721">
        <v>0.6</v>
      </c>
      <c r="JA11" s="721">
        <v>190.08</v>
      </c>
      <c r="JB11" s="721">
        <v>48.813000000000002</v>
      </c>
      <c r="JC11" s="721">
        <v>0.6</v>
      </c>
      <c r="JD11" s="721">
        <v>190.08</v>
      </c>
      <c r="JE11" s="721">
        <v>45.375</v>
      </c>
      <c r="JF11" s="721">
        <v>0.6</v>
      </c>
      <c r="JG11" s="721">
        <v>189.29</v>
      </c>
      <c r="JH11" s="721">
        <v>50.25</v>
      </c>
      <c r="JI11" s="721">
        <v>0.6</v>
      </c>
      <c r="JJ11" s="721">
        <v>189.28700000000001</v>
      </c>
      <c r="JK11" s="721">
        <v>51.625</v>
      </c>
      <c r="JL11" s="721">
        <v>0.6</v>
      </c>
      <c r="JM11" s="721">
        <v>188.34700000000001</v>
      </c>
      <c r="JN11" s="721">
        <v>45.5</v>
      </c>
      <c r="JO11" s="721">
        <v>0.6</v>
      </c>
      <c r="JP11" s="721">
        <v>188.34700000000001</v>
      </c>
      <c r="JQ11" s="721">
        <v>41.938000000000002</v>
      </c>
      <c r="JR11" s="721">
        <v>0.6</v>
      </c>
      <c r="JS11" s="721">
        <v>187.52799999999999</v>
      </c>
      <c r="JT11" s="721">
        <v>41.125</v>
      </c>
      <c r="JU11" s="721">
        <v>0.6</v>
      </c>
      <c r="JV11" s="721">
        <v>187.52799999999999</v>
      </c>
      <c r="JW11" s="721">
        <v>41.125</v>
      </c>
      <c r="JX11" s="721">
        <v>0.6</v>
      </c>
      <c r="JY11" s="721">
        <v>186.024</v>
      </c>
      <c r="JZ11" s="721">
        <v>40.625</v>
      </c>
      <c r="KA11" s="721">
        <v>0.6</v>
      </c>
      <c r="KB11" s="721">
        <v>186.024</v>
      </c>
      <c r="KC11" s="721">
        <v>42.625</v>
      </c>
      <c r="KD11" s="721">
        <v>0.6</v>
      </c>
      <c r="KE11" s="721">
        <v>186.024</v>
      </c>
      <c r="KF11" s="721">
        <v>41.75</v>
      </c>
      <c r="KG11" s="721">
        <v>0.6</v>
      </c>
      <c r="KH11" s="721">
        <v>186.024</v>
      </c>
      <c r="KI11" s="721">
        <v>40.5</v>
      </c>
      <c r="KJ11" s="721">
        <v>0.6</v>
      </c>
      <c r="KK11" s="721">
        <v>185.31800000000001</v>
      </c>
      <c r="KL11" s="721">
        <v>36.375</v>
      </c>
      <c r="KM11" s="721">
        <v>0.6</v>
      </c>
      <c r="KN11" s="721">
        <v>185.31800000000001</v>
      </c>
      <c r="KO11" s="721">
        <v>35.125</v>
      </c>
      <c r="KP11" s="721">
        <v>0.6</v>
      </c>
      <c r="KQ11" s="721">
        <v>185.31800000000001</v>
      </c>
      <c r="KR11" s="721">
        <v>31.75</v>
      </c>
      <c r="KS11" s="721">
        <v>0.6</v>
      </c>
      <c r="KT11" s="721">
        <v>184.56399999999999</v>
      </c>
      <c r="KU11" s="721">
        <v>32.875</v>
      </c>
      <c r="KV11" s="721">
        <v>0.6</v>
      </c>
      <c r="KW11" s="721">
        <v>184.56399999999999</v>
      </c>
      <c r="KX11" s="721">
        <v>31.375</v>
      </c>
      <c r="KY11" s="721">
        <v>0.6</v>
      </c>
      <c r="KZ11" s="721">
        <v>184.535</v>
      </c>
      <c r="LA11" s="721">
        <v>28.25</v>
      </c>
      <c r="LB11" s="721">
        <v>0.6</v>
      </c>
      <c r="LC11" s="721">
        <v>184.535</v>
      </c>
      <c r="LD11" s="721">
        <v>30.75</v>
      </c>
      <c r="LE11" s="721">
        <v>0.6</v>
      </c>
      <c r="LF11" s="721">
        <v>184.535</v>
      </c>
      <c r="LG11" s="721">
        <v>37.125</v>
      </c>
      <c r="LH11" s="721">
        <v>0.6</v>
      </c>
      <c r="LI11" s="721">
        <v>184.535</v>
      </c>
      <c r="LJ11" s="721">
        <v>38.5</v>
      </c>
      <c r="LK11" s="721">
        <v>0.6</v>
      </c>
      <c r="LL11" s="721">
        <v>184.535</v>
      </c>
      <c r="LM11" s="721">
        <v>37.75</v>
      </c>
      <c r="LN11" s="721">
        <v>0.6</v>
      </c>
      <c r="LO11" s="721">
        <v>184.535</v>
      </c>
      <c r="LP11" s="721">
        <v>36.875</v>
      </c>
      <c r="LQ11" s="721">
        <v>0.6</v>
      </c>
      <c r="LR11" s="721">
        <v>184.535</v>
      </c>
      <c r="LS11" s="721">
        <v>33.130000000000003</v>
      </c>
      <c r="LT11" s="721">
        <v>0.6</v>
      </c>
      <c r="LU11" s="721">
        <v>184.535</v>
      </c>
      <c r="LV11" s="721">
        <v>33</v>
      </c>
      <c r="LW11" s="721">
        <v>0.6</v>
      </c>
      <c r="LX11" s="721">
        <v>184.535</v>
      </c>
      <c r="LY11" s="721">
        <v>31.88</v>
      </c>
      <c r="LZ11" s="721">
        <v>0.6</v>
      </c>
      <c r="MA11" s="721">
        <v>184.535</v>
      </c>
      <c r="MB11" s="721">
        <v>30.75</v>
      </c>
      <c r="MC11" s="721">
        <v>0.6</v>
      </c>
      <c r="MD11" s="721">
        <v>184.535</v>
      </c>
      <c r="ME11" s="721">
        <v>34.25</v>
      </c>
      <c r="MF11" s="721">
        <v>0.6</v>
      </c>
      <c r="MG11" s="721">
        <v>184.535</v>
      </c>
      <c r="MH11" s="721">
        <v>30.63</v>
      </c>
      <c r="MI11" s="721">
        <v>0.6</v>
      </c>
      <c r="MJ11" s="721">
        <v>184.535</v>
      </c>
      <c r="MK11" s="721">
        <v>28.38</v>
      </c>
      <c r="ML11" s="721">
        <v>0.6</v>
      </c>
      <c r="MM11" s="721">
        <v>184.535</v>
      </c>
      <c r="MN11" s="721">
        <v>29.13</v>
      </c>
      <c r="MO11" s="721">
        <v>0.6</v>
      </c>
      <c r="MP11" s="721">
        <v>187.06399999999999</v>
      </c>
      <c r="MQ11" s="721">
        <v>28</v>
      </c>
    </row>
    <row r="12" spans="1:355">
      <c r="B12" s="723" t="s">
        <v>250</v>
      </c>
      <c r="C12" s="886"/>
      <c r="D12" s="886"/>
      <c r="E12" s="886"/>
      <c r="F12" s="788"/>
      <c r="G12" s="788"/>
      <c r="H12" s="788"/>
      <c r="I12" s="788"/>
      <c r="J12" s="788"/>
      <c r="K12" s="788"/>
      <c r="L12" s="828"/>
      <c r="M12" s="829"/>
      <c r="N12" s="828"/>
      <c r="O12" s="828"/>
      <c r="P12" s="828"/>
      <c r="Q12" s="828"/>
      <c r="R12" s="828"/>
      <c r="S12" s="828"/>
      <c r="T12" s="828"/>
      <c r="U12" s="788"/>
      <c r="V12" s="827"/>
      <c r="W12" s="788"/>
      <c r="X12" s="832"/>
      <c r="Y12" s="788"/>
      <c r="Z12" s="788"/>
      <c r="AA12" s="788"/>
      <c r="AB12" s="788"/>
      <c r="AC12" s="788"/>
      <c r="AJ12" s="788"/>
      <c r="AK12" s="788"/>
      <c r="AL12" s="788"/>
      <c r="AM12" s="828"/>
      <c r="AN12" s="828"/>
      <c r="AO12" s="828"/>
      <c r="AP12" s="788"/>
      <c r="AQ12" s="788"/>
      <c r="AR12" s="788"/>
      <c r="AV12" s="723"/>
      <c r="AW12" s="723"/>
      <c r="AX12" s="723"/>
      <c r="AY12" s="723"/>
      <c r="AZ12" s="723"/>
      <c r="BA12" s="723"/>
      <c r="BB12" s="723"/>
      <c r="BC12" s="723"/>
      <c r="BD12" s="723"/>
      <c r="BE12" s="723"/>
      <c r="BF12" s="723"/>
      <c r="BG12" s="723"/>
      <c r="BH12" s="723"/>
      <c r="BI12" s="723"/>
      <c r="BJ12" s="723"/>
      <c r="BK12" s="723"/>
      <c r="BL12" s="723"/>
      <c r="BM12" s="723"/>
      <c r="BN12" s="723"/>
      <c r="BO12" s="723"/>
      <c r="BP12" s="723"/>
      <c r="BQ12" s="723"/>
      <c r="BR12" s="723"/>
      <c r="BS12" s="723"/>
      <c r="BT12" s="723"/>
      <c r="BU12" s="723"/>
      <c r="BV12" s="723"/>
      <c r="BW12" s="728"/>
      <c r="BX12" s="728"/>
      <c r="BY12" s="728"/>
      <c r="BZ12" s="723"/>
      <c r="CA12" s="723"/>
      <c r="CB12" s="723"/>
      <c r="CC12" s="723"/>
      <c r="CD12" s="723"/>
      <c r="CE12" s="723"/>
      <c r="CF12" s="723"/>
      <c r="CG12" s="723"/>
      <c r="CH12" s="723"/>
      <c r="CI12" s="723"/>
      <c r="CJ12" s="723"/>
      <c r="CK12" s="723"/>
      <c r="CL12" s="723"/>
      <c r="CM12" s="723"/>
      <c r="CN12" s="723"/>
      <c r="CO12" s="723"/>
      <c r="CP12" s="723"/>
      <c r="CQ12" s="723"/>
      <c r="CR12" s="723"/>
      <c r="CS12" s="723"/>
      <c r="CT12" s="723"/>
      <c r="CU12" s="723"/>
      <c r="CV12" s="723"/>
      <c r="CW12" s="723"/>
      <c r="CX12" s="722"/>
      <c r="CY12" s="723"/>
      <c r="CZ12" s="723"/>
      <c r="DA12" s="723"/>
      <c r="DB12" s="723"/>
      <c r="DC12" s="735"/>
      <c r="DD12" s="723"/>
      <c r="DE12" s="723"/>
      <c r="DF12" s="723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5"/>
      <c r="DU12" s="723"/>
      <c r="DV12" s="723"/>
      <c r="DW12" s="723"/>
      <c r="DX12" s="723"/>
      <c r="DY12" s="723"/>
      <c r="DZ12" s="723"/>
      <c r="EA12" s="723"/>
      <c r="EB12" s="723"/>
      <c r="EC12" s="723"/>
      <c r="ED12" s="723"/>
      <c r="EE12" s="723"/>
      <c r="EF12" s="723"/>
      <c r="EG12" s="723"/>
      <c r="EH12" s="723"/>
      <c r="EI12" s="723"/>
      <c r="EJ12" s="723"/>
      <c r="EK12" s="723"/>
      <c r="EL12" s="723"/>
      <c r="EM12" s="723"/>
      <c r="EN12" s="723"/>
      <c r="EO12" s="723"/>
      <c r="EP12" s="723"/>
      <c r="EQ12" s="723"/>
      <c r="ER12" s="723"/>
      <c r="ES12" s="723"/>
      <c r="ET12" s="722"/>
      <c r="EU12" s="722"/>
      <c r="EV12" s="722"/>
      <c r="EW12" s="723"/>
      <c r="EX12" s="723"/>
      <c r="EY12" s="723"/>
      <c r="EZ12" s="723"/>
      <c r="FA12" s="723"/>
      <c r="FB12" s="723"/>
      <c r="FC12" s="723"/>
      <c r="FD12" s="741"/>
      <c r="FE12" s="723"/>
      <c r="FF12" s="727"/>
      <c r="FG12" s="727"/>
      <c r="FH12" s="727"/>
      <c r="FI12" s="727"/>
      <c r="FJ12" s="727"/>
      <c r="FK12" s="727"/>
      <c r="FL12" s="727"/>
      <c r="FM12" s="727"/>
      <c r="FN12" s="727"/>
      <c r="FO12" s="727"/>
      <c r="FP12" s="727"/>
      <c r="FQ12" s="727"/>
      <c r="FR12" s="727"/>
      <c r="FS12" s="742"/>
      <c r="FT12" s="626"/>
      <c r="FU12" s="727"/>
      <c r="FV12" s="727"/>
      <c r="FW12" s="727"/>
      <c r="FX12" s="727"/>
      <c r="FY12" s="727"/>
      <c r="FZ12" s="727"/>
      <c r="GA12" s="727"/>
      <c r="GB12" s="727"/>
      <c r="GC12" s="727"/>
      <c r="GD12" s="750"/>
      <c r="GE12" s="741"/>
      <c r="GF12" s="751"/>
      <c r="GG12" s="750"/>
      <c r="GH12" s="727"/>
      <c r="GI12" s="727"/>
      <c r="GJ12" s="727"/>
      <c r="GK12" s="727"/>
      <c r="GL12" s="727"/>
      <c r="GM12" s="727"/>
      <c r="GN12" s="727"/>
      <c r="GO12" s="727"/>
      <c r="GP12" s="727"/>
      <c r="GQ12" s="727"/>
      <c r="GR12" s="727"/>
      <c r="GS12" s="727"/>
      <c r="GT12" s="727"/>
      <c r="GU12" s="752"/>
      <c r="GV12" s="727"/>
      <c r="GW12" s="727"/>
      <c r="GX12" s="727"/>
      <c r="GY12" s="727"/>
      <c r="GZ12" s="727"/>
      <c r="HA12" s="727"/>
      <c r="HB12" s="727"/>
      <c r="HC12" s="727"/>
      <c r="HD12" s="727"/>
      <c r="HE12" s="727"/>
      <c r="HF12" s="727"/>
      <c r="HG12" s="727"/>
      <c r="HH12" s="727"/>
      <c r="HI12" s="727"/>
      <c r="HJ12" s="727"/>
      <c r="HK12" s="727"/>
      <c r="HL12" s="727"/>
      <c r="HM12" s="727"/>
      <c r="HN12" s="727"/>
      <c r="HO12" s="752"/>
      <c r="HP12" s="752"/>
      <c r="HQ12" s="727"/>
      <c r="HR12" s="727"/>
      <c r="HS12" s="727"/>
      <c r="HT12" s="727"/>
      <c r="HU12" s="727"/>
      <c r="HV12" s="727"/>
      <c r="HW12" s="727"/>
      <c r="HX12" s="727"/>
      <c r="HY12" s="727"/>
      <c r="HZ12" s="727"/>
      <c r="IA12" s="727"/>
      <c r="IB12" s="727"/>
      <c r="IC12" s="727"/>
      <c r="ID12" s="727"/>
      <c r="IE12" s="727"/>
      <c r="IF12" s="727"/>
      <c r="IG12" s="727"/>
      <c r="IH12" s="727"/>
      <c r="II12" s="727"/>
      <c r="IJ12" s="722"/>
      <c r="IK12" s="722"/>
      <c r="IL12" s="722"/>
      <c r="IM12" s="727"/>
      <c r="IN12" s="722"/>
      <c r="IO12" s="722"/>
      <c r="IP12" s="727"/>
      <c r="IQ12" s="722"/>
      <c r="IR12" s="721"/>
      <c r="IS12" s="721"/>
      <c r="IT12" s="721"/>
      <c r="IU12" s="721"/>
      <c r="IV12" s="721"/>
      <c r="IW12" s="721"/>
      <c r="IX12" s="721"/>
      <c r="IY12" s="721"/>
      <c r="IZ12" s="721"/>
      <c r="JA12" s="721"/>
      <c r="JB12" s="721"/>
      <c r="JC12" s="721"/>
      <c r="JD12" s="721"/>
      <c r="JE12" s="721"/>
      <c r="JF12" s="721"/>
      <c r="JG12" s="721"/>
      <c r="JH12" s="721"/>
      <c r="JI12" s="721"/>
      <c r="JJ12" s="721">
        <v>52.503999999999998</v>
      </c>
      <c r="JK12" s="721">
        <v>21.1875</v>
      </c>
      <c r="JL12" s="721">
        <v>0.38500000000000001</v>
      </c>
      <c r="JM12" s="721">
        <v>52.505000000000003</v>
      </c>
      <c r="JN12" s="721">
        <v>17.9375</v>
      </c>
      <c r="JO12" s="721">
        <v>0.38500000000000001</v>
      </c>
      <c r="JP12" s="721">
        <v>52.505000000000003</v>
      </c>
      <c r="JQ12" s="721">
        <v>16.812999999999999</v>
      </c>
      <c r="JR12" s="721">
        <v>0.38500000000000001</v>
      </c>
      <c r="JS12" s="721">
        <v>52.701999999999998</v>
      </c>
      <c r="JT12" s="721">
        <v>16.75</v>
      </c>
      <c r="JU12" s="721">
        <v>0.38500000000000001</v>
      </c>
      <c r="JV12" s="721">
        <v>52.701999999999998</v>
      </c>
      <c r="JW12" s="721">
        <v>17.125</v>
      </c>
      <c r="JX12" s="721">
        <v>0.38500000000000001</v>
      </c>
      <c r="JY12" s="721">
        <v>52.542999999999999</v>
      </c>
      <c r="JZ12" s="721">
        <v>17.5</v>
      </c>
      <c r="KA12" s="721">
        <v>0.38500000000000001</v>
      </c>
      <c r="KB12" s="721">
        <v>52.542999999999999</v>
      </c>
      <c r="KC12" s="721">
        <v>18.25</v>
      </c>
      <c r="KD12" s="721">
        <v>0.38500000000000001</v>
      </c>
      <c r="KE12" s="721">
        <v>52.542999999999999</v>
      </c>
      <c r="KF12" s="721">
        <v>16.625</v>
      </c>
      <c r="KG12" s="721">
        <v>0.38500000000000001</v>
      </c>
      <c r="KH12" s="721">
        <v>52.542999999999999</v>
      </c>
      <c r="KI12" s="721">
        <v>19.25</v>
      </c>
      <c r="KJ12" s="721">
        <v>0.38500000000000001</v>
      </c>
      <c r="KK12" s="721">
        <v>53.475000000000001</v>
      </c>
      <c r="KL12" s="721">
        <v>19.875</v>
      </c>
      <c r="KM12" s="721">
        <v>0.38500000000000001</v>
      </c>
      <c r="KN12" s="721">
        <v>53.475000000000001</v>
      </c>
      <c r="KO12" s="721">
        <v>18.875</v>
      </c>
      <c r="KP12" s="721">
        <v>0.38500000000000001</v>
      </c>
      <c r="KQ12" s="721">
        <v>53.475000000000001</v>
      </c>
      <c r="KR12" s="721">
        <v>18</v>
      </c>
      <c r="KS12" s="721">
        <v>0.38500000000000001</v>
      </c>
      <c r="KT12" s="721">
        <v>52.082000000000001</v>
      </c>
      <c r="KU12" s="721">
        <v>17.625</v>
      </c>
      <c r="KV12" s="721">
        <v>0.38500000000000001</v>
      </c>
      <c r="KW12" s="721">
        <v>52.082000000000001</v>
      </c>
      <c r="KX12" s="721">
        <v>16.375</v>
      </c>
      <c r="KY12" s="721">
        <v>0.38500000000000001</v>
      </c>
      <c r="KZ12" s="721">
        <v>53.944000000000003</v>
      </c>
      <c r="LA12" s="721">
        <v>17</v>
      </c>
      <c r="LB12" s="721">
        <v>0.38500000000000001</v>
      </c>
      <c r="LC12" s="721">
        <v>53.944000000000003</v>
      </c>
      <c r="LD12" s="721">
        <v>20.25</v>
      </c>
      <c r="LE12" s="721">
        <v>0.38500000000000001</v>
      </c>
      <c r="LF12" s="721">
        <v>53.033999999999999</v>
      </c>
      <c r="LG12" s="721">
        <v>21.75</v>
      </c>
      <c r="LH12" s="721">
        <v>0.38500000000000001</v>
      </c>
      <c r="LI12" s="721">
        <v>53.033999999999999</v>
      </c>
      <c r="LJ12" s="721">
        <v>23.75</v>
      </c>
      <c r="LK12" s="721">
        <v>0.38500000000000001</v>
      </c>
      <c r="LL12" s="721">
        <v>52.713999999999999</v>
      </c>
      <c r="LM12" s="721">
        <v>22.875</v>
      </c>
      <c r="LN12" s="721">
        <v>0.38500000000000001</v>
      </c>
      <c r="LO12" s="721">
        <v>52.408000000000001</v>
      </c>
      <c r="LP12" s="721">
        <v>23.625</v>
      </c>
      <c r="LQ12" s="721">
        <v>0.38</v>
      </c>
      <c r="LR12" s="721">
        <v>51.427</v>
      </c>
      <c r="LS12" s="721">
        <v>23.13</v>
      </c>
      <c r="LT12" s="721">
        <v>0.38</v>
      </c>
      <c r="LU12" s="721">
        <v>51.427</v>
      </c>
      <c r="LV12" s="721">
        <v>23.13</v>
      </c>
      <c r="LW12" s="721">
        <v>0.38</v>
      </c>
      <c r="LX12" s="721">
        <v>51.255000000000003</v>
      </c>
      <c r="LY12" s="721">
        <v>22.63</v>
      </c>
      <c r="LZ12" s="721">
        <v>0.38</v>
      </c>
      <c r="MA12" s="721">
        <v>51.084000000000003</v>
      </c>
      <c r="MB12" s="721">
        <v>20.94</v>
      </c>
      <c r="MC12" s="721">
        <v>0.38</v>
      </c>
      <c r="MD12" s="721">
        <v>49.008000000000003</v>
      </c>
      <c r="ME12" s="721">
        <v>20.5</v>
      </c>
      <c r="MF12" s="721">
        <v>0.38</v>
      </c>
      <c r="MG12" s="721">
        <v>48.393999999999998</v>
      </c>
      <c r="MH12" s="721">
        <v>18.940000000000001</v>
      </c>
      <c r="MI12" s="721">
        <v>0.38</v>
      </c>
      <c r="MJ12" s="721">
        <v>47.276000000000003</v>
      </c>
      <c r="MK12" s="721">
        <v>17.38</v>
      </c>
      <c r="ML12" s="721">
        <v>0.37</v>
      </c>
      <c r="MM12" s="721">
        <v>46.128</v>
      </c>
      <c r="MN12" s="721">
        <v>18.059999999999999</v>
      </c>
      <c r="MO12" s="721">
        <v>0.37</v>
      </c>
      <c r="MP12" s="721">
        <v>45.59</v>
      </c>
      <c r="MQ12" s="721">
        <v>16.940000000000001</v>
      </c>
    </row>
    <row r="13" spans="1:355">
      <c r="B13" s="723" t="s">
        <v>251</v>
      </c>
      <c r="C13" s="886"/>
      <c r="D13" s="886"/>
      <c r="E13" s="886"/>
      <c r="F13" s="788"/>
      <c r="G13" s="788"/>
      <c r="H13" s="788"/>
      <c r="I13" s="788"/>
      <c r="J13" s="788"/>
      <c r="K13" s="788"/>
      <c r="L13" s="828"/>
      <c r="M13" s="829"/>
      <c r="N13" s="828"/>
      <c r="O13" s="828"/>
      <c r="P13" s="828"/>
      <c r="Q13" s="828"/>
      <c r="R13" s="828"/>
      <c r="S13" s="828"/>
      <c r="T13" s="828"/>
      <c r="U13" s="788"/>
      <c r="V13" s="827"/>
      <c r="W13" s="788"/>
      <c r="X13" s="832"/>
      <c r="Y13" s="788"/>
      <c r="Z13" s="788"/>
      <c r="AA13" s="788"/>
      <c r="AB13" s="788"/>
      <c r="AC13" s="788"/>
      <c r="AJ13" s="788"/>
      <c r="AK13" s="788"/>
      <c r="AL13" s="788"/>
      <c r="AM13" s="828"/>
      <c r="AN13" s="828"/>
      <c r="AO13" s="828"/>
      <c r="AP13" s="788"/>
      <c r="AQ13" s="788"/>
      <c r="AR13" s="788"/>
      <c r="AV13" s="723"/>
      <c r="AW13" s="723"/>
      <c r="AX13" s="723"/>
      <c r="AY13" s="723"/>
      <c r="AZ13" s="723"/>
      <c r="BA13" s="723"/>
      <c r="BB13" s="723"/>
      <c r="BC13" s="723"/>
      <c r="BD13" s="723"/>
      <c r="BE13" s="723"/>
      <c r="BF13" s="723"/>
      <c r="BG13" s="723"/>
      <c r="BH13" s="723"/>
      <c r="BI13" s="723"/>
      <c r="BJ13" s="723"/>
      <c r="BK13" s="723"/>
      <c r="BL13" s="723"/>
      <c r="BM13" s="723"/>
      <c r="BN13" s="723"/>
      <c r="BO13" s="723"/>
      <c r="BP13" s="723"/>
      <c r="BQ13" s="723"/>
      <c r="BR13" s="723"/>
      <c r="BS13" s="723"/>
      <c r="BT13" s="723"/>
      <c r="BU13" s="723"/>
      <c r="BV13" s="723"/>
      <c r="BW13" s="728"/>
      <c r="BX13" s="728"/>
      <c r="BY13" s="728"/>
      <c r="BZ13" s="723"/>
      <c r="CA13" s="723"/>
      <c r="CB13" s="723"/>
      <c r="CC13" s="723"/>
      <c r="CD13" s="723"/>
      <c r="CE13" s="723"/>
      <c r="CF13" s="723"/>
      <c r="CG13" s="723"/>
      <c r="CH13" s="723"/>
      <c r="CI13" s="723"/>
      <c r="CJ13" s="723"/>
      <c r="CK13" s="723"/>
      <c r="CL13" s="723"/>
      <c r="CM13" s="723"/>
      <c r="CN13" s="723"/>
      <c r="CO13" s="723"/>
      <c r="CP13" s="723"/>
      <c r="CQ13" s="723"/>
      <c r="CR13" s="723"/>
      <c r="CS13" s="723"/>
      <c r="CT13" s="723"/>
      <c r="CU13" s="723"/>
      <c r="CV13" s="723"/>
      <c r="CW13" s="723"/>
      <c r="CX13" s="722"/>
      <c r="CY13" s="723"/>
      <c r="CZ13" s="723"/>
      <c r="DA13" s="723"/>
      <c r="DB13" s="723"/>
      <c r="DC13" s="735"/>
      <c r="DD13" s="723"/>
      <c r="DE13" s="723"/>
      <c r="DF13" s="723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5"/>
      <c r="DU13" s="723"/>
      <c r="DV13" s="723"/>
      <c r="DW13" s="723"/>
      <c r="DX13" s="723"/>
      <c r="DY13" s="723"/>
      <c r="DZ13" s="723"/>
      <c r="EA13" s="723"/>
      <c r="EB13" s="723"/>
      <c r="EC13" s="723"/>
      <c r="ED13" s="723"/>
      <c r="EE13" s="723"/>
      <c r="EF13" s="723"/>
      <c r="EG13" s="723"/>
      <c r="EH13" s="723"/>
      <c r="EI13" s="723"/>
      <c r="EJ13" s="723"/>
      <c r="EK13" s="723"/>
      <c r="EL13" s="723"/>
      <c r="EM13" s="723"/>
      <c r="EN13" s="723"/>
      <c r="EO13" s="723"/>
      <c r="EP13" s="723"/>
      <c r="EQ13" s="723"/>
      <c r="ER13" s="723"/>
      <c r="ES13" s="723"/>
      <c r="ET13" s="722"/>
      <c r="EU13" s="722"/>
      <c r="EV13" s="722"/>
      <c r="EW13" s="723"/>
      <c r="EX13" s="723"/>
      <c r="EY13" s="723"/>
      <c r="EZ13" s="723"/>
      <c r="FA13" s="723"/>
      <c r="FB13" s="723"/>
      <c r="FC13" s="723"/>
      <c r="FD13" s="741"/>
      <c r="FE13" s="723"/>
      <c r="FF13" s="727"/>
      <c r="FG13" s="727"/>
      <c r="FH13" s="727"/>
      <c r="FI13" s="727"/>
      <c r="FJ13" s="727"/>
      <c r="FK13" s="727"/>
      <c r="FL13" s="727"/>
      <c r="FM13" s="727"/>
      <c r="FN13" s="727"/>
      <c r="FO13" s="727"/>
      <c r="FP13" s="727"/>
      <c r="FQ13" s="727"/>
      <c r="FR13" s="727"/>
      <c r="FS13" s="742"/>
      <c r="FT13" s="626"/>
      <c r="FU13" s="727"/>
      <c r="FV13" s="727"/>
      <c r="FW13" s="727"/>
      <c r="FX13" s="727"/>
      <c r="FY13" s="727"/>
      <c r="FZ13" s="727"/>
      <c r="GA13" s="727"/>
      <c r="GB13" s="727"/>
      <c r="GC13" s="727"/>
      <c r="GD13" s="750"/>
      <c r="GE13" s="741"/>
      <c r="GF13" s="751"/>
      <c r="GG13" s="750"/>
      <c r="GH13" s="727"/>
      <c r="GI13" s="727"/>
      <c r="GJ13" s="727"/>
      <c r="GK13" s="727"/>
      <c r="GL13" s="727"/>
      <c r="GM13" s="727"/>
      <c r="GN13" s="727"/>
      <c r="GO13" s="727"/>
      <c r="GP13" s="727"/>
      <c r="GQ13" s="727"/>
      <c r="GR13" s="727"/>
      <c r="GS13" s="727"/>
      <c r="GT13" s="727"/>
      <c r="GU13" s="752"/>
      <c r="GV13" s="727"/>
      <c r="GW13" s="727"/>
      <c r="GX13" s="727"/>
      <c r="GY13" s="727"/>
      <c r="GZ13" s="727"/>
      <c r="HA13" s="727"/>
      <c r="HB13" s="727"/>
      <c r="HC13" s="727"/>
      <c r="HD13" s="727"/>
      <c r="HE13" s="727"/>
      <c r="HF13" s="727"/>
      <c r="HG13" s="727"/>
      <c r="HH13" s="727"/>
      <c r="HI13" s="727"/>
      <c r="HJ13" s="727"/>
      <c r="HK13" s="727"/>
      <c r="HL13" s="727"/>
      <c r="HM13" s="727"/>
      <c r="HN13" s="727"/>
      <c r="HO13" s="752"/>
      <c r="HP13" s="752"/>
      <c r="HQ13" s="727">
        <v>7.3630000000000004</v>
      </c>
      <c r="HR13" s="727">
        <v>26.63</v>
      </c>
      <c r="HS13" s="727">
        <v>0.2</v>
      </c>
      <c r="HT13" s="727">
        <v>7.3634240000000002</v>
      </c>
      <c r="HU13" s="727">
        <v>26.58</v>
      </c>
      <c r="HV13" s="727">
        <v>0.2</v>
      </c>
      <c r="HW13" s="727">
        <v>7.3634240000000002</v>
      </c>
      <c r="HX13" s="727">
        <v>26.23</v>
      </c>
      <c r="HY13" s="727">
        <v>0.2</v>
      </c>
      <c r="HZ13" s="727">
        <v>7.3634240000000002</v>
      </c>
      <c r="IA13" s="727">
        <v>25.6875</v>
      </c>
      <c r="IB13" s="727">
        <v>0.2</v>
      </c>
      <c r="IC13" s="727">
        <v>7.3634240000000002</v>
      </c>
      <c r="ID13" s="727">
        <v>24.1875</v>
      </c>
      <c r="IE13" s="727">
        <v>0.2</v>
      </c>
      <c r="IF13" s="727">
        <v>7.4</v>
      </c>
      <c r="IG13" s="727">
        <v>23.4375</v>
      </c>
      <c r="IH13" s="727">
        <v>0.2</v>
      </c>
      <c r="II13" s="727">
        <v>7.3634240000000002</v>
      </c>
      <c r="IJ13" s="722">
        <v>17.3125</v>
      </c>
      <c r="IK13" s="722">
        <v>0.2</v>
      </c>
      <c r="IL13" s="722">
        <v>7.3634240000000002</v>
      </c>
      <c r="IM13" s="727">
        <v>16.4375</v>
      </c>
      <c r="IN13" s="722">
        <v>0.15</v>
      </c>
      <c r="IO13" s="722">
        <v>7.4</v>
      </c>
      <c r="IP13" s="727">
        <v>16.5</v>
      </c>
      <c r="IQ13" s="722">
        <v>0.15</v>
      </c>
      <c r="IR13" s="721">
        <v>7.4</v>
      </c>
      <c r="IS13" s="721">
        <v>16.125</v>
      </c>
      <c r="IT13" s="721">
        <v>0.15</v>
      </c>
      <c r="IU13" s="721">
        <v>7.36</v>
      </c>
      <c r="IV13" s="721">
        <v>12.6875</v>
      </c>
      <c r="IW13" s="721">
        <v>0</v>
      </c>
      <c r="IX13" s="721">
        <v>7.36</v>
      </c>
      <c r="IY13" s="721">
        <v>12.813000000000001</v>
      </c>
      <c r="IZ13" s="721">
        <v>0</v>
      </c>
      <c r="JA13" s="721">
        <v>7.36</v>
      </c>
      <c r="JB13" s="721">
        <v>9.75</v>
      </c>
      <c r="JC13" s="721">
        <v>0</v>
      </c>
      <c r="JD13" s="721">
        <v>7.36</v>
      </c>
      <c r="JE13" s="721">
        <v>9</v>
      </c>
      <c r="JF13" s="721">
        <v>0</v>
      </c>
      <c r="JG13" s="721">
        <v>7.36</v>
      </c>
      <c r="JH13" s="721">
        <v>7.875</v>
      </c>
      <c r="JI13" s="721">
        <v>0</v>
      </c>
      <c r="JJ13" s="721">
        <v>7.3630000000000004</v>
      </c>
      <c r="JK13" s="721">
        <v>6.1875</v>
      </c>
      <c r="JL13" s="721">
        <v>0</v>
      </c>
      <c r="JM13" s="721">
        <v>7.3630000000000004</v>
      </c>
      <c r="JN13" s="721">
        <v>5.3125</v>
      </c>
      <c r="JO13" s="721">
        <v>0</v>
      </c>
      <c r="JP13" s="721">
        <v>7.3630000000000004</v>
      </c>
      <c r="JQ13" s="721">
        <v>5.75</v>
      </c>
      <c r="JR13" s="721">
        <v>0</v>
      </c>
      <c r="JS13" s="721">
        <v>7.3440000000000003</v>
      </c>
      <c r="JT13" s="721">
        <v>6</v>
      </c>
      <c r="JU13" s="721">
        <v>0</v>
      </c>
      <c r="JV13" s="721">
        <v>7.3440000000000003</v>
      </c>
      <c r="JW13" s="721">
        <v>9.5</v>
      </c>
      <c r="JX13" s="721">
        <v>0.18</v>
      </c>
      <c r="JY13" s="721">
        <v>7.1509999999999998</v>
      </c>
      <c r="JZ13" s="721">
        <v>10</v>
      </c>
      <c r="KA13" s="721">
        <v>0.18</v>
      </c>
      <c r="KB13" s="721">
        <v>7.1509999999999998</v>
      </c>
      <c r="KC13" s="721">
        <v>10.75</v>
      </c>
      <c r="KD13" s="721">
        <v>0.18</v>
      </c>
      <c r="KE13" s="721">
        <v>7.1509999999999998</v>
      </c>
      <c r="KF13" s="721">
        <v>10.75</v>
      </c>
      <c r="KG13" s="721">
        <v>0.18</v>
      </c>
      <c r="KH13" s="721">
        <v>7.1509999999999998</v>
      </c>
      <c r="KI13" s="721">
        <v>11.5</v>
      </c>
      <c r="KJ13" s="721">
        <v>0.18</v>
      </c>
      <c r="KK13" s="721">
        <v>7.1509999999999998</v>
      </c>
      <c r="KL13" s="721">
        <v>12.25</v>
      </c>
      <c r="KM13" s="721">
        <v>0.18</v>
      </c>
      <c r="KN13" s="721">
        <v>7.1509999999999998</v>
      </c>
      <c r="KO13" s="721">
        <v>10.25</v>
      </c>
      <c r="KP13" s="721">
        <v>0.18</v>
      </c>
      <c r="KQ13" s="721">
        <v>7.1509999999999998</v>
      </c>
      <c r="KR13" s="721">
        <v>10.5</v>
      </c>
      <c r="KS13" s="721">
        <v>0.33</v>
      </c>
      <c r="KT13" s="721">
        <v>7.1509999999999998</v>
      </c>
      <c r="KU13" s="721">
        <v>9.75</v>
      </c>
      <c r="KV13" s="721">
        <v>0.33</v>
      </c>
      <c r="KW13" s="721">
        <v>7.1509999999999998</v>
      </c>
      <c r="KX13" s="721">
        <v>12.25</v>
      </c>
      <c r="KY13" s="721">
        <v>0.33</v>
      </c>
      <c r="KZ13" s="721">
        <v>6.2069999999999999</v>
      </c>
      <c r="LA13" s="721">
        <v>13.25</v>
      </c>
      <c r="LB13" s="721">
        <v>0.33</v>
      </c>
      <c r="LC13" s="721">
        <v>6.2069999999999999</v>
      </c>
      <c r="LD13" s="721">
        <v>16.375</v>
      </c>
      <c r="LE13" s="721">
        <v>0.33</v>
      </c>
      <c r="LF13" s="721">
        <v>6.2069999999999999</v>
      </c>
      <c r="LG13" s="721">
        <v>18.125</v>
      </c>
      <c r="LH13" s="721">
        <v>0.33</v>
      </c>
      <c r="LI13" s="721">
        <v>6.2069999999999999</v>
      </c>
      <c r="LJ13" s="721">
        <v>21.375</v>
      </c>
      <c r="LK13" s="721">
        <v>0.33</v>
      </c>
      <c r="LL13" s="721">
        <v>5.5720000000000001</v>
      </c>
      <c r="LM13" s="721">
        <v>21.125</v>
      </c>
      <c r="LN13" s="721">
        <v>0.33</v>
      </c>
      <c r="LO13" s="721">
        <v>5.4359999999999999</v>
      </c>
      <c r="LP13" s="721">
        <v>23.5</v>
      </c>
      <c r="LQ13" s="721">
        <v>0.33</v>
      </c>
      <c r="LR13" s="721">
        <v>5.3849999999999998</v>
      </c>
      <c r="LS13" s="721">
        <v>20</v>
      </c>
      <c r="LT13" s="721">
        <v>0.33</v>
      </c>
      <c r="LU13" s="721">
        <v>5.3849999999999998</v>
      </c>
      <c r="LV13" s="721">
        <v>19.63</v>
      </c>
      <c r="LW13" s="721">
        <v>0.33</v>
      </c>
      <c r="LX13" s="721">
        <v>5.3769999999999998</v>
      </c>
      <c r="LY13" s="721">
        <v>17.5</v>
      </c>
      <c r="LZ13" s="721">
        <v>0.33</v>
      </c>
      <c r="MA13" s="721">
        <v>5.3710000000000004</v>
      </c>
      <c r="MB13" s="721">
        <v>17.63</v>
      </c>
      <c r="MC13" s="721">
        <v>0.33</v>
      </c>
      <c r="MD13" s="721">
        <v>4.9470000000000001</v>
      </c>
      <c r="ME13" s="721">
        <v>17.88</v>
      </c>
      <c r="MF13" s="721">
        <v>0.32</v>
      </c>
      <c r="MG13" s="721">
        <v>4.8049999999999997</v>
      </c>
      <c r="MH13" s="721">
        <v>16.5</v>
      </c>
      <c r="MI13" s="721">
        <v>0.32</v>
      </c>
      <c r="MJ13" s="721">
        <v>4.5170000000000003</v>
      </c>
      <c r="MK13" s="721">
        <v>14.75</v>
      </c>
      <c r="ML13" s="721">
        <v>0.32</v>
      </c>
      <c r="MM13" s="721">
        <v>4.4509999999999996</v>
      </c>
      <c r="MN13" s="721">
        <v>16.5</v>
      </c>
      <c r="MO13" s="721">
        <v>0.32</v>
      </c>
      <c r="MP13" s="721">
        <v>4.4509999999999996</v>
      </c>
      <c r="MQ13" s="721">
        <v>16.25</v>
      </c>
    </row>
    <row r="14" spans="1:355">
      <c r="A14" s="633" t="s">
        <v>41</v>
      </c>
      <c r="B14" s="728" t="s">
        <v>121</v>
      </c>
      <c r="C14" s="885">
        <v>60.661999999999999</v>
      </c>
      <c r="D14" s="885">
        <v>64.03</v>
      </c>
      <c r="E14" s="885">
        <v>0.53500000000000003</v>
      </c>
      <c r="F14" s="828">
        <v>60.975999999999999</v>
      </c>
      <c r="G14" s="828">
        <v>78.540000000000006</v>
      </c>
      <c r="H14" s="828">
        <v>0.53500000000000003</v>
      </c>
      <c r="I14" s="828">
        <v>60.466999999999999</v>
      </c>
      <c r="J14" s="828">
        <v>76.73</v>
      </c>
      <c r="K14" s="828">
        <v>0.505</v>
      </c>
      <c r="L14" s="828">
        <v>59.92</v>
      </c>
      <c r="M14" s="829">
        <v>78.17</v>
      </c>
      <c r="N14" s="828">
        <v>0.505</v>
      </c>
      <c r="O14" s="828">
        <v>54.42</v>
      </c>
      <c r="P14" s="828">
        <v>74.069999999999993</v>
      </c>
      <c r="Q14" s="828">
        <v>0.505</v>
      </c>
      <c r="R14" s="828">
        <v>53.363999999999997</v>
      </c>
      <c r="S14" s="828">
        <v>62.78</v>
      </c>
      <c r="T14" s="839">
        <v>0.505</v>
      </c>
      <c r="U14" s="828">
        <v>53.354999999999997</v>
      </c>
      <c r="V14" s="829">
        <v>58.09</v>
      </c>
      <c r="W14" s="828">
        <v>0.47499999999999998</v>
      </c>
      <c r="X14" s="832">
        <v>53.319000000000003</v>
      </c>
      <c r="Y14" s="788">
        <v>61.21</v>
      </c>
      <c r="Z14" s="788">
        <v>0.47499999999999998</v>
      </c>
      <c r="AA14" s="788">
        <v>53.3</v>
      </c>
      <c r="AB14" s="788">
        <v>54.3</v>
      </c>
      <c r="AC14" s="788">
        <v>0.47499999999999998</v>
      </c>
      <c r="AD14" s="788">
        <v>53.243000000000002</v>
      </c>
      <c r="AE14" s="788">
        <v>60.11</v>
      </c>
      <c r="AF14" s="801">
        <v>0.47499999999999998</v>
      </c>
      <c r="AG14" s="788">
        <v>53.228999999999999</v>
      </c>
      <c r="AH14" s="788">
        <v>68.87</v>
      </c>
      <c r="AI14" s="788">
        <v>0.44500000000000001</v>
      </c>
      <c r="AJ14" s="788">
        <v>53.152000000000001</v>
      </c>
      <c r="AK14" s="788">
        <v>67.47</v>
      </c>
      <c r="AL14" s="788">
        <v>0.44500000000000001</v>
      </c>
      <c r="AM14" s="828">
        <v>51.921999999999997</v>
      </c>
      <c r="AN14" s="828">
        <v>66.47</v>
      </c>
      <c r="AO14" s="830">
        <v>0.44500000000000001</v>
      </c>
      <c r="AP14" s="788">
        <v>52.183999999999997</v>
      </c>
      <c r="AQ14" s="788">
        <v>61.34</v>
      </c>
      <c r="AR14" s="788">
        <v>0.42</v>
      </c>
      <c r="AS14" s="723">
        <v>51.514000000000003</v>
      </c>
      <c r="AT14" s="723">
        <v>61.22</v>
      </c>
      <c r="AU14" s="723">
        <v>0.42</v>
      </c>
      <c r="AV14" s="723">
        <v>51.043999999999997</v>
      </c>
      <c r="AW14" s="723">
        <v>63.04</v>
      </c>
      <c r="AX14" s="723">
        <v>0.42</v>
      </c>
      <c r="AY14" s="723">
        <v>45.287999999999997</v>
      </c>
      <c r="AZ14" s="723">
        <v>60.13</v>
      </c>
      <c r="BA14" s="753">
        <v>0.42</v>
      </c>
      <c r="BB14" s="723">
        <v>44.634999999999998</v>
      </c>
      <c r="BC14" s="723">
        <v>46.43</v>
      </c>
      <c r="BD14" s="723">
        <v>0.40500000000000003</v>
      </c>
      <c r="BE14" s="723">
        <v>44.616999999999997</v>
      </c>
      <c r="BF14" s="723">
        <v>41.34</v>
      </c>
      <c r="BG14" s="723">
        <v>0.40500000000000003</v>
      </c>
      <c r="BH14" s="723">
        <v>44.540999999999997</v>
      </c>
      <c r="BI14" s="723">
        <v>43.65</v>
      </c>
      <c r="BJ14" s="723">
        <v>0.40500000000000003</v>
      </c>
      <c r="BK14" s="728">
        <v>44.43</v>
      </c>
      <c r="BL14" s="728">
        <v>50.44</v>
      </c>
      <c r="BM14" s="754">
        <v>0.40500000000000003</v>
      </c>
      <c r="BN14" s="723">
        <v>44.414999999999999</v>
      </c>
      <c r="BO14" s="723">
        <v>53.04</v>
      </c>
      <c r="BP14" s="723">
        <v>0.39</v>
      </c>
      <c r="BQ14" s="723">
        <v>44.399000000000001</v>
      </c>
      <c r="BR14" s="723">
        <v>47.88</v>
      </c>
      <c r="BS14" s="723">
        <v>0.39</v>
      </c>
      <c r="BT14" s="723">
        <v>44.33</v>
      </c>
      <c r="BU14" s="723">
        <v>61.39</v>
      </c>
      <c r="BV14" s="723">
        <v>0.39</v>
      </c>
      <c r="BW14" s="728">
        <v>44.162999999999997</v>
      </c>
      <c r="BX14" s="728">
        <v>57.65</v>
      </c>
      <c r="BY14" s="754">
        <v>0.39</v>
      </c>
      <c r="BZ14" s="723">
        <v>44.201000000000001</v>
      </c>
      <c r="CA14" s="723">
        <v>52.51</v>
      </c>
      <c r="CB14" s="723">
        <v>0.38</v>
      </c>
      <c r="CC14" s="723">
        <v>44.171999999999997</v>
      </c>
      <c r="CD14" s="723">
        <v>49.86</v>
      </c>
      <c r="CE14" s="723">
        <v>0.38</v>
      </c>
      <c r="CF14" s="723">
        <v>44.052999999999997</v>
      </c>
      <c r="CG14" s="723">
        <v>48.75</v>
      </c>
      <c r="CH14" s="723">
        <v>0.38</v>
      </c>
      <c r="CI14" s="728">
        <v>43.82</v>
      </c>
      <c r="CJ14" s="728">
        <v>44.04</v>
      </c>
      <c r="CK14" s="754">
        <v>0.38</v>
      </c>
      <c r="CL14" s="723">
        <v>43.847000000000001</v>
      </c>
      <c r="CM14" s="723">
        <v>36.340000000000003</v>
      </c>
      <c r="CN14" s="723">
        <v>0.37</v>
      </c>
      <c r="CO14" s="723">
        <v>43.798999999999999</v>
      </c>
      <c r="CP14" s="723">
        <v>35.57</v>
      </c>
      <c r="CQ14" s="723">
        <v>0.37</v>
      </c>
      <c r="CR14" s="723">
        <v>43.731000000000002</v>
      </c>
      <c r="CS14" s="723">
        <v>32.17</v>
      </c>
      <c r="CT14" s="723">
        <v>0.37</v>
      </c>
      <c r="CU14" s="728">
        <v>39.863999999999997</v>
      </c>
      <c r="CV14" s="728">
        <v>33.53</v>
      </c>
      <c r="CW14" s="754">
        <v>0.37</v>
      </c>
      <c r="CX14" s="722">
        <v>39.145000000000003</v>
      </c>
      <c r="CY14" s="723">
        <v>33.58</v>
      </c>
      <c r="CZ14" s="723">
        <v>0.36499999999999999</v>
      </c>
      <c r="DA14" s="723">
        <v>39.109000000000002</v>
      </c>
      <c r="DB14" s="723">
        <v>30.64</v>
      </c>
      <c r="DC14" s="722">
        <v>0.36499999999999999</v>
      </c>
      <c r="DD14" s="723">
        <v>39.058999999999997</v>
      </c>
      <c r="DE14" s="723">
        <v>30.09</v>
      </c>
      <c r="DF14" s="723">
        <v>0.36499999999999999</v>
      </c>
      <c r="DG14" s="723">
        <v>38.978000000000002</v>
      </c>
      <c r="DH14" s="723">
        <v>33.44</v>
      </c>
      <c r="DI14" s="753">
        <v>0.36499999999999999</v>
      </c>
      <c r="DJ14" s="723">
        <v>38.933</v>
      </c>
      <c r="DK14" s="723">
        <v>30</v>
      </c>
      <c r="DL14" s="723">
        <v>0.36</v>
      </c>
      <c r="DM14" s="723">
        <v>38.902000000000001</v>
      </c>
      <c r="DN14" s="723">
        <v>31.21</v>
      </c>
      <c r="DO14" s="723">
        <v>0.36</v>
      </c>
      <c r="DP14" s="723">
        <v>38.847999999999999</v>
      </c>
      <c r="DQ14" s="723">
        <v>28.47</v>
      </c>
      <c r="DR14" s="723">
        <v>0.36</v>
      </c>
      <c r="DS14" s="723">
        <v>38.703000000000003</v>
      </c>
      <c r="DT14" s="725">
        <v>30.35</v>
      </c>
      <c r="DU14" s="723">
        <v>0.36</v>
      </c>
      <c r="DV14" s="723">
        <v>38.643000000000001</v>
      </c>
      <c r="DW14" s="723">
        <v>26.63</v>
      </c>
      <c r="DX14" s="723">
        <v>0.35499999999999998</v>
      </c>
      <c r="DY14" s="723">
        <v>38.597999999999999</v>
      </c>
      <c r="DZ14" s="723">
        <v>25.17</v>
      </c>
      <c r="EA14" s="723">
        <v>0.35499999999999998</v>
      </c>
      <c r="EB14" s="723">
        <v>38.511000000000003</v>
      </c>
      <c r="EC14" s="723">
        <v>22.99</v>
      </c>
      <c r="ED14" s="723">
        <v>0.35499999999999998</v>
      </c>
      <c r="EE14" s="723">
        <v>38.340000000000003</v>
      </c>
      <c r="EF14" s="723">
        <v>17.89</v>
      </c>
      <c r="EG14" s="723">
        <v>0.35499999999999998</v>
      </c>
      <c r="EH14" s="723">
        <v>38.307000000000002</v>
      </c>
      <c r="EI14" s="723">
        <v>26.96</v>
      </c>
      <c r="EJ14" s="723">
        <v>0.35</v>
      </c>
      <c r="EK14" s="723">
        <v>38.298999999999999</v>
      </c>
      <c r="EL14" s="723">
        <v>31.07</v>
      </c>
      <c r="EM14" s="723">
        <v>0.35</v>
      </c>
      <c r="EN14" s="723">
        <v>37.826000000000001</v>
      </c>
      <c r="EO14" s="723">
        <v>32.06</v>
      </c>
      <c r="EP14" s="723">
        <v>0.35</v>
      </c>
      <c r="EQ14" s="723">
        <v>37.024000000000001</v>
      </c>
      <c r="ER14" s="723">
        <v>35.78</v>
      </c>
      <c r="ES14" s="723">
        <v>0.35</v>
      </c>
      <c r="ET14" s="722">
        <v>37.643000000000001</v>
      </c>
      <c r="EU14" s="722">
        <v>44.1</v>
      </c>
      <c r="EV14" s="722">
        <v>0.35</v>
      </c>
      <c r="EW14" s="723">
        <v>37.588000000000001</v>
      </c>
      <c r="EX14" s="723">
        <v>41.02</v>
      </c>
      <c r="EY14" s="723">
        <v>0.34</v>
      </c>
      <c r="EZ14" s="723">
        <v>35.173000000000002</v>
      </c>
      <c r="FA14" s="723">
        <v>39.75</v>
      </c>
      <c r="FB14" s="723">
        <v>0.34</v>
      </c>
      <c r="FC14" s="723">
        <v>33.179000000000002</v>
      </c>
      <c r="FD14" s="741">
        <v>36.770000000000003</v>
      </c>
      <c r="FE14" s="723">
        <v>0.34</v>
      </c>
      <c r="FF14" s="727">
        <v>33.186999999999998</v>
      </c>
      <c r="FG14" s="727">
        <v>36.94</v>
      </c>
      <c r="FH14" s="727">
        <v>0.33</v>
      </c>
      <c r="FI14" s="727">
        <v>33.164000000000001</v>
      </c>
      <c r="FJ14" s="727">
        <v>33.61</v>
      </c>
      <c r="FK14" s="727">
        <v>0.33</v>
      </c>
      <c r="FL14" s="727">
        <v>33.119999999999997</v>
      </c>
      <c r="FM14" s="727">
        <v>34.33</v>
      </c>
      <c r="FN14" s="727">
        <v>0.33</v>
      </c>
      <c r="FO14" s="727">
        <v>33.076000000000001</v>
      </c>
      <c r="FP14" s="727">
        <v>34</v>
      </c>
      <c r="FQ14" s="727">
        <v>0.33</v>
      </c>
      <c r="FR14" s="727">
        <v>32.966999999999999</v>
      </c>
      <c r="FS14" s="742">
        <v>34.61</v>
      </c>
      <c r="FT14" s="626">
        <f>1.28/4</f>
        <v>0.32</v>
      </c>
      <c r="FU14" s="727">
        <v>32.561999999999998</v>
      </c>
      <c r="FV14" s="727">
        <v>43.37</v>
      </c>
      <c r="FW14" s="727">
        <v>0.32</v>
      </c>
      <c r="FX14" s="727">
        <v>32.444000000000003</v>
      </c>
      <c r="FY14" s="727">
        <v>36.85</v>
      </c>
      <c r="FZ14" s="727">
        <v>0.32</v>
      </c>
      <c r="GA14" s="727">
        <v>32.42</v>
      </c>
      <c r="GB14" s="727">
        <v>33.07</v>
      </c>
      <c r="GC14" s="727">
        <v>0.32</v>
      </c>
      <c r="GD14" s="750">
        <v>32.42</v>
      </c>
      <c r="GE14" s="741">
        <v>30.68</v>
      </c>
      <c r="GF14" s="751">
        <v>0.31</v>
      </c>
      <c r="GG14" s="750">
        <v>32.404000000000003</v>
      </c>
      <c r="GH14" s="727">
        <v>27.78</v>
      </c>
      <c r="GI14" s="727">
        <v>0.31</v>
      </c>
      <c r="GJ14" s="727">
        <v>32.290999999999997</v>
      </c>
      <c r="GK14" s="727">
        <v>31.5</v>
      </c>
      <c r="GL14" s="727">
        <v>0.31</v>
      </c>
      <c r="GM14" s="727">
        <v>32.087000000000003</v>
      </c>
      <c r="GN14" s="727">
        <v>31.87</v>
      </c>
      <c r="GO14" s="727">
        <v>0.31</v>
      </c>
      <c r="GP14" s="727">
        <v>32.087000000000003</v>
      </c>
      <c r="GQ14" s="727">
        <v>29.83</v>
      </c>
      <c r="GR14" s="727">
        <v>0.3</v>
      </c>
      <c r="GS14" s="727">
        <v>30.582000000000001</v>
      </c>
      <c r="GT14" s="727">
        <v>30.86</v>
      </c>
      <c r="GU14" s="727">
        <v>0.3</v>
      </c>
      <c r="GV14" s="727">
        <v>27.041</v>
      </c>
      <c r="GW14" s="727">
        <v>30.7</v>
      </c>
      <c r="GX14" s="727">
        <v>0.3</v>
      </c>
      <c r="GY14" s="727">
        <v>26.9</v>
      </c>
      <c r="GZ14" s="727">
        <v>27.49</v>
      </c>
      <c r="HA14" s="727">
        <v>0.3</v>
      </c>
      <c r="HB14" s="727">
        <v>26.835000000000001</v>
      </c>
      <c r="HC14" s="727">
        <v>26.52</v>
      </c>
      <c r="HD14" s="727">
        <v>0.28999999999999998</v>
      </c>
      <c r="HE14" s="727">
        <v>26.803999999999998</v>
      </c>
      <c r="HF14" s="727">
        <v>26.19</v>
      </c>
      <c r="HG14" s="727">
        <v>0.28999999999999998</v>
      </c>
      <c r="HH14" s="727">
        <v>26.693999999999999</v>
      </c>
      <c r="HI14" s="727">
        <v>34.61</v>
      </c>
      <c r="HJ14" s="727">
        <v>0.28999999999999998</v>
      </c>
      <c r="HK14" s="727">
        <v>26.5</v>
      </c>
      <c r="HL14" s="727">
        <v>33.479999999999997</v>
      </c>
      <c r="HM14" s="727">
        <v>0.28999999999999998</v>
      </c>
      <c r="HN14" s="727">
        <v>26.425000000000001</v>
      </c>
      <c r="HO14" s="727">
        <v>33.840000000000003</v>
      </c>
      <c r="HP14" s="727">
        <v>0.28000000000000003</v>
      </c>
      <c r="HQ14" s="727">
        <v>25.501999999999999</v>
      </c>
      <c r="HR14" s="727">
        <v>30.52</v>
      </c>
      <c r="HS14" s="727">
        <v>0.28000000000000003</v>
      </c>
      <c r="HT14" s="727">
        <v>22.975000000000001</v>
      </c>
      <c r="HU14" s="727">
        <v>40.229999999999997</v>
      </c>
      <c r="HV14" s="727">
        <v>0.28000000000000003</v>
      </c>
      <c r="HW14" s="727">
        <v>22.917999999999999</v>
      </c>
      <c r="HX14" s="727">
        <v>45.71</v>
      </c>
      <c r="HY14" s="727">
        <v>0.28000000000000003</v>
      </c>
      <c r="HZ14" s="727">
        <v>22.835000000000001</v>
      </c>
      <c r="IA14" s="727">
        <v>44.75</v>
      </c>
      <c r="IB14" s="727">
        <v>0.27</v>
      </c>
      <c r="IC14" s="727">
        <v>21.393999999999998</v>
      </c>
      <c r="ID14" s="727">
        <v>28.0625</v>
      </c>
      <c r="IE14" s="727">
        <v>0.27</v>
      </c>
      <c r="IF14" s="727">
        <v>21.376000000000001</v>
      </c>
      <c r="IG14" s="727">
        <v>22.5625</v>
      </c>
      <c r="IH14" s="727">
        <v>0.27</v>
      </c>
      <c r="II14" s="727">
        <v>21.385999999999999</v>
      </c>
      <c r="IJ14" s="722">
        <v>22.0625</v>
      </c>
      <c r="IK14" s="722">
        <v>0.27</v>
      </c>
      <c r="IL14" s="722">
        <v>21.443000000000001</v>
      </c>
      <c r="IM14" s="727">
        <v>22.1875</v>
      </c>
      <c r="IN14" s="722">
        <v>0.26</v>
      </c>
      <c r="IO14" s="722">
        <v>21.451000000000001</v>
      </c>
      <c r="IP14" s="727">
        <v>23.3125</v>
      </c>
      <c r="IQ14" s="722">
        <v>0.26</v>
      </c>
      <c r="IR14" s="721">
        <v>21.62</v>
      </c>
      <c r="IS14" s="721">
        <v>23.125</v>
      </c>
      <c r="IT14" s="721">
        <v>0.26</v>
      </c>
      <c r="IU14" s="721">
        <v>21.57</v>
      </c>
      <c r="IV14" s="721">
        <v>21.3125</v>
      </c>
      <c r="IW14" s="721">
        <v>0.25</v>
      </c>
      <c r="IX14" s="721">
        <v>21.57</v>
      </c>
      <c r="IY14" s="721">
        <v>26.375</v>
      </c>
      <c r="IZ14" s="721">
        <v>0.25</v>
      </c>
      <c r="JA14" s="721">
        <v>21.71</v>
      </c>
      <c r="JB14" s="721">
        <v>26.875</v>
      </c>
      <c r="JC14" s="721">
        <v>0.25</v>
      </c>
      <c r="JD14" s="721">
        <v>21.71</v>
      </c>
      <c r="JE14" s="721">
        <v>23</v>
      </c>
      <c r="JF14" s="721">
        <v>0.25</v>
      </c>
      <c r="JG14" s="721">
        <v>21.7</v>
      </c>
      <c r="JH14" s="721">
        <v>23.1875</v>
      </c>
      <c r="JI14" s="721">
        <v>0.236666666666666</v>
      </c>
      <c r="JJ14" s="721">
        <v>21.696000000000002</v>
      </c>
      <c r="JK14" s="721">
        <v>23.5</v>
      </c>
      <c r="JL14" s="721">
        <v>0.236666666666666</v>
      </c>
      <c r="JM14" s="721">
        <v>21.681000000000001</v>
      </c>
      <c r="JN14" s="721">
        <v>19.541699999999999</v>
      </c>
      <c r="JO14" s="721">
        <v>0.236666666666666</v>
      </c>
      <c r="JP14" s="721">
        <v>21.681000000000001</v>
      </c>
      <c r="JQ14" s="721">
        <v>19</v>
      </c>
      <c r="JR14" s="721">
        <v>0.236666666666666</v>
      </c>
      <c r="JS14" s="721">
        <v>21.6645</v>
      </c>
      <c r="JT14" s="721">
        <v>17.5</v>
      </c>
      <c r="JU14" s="721">
        <v>0.236666666666666</v>
      </c>
      <c r="JV14" s="721">
        <v>21.6645</v>
      </c>
      <c r="JW14" s="721">
        <v>18.75</v>
      </c>
      <c r="JX14" s="721">
        <v>0.23</v>
      </c>
      <c r="JY14" s="721">
        <v>21.620999999999999</v>
      </c>
      <c r="JZ14" s="721">
        <v>17.25</v>
      </c>
      <c r="KA14" s="721">
        <v>0.23</v>
      </c>
      <c r="KB14" s="721">
        <v>21.620999999999999</v>
      </c>
      <c r="KC14" s="721">
        <v>16.582999999999998</v>
      </c>
      <c r="KD14" s="721">
        <v>0.23</v>
      </c>
      <c r="KE14" s="721">
        <v>21.620999999999999</v>
      </c>
      <c r="KF14" s="721">
        <v>16.167000000000002</v>
      </c>
      <c r="KG14" s="721">
        <v>0.223333333333333</v>
      </c>
      <c r="KH14" s="721">
        <v>21.620999999999999</v>
      </c>
      <c r="KI14" s="721">
        <v>16.5</v>
      </c>
      <c r="KJ14" s="721">
        <v>0.223333333333333</v>
      </c>
      <c r="KK14" s="721">
        <v>21.945</v>
      </c>
      <c r="KL14" s="721">
        <v>16.332999999999998</v>
      </c>
      <c r="KM14" s="721">
        <v>0.223333333333333</v>
      </c>
      <c r="KN14" s="721">
        <v>21.945</v>
      </c>
      <c r="KO14" s="721">
        <v>14</v>
      </c>
      <c r="KP14" s="721">
        <v>0.223333333333333</v>
      </c>
      <c r="KQ14" s="721">
        <v>21.945</v>
      </c>
      <c r="KR14" s="721">
        <v>15</v>
      </c>
      <c r="KS14" s="721">
        <v>0.223333333333333</v>
      </c>
      <c r="KT14" s="721">
        <v>21.945</v>
      </c>
      <c r="KU14" s="721">
        <v>14.25</v>
      </c>
      <c r="KV14" s="721">
        <v>0.22</v>
      </c>
      <c r="KW14" s="721">
        <v>21.945</v>
      </c>
      <c r="KX14" s="721">
        <v>12.5833333333333</v>
      </c>
      <c r="KY14" s="721">
        <v>0.22</v>
      </c>
      <c r="KZ14" s="721">
        <v>20.569500000000001</v>
      </c>
      <c r="LA14" s="721">
        <v>12.25</v>
      </c>
      <c r="LB14" s="721">
        <v>0.22</v>
      </c>
      <c r="LC14" s="721">
        <v>20.569500000000001</v>
      </c>
      <c r="LD14" s="721">
        <v>14.0833333333333</v>
      </c>
      <c r="LE14" s="721">
        <v>0.22</v>
      </c>
      <c r="LF14" s="721">
        <v>20.569500000000001</v>
      </c>
      <c r="LG14" s="721">
        <v>15.1666666666666</v>
      </c>
      <c r="LH14" s="721">
        <v>0.21333333333333299</v>
      </c>
      <c r="LI14" s="721">
        <v>20.569500000000001</v>
      </c>
      <c r="LJ14" s="721">
        <v>17.3333333333333</v>
      </c>
      <c r="LK14" s="721">
        <v>0.21333333333333299</v>
      </c>
      <c r="LL14" s="721">
        <v>20.563500000000001</v>
      </c>
      <c r="LM14" s="721">
        <v>16.8333333333333</v>
      </c>
      <c r="LN14" s="721">
        <v>0.21333333333333299</v>
      </c>
      <c r="LO14" s="721">
        <v>20.557500000000001</v>
      </c>
      <c r="LP14" s="721">
        <v>17.1666666666666</v>
      </c>
      <c r="LQ14" s="721">
        <v>0.21333333333333299</v>
      </c>
      <c r="LR14" s="721">
        <v>20.529</v>
      </c>
      <c r="LS14" s="721">
        <v>18.329999999999998</v>
      </c>
      <c r="LT14" s="721">
        <v>0.21</v>
      </c>
      <c r="LU14" s="721">
        <v>20.529</v>
      </c>
      <c r="LV14" s="721">
        <v>19.170000000000002</v>
      </c>
      <c r="LW14" s="721">
        <v>0.21</v>
      </c>
      <c r="LX14" s="721">
        <v>20.524999999999999</v>
      </c>
      <c r="LY14" s="721">
        <v>19.329999999999998</v>
      </c>
      <c r="LZ14" s="721">
        <v>0.21</v>
      </c>
      <c r="MA14" s="721">
        <v>20.518999999999998</v>
      </c>
      <c r="MB14" s="721">
        <v>18</v>
      </c>
      <c r="MC14" s="721">
        <v>0.21</v>
      </c>
      <c r="MD14" s="721">
        <v>20.513000000000002</v>
      </c>
      <c r="ME14" s="721">
        <v>18.39</v>
      </c>
      <c r="MF14" s="721">
        <v>0.2</v>
      </c>
      <c r="MG14" s="721">
        <v>20.513000000000002</v>
      </c>
      <c r="MH14" s="721">
        <v>16.89</v>
      </c>
      <c r="MI14" s="721">
        <v>0.2</v>
      </c>
      <c r="MJ14" s="721">
        <v>20.513000000000002</v>
      </c>
      <c r="MK14" s="721">
        <v>15.06</v>
      </c>
      <c r="ML14" s="721">
        <v>0.2</v>
      </c>
      <c r="MM14" s="721">
        <v>20.513000000000002</v>
      </c>
      <c r="MN14" s="721">
        <v>15.5</v>
      </c>
      <c r="MO14" s="721">
        <v>0.2</v>
      </c>
      <c r="MP14" s="721">
        <v>20.513000000000002</v>
      </c>
      <c r="MQ14" s="721">
        <v>13.5</v>
      </c>
    </row>
    <row r="15" spans="1:355">
      <c r="A15" s="633" t="s">
        <v>34</v>
      </c>
      <c r="B15" s="723" t="s">
        <v>73</v>
      </c>
      <c r="C15" s="886"/>
      <c r="D15" s="886"/>
      <c r="E15" s="886"/>
      <c r="F15" s="788"/>
      <c r="G15" s="788"/>
      <c r="H15" s="788"/>
      <c r="I15" s="788"/>
      <c r="J15" s="788"/>
      <c r="K15" s="788"/>
      <c r="L15" s="828"/>
      <c r="M15" s="829"/>
      <c r="N15" s="828"/>
      <c r="O15" s="828"/>
      <c r="P15" s="828"/>
      <c r="Q15" s="828"/>
      <c r="R15" s="828"/>
      <c r="S15" s="828"/>
      <c r="T15" s="828"/>
      <c r="U15" s="788"/>
      <c r="V15" s="827"/>
      <c r="W15" s="788"/>
      <c r="X15" s="832"/>
      <c r="Y15" s="788"/>
      <c r="Z15" s="788"/>
      <c r="AA15" s="788"/>
      <c r="AB15" s="788"/>
      <c r="AC15" s="788"/>
      <c r="AJ15" s="788"/>
      <c r="AK15" s="788"/>
      <c r="AL15" s="788"/>
      <c r="AM15" s="828"/>
      <c r="AN15" s="828"/>
      <c r="AO15" s="828"/>
      <c r="AP15" s="788"/>
      <c r="AQ15" s="788"/>
      <c r="AR15" s="788"/>
      <c r="AV15" s="723"/>
      <c r="AW15" s="723"/>
      <c r="AX15" s="723"/>
      <c r="AY15" s="723"/>
      <c r="AZ15" s="723"/>
      <c r="BA15" s="723"/>
      <c r="BB15" s="723"/>
      <c r="BC15" s="723"/>
      <c r="BD15" s="723"/>
      <c r="BE15" s="723"/>
      <c r="BF15" s="723"/>
      <c r="BG15" s="723"/>
      <c r="BH15" s="723"/>
      <c r="BI15" s="723"/>
      <c r="BJ15" s="723"/>
      <c r="BK15" s="723"/>
      <c r="BL15" s="723"/>
      <c r="BM15" s="723"/>
      <c r="BN15" s="723"/>
      <c r="BO15" s="723"/>
      <c r="BP15" s="723"/>
      <c r="BQ15" s="723"/>
      <c r="BR15" s="723"/>
      <c r="BS15" s="723"/>
      <c r="BT15" s="723"/>
      <c r="BU15" s="723"/>
      <c r="BV15" s="723"/>
      <c r="BW15" s="728"/>
      <c r="BX15" s="728"/>
      <c r="BY15" s="728"/>
      <c r="BZ15" s="723"/>
      <c r="CA15" s="723"/>
      <c r="CB15" s="723"/>
      <c r="CC15" s="723"/>
      <c r="CD15" s="723"/>
      <c r="CE15" s="723"/>
      <c r="CF15" s="723"/>
      <c r="CG15" s="723"/>
      <c r="CH15" s="723"/>
      <c r="CI15" s="728"/>
      <c r="CJ15" s="728"/>
      <c r="CK15" s="728"/>
      <c r="CL15" s="723"/>
      <c r="CM15" s="723"/>
      <c r="CN15" s="723"/>
      <c r="CO15" s="723"/>
      <c r="CP15" s="723"/>
      <c r="CQ15" s="723"/>
      <c r="CR15" s="723"/>
      <c r="CS15" s="723"/>
      <c r="CT15" s="723"/>
      <c r="CU15" s="728">
        <v>103.587</v>
      </c>
      <c r="CV15" s="728">
        <v>48.63</v>
      </c>
      <c r="CW15" s="754">
        <v>0.45</v>
      </c>
      <c r="CX15" s="722">
        <v>103.587</v>
      </c>
      <c r="CY15" s="723">
        <v>46.96</v>
      </c>
      <c r="CZ15" s="723">
        <f>0.42498+0.28332</f>
        <v>0.70830000000000004</v>
      </c>
      <c r="DA15" s="723">
        <v>103.587</v>
      </c>
      <c r="DB15" s="723">
        <v>44.81</v>
      </c>
      <c r="DC15" s="722">
        <v>0.42499999999999999</v>
      </c>
      <c r="DD15" s="723">
        <v>103.587</v>
      </c>
      <c r="DE15" s="723">
        <v>45.98</v>
      </c>
      <c r="DF15" s="723">
        <v>0.42499999999999999</v>
      </c>
      <c r="DG15" s="723">
        <v>103.587</v>
      </c>
      <c r="DH15" s="723">
        <v>46.27</v>
      </c>
      <c r="DI15" s="723">
        <v>0.42499999999999999</v>
      </c>
      <c r="DJ15" s="723">
        <v>103.587</v>
      </c>
      <c r="DK15" s="723">
        <v>42.19</v>
      </c>
      <c r="DL15" s="753">
        <v>0.42499999999999999</v>
      </c>
      <c r="DM15" s="723">
        <v>105.994</v>
      </c>
      <c r="DN15" s="723">
        <v>39.35</v>
      </c>
      <c r="DO15" s="723">
        <v>0.4</v>
      </c>
      <c r="DP15" s="723">
        <v>106.80800000000001</v>
      </c>
      <c r="DQ15" s="723">
        <v>35</v>
      </c>
      <c r="DR15" s="723">
        <v>0.4</v>
      </c>
      <c r="DS15" s="723">
        <v>106.80800000000001</v>
      </c>
      <c r="DT15" s="725">
        <v>35.42</v>
      </c>
      <c r="DU15" s="723">
        <v>0.4</v>
      </c>
      <c r="DV15" s="723">
        <v>106.80800000000001</v>
      </c>
      <c r="DW15" s="723">
        <v>36.799999999999997</v>
      </c>
      <c r="DX15" s="723">
        <v>0.4</v>
      </c>
      <c r="DY15" s="723">
        <v>106.80800000000001</v>
      </c>
      <c r="DZ15" s="723">
        <v>31.82</v>
      </c>
      <c r="EA15" s="723">
        <v>0.375</v>
      </c>
      <c r="EB15" s="723">
        <v>106.80800000000001</v>
      </c>
      <c r="EC15" s="723">
        <v>32.11</v>
      </c>
      <c r="ED15" s="723">
        <v>0.375</v>
      </c>
      <c r="EE15" s="723">
        <v>106.81</v>
      </c>
      <c r="EF15" s="723">
        <v>31.88</v>
      </c>
      <c r="EG15" s="723">
        <v>0.375</v>
      </c>
      <c r="EH15" s="723">
        <v>106.80800000000001</v>
      </c>
      <c r="EI15" s="723">
        <v>36.49</v>
      </c>
      <c r="EJ15" s="723">
        <v>0.375</v>
      </c>
      <c r="EK15" s="723">
        <v>106.80800000000001</v>
      </c>
      <c r="EL15" s="723">
        <v>33.5</v>
      </c>
      <c r="EM15" s="723">
        <v>0.35</v>
      </c>
      <c r="EN15" s="723">
        <v>106.80800000000001</v>
      </c>
      <c r="EO15" s="723">
        <v>33.82</v>
      </c>
      <c r="EP15" s="723">
        <v>0.35</v>
      </c>
      <c r="EQ15" s="723">
        <v>106.80800000000001</v>
      </c>
      <c r="ER15" s="723">
        <v>30.43</v>
      </c>
      <c r="ES15" s="723">
        <v>0.35</v>
      </c>
      <c r="ET15" s="722">
        <v>106.80800000000001</v>
      </c>
      <c r="EU15" s="722">
        <v>36.22</v>
      </c>
      <c r="EV15" s="722">
        <v>0.35</v>
      </c>
      <c r="EW15" s="723">
        <v>106.80800000000001</v>
      </c>
      <c r="EX15" s="723">
        <v>34.81</v>
      </c>
      <c r="EY15" s="723">
        <v>0.32500000000000001</v>
      </c>
      <c r="EZ15" s="723">
        <v>106.80800000000001</v>
      </c>
      <c r="FA15" s="723">
        <v>32.450000000000003</v>
      </c>
      <c r="FB15" s="723">
        <v>0.32500000000000001</v>
      </c>
      <c r="FC15" s="723">
        <v>106.80800000000001</v>
      </c>
      <c r="FD15" s="741">
        <v>35.119999999999997</v>
      </c>
      <c r="FE15" s="723">
        <v>0.32500000000000001</v>
      </c>
      <c r="FF15" s="727">
        <v>106.80800000000001</v>
      </c>
      <c r="FG15" s="727">
        <v>34.36</v>
      </c>
      <c r="FH15" s="749">
        <v>0.32500000000000001</v>
      </c>
      <c r="FI15" s="727">
        <v>106.80800000000001</v>
      </c>
      <c r="FJ15" s="727">
        <v>33.36</v>
      </c>
      <c r="FK15" s="727">
        <v>0.30249999999999999</v>
      </c>
      <c r="FL15" s="727">
        <v>106.80800000000001</v>
      </c>
      <c r="FM15" s="727">
        <v>28.6</v>
      </c>
      <c r="FN15" s="727">
        <v>0.30249999999999999</v>
      </c>
      <c r="FO15" s="727">
        <v>106.80800000000001</v>
      </c>
      <c r="FP15" s="727">
        <v>28.61</v>
      </c>
      <c r="FQ15" s="727">
        <v>0.30249999999999999</v>
      </c>
      <c r="FR15" s="727">
        <v>106.80800000000001</v>
      </c>
      <c r="FS15" s="742">
        <v>28.7</v>
      </c>
      <c r="FT15" s="626">
        <f>1.16/4</f>
        <v>0.28999999999999998</v>
      </c>
      <c r="FU15" s="727">
        <v>106.767</v>
      </c>
      <c r="FV15" s="727">
        <v>28.92</v>
      </c>
      <c r="FW15" s="727">
        <v>0.28999999999999998</v>
      </c>
      <c r="FX15" s="727">
        <v>106.636</v>
      </c>
      <c r="FY15" s="727">
        <v>30.83</v>
      </c>
      <c r="FZ15" s="727">
        <v>0.28999999999999998</v>
      </c>
      <c r="GA15" s="727">
        <f>53.168*2</f>
        <v>106.336</v>
      </c>
      <c r="GB15" s="727">
        <f>54.3/2</f>
        <v>27.15</v>
      </c>
      <c r="GC15" s="727">
        <v>0.28999999999999998</v>
      </c>
      <c r="GD15" s="750">
        <f>53.168*2</f>
        <v>106.336</v>
      </c>
      <c r="GE15" s="741">
        <f>54.28/2</f>
        <v>27.14</v>
      </c>
      <c r="GF15" s="751">
        <f>0.58/2</f>
        <v>0.28999999999999998</v>
      </c>
      <c r="GG15" s="750">
        <f>53.085*2</f>
        <v>106.17</v>
      </c>
      <c r="GH15" s="727">
        <f>49.1/2</f>
        <v>24.55</v>
      </c>
      <c r="GI15" s="727">
        <f>0.555/2</f>
        <v>0.27750000000000002</v>
      </c>
      <c r="GJ15" s="727">
        <f>53.033*2</f>
        <v>106.066</v>
      </c>
      <c r="GK15" s="727">
        <f>47.88/2</f>
        <v>23.94</v>
      </c>
      <c r="GL15" s="727">
        <f>0.555/2</f>
        <v>0.27750000000000002</v>
      </c>
      <c r="GM15" s="727">
        <f>53.033*2</f>
        <v>106.066</v>
      </c>
      <c r="GN15" s="727">
        <f>50.72/2</f>
        <v>25.36</v>
      </c>
      <c r="GO15" s="727">
        <f>0.555/2</f>
        <v>0.27750000000000002</v>
      </c>
      <c r="GP15" s="727">
        <f>53.033*2</f>
        <v>106.066</v>
      </c>
      <c r="GQ15" s="727">
        <f>48.5/2</f>
        <v>24.25</v>
      </c>
      <c r="GR15" s="727">
        <f>0.555/2</f>
        <v>0.27750000000000002</v>
      </c>
      <c r="GS15" s="727">
        <f>53.033*2</f>
        <v>106.066</v>
      </c>
      <c r="GT15" s="727">
        <f>47.5/2</f>
        <v>23.75</v>
      </c>
      <c r="GU15" s="727">
        <f>0.54/2</f>
        <v>0.27</v>
      </c>
      <c r="GV15" s="727">
        <f>53.033*2</f>
        <v>106.066</v>
      </c>
      <c r="GW15" s="727">
        <f>45.55/2</f>
        <v>22.774999999999999</v>
      </c>
      <c r="GX15" s="727">
        <f>0.54/2</f>
        <v>0.27</v>
      </c>
      <c r="GY15" s="727">
        <f>53.033*2</f>
        <v>106.066</v>
      </c>
      <c r="GZ15" s="727">
        <f>40.02/2</f>
        <v>20.010000000000002</v>
      </c>
      <c r="HA15" s="727">
        <f>0.54/2</f>
        <v>0.27</v>
      </c>
      <c r="HB15" s="727">
        <f>53.033*2</f>
        <v>106.066</v>
      </c>
      <c r="HC15" s="727">
        <f>44.39/2</f>
        <v>22.195</v>
      </c>
      <c r="HD15" s="727">
        <f>0.54/2</f>
        <v>0.27</v>
      </c>
      <c r="HE15" s="727">
        <f>53.033*2</f>
        <v>106.066</v>
      </c>
      <c r="HF15" s="727">
        <f>39.55/2</f>
        <v>19.774999999999999</v>
      </c>
      <c r="HG15" s="727">
        <f>0.53/2</f>
        <v>0.26500000000000001</v>
      </c>
      <c r="HH15" s="727">
        <f>53.033*2</f>
        <v>106.066</v>
      </c>
      <c r="HI15" s="727">
        <f>44.78/2</f>
        <v>22.39</v>
      </c>
      <c r="HJ15" s="727">
        <f>0.53/2</f>
        <v>0.26500000000000001</v>
      </c>
      <c r="HK15" s="727">
        <f>53.033*2</f>
        <v>106.066</v>
      </c>
      <c r="HL15" s="727">
        <f>45.34/2</f>
        <v>22.67</v>
      </c>
      <c r="HM15" s="727">
        <f>0.53/2</f>
        <v>0.26500000000000001</v>
      </c>
      <c r="HN15" s="727">
        <f>53.033*2</f>
        <v>106.066</v>
      </c>
      <c r="HO15" s="727">
        <f>44.85/2</f>
        <v>22.425000000000001</v>
      </c>
      <c r="HP15" s="727">
        <f>0.53/2</f>
        <v>0.26500000000000001</v>
      </c>
      <c r="HQ15" s="727">
        <f>53.033*2</f>
        <v>106.066</v>
      </c>
      <c r="HR15" s="727">
        <f>41.9/2</f>
        <v>20.95</v>
      </c>
      <c r="HS15" s="727">
        <f>0.515/2</f>
        <v>0.25750000000000001</v>
      </c>
      <c r="HT15" s="727">
        <f>53.033*2</f>
        <v>106.066</v>
      </c>
      <c r="HU15" s="727">
        <f>42.56/2</f>
        <v>21.28</v>
      </c>
      <c r="HV15" s="727">
        <f>0.515/2</f>
        <v>0.25750000000000001</v>
      </c>
      <c r="HW15" s="727">
        <f>53.033*2</f>
        <v>106.066</v>
      </c>
      <c r="HX15" s="727">
        <f>38.3/2</f>
        <v>19.149999999999999</v>
      </c>
      <c r="HY15" s="727">
        <f>0.515/2</f>
        <v>0.25750000000000001</v>
      </c>
      <c r="HZ15" s="727">
        <f>53.69*2</f>
        <v>107.38</v>
      </c>
      <c r="IA15" s="727">
        <f>42.875/2</f>
        <v>21.4375</v>
      </c>
      <c r="IB15" s="727">
        <f>0.515/2</f>
        <v>0.25750000000000001</v>
      </c>
      <c r="IC15" s="727">
        <f>55.597*2</f>
        <v>111.194</v>
      </c>
      <c r="ID15" s="727">
        <f>40.25/2</f>
        <v>20.125</v>
      </c>
      <c r="IE15" s="727">
        <f>0.5/2</f>
        <v>0.25</v>
      </c>
      <c r="IF15" s="727">
        <f>57.262*2</f>
        <v>114.524</v>
      </c>
      <c r="IG15" s="727">
        <f>40.6875/2</f>
        <v>20.34375</v>
      </c>
      <c r="IH15" s="727">
        <f>0.5/2</f>
        <v>0.25</v>
      </c>
      <c r="II15" s="727">
        <f>50.796*2</f>
        <v>101.592</v>
      </c>
      <c r="IJ15" s="722">
        <f>42/2</f>
        <v>21</v>
      </c>
      <c r="IK15" s="722">
        <f>0.5/2</f>
        <v>0.25</v>
      </c>
      <c r="IW15" s="721">
        <v>0.48499999999999999</v>
      </c>
      <c r="IX15" s="721">
        <v>48.52</v>
      </c>
      <c r="IY15" s="721">
        <v>41.188000000000002</v>
      </c>
      <c r="IZ15" s="721">
        <v>0.48499999999999999</v>
      </c>
      <c r="JA15" s="721">
        <v>48.52</v>
      </c>
      <c r="JB15" s="721">
        <v>43.563000000000002</v>
      </c>
      <c r="JC15" s="721">
        <v>0.47</v>
      </c>
      <c r="JD15" s="721">
        <v>48.52</v>
      </c>
      <c r="JE15" s="721">
        <v>41.5</v>
      </c>
      <c r="JF15" s="721">
        <v>0.47</v>
      </c>
      <c r="JG15" s="721">
        <v>48.52</v>
      </c>
      <c r="JH15" s="721">
        <v>41.9375</v>
      </c>
      <c r="JI15" s="721">
        <v>0.47</v>
      </c>
      <c r="JJ15" s="721">
        <v>48.515000000000001</v>
      </c>
      <c r="JK15" s="721">
        <v>37.875</v>
      </c>
      <c r="JL15" s="721">
        <v>0.47</v>
      </c>
      <c r="JM15" s="721">
        <v>48.515000000000001</v>
      </c>
      <c r="JN15" s="721">
        <v>30.6875</v>
      </c>
      <c r="JO15" s="721">
        <v>0.47</v>
      </c>
      <c r="JP15" s="721">
        <v>48.515000000000001</v>
      </c>
      <c r="JQ15" s="721">
        <v>26.375</v>
      </c>
      <c r="JR15" s="721">
        <v>0.47</v>
      </c>
      <c r="JS15" s="721">
        <v>48.326999999999998</v>
      </c>
      <c r="JT15" s="721">
        <v>26.125</v>
      </c>
      <c r="JU15" s="721">
        <v>0.47</v>
      </c>
      <c r="JV15" s="721">
        <v>48.326999999999998</v>
      </c>
      <c r="JW15" s="721">
        <v>26.875</v>
      </c>
      <c r="JX15" s="721">
        <v>0.47</v>
      </c>
      <c r="JY15" s="721">
        <v>46.860999999999997</v>
      </c>
      <c r="JZ15" s="721">
        <v>22</v>
      </c>
      <c r="KA15" s="721">
        <v>0.47</v>
      </c>
      <c r="KB15" s="721">
        <v>46.860999999999997</v>
      </c>
      <c r="KC15" s="721">
        <v>25.5</v>
      </c>
      <c r="KD15" s="721">
        <v>0.47</v>
      </c>
      <c r="KE15" s="721">
        <v>46.860999999999997</v>
      </c>
      <c r="KF15" s="721">
        <v>26.875</v>
      </c>
      <c r="KG15" s="721">
        <v>0.47</v>
      </c>
      <c r="KH15" s="721">
        <v>46.860999999999997</v>
      </c>
      <c r="KI15" s="721">
        <v>29.5</v>
      </c>
      <c r="KJ15" s="721">
        <v>0.47</v>
      </c>
      <c r="KK15" s="721">
        <v>45.600999999999999</v>
      </c>
      <c r="KL15" s="721">
        <v>27.5</v>
      </c>
      <c r="KM15" s="721">
        <v>0.45500000000000002</v>
      </c>
      <c r="KN15" s="721">
        <v>45.600999999999999</v>
      </c>
      <c r="KO15" s="721">
        <v>26.125</v>
      </c>
      <c r="KP15" s="721">
        <v>0.45500000000000002</v>
      </c>
      <c r="KQ15" s="721">
        <v>45.600999999999999</v>
      </c>
      <c r="KR15" s="721">
        <v>24</v>
      </c>
      <c r="KS15" s="721">
        <v>0.45500000000000002</v>
      </c>
      <c r="KT15" s="721">
        <v>45.286000000000001</v>
      </c>
      <c r="KU15" s="721">
        <v>24</v>
      </c>
      <c r="KV15" s="721">
        <v>0.45500000000000002</v>
      </c>
      <c r="KW15" s="721">
        <v>45.286000000000001</v>
      </c>
      <c r="KX15" s="721">
        <v>23.5</v>
      </c>
      <c r="KY15" s="721">
        <v>0.44</v>
      </c>
      <c r="KZ15" s="721">
        <v>45.237000000000002</v>
      </c>
      <c r="LA15" s="721">
        <v>26.375</v>
      </c>
      <c r="LB15" s="721">
        <v>0.44</v>
      </c>
      <c r="LC15" s="721">
        <v>45.005000000000003</v>
      </c>
      <c r="LD15" s="721">
        <v>27.125</v>
      </c>
      <c r="LE15" s="721">
        <v>0.44</v>
      </c>
      <c r="LF15" s="721">
        <v>45.005000000000003</v>
      </c>
      <c r="LG15" s="721">
        <v>29.75</v>
      </c>
      <c r="LH15" s="721">
        <v>0.44</v>
      </c>
      <c r="LI15" s="721">
        <v>45.005000000000003</v>
      </c>
      <c r="LJ15" s="721">
        <v>32.25</v>
      </c>
      <c r="LK15" s="721">
        <v>0.42499999999999999</v>
      </c>
      <c r="LL15" s="721">
        <v>44.912999999999997</v>
      </c>
      <c r="LM15" s="721">
        <v>30.625</v>
      </c>
      <c r="LN15" s="721">
        <v>0.42499999999999999</v>
      </c>
      <c r="LO15" s="721">
        <v>44.820999999999998</v>
      </c>
      <c r="LP15" s="721">
        <v>30.375</v>
      </c>
      <c r="LQ15" s="721">
        <v>0.42499999999999999</v>
      </c>
      <c r="LR15" s="721">
        <v>42.613</v>
      </c>
      <c r="LS15" s="721">
        <v>27.5</v>
      </c>
      <c r="LT15" s="721">
        <v>0.41</v>
      </c>
      <c r="LU15" s="721">
        <v>42.613</v>
      </c>
      <c r="LV15" s="721">
        <v>25.38</v>
      </c>
      <c r="LW15" s="721">
        <v>0.41</v>
      </c>
      <c r="LX15" s="721">
        <v>42.167999999999999</v>
      </c>
      <c r="LY15" s="721">
        <v>25.88</v>
      </c>
      <c r="LZ15" s="721">
        <v>0.41</v>
      </c>
      <c r="MA15" s="721">
        <v>42.110999999999997</v>
      </c>
      <c r="MB15" s="721">
        <v>22.63</v>
      </c>
      <c r="MC15" s="721">
        <v>0.41</v>
      </c>
      <c r="MD15" s="721">
        <v>39.347999999999999</v>
      </c>
      <c r="ME15" s="721">
        <v>24.75</v>
      </c>
      <c r="MF15" s="721">
        <v>0.4</v>
      </c>
      <c r="MG15" s="721">
        <v>39.185000000000002</v>
      </c>
      <c r="MH15" s="721">
        <v>21.75</v>
      </c>
      <c r="MI15" s="721">
        <v>0.4</v>
      </c>
      <c r="MJ15" s="721">
        <v>39.127000000000002</v>
      </c>
      <c r="MK15" s="721">
        <v>19.63</v>
      </c>
      <c r="ML15" s="721">
        <v>0.4</v>
      </c>
      <c r="MM15" s="721">
        <v>39.069000000000003</v>
      </c>
      <c r="MN15" s="721">
        <v>20.38</v>
      </c>
      <c r="MO15" s="721">
        <v>0.4</v>
      </c>
      <c r="MP15" s="721">
        <v>38.779000000000003</v>
      </c>
      <c r="MQ15" s="721">
        <v>20</v>
      </c>
    </row>
    <row r="16" spans="1:355">
      <c r="A16" s="633" t="s">
        <v>20</v>
      </c>
      <c r="B16" s="729" t="s">
        <v>122</v>
      </c>
      <c r="C16" s="886"/>
      <c r="D16" s="886"/>
      <c r="E16" s="886"/>
      <c r="F16" s="788"/>
      <c r="G16" s="788"/>
      <c r="H16" s="788"/>
      <c r="I16" s="788"/>
      <c r="J16" s="788"/>
      <c r="K16" s="788"/>
      <c r="L16" s="828"/>
      <c r="M16" s="829"/>
      <c r="N16" s="828"/>
      <c r="O16" s="828"/>
      <c r="P16" s="828"/>
      <c r="Q16" s="828"/>
      <c r="R16" s="828"/>
      <c r="S16" s="828"/>
      <c r="T16" s="828"/>
      <c r="U16" s="788"/>
      <c r="V16" s="827"/>
      <c r="W16" s="788"/>
      <c r="X16" s="832"/>
      <c r="Y16" s="788"/>
      <c r="Z16" s="788"/>
      <c r="AA16" s="788"/>
      <c r="AB16" s="788"/>
      <c r="AC16" s="788"/>
      <c r="AJ16" s="788"/>
      <c r="AK16" s="788"/>
      <c r="AL16" s="788"/>
      <c r="AM16" s="828"/>
      <c r="AN16" s="828"/>
      <c r="AO16" s="828"/>
      <c r="AP16" s="788"/>
      <c r="AQ16" s="788"/>
      <c r="AR16" s="788"/>
      <c r="AS16" s="729"/>
      <c r="AT16" s="729"/>
      <c r="AU16" s="729"/>
      <c r="AV16" s="729"/>
      <c r="AW16" s="729"/>
      <c r="AX16" s="729"/>
      <c r="AY16" s="729"/>
      <c r="AZ16" s="729"/>
      <c r="BA16" s="729"/>
      <c r="BB16" s="729"/>
      <c r="BC16" s="729"/>
      <c r="BD16" s="729"/>
      <c r="BE16" s="729"/>
      <c r="BF16" s="729"/>
      <c r="BG16" s="729"/>
      <c r="BH16" s="729"/>
      <c r="BI16" s="729"/>
      <c r="BJ16" s="729"/>
      <c r="BK16" s="729"/>
      <c r="BL16" s="729"/>
      <c r="BM16" s="729"/>
      <c r="BN16" s="729"/>
      <c r="BO16" s="729"/>
      <c r="BP16" s="729"/>
      <c r="BQ16" s="729"/>
      <c r="BR16" s="729"/>
      <c r="BS16" s="729"/>
      <c r="BT16" s="729"/>
      <c r="BU16" s="729"/>
      <c r="BV16" s="729"/>
      <c r="BW16" s="731"/>
      <c r="BX16" s="731"/>
      <c r="BY16" s="731"/>
      <c r="BZ16" s="729"/>
      <c r="CA16" s="729"/>
      <c r="CB16" s="729"/>
      <c r="CC16" s="729"/>
      <c r="CD16" s="729"/>
      <c r="CE16" s="729"/>
      <c r="CF16" s="729"/>
      <c r="CG16" s="729"/>
      <c r="CH16" s="729"/>
      <c r="CI16" s="731"/>
      <c r="CJ16" s="731"/>
      <c r="CK16" s="731"/>
      <c r="CL16" s="729"/>
      <c r="CM16" s="729"/>
      <c r="CN16" s="729"/>
      <c r="CO16" s="729"/>
      <c r="CP16" s="729"/>
      <c r="CQ16" s="729"/>
      <c r="CR16" s="729">
        <v>297</v>
      </c>
      <c r="CS16" s="729">
        <v>60.17</v>
      </c>
      <c r="CT16" s="729">
        <v>0.62</v>
      </c>
      <c r="CU16" s="731">
        <v>295.8</v>
      </c>
      <c r="CV16" s="731">
        <v>53.11</v>
      </c>
      <c r="CW16" s="731">
        <v>0.62</v>
      </c>
      <c r="CX16" s="727">
        <v>296</v>
      </c>
      <c r="CY16" s="729">
        <v>56.02</v>
      </c>
      <c r="CZ16" s="729">
        <v>0.62160000000000004</v>
      </c>
      <c r="DA16" s="729">
        <v>296</v>
      </c>
      <c r="DB16" s="729">
        <v>51.72</v>
      </c>
      <c r="DC16" s="727">
        <v>0.62</v>
      </c>
      <c r="DD16" s="729">
        <v>295</v>
      </c>
      <c r="DE16" s="729">
        <v>48.01</v>
      </c>
      <c r="DF16" s="729">
        <v>0.62</v>
      </c>
      <c r="DG16" s="729">
        <v>294</v>
      </c>
      <c r="DH16" s="729">
        <v>46.14</v>
      </c>
      <c r="DI16" s="729">
        <v>0.62</v>
      </c>
      <c r="DJ16" s="729">
        <v>294</v>
      </c>
      <c r="DK16" s="729">
        <v>43.48</v>
      </c>
      <c r="DL16" s="729">
        <v>0.62</v>
      </c>
      <c r="DM16" s="729">
        <v>290</v>
      </c>
      <c r="DN16" s="729">
        <v>44.42</v>
      </c>
      <c r="DO16" s="729">
        <v>0.62</v>
      </c>
      <c r="DP16" s="729">
        <v>284</v>
      </c>
      <c r="DQ16" s="729">
        <v>39.22</v>
      </c>
      <c r="DR16" s="729">
        <v>0.62</v>
      </c>
      <c r="DS16" s="729">
        <v>281</v>
      </c>
      <c r="DT16" s="755">
        <v>39.36</v>
      </c>
      <c r="DU16" s="729">
        <v>0.62</v>
      </c>
      <c r="DV16" s="729">
        <v>280</v>
      </c>
      <c r="DW16" s="729">
        <v>41.01</v>
      </c>
      <c r="DX16" s="729">
        <v>0.62</v>
      </c>
      <c r="DY16" s="729">
        <v>280</v>
      </c>
      <c r="DZ16" s="729">
        <v>39.06</v>
      </c>
      <c r="EA16" s="729">
        <v>0.62</v>
      </c>
      <c r="EB16" s="729">
        <v>277</v>
      </c>
      <c r="EC16" s="729">
        <v>37.83</v>
      </c>
      <c r="ED16" s="729">
        <v>0.62</v>
      </c>
      <c r="EE16" s="729">
        <v>262</v>
      </c>
      <c r="EF16" s="729">
        <v>36.26</v>
      </c>
      <c r="EG16" s="729">
        <v>0.62</v>
      </c>
      <c r="EH16" s="729">
        <v>261</v>
      </c>
      <c r="EI16" s="729">
        <v>39.85</v>
      </c>
      <c r="EJ16" s="729">
        <v>0.62</v>
      </c>
      <c r="EK16" s="729">
        <v>260</v>
      </c>
      <c r="EL16" s="729">
        <v>43.13</v>
      </c>
      <c r="EM16" s="729">
        <v>0.61499999999999999</v>
      </c>
      <c r="EN16" s="729">
        <v>259</v>
      </c>
      <c r="EO16" s="729">
        <v>41.83</v>
      </c>
      <c r="EP16" s="729">
        <v>0.61499999999999999</v>
      </c>
      <c r="EQ16" s="729">
        <v>256.10000000000002</v>
      </c>
      <c r="ER16" s="729">
        <v>41.7</v>
      </c>
      <c r="ES16" s="729">
        <v>0.61499999999999999</v>
      </c>
      <c r="ET16" s="727">
        <v>257</v>
      </c>
      <c r="EU16" s="727">
        <v>48.43</v>
      </c>
      <c r="EV16" s="727">
        <v>0.61499999999999999</v>
      </c>
      <c r="EW16" s="729">
        <v>256</v>
      </c>
      <c r="EX16" s="729">
        <v>46.85</v>
      </c>
      <c r="EY16" s="729">
        <v>0.61</v>
      </c>
      <c r="EZ16" s="729">
        <v>254</v>
      </c>
      <c r="FA16" s="729">
        <v>45.59</v>
      </c>
      <c r="FB16" s="729">
        <v>0.61</v>
      </c>
      <c r="FC16" s="723">
        <v>250.4</v>
      </c>
      <c r="FD16" s="741">
        <v>50.44</v>
      </c>
      <c r="FE16" s="723">
        <v>0.61</v>
      </c>
      <c r="FF16" s="727">
        <v>251</v>
      </c>
      <c r="FG16" s="727">
        <v>49.08</v>
      </c>
      <c r="FH16" s="749">
        <v>0.61</v>
      </c>
      <c r="FI16" s="727">
        <v>250</v>
      </c>
      <c r="FJ16" s="727">
        <v>45.38</v>
      </c>
      <c r="FK16" s="727">
        <v>0.60499999999999998</v>
      </c>
      <c r="FL16" s="727">
        <v>249</v>
      </c>
      <c r="FM16" s="727">
        <v>42.87</v>
      </c>
      <c r="FN16" s="727">
        <v>0.60499999999999998</v>
      </c>
      <c r="FO16" s="727">
        <v>248</v>
      </c>
      <c r="FP16" s="727">
        <v>43.98</v>
      </c>
      <c r="FQ16" s="727">
        <v>0.60499999999999998</v>
      </c>
      <c r="FR16" s="727">
        <v>248</v>
      </c>
      <c r="FS16" s="742">
        <v>43.92</v>
      </c>
      <c r="FT16" s="626">
        <f>2.42/4</f>
        <v>0.60499999999999998</v>
      </c>
      <c r="FU16" s="727">
        <v>246</v>
      </c>
      <c r="FV16" s="727">
        <v>44.75</v>
      </c>
      <c r="FW16" s="727">
        <v>0.59</v>
      </c>
      <c r="FX16" s="727">
        <v>244</v>
      </c>
      <c r="FY16" s="727">
        <v>45.24</v>
      </c>
      <c r="FZ16" s="727">
        <v>0.59</v>
      </c>
      <c r="GA16" s="727">
        <v>243</v>
      </c>
      <c r="GB16" s="727">
        <v>41.95</v>
      </c>
      <c r="GC16" s="727">
        <v>0.59</v>
      </c>
      <c r="GD16" s="750">
        <v>243</v>
      </c>
      <c r="GE16" s="741">
        <v>45.24</v>
      </c>
      <c r="GF16" s="751">
        <v>0.59</v>
      </c>
      <c r="GG16" s="750">
        <v>242</v>
      </c>
      <c r="GH16" s="727">
        <v>42.34</v>
      </c>
      <c r="GI16" s="727">
        <v>0.57499999999999996</v>
      </c>
      <c r="GJ16" s="727">
        <v>241</v>
      </c>
      <c r="GK16" s="727">
        <v>44.05</v>
      </c>
      <c r="GL16" s="727">
        <v>0.57499999999999996</v>
      </c>
      <c r="GM16" s="727">
        <v>240.345</v>
      </c>
      <c r="GN16" s="727">
        <v>47.08</v>
      </c>
      <c r="GO16" s="727">
        <v>0.57499999999999996</v>
      </c>
      <c r="GP16" s="727">
        <v>239.02500000000001</v>
      </c>
      <c r="GQ16" s="727">
        <v>45.26</v>
      </c>
      <c r="GR16" s="727">
        <v>0.57499999999999996</v>
      </c>
      <c r="GS16" s="727">
        <v>236.05699999999999</v>
      </c>
      <c r="GT16" s="727">
        <v>44.46</v>
      </c>
      <c r="GU16" s="727">
        <v>0.56000000000000005</v>
      </c>
      <c r="GV16" s="727">
        <v>233.43799999999999</v>
      </c>
      <c r="GW16" s="727">
        <v>43.9</v>
      </c>
      <c r="GX16" s="727">
        <v>0.56000000000000005</v>
      </c>
      <c r="GY16" s="727">
        <v>224.80699999999999</v>
      </c>
      <c r="GZ16" s="727">
        <v>39.15</v>
      </c>
      <c r="HA16" s="727">
        <v>0.56000000000000005</v>
      </c>
      <c r="HB16" s="727">
        <v>216.07900000000001</v>
      </c>
      <c r="HC16" s="727">
        <v>43.35</v>
      </c>
      <c r="HD16" s="727">
        <v>0.56000000000000005</v>
      </c>
      <c r="HE16" s="727">
        <v>215.00700000000001</v>
      </c>
      <c r="HF16" s="727">
        <v>40.869999999999997</v>
      </c>
      <c r="HG16" s="727">
        <v>0.54500000000000004</v>
      </c>
      <c r="HH16" s="727">
        <v>212.97900000000001</v>
      </c>
      <c r="HI16" s="727">
        <v>52.01</v>
      </c>
      <c r="HJ16" s="727">
        <v>0.54500000000000004</v>
      </c>
      <c r="HK16" s="727">
        <v>212.86600000000001</v>
      </c>
      <c r="HL16" s="727">
        <v>50.04</v>
      </c>
      <c r="HM16" s="727">
        <v>0.54500000000000004</v>
      </c>
      <c r="HN16" s="727">
        <v>205.86600000000001</v>
      </c>
      <c r="HO16" s="727">
        <v>45.03</v>
      </c>
      <c r="HP16" s="727">
        <v>0.54500000000000004</v>
      </c>
      <c r="HQ16" s="727">
        <v>200.04300000000001</v>
      </c>
      <c r="HR16" s="727">
        <v>42.99</v>
      </c>
      <c r="HS16" s="727">
        <v>0.53</v>
      </c>
      <c r="HT16" s="727">
        <v>199.79900000000001</v>
      </c>
      <c r="HU16" s="727">
        <v>44.92</v>
      </c>
      <c r="HV16" s="727">
        <v>0.53</v>
      </c>
      <c r="HW16" s="727">
        <v>168.899</v>
      </c>
      <c r="HX16" s="727">
        <v>43.07</v>
      </c>
      <c r="HY16" s="727">
        <v>0.53</v>
      </c>
      <c r="HZ16" s="727">
        <v>153.32400000000001</v>
      </c>
      <c r="IA16" s="727">
        <v>49.1875</v>
      </c>
      <c r="IB16" s="727">
        <v>0.52500000000000002</v>
      </c>
      <c r="IC16" s="727">
        <v>159.597655</v>
      </c>
      <c r="ID16" s="727">
        <v>41.6875</v>
      </c>
      <c r="IE16" s="727">
        <v>0.51500000000000001</v>
      </c>
      <c r="IF16" s="727">
        <v>153.054</v>
      </c>
      <c r="IG16" s="727">
        <v>31.9375</v>
      </c>
      <c r="IH16" s="727">
        <v>0.51500000000000001</v>
      </c>
      <c r="II16" s="727">
        <v>152.905</v>
      </c>
      <c r="IJ16" s="722">
        <v>32.4375</v>
      </c>
      <c r="IK16" s="722">
        <v>0.51500000000000001</v>
      </c>
      <c r="IL16" s="722">
        <v>159.589744</v>
      </c>
      <c r="IM16" s="727">
        <v>30.4375</v>
      </c>
      <c r="IN16" s="722">
        <v>0.51500000000000001</v>
      </c>
      <c r="IO16" s="722">
        <v>144.46600000000001</v>
      </c>
      <c r="IP16" s="727">
        <v>35.375</v>
      </c>
      <c r="IQ16" s="722">
        <v>0.5</v>
      </c>
      <c r="IR16" s="721">
        <v>144.03</v>
      </c>
      <c r="IS16" s="721">
        <v>42.8125</v>
      </c>
      <c r="IT16" s="721">
        <v>0.5</v>
      </c>
      <c r="IU16" s="721">
        <v>144</v>
      </c>
      <c r="IV16" s="721">
        <v>37.8125</v>
      </c>
      <c r="IW16" s="721">
        <v>0.5</v>
      </c>
      <c r="IX16" s="721">
        <v>144</v>
      </c>
      <c r="IY16" s="721">
        <v>47.063000000000002</v>
      </c>
      <c r="IZ16" s="721">
        <v>0.5</v>
      </c>
      <c r="JA16" s="721">
        <v>143.77000000000001</v>
      </c>
      <c r="JB16" s="721">
        <v>46.188000000000002</v>
      </c>
      <c r="JC16" s="721">
        <v>0.48499999999999999</v>
      </c>
      <c r="JD16" s="721">
        <v>143.77000000000001</v>
      </c>
      <c r="JE16" s="721">
        <v>43.375</v>
      </c>
      <c r="JF16" s="721">
        <v>0.48499999999999999</v>
      </c>
      <c r="JG16" s="721">
        <v>143.80000000000001</v>
      </c>
      <c r="JH16" s="721">
        <v>45.25</v>
      </c>
      <c r="JI16" s="721">
        <v>0.48499999999999999</v>
      </c>
      <c r="JJ16" s="721">
        <v>143.80000000000001</v>
      </c>
      <c r="JK16" s="721">
        <v>42.375</v>
      </c>
      <c r="JL16" s="721">
        <v>0.48</v>
      </c>
      <c r="JM16" s="721">
        <v>143.495</v>
      </c>
      <c r="JN16" s="721">
        <v>36</v>
      </c>
      <c r="JO16" s="721">
        <v>0.47</v>
      </c>
      <c r="JP16" s="721">
        <v>143.495</v>
      </c>
      <c r="JQ16" s="721">
        <v>35.875</v>
      </c>
      <c r="JR16" s="721">
        <v>0.47</v>
      </c>
      <c r="JS16" s="721">
        <v>143.738</v>
      </c>
      <c r="JT16" s="721">
        <v>36.25</v>
      </c>
      <c r="JU16" s="721">
        <v>0.47</v>
      </c>
      <c r="JV16" s="721">
        <v>143.738</v>
      </c>
      <c r="JW16" s="721">
        <v>36.5</v>
      </c>
      <c r="JX16" s="721">
        <v>0.47</v>
      </c>
      <c r="JY16" s="721">
        <v>146.161</v>
      </c>
      <c r="JZ16" s="721">
        <v>34.5</v>
      </c>
      <c r="KA16" s="721">
        <v>0.45500000000000002</v>
      </c>
      <c r="KB16" s="721">
        <v>146.161</v>
      </c>
      <c r="KC16" s="721">
        <v>38</v>
      </c>
      <c r="KD16" s="721">
        <v>0.45500000000000002</v>
      </c>
      <c r="KE16" s="721">
        <v>146.161</v>
      </c>
      <c r="KF16" s="721">
        <v>37.25</v>
      </c>
      <c r="KG16" s="721">
        <v>0.45500000000000002</v>
      </c>
      <c r="KH16" s="721">
        <v>146.161</v>
      </c>
      <c r="KI16" s="721">
        <v>34.5</v>
      </c>
      <c r="KJ16" s="721">
        <v>0.45500000000000002</v>
      </c>
      <c r="KK16" s="721">
        <v>147.27000000000001</v>
      </c>
      <c r="KL16" s="721">
        <v>33.625</v>
      </c>
      <c r="KM16" s="721">
        <v>0.44</v>
      </c>
      <c r="KN16" s="721">
        <v>147.27000000000001</v>
      </c>
      <c r="KO16" s="721">
        <v>30.25</v>
      </c>
      <c r="KP16" s="721">
        <v>0.44</v>
      </c>
      <c r="KQ16" s="721">
        <v>147.27000000000001</v>
      </c>
      <c r="KR16" s="721">
        <v>27.125</v>
      </c>
      <c r="KS16" s="721">
        <v>0.44</v>
      </c>
      <c r="KT16" s="721">
        <v>153.02500000000001</v>
      </c>
      <c r="KU16" s="721">
        <v>26.625</v>
      </c>
      <c r="KV16" s="721">
        <v>0.44</v>
      </c>
      <c r="KW16" s="721">
        <v>153.02500000000001</v>
      </c>
      <c r="KX16" s="721">
        <v>26.25</v>
      </c>
      <c r="KY16" s="721">
        <v>0.42499999999999999</v>
      </c>
      <c r="KZ16" s="721">
        <v>155.87799999999999</v>
      </c>
      <c r="LA16" s="721">
        <v>23.125</v>
      </c>
      <c r="LB16" s="721">
        <v>0.42499999999999999</v>
      </c>
      <c r="LC16" s="721">
        <v>160.73699999999999</v>
      </c>
      <c r="LD16" s="721">
        <v>25.625</v>
      </c>
      <c r="LE16" s="721">
        <v>0.42499999999999999</v>
      </c>
      <c r="LF16" s="721">
        <v>160.73699999999999</v>
      </c>
      <c r="LG16" s="721">
        <v>30.125</v>
      </c>
      <c r="LH16" s="721">
        <v>0.42499999999999999</v>
      </c>
      <c r="LI16" s="721">
        <v>160.73699999999999</v>
      </c>
      <c r="LJ16" s="721">
        <v>32.75</v>
      </c>
      <c r="LK16" s="721">
        <v>0.41</v>
      </c>
      <c r="LL16" s="721">
        <v>160.73699999999999</v>
      </c>
      <c r="LM16" s="721">
        <v>32.625</v>
      </c>
      <c r="LN16" s="721">
        <v>0.41</v>
      </c>
      <c r="LO16" s="721">
        <v>160.73699999999999</v>
      </c>
      <c r="LP16" s="721">
        <v>32.875</v>
      </c>
      <c r="LQ16" s="721">
        <v>0.41</v>
      </c>
      <c r="LR16" s="721">
        <v>160.73599999999999</v>
      </c>
      <c r="LS16" s="721">
        <v>27.75</v>
      </c>
      <c r="LT16" s="721">
        <v>0.4</v>
      </c>
      <c r="LU16" s="721">
        <v>160.73599999999999</v>
      </c>
      <c r="LV16" s="721">
        <v>26.56</v>
      </c>
      <c r="LW16" s="721">
        <v>0.4</v>
      </c>
      <c r="LX16" s="721">
        <v>160.73599999999999</v>
      </c>
      <c r="LY16" s="721">
        <v>25.25</v>
      </c>
      <c r="LZ16" s="721">
        <v>0.4</v>
      </c>
      <c r="MA16" s="721">
        <v>160.73599999999999</v>
      </c>
      <c r="MB16" s="721">
        <v>26.38</v>
      </c>
      <c r="MC16" s="721">
        <v>0.4</v>
      </c>
      <c r="MD16" s="721">
        <v>160.73599999999999</v>
      </c>
      <c r="ME16" s="721">
        <v>27.06</v>
      </c>
      <c r="MF16" s="721">
        <v>0.38</v>
      </c>
      <c r="MG16" s="721">
        <v>160.73599999999999</v>
      </c>
      <c r="MH16" s="721">
        <v>24.88</v>
      </c>
      <c r="MI16" s="721">
        <v>0.38</v>
      </c>
      <c r="MJ16" s="721">
        <v>160.73599999999999</v>
      </c>
      <c r="MK16" s="721">
        <v>22.81</v>
      </c>
      <c r="ML16" s="721">
        <v>0.38</v>
      </c>
      <c r="MM16" s="721">
        <v>160.73599999999999</v>
      </c>
      <c r="MN16" s="721">
        <v>23.75</v>
      </c>
      <c r="MO16" s="721">
        <v>0.38</v>
      </c>
      <c r="MP16" s="721">
        <v>165.72200000000001</v>
      </c>
      <c r="MQ16" s="721">
        <v>23.31</v>
      </c>
    </row>
    <row r="17" spans="1:355">
      <c r="B17" s="723" t="s">
        <v>252</v>
      </c>
      <c r="C17" s="886"/>
      <c r="D17" s="886"/>
      <c r="E17" s="886"/>
      <c r="F17" s="788"/>
      <c r="G17" s="788"/>
      <c r="H17" s="788"/>
      <c r="I17" s="788"/>
      <c r="J17" s="788"/>
      <c r="K17" s="788"/>
      <c r="L17" s="828"/>
      <c r="M17" s="829"/>
      <c r="N17" s="828"/>
      <c r="O17" s="828"/>
      <c r="P17" s="828"/>
      <c r="Q17" s="828"/>
      <c r="R17" s="828"/>
      <c r="S17" s="828"/>
      <c r="T17" s="828"/>
      <c r="U17" s="788"/>
      <c r="V17" s="827"/>
      <c r="W17" s="788"/>
      <c r="X17" s="832"/>
      <c r="Y17" s="788"/>
      <c r="Z17" s="788"/>
      <c r="AA17" s="788"/>
      <c r="AB17" s="788"/>
      <c r="AC17" s="788"/>
      <c r="AJ17" s="788"/>
      <c r="AK17" s="788"/>
      <c r="AL17" s="788"/>
      <c r="AM17" s="828"/>
      <c r="AN17" s="828"/>
      <c r="AO17" s="828"/>
      <c r="AP17" s="788"/>
      <c r="AQ17" s="788"/>
      <c r="AR17" s="788"/>
      <c r="AV17" s="723"/>
      <c r="AW17" s="723"/>
      <c r="AX17" s="723"/>
      <c r="AY17" s="723"/>
      <c r="AZ17" s="723"/>
      <c r="BA17" s="723"/>
      <c r="BB17" s="723"/>
      <c r="BC17" s="723"/>
      <c r="BD17" s="723"/>
      <c r="BE17" s="723"/>
      <c r="BF17" s="723"/>
      <c r="BG17" s="723"/>
      <c r="BH17" s="723"/>
      <c r="BI17" s="723"/>
      <c r="BJ17" s="723"/>
      <c r="BK17" s="723"/>
      <c r="BL17" s="723"/>
      <c r="BM17" s="723"/>
      <c r="BN17" s="723"/>
      <c r="BO17" s="723"/>
      <c r="BP17" s="723"/>
      <c r="BQ17" s="723"/>
      <c r="BR17" s="723"/>
      <c r="BS17" s="723"/>
      <c r="BT17" s="723"/>
      <c r="BU17" s="723"/>
      <c r="BV17" s="723"/>
      <c r="BW17" s="728"/>
      <c r="BX17" s="728"/>
      <c r="BY17" s="728"/>
      <c r="BZ17" s="723"/>
      <c r="CA17" s="723"/>
      <c r="CB17" s="723"/>
      <c r="CC17" s="723"/>
      <c r="CD17" s="723"/>
      <c r="CE17" s="723"/>
      <c r="CF17" s="723"/>
      <c r="CG17" s="723"/>
      <c r="CH17" s="723"/>
      <c r="CI17" s="723"/>
      <c r="CJ17" s="723"/>
      <c r="CK17" s="723"/>
      <c r="CL17" s="723"/>
      <c r="CM17" s="723"/>
      <c r="CN17" s="723"/>
      <c r="CO17" s="723"/>
      <c r="CP17" s="723"/>
      <c r="CQ17" s="723"/>
      <c r="CR17" s="723"/>
      <c r="CS17" s="723"/>
      <c r="CT17" s="723"/>
      <c r="CU17" s="723"/>
      <c r="CV17" s="723"/>
      <c r="CW17" s="723"/>
      <c r="CX17" s="722"/>
      <c r="CY17" s="723"/>
      <c r="CZ17" s="723"/>
      <c r="DA17" s="723"/>
      <c r="DB17" s="723"/>
      <c r="DC17" s="735"/>
      <c r="DD17" s="723"/>
      <c r="DE17" s="723"/>
      <c r="DF17" s="723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5"/>
      <c r="DU17" s="723"/>
      <c r="DV17" s="723"/>
      <c r="DW17" s="723"/>
      <c r="DX17" s="723"/>
      <c r="DY17" s="723"/>
      <c r="DZ17" s="723"/>
      <c r="EA17" s="723"/>
      <c r="EB17" s="723"/>
      <c r="EC17" s="723"/>
      <c r="ED17" s="723"/>
      <c r="EE17" s="723"/>
      <c r="EF17" s="723"/>
      <c r="EG17" s="723"/>
      <c r="EH17" s="723"/>
      <c r="EI17" s="723"/>
      <c r="EJ17" s="723"/>
      <c r="EK17" s="723"/>
      <c r="EL17" s="723"/>
      <c r="EM17" s="723"/>
      <c r="EN17" s="723"/>
      <c r="EO17" s="723"/>
      <c r="EP17" s="723"/>
      <c r="EQ17" s="723"/>
      <c r="ER17" s="723"/>
      <c r="ES17" s="723"/>
      <c r="ET17" s="722"/>
      <c r="EU17" s="722"/>
      <c r="EV17" s="722"/>
      <c r="EW17" s="723"/>
      <c r="EX17" s="723"/>
      <c r="EY17" s="723"/>
      <c r="EZ17" s="723"/>
      <c r="FA17" s="723"/>
      <c r="FB17" s="723"/>
      <c r="FC17" s="723"/>
      <c r="FD17" s="741"/>
      <c r="FE17" s="723"/>
      <c r="FF17" s="727"/>
      <c r="FG17" s="727"/>
      <c r="FH17" s="727"/>
      <c r="FI17" s="727"/>
      <c r="FJ17" s="727"/>
      <c r="FK17" s="727"/>
      <c r="FL17" s="727"/>
      <c r="FM17" s="727"/>
      <c r="FN17" s="727"/>
      <c r="FO17" s="727"/>
      <c r="FP17" s="727"/>
      <c r="FQ17" s="727"/>
      <c r="FR17" s="727"/>
      <c r="FS17" s="742"/>
      <c r="FT17" s="626"/>
      <c r="FU17" s="727"/>
      <c r="FV17" s="727"/>
      <c r="FW17" s="727"/>
      <c r="FX17" s="727"/>
      <c r="FY17" s="727"/>
      <c r="FZ17" s="727"/>
      <c r="GA17" s="727"/>
      <c r="GB17" s="727"/>
      <c r="GC17" s="727"/>
      <c r="GD17" s="750"/>
      <c r="GE17" s="741"/>
      <c r="GF17" s="751"/>
      <c r="GG17" s="750"/>
      <c r="GH17" s="727"/>
      <c r="GI17" s="727"/>
      <c r="GJ17" s="727"/>
      <c r="GK17" s="727"/>
      <c r="GL17" s="727"/>
      <c r="GM17" s="727"/>
      <c r="GN17" s="727"/>
      <c r="GO17" s="727"/>
      <c r="GP17" s="727"/>
      <c r="GQ17" s="727"/>
      <c r="GR17" s="727"/>
      <c r="GS17" s="727"/>
      <c r="GT17" s="727"/>
      <c r="GU17" s="752"/>
      <c r="GV17" s="727"/>
      <c r="GW17" s="727"/>
      <c r="GX17" s="727"/>
      <c r="GY17" s="727"/>
      <c r="GZ17" s="727"/>
      <c r="HA17" s="727"/>
      <c r="HB17" s="727"/>
      <c r="HC17" s="727"/>
      <c r="HD17" s="727"/>
      <c r="HE17" s="727"/>
      <c r="HF17" s="727"/>
      <c r="HG17" s="727"/>
      <c r="HH17" s="727"/>
      <c r="HI17" s="727"/>
      <c r="HJ17" s="727"/>
      <c r="HK17" s="727"/>
      <c r="HL17" s="727"/>
      <c r="HM17" s="727"/>
      <c r="HN17" s="727"/>
      <c r="HO17" s="752"/>
      <c r="HP17" s="752"/>
      <c r="HQ17" s="727"/>
      <c r="HR17" s="727"/>
      <c r="HS17" s="727"/>
      <c r="HT17" s="727"/>
      <c r="HU17" s="727"/>
      <c r="HV17" s="727"/>
      <c r="HW17" s="727"/>
      <c r="HX17" s="727"/>
      <c r="HY17" s="727"/>
      <c r="HZ17" s="727"/>
      <c r="IA17" s="727"/>
      <c r="IB17" s="727"/>
      <c r="IC17" s="727"/>
      <c r="ID17" s="727"/>
      <c r="IE17" s="727"/>
      <c r="IF17" s="727"/>
      <c r="IG17" s="727"/>
      <c r="IH17" s="727"/>
      <c r="II17" s="727"/>
      <c r="IJ17" s="722"/>
      <c r="IK17" s="722"/>
      <c r="IL17" s="722"/>
      <c r="IM17" s="727"/>
      <c r="IN17" s="722"/>
      <c r="IO17" s="722"/>
      <c r="IP17" s="727"/>
      <c r="IQ17" s="722"/>
      <c r="IR17" s="721"/>
      <c r="IS17" s="721"/>
      <c r="IT17" s="721"/>
      <c r="IU17" s="721"/>
      <c r="IV17" s="721"/>
      <c r="IW17" s="721"/>
      <c r="IX17" s="721"/>
      <c r="IY17" s="721"/>
      <c r="IZ17" s="721"/>
      <c r="JA17" s="721"/>
      <c r="JB17" s="721"/>
      <c r="JC17" s="721"/>
      <c r="JD17" s="721"/>
      <c r="JE17" s="721"/>
      <c r="JF17" s="721"/>
      <c r="JG17" s="721"/>
      <c r="JH17" s="721"/>
      <c r="JI17" s="721"/>
      <c r="JJ17" s="721"/>
      <c r="JK17" s="721"/>
      <c r="JL17" s="721"/>
      <c r="JM17" s="721">
        <v>148.02600000000001</v>
      </c>
      <c r="JN17" s="721">
        <v>11.4375</v>
      </c>
      <c r="JO17" s="721">
        <v>0.2</v>
      </c>
      <c r="JP17" s="721">
        <v>148.02600000000001</v>
      </c>
      <c r="JQ17" s="721">
        <v>11.188000000000001</v>
      </c>
      <c r="JR17" s="721">
        <v>0.2</v>
      </c>
      <c r="JS17" s="721">
        <v>148.03200000000001</v>
      </c>
      <c r="JT17" s="721">
        <v>10.125</v>
      </c>
      <c r="JU17" s="721">
        <v>0.2</v>
      </c>
      <c r="JV17" s="721">
        <v>148.03200000000001</v>
      </c>
      <c r="JW17" s="721">
        <v>10.75</v>
      </c>
      <c r="JX17" s="721">
        <v>0.2</v>
      </c>
      <c r="JY17" s="721">
        <v>148.03200000000001</v>
      </c>
      <c r="JZ17" s="721">
        <v>9.125</v>
      </c>
      <c r="KA17" s="721">
        <v>0.2</v>
      </c>
      <c r="KB17" s="721">
        <v>148.03200000000001</v>
      </c>
      <c r="KC17" s="721">
        <v>7.5</v>
      </c>
      <c r="KD17" s="721">
        <v>0.2</v>
      </c>
      <c r="KE17" s="721">
        <v>148.03200000000001</v>
      </c>
      <c r="KF17" s="721">
        <v>8</v>
      </c>
      <c r="KG17" s="721">
        <v>0.2</v>
      </c>
      <c r="KH17" s="721">
        <v>148.03200000000001</v>
      </c>
      <c r="KI17" s="721">
        <v>8.875</v>
      </c>
      <c r="KJ17" s="721">
        <v>0.2</v>
      </c>
      <c r="KK17" s="721">
        <v>148.03200000000001</v>
      </c>
      <c r="KL17" s="721">
        <v>10.875</v>
      </c>
      <c r="KM17" s="721">
        <v>0.2</v>
      </c>
      <c r="KN17" s="721">
        <v>148.03200000000001</v>
      </c>
      <c r="KO17" s="721">
        <v>9.625</v>
      </c>
      <c r="KP17" s="721">
        <v>0.2</v>
      </c>
      <c r="KQ17" s="721">
        <v>148.03200000000001</v>
      </c>
      <c r="KR17" s="721">
        <v>8.875</v>
      </c>
      <c r="KS17" s="721">
        <v>0.2</v>
      </c>
      <c r="KT17" s="721">
        <v>147.78</v>
      </c>
      <c r="KU17" s="721">
        <v>8.875</v>
      </c>
      <c r="KV17" s="721">
        <v>0.2</v>
      </c>
      <c r="KW17" s="721">
        <v>147.78</v>
      </c>
      <c r="KX17" s="721">
        <v>9.25</v>
      </c>
      <c r="KY17" s="721">
        <v>0.2</v>
      </c>
      <c r="KZ17" s="721">
        <v>147.67400000000001</v>
      </c>
      <c r="LA17" s="721">
        <v>10.125</v>
      </c>
      <c r="LB17" s="721">
        <v>0.2</v>
      </c>
      <c r="LC17" s="721">
        <v>145.34700000000001</v>
      </c>
      <c r="LD17" s="721">
        <v>11</v>
      </c>
      <c r="LE17" s="721">
        <v>0.2</v>
      </c>
      <c r="LF17" s="721">
        <v>145.34700000000001</v>
      </c>
      <c r="LG17" s="721">
        <v>13.25</v>
      </c>
      <c r="LH17" s="721">
        <v>0.4</v>
      </c>
      <c r="LI17" s="721">
        <v>145.34700000000001</v>
      </c>
      <c r="LJ17" s="721">
        <v>17.875</v>
      </c>
      <c r="LK17" s="721">
        <v>0.4</v>
      </c>
      <c r="LL17" s="721">
        <v>144.36099999999999</v>
      </c>
      <c r="LM17" s="721">
        <v>18.375</v>
      </c>
      <c r="LN17" s="721">
        <v>0.4</v>
      </c>
      <c r="LO17" s="721">
        <v>143.364</v>
      </c>
      <c r="LP17" s="721">
        <v>19.75</v>
      </c>
      <c r="LQ17" s="721">
        <v>0.4</v>
      </c>
      <c r="LR17" s="721">
        <v>141.43199999999999</v>
      </c>
      <c r="LS17" s="721">
        <v>19.88</v>
      </c>
      <c r="LT17" s="721">
        <v>0.4</v>
      </c>
      <c r="LU17" s="721">
        <v>141.43199999999999</v>
      </c>
      <c r="LV17" s="721">
        <v>17.5</v>
      </c>
      <c r="LW17" s="721">
        <v>0.4</v>
      </c>
      <c r="LX17" s="721">
        <v>141.125</v>
      </c>
      <c r="LY17" s="721">
        <v>17</v>
      </c>
      <c r="LZ17" s="721">
        <v>0.4</v>
      </c>
      <c r="MA17" s="721">
        <v>140.64099999999999</v>
      </c>
      <c r="MB17" s="721">
        <v>18.25</v>
      </c>
      <c r="MC17" s="721">
        <v>0.4</v>
      </c>
      <c r="MD17" s="721">
        <v>139.10400000000001</v>
      </c>
      <c r="ME17" s="721">
        <v>19.88</v>
      </c>
      <c r="MF17" s="721">
        <v>0.4</v>
      </c>
      <c r="MG17" s="721">
        <v>138.87200000000001</v>
      </c>
      <c r="MH17" s="721">
        <v>18.25</v>
      </c>
      <c r="MI17" s="721">
        <v>0.4</v>
      </c>
      <c r="MJ17" s="721">
        <v>138.67599999999999</v>
      </c>
      <c r="MK17" s="721">
        <v>16.38</v>
      </c>
      <c r="ML17" s="721">
        <v>0.4</v>
      </c>
      <c r="MM17" s="721">
        <v>138.404</v>
      </c>
      <c r="MN17" s="721">
        <v>19.88</v>
      </c>
      <c r="MO17" s="721">
        <v>0.4</v>
      </c>
      <c r="MP17" s="721">
        <v>138.88499999999999</v>
      </c>
      <c r="MQ17" s="721">
        <v>18</v>
      </c>
    </row>
    <row r="18" spans="1:355">
      <c r="B18" s="723" t="s">
        <v>253</v>
      </c>
      <c r="C18" s="886"/>
      <c r="D18" s="886"/>
      <c r="E18" s="886"/>
      <c r="F18" s="788"/>
      <c r="G18" s="788"/>
      <c r="H18" s="788"/>
      <c r="I18" s="788"/>
      <c r="J18" s="788"/>
      <c r="K18" s="788"/>
      <c r="L18" s="828"/>
      <c r="M18" s="829"/>
      <c r="N18" s="828"/>
      <c r="O18" s="828"/>
      <c r="P18" s="828"/>
      <c r="Q18" s="828"/>
      <c r="R18" s="828"/>
      <c r="S18" s="828"/>
      <c r="T18" s="828"/>
      <c r="U18" s="788"/>
      <c r="V18" s="827"/>
      <c r="W18" s="788"/>
      <c r="X18" s="832"/>
      <c r="Y18" s="788"/>
      <c r="Z18" s="788"/>
      <c r="AA18" s="788"/>
      <c r="AB18" s="788"/>
      <c r="AC18" s="788"/>
      <c r="AJ18" s="788"/>
      <c r="AK18" s="788"/>
      <c r="AL18" s="788"/>
      <c r="AM18" s="828"/>
      <c r="AN18" s="828"/>
      <c r="AO18" s="828"/>
      <c r="AP18" s="788"/>
      <c r="AQ18" s="788"/>
      <c r="AR18" s="788"/>
      <c r="AV18" s="723"/>
      <c r="AW18" s="723"/>
      <c r="AX18" s="723"/>
      <c r="AY18" s="723"/>
      <c r="AZ18" s="723"/>
      <c r="BA18" s="723"/>
      <c r="BB18" s="723"/>
      <c r="BC18" s="723"/>
      <c r="BD18" s="723"/>
      <c r="BE18" s="723"/>
      <c r="BF18" s="723"/>
      <c r="BG18" s="723"/>
      <c r="BH18" s="723"/>
      <c r="BI18" s="723"/>
      <c r="BJ18" s="723"/>
      <c r="BK18" s="723"/>
      <c r="BL18" s="723"/>
      <c r="BM18" s="723"/>
      <c r="BN18" s="723"/>
      <c r="BO18" s="723"/>
      <c r="BP18" s="723"/>
      <c r="BQ18" s="723"/>
      <c r="BR18" s="723"/>
      <c r="BS18" s="723"/>
      <c r="BT18" s="723"/>
      <c r="BU18" s="723"/>
      <c r="BV18" s="723"/>
      <c r="BW18" s="728"/>
      <c r="BX18" s="728"/>
      <c r="BY18" s="728"/>
      <c r="BZ18" s="723"/>
      <c r="CA18" s="723"/>
      <c r="CB18" s="723"/>
      <c r="CC18" s="723"/>
      <c r="CD18" s="723"/>
      <c r="CE18" s="723"/>
      <c r="CF18" s="723"/>
      <c r="CG18" s="723"/>
      <c r="CH18" s="723"/>
      <c r="CI18" s="723"/>
      <c r="CJ18" s="723"/>
      <c r="CK18" s="723"/>
      <c r="CL18" s="723"/>
      <c r="CM18" s="723"/>
      <c r="CN18" s="723"/>
      <c r="CO18" s="723"/>
      <c r="CP18" s="723"/>
      <c r="CQ18" s="723"/>
      <c r="CR18" s="723"/>
      <c r="CS18" s="723"/>
      <c r="CT18" s="723"/>
      <c r="CU18" s="723"/>
      <c r="CV18" s="723"/>
      <c r="CW18" s="723"/>
      <c r="CX18" s="722"/>
      <c r="CY18" s="723"/>
      <c r="CZ18" s="723"/>
      <c r="DA18" s="723"/>
      <c r="DB18" s="723"/>
      <c r="DC18" s="735"/>
      <c r="DD18" s="723"/>
      <c r="DE18" s="723"/>
      <c r="DF18" s="723"/>
      <c r="DG18" s="723"/>
      <c r="DH18" s="723"/>
      <c r="DI18" s="723"/>
      <c r="DJ18" s="723"/>
      <c r="DK18" s="723"/>
      <c r="DL18" s="723"/>
      <c r="DM18" s="723"/>
      <c r="DN18" s="723"/>
      <c r="DO18" s="723"/>
      <c r="DP18" s="723"/>
      <c r="DQ18" s="723"/>
      <c r="DR18" s="723"/>
      <c r="DS18" s="723"/>
      <c r="DT18" s="725"/>
      <c r="DU18" s="723"/>
      <c r="DV18" s="723"/>
      <c r="DW18" s="723"/>
      <c r="DX18" s="723"/>
      <c r="DY18" s="723"/>
      <c r="DZ18" s="723"/>
      <c r="EA18" s="723"/>
      <c r="EB18" s="723"/>
      <c r="EC18" s="723"/>
      <c r="ED18" s="723"/>
      <c r="EE18" s="723"/>
      <c r="EF18" s="723"/>
      <c r="EG18" s="723"/>
      <c r="EH18" s="723"/>
      <c r="EI18" s="723"/>
      <c r="EJ18" s="723"/>
      <c r="EK18" s="723"/>
      <c r="EL18" s="723"/>
      <c r="EM18" s="723"/>
      <c r="EN18" s="723"/>
      <c r="EO18" s="723"/>
      <c r="EP18" s="723"/>
      <c r="EQ18" s="723"/>
      <c r="ER18" s="723"/>
      <c r="ES18" s="723"/>
      <c r="ET18" s="722"/>
      <c r="EU18" s="722"/>
      <c r="EV18" s="722"/>
      <c r="EW18" s="723"/>
      <c r="EX18" s="723"/>
      <c r="EY18" s="723"/>
      <c r="EZ18" s="723"/>
      <c r="FA18" s="723"/>
      <c r="FB18" s="723"/>
      <c r="FC18" s="723"/>
      <c r="FD18" s="741"/>
      <c r="FE18" s="723"/>
      <c r="FF18" s="727"/>
      <c r="FG18" s="727"/>
      <c r="FH18" s="727"/>
      <c r="FI18" s="727"/>
      <c r="FJ18" s="727"/>
      <c r="FK18" s="727"/>
      <c r="FL18" s="727"/>
      <c r="FM18" s="727"/>
      <c r="FN18" s="727"/>
      <c r="FO18" s="727"/>
      <c r="FP18" s="727"/>
      <c r="FQ18" s="727"/>
      <c r="FR18" s="727"/>
      <c r="FS18" s="742"/>
      <c r="FT18" s="626"/>
      <c r="FU18" s="727"/>
      <c r="FV18" s="727"/>
      <c r="FW18" s="727"/>
      <c r="FX18" s="727"/>
      <c r="FY18" s="727"/>
      <c r="FZ18" s="727"/>
      <c r="GA18" s="727"/>
      <c r="GB18" s="727"/>
      <c r="GC18" s="727"/>
      <c r="GD18" s="750"/>
      <c r="GE18" s="741"/>
      <c r="GF18" s="751"/>
      <c r="GG18" s="750"/>
      <c r="GH18" s="727"/>
      <c r="GI18" s="727"/>
      <c r="GJ18" s="727"/>
      <c r="GK18" s="727"/>
      <c r="GL18" s="727"/>
      <c r="GM18" s="727"/>
      <c r="GN18" s="727"/>
      <c r="GO18" s="727"/>
      <c r="GP18" s="727"/>
      <c r="GQ18" s="727"/>
      <c r="GR18" s="727"/>
      <c r="GS18" s="727"/>
      <c r="GT18" s="727"/>
      <c r="GU18" s="752"/>
      <c r="GV18" s="727"/>
      <c r="GW18" s="727"/>
      <c r="GX18" s="727"/>
      <c r="GY18" s="727"/>
      <c r="GZ18" s="727"/>
      <c r="HA18" s="727"/>
      <c r="HB18" s="727"/>
      <c r="HC18" s="727"/>
      <c r="HD18" s="727"/>
      <c r="HE18" s="727"/>
      <c r="HF18" s="727"/>
      <c r="HG18" s="727"/>
      <c r="HH18" s="727"/>
      <c r="HI18" s="727"/>
      <c r="HJ18" s="727"/>
      <c r="HK18" s="727"/>
      <c r="HL18" s="727"/>
      <c r="HM18" s="727"/>
      <c r="HN18" s="727"/>
      <c r="HO18" s="752"/>
      <c r="HP18" s="752"/>
      <c r="HQ18" s="727"/>
      <c r="HR18" s="727"/>
      <c r="HS18" s="727"/>
      <c r="HT18" s="727"/>
      <c r="HU18" s="727"/>
      <c r="HV18" s="727"/>
      <c r="HW18" s="727"/>
      <c r="HX18" s="727"/>
      <c r="HY18" s="727"/>
      <c r="HZ18" s="727"/>
      <c r="IA18" s="727"/>
      <c r="IB18" s="727"/>
      <c r="IC18" s="727"/>
      <c r="ID18" s="727"/>
      <c r="IE18" s="727"/>
      <c r="IF18" s="727"/>
      <c r="IG18" s="727"/>
      <c r="IH18" s="727"/>
      <c r="II18" s="727">
        <v>212.6</v>
      </c>
      <c r="IJ18" s="722">
        <v>17.125</v>
      </c>
      <c r="IK18" s="722">
        <v>0.435</v>
      </c>
      <c r="IL18" s="722">
        <v>212.6</v>
      </c>
      <c r="IM18" s="727">
        <v>20</v>
      </c>
      <c r="IN18" s="722">
        <v>0.435</v>
      </c>
      <c r="IO18" s="722">
        <v>212.6</v>
      </c>
      <c r="IP18" s="727">
        <v>21.125</v>
      </c>
      <c r="IQ18" s="722">
        <v>0.435</v>
      </c>
      <c r="IR18" s="721">
        <v>212.4</v>
      </c>
      <c r="IS18" s="721">
        <v>23.375</v>
      </c>
      <c r="IT18" s="721">
        <v>0.435</v>
      </c>
      <c r="IU18" s="721">
        <v>212.5</v>
      </c>
      <c r="IV18" s="721">
        <v>23.4375</v>
      </c>
      <c r="IW18" s="721">
        <v>0.435</v>
      </c>
      <c r="IX18" s="721">
        <v>212.5</v>
      </c>
      <c r="IY18" s="721">
        <v>27.437999999999999</v>
      </c>
      <c r="IZ18" s="721">
        <v>0.435</v>
      </c>
      <c r="JA18" s="721">
        <v>212.3</v>
      </c>
      <c r="JB18" s="721">
        <v>28.625</v>
      </c>
      <c r="JC18" s="721">
        <v>0.435</v>
      </c>
      <c r="JD18" s="721">
        <v>212.3</v>
      </c>
      <c r="JE18" s="721">
        <v>26.875</v>
      </c>
      <c r="JF18" s="721">
        <v>0.435</v>
      </c>
      <c r="JG18" s="721">
        <v>212.2</v>
      </c>
      <c r="JH18" s="721">
        <v>26.75</v>
      </c>
      <c r="JI18" s="721">
        <v>0.435</v>
      </c>
      <c r="JJ18" s="721">
        <v>212.2</v>
      </c>
      <c r="JK18" s="721">
        <v>27.0625</v>
      </c>
      <c r="JL18" s="721">
        <v>0.435</v>
      </c>
      <c r="JM18" s="721">
        <v>211.8</v>
      </c>
      <c r="JN18" s="721">
        <v>22.1875</v>
      </c>
      <c r="JO18" s="721">
        <v>0.435</v>
      </c>
      <c r="JP18" s="721">
        <v>211.8</v>
      </c>
      <c r="JQ18" s="721">
        <v>21.25</v>
      </c>
      <c r="JR18" s="721">
        <v>0.435</v>
      </c>
      <c r="JS18" s="721">
        <v>210.3</v>
      </c>
      <c r="JT18" s="721">
        <v>21.375</v>
      </c>
      <c r="JU18" s="721">
        <v>0.435</v>
      </c>
      <c r="JV18" s="721">
        <v>210.3</v>
      </c>
      <c r="JW18" s="721">
        <v>25.625</v>
      </c>
      <c r="JX18" s="721">
        <v>0.435</v>
      </c>
      <c r="JY18" s="721">
        <v>191.9</v>
      </c>
      <c r="JZ18" s="721">
        <v>26</v>
      </c>
      <c r="KA18" s="721">
        <v>0.435</v>
      </c>
      <c r="KB18" s="721">
        <v>191.9</v>
      </c>
      <c r="KC18" s="721">
        <v>28.875</v>
      </c>
      <c r="KD18" s="721">
        <v>0.435</v>
      </c>
      <c r="KE18" s="721">
        <v>191.9</v>
      </c>
      <c r="KF18" s="721">
        <v>28.5</v>
      </c>
      <c r="KG18" s="721">
        <v>0.43</v>
      </c>
      <c r="KH18" s="721">
        <v>191.9</v>
      </c>
      <c r="KI18" s="721">
        <v>27.875</v>
      </c>
      <c r="KJ18" s="721">
        <v>0.43</v>
      </c>
      <c r="KK18" s="721">
        <v>189.6</v>
      </c>
      <c r="KL18" s="721">
        <v>25.5</v>
      </c>
      <c r="KM18" s="721">
        <v>0.43</v>
      </c>
      <c r="KN18" s="721">
        <v>189.6</v>
      </c>
      <c r="KO18" s="721">
        <v>26.25</v>
      </c>
      <c r="KP18" s="721">
        <v>0.43</v>
      </c>
      <c r="KQ18" s="721">
        <v>189.6</v>
      </c>
      <c r="KR18" s="721">
        <v>24.25</v>
      </c>
      <c r="KS18" s="721">
        <v>0.42499999999999999</v>
      </c>
      <c r="KT18" s="721">
        <v>189.6</v>
      </c>
      <c r="KU18" s="721">
        <v>22.625</v>
      </c>
      <c r="KV18" s="721">
        <v>0.42499999999999999</v>
      </c>
      <c r="KW18" s="721">
        <v>189.6</v>
      </c>
      <c r="KX18" s="721">
        <v>22.25</v>
      </c>
      <c r="KY18" s="721">
        <v>0.42499999999999999</v>
      </c>
      <c r="KZ18" s="721">
        <v>189</v>
      </c>
      <c r="LA18" s="721">
        <v>21.25</v>
      </c>
      <c r="LB18" s="721">
        <v>0.42499999999999999</v>
      </c>
      <c r="LC18" s="721">
        <v>188.4</v>
      </c>
      <c r="LD18" s="721">
        <v>24.75</v>
      </c>
      <c r="LE18" s="721">
        <v>0.42499999999999999</v>
      </c>
      <c r="LF18" s="721">
        <v>188.4</v>
      </c>
      <c r="LG18" s="721">
        <v>30.25</v>
      </c>
      <c r="LH18" s="721">
        <v>0.40500000000000003</v>
      </c>
      <c r="LI18" s="721">
        <v>188.4</v>
      </c>
      <c r="LJ18" s="721">
        <v>32.875</v>
      </c>
      <c r="LK18" s="721">
        <v>0.40500000000000003</v>
      </c>
      <c r="LL18" s="721">
        <v>188.4</v>
      </c>
      <c r="LM18" s="721">
        <v>32.5</v>
      </c>
      <c r="LN18" s="721">
        <v>0.40500000000000003</v>
      </c>
      <c r="LO18" s="721">
        <v>188.3</v>
      </c>
      <c r="LP18" s="721">
        <v>32.375</v>
      </c>
      <c r="LQ18" s="721">
        <v>0.40500000000000003</v>
      </c>
      <c r="LR18" s="721">
        <v>188.3</v>
      </c>
      <c r="LS18" s="721">
        <v>29.13</v>
      </c>
      <c r="LT18" s="721">
        <v>0.39</v>
      </c>
      <c r="LU18" s="721">
        <v>188.3</v>
      </c>
      <c r="LV18" s="721">
        <v>29.13</v>
      </c>
      <c r="LW18" s="721">
        <v>0.39</v>
      </c>
      <c r="LX18" s="721">
        <v>188.3</v>
      </c>
      <c r="LY18" s="721">
        <v>28.25</v>
      </c>
      <c r="LZ18" s="721">
        <v>0.39</v>
      </c>
      <c r="MA18" s="721">
        <v>188.3</v>
      </c>
      <c r="MB18" s="721">
        <v>25.25</v>
      </c>
      <c r="MC18" s="721">
        <v>0.39</v>
      </c>
      <c r="MD18" s="721">
        <v>188.2</v>
      </c>
      <c r="ME18" s="721">
        <v>27</v>
      </c>
      <c r="MF18" s="721">
        <v>0.37</v>
      </c>
      <c r="MG18" s="721">
        <v>188.2</v>
      </c>
      <c r="MH18" s="721">
        <v>24.88</v>
      </c>
      <c r="MI18" s="721">
        <v>0.37</v>
      </c>
      <c r="MJ18" s="721">
        <v>188.2</v>
      </c>
      <c r="MK18" s="721">
        <v>22.5</v>
      </c>
      <c r="ML18" s="721">
        <v>0.37</v>
      </c>
      <c r="MM18" s="721">
        <v>188.2</v>
      </c>
      <c r="MN18" s="721">
        <v>22.56</v>
      </c>
      <c r="MO18" s="721">
        <v>0.37</v>
      </c>
      <c r="MP18" s="721">
        <v>188.2</v>
      </c>
      <c r="MQ18" s="721">
        <v>22</v>
      </c>
    </row>
    <row r="19" spans="1:355">
      <c r="A19" s="633" t="s">
        <v>44</v>
      </c>
      <c r="B19" s="723" t="s">
        <v>123</v>
      </c>
      <c r="C19" s="886"/>
      <c r="D19" s="886"/>
      <c r="E19" s="886"/>
      <c r="F19" s="788"/>
      <c r="G19" s="788"/>
      <c r="H19" s="788"/>
      <c r="I19" s="788"/>
      <c r="J19" s="788"/>
      <c r="K19" s="788"/>
      <c r="L19" s="828"/>
      <c r="M19" s="829"/>
      <c r="N19" s="828"/>
      <c r="O19" s="828"/>
      <c r="P19" s="828"/>
      <c r="Q19" s="828"/>
      <c r="R19" s="828"/>
      <c r="S19" s="828"/>
      <c r="T19" s="828"/>
      <c r="U19" s="788"/>
      <c r="V19" s="827"/>
      <c r="W19" s="788"/>
      <c r="X19" s="832"/>
      <c r="Y19" s="788"/>
      <c r="Z19" s="788"/>
      <c r="AA19" s="788"/>
      <c r="AB19" s="788"/>
      <c r="AC19" s="788"/>
      <c r="AJ19" s="788"/>
      <c r="AK19" s="788"/>
      <c r="AL19" s="788"/>
      <c r="AM19" s="828"/>
      <c r="AN19" s="828"/>
      <c r="AO19" s="828"/>
      <c r="AP19" s="788"/>
      <c r="AQ19" s="788"/>
      <c r="AR19" s="788"/>
      <c r="AV19" s="756"/>
      <c r="AW19" s="756"/>
      <c r="AX19" s="756"/>
      <c r="AY19" s="728">
        <v>60.528489</v>
      </c>
      <c r="AZ19" s="723">
        <v>55.21</v>
      </c>
      <c r="BA19" s="723">
        <v>0.4</v>
      </c>
      <c r="BB19" s="723">
        <v>60.481583999999998</v>
      </c>
      <c r="BC19" s="723">
        <v>52.21</v>
      </c>
      <c r="BD19" s="723">
        <v>0.4</v>
      </c>
      <c r="BE19" s="723">
        <v>60.480683999999997</v>
      </c>
      <c r="BF19" s="723">
        <v>53.24</v>
      </c>
      <c r="BG19" s="723">
        <v>0.4</v>
      </c>
      <c r="BH19" s="723">
        <v>64.463693000000006</v>
      </c>
      <c r="BI19" s="723">
        <v>53.85</v>
      </c>
      <c r="BJ19" s="723">
        <v>0.4</v>
      </c>
      <c r="BK19" s="728">
        <v>60.388615999999999</v>
      </c>
      <c r="BL19" s="728">
        <v>54.52</v>
      </c>
      <c r="BM19" s="728">
        <v>0.4</v>
      </c>
      <c r="BN19" s="723">
        <v>60.372568999999999</v>
      </c>
      <c r="BO19" s="723">
        <v>54.54</v>
      </c>
      <c r="BP19" s="723">
        <v>0.4</v>
      </c>
      <c r="BQ19" s="723">
        <v>60.359949</v>
      </c>
      <c r="BR19" s="723">
        <v>48.15</v>
      </c>
      <c r="BS19" s="723">
        <v>0.4</v>
      </c>
      <c r="BT19" s="723">
        <v>60.472968999999999</v>
      </c>
      <c r="BU19" s="723">
        <v>58.95</v>
      </c>
      <c r="BV19" s="757">
        <v>0.4</v>
      </c>
      <c r="BW19" s="728">
        <v>60.434510000000003</v>
      </c>
      <c r="BX19" s="728">
        <v>50.58</v>
      </c>
      <c r="BY19" s="728">
        <v>0.36249999999999999</v>
      </c>
      <c r="BZ19" s="723">
        <v>60.450384</v>
      </c>
      <c r="CA19" s="723">
        <v>46.62</v>
      </c>
      <c r="CB19" s="723">
        <v>0.36249999999999999</v>
      </c>
      <c r="CC19" s="723">
        <v>60.445616999999999</v>
      </c>
      <c r="CD19" s="723">
        <v>44.84</v>
      </c>
      <c r="CE19" s="723">
        <v>0.36249999999999999</v>
      </c>
      <c r="CF19" s="723">
        <v>60.399697000000003</v>
      </c>
      <c r="CG19" s="723">
        <v>46.43</v>
      </c>
      <c r="CH19" s="757">
        <v>0.36249999999999999</v>
      </c>
      <c r="CI19" s="728">
        <v>60.370587999999998</v>
      </c>
      <c r="CJ19" s="728">
        <v>47.03</v>
      </c>
      <c r="CK19" s="728">
        <v>0.33750000000000002</v>
      </c>
      <c r="CL19" s="723">
        <v>60.346476000000003</v>
      </c>
      <c r="CM19" s="723">
        <v>40.01</v>
      </c>
      <c r="CN19" s="723">
        <v>0.33750000000000002</v>
      </c>
      <c r="CO19" s="723">
        <v>60.421028</v>
      </c>
      <c r="CP19" s="723">
        <v>41.98</v>
      </c>
      <c r="CQ19" s="757">
        <v>0.33750000000000002</v>
      </c>
      <c r="CR19" s="723">
        <v>60.372566999999997</v>
      </c>
      <c r="CS19" s="723">
        <v>41.85</v>
      </c>
      <c r="CT19" s="723">
        <v>0.3125</v>
      </c>
      <c r="CU19" s="728">
        <v>60.48874</v>
      </c>
      <c r="CV19" s="728">
        <v>39.65</v>
      </c>
      <c r="CW19" s="728">
        <v>0.3125</v>
      </c>
      <c r="CX19" s="722">
        <v>60.467595000000003</v>
      </c>
      <c r="CY19" s="723">
        <v>38.1</v>
      </c>
      <c r="CZ19" s="723">
        <v>0.3125</v>
      </c>
      <c r="DA19" s="723">
        <v>60.655538</v>
      </c>
      <c r="DB19" s="723">
        <v>34.14</v>
      </c>
      <c r="DC19" s="722">
        <v>0.28000000000000003</v>
      </c>
      <c r="DD19" s="723">
        <v>60.576003999999998</v>
      </c>
      <c r="DE19" s="723">
        <v>34.85</v>
      </c>
      <c r="DF19" s="753">
        <v>0.28000000000000003</v>
      </c>
      <c r="DG19" s="723">
        <v>60.511691999999996</v>
      </c>
      <c r="DH19" s="723">
        <v>34.29</v>
      </c>
      <c r="DI19" s="723">
        <v>0.25</v>
      </c>
      <c r="DJ19" s="723">
        <v>60.471183000000003</v>
      </c>
      <c r="DK19" s="723">
        <v>30.76</v>
      </c>
      <c r="DL19" s="723">
        <v>0.25</v>
      </c>
      <c r="DM19" s="723">
        <v>60.431930000000001</v>
      </c>
      <c r="DN19" s="723">
        <v>29.62</v>
      </c>
      <c r="DO19" s="723">
        <v>0.25</v>
      </c>
      <c r="DP19" s="723">
        <v>60.326000000000001</v>
      </c>
      <c r="DQ19" s="723">
        <v>26.41</v>
      </c>
      <c r="DR19" s="723">
        <v>0.25</v>
      </c>
      <c r="DS19" s="723">
        <v>60.254541000000003</v>
      </c>
      <c r="DT19" s="725">
        <v>26.55</v>
      </c>
      <c r="DU19" s="723">
        <v>0.22500000000000001</v>
      </c>
      <c r="DV19" s="723">
        <v>60.234242999999999</v>
      </c>
      <c r="DW19" s="723">
        <v>27.33</v>
      </c>
      <c r="DX19" s="723">
        <v>0.22500000000000001</v>
      </c>
      <c r="DY19" s="723">
        <v>60.175528</v>
      </c>
      <c r="DZ19" s="723">
        <v>25.08</v>
      </c>
      <c r="EA19" s="723">
        <v>0.22500000000000001</v>
      </c>
      <c r="EB19" s="723">
        <v>60.097900000000003</v>
      </c>
      <c r="EC19" s="723">
        <v>22.42</v>
      </c>
      <c r="ED19" s="723">
        <v>0.22500000000000001</v>
      </c>
      <c r="EE19" s="723">
        <v>60.04</v>
      </c>
      <c r="EF19" s="723">
        <v>21.69</v>
      </c>
      <c r="EG19" s="723">
        <v>0.22500000000000001</v>
      </c>
      <c r="EH19" s="723">
        <v>60.031962</v>
      </c>
      <c r="EI19" s="723">
        <v>22.83</v>
      </c>
      <c r="EJ19" s="723">
        <v>0.22500000000000001</v>
      </c>
      <c r="EK19" s="723">
        <v>59.998227</v>
      </c>
      <c r="EL19" s="723">
        <v>25.25</v>
      </c>
      <c r="EM19" s="723">
        <v>0.22500000000000001</v>
      </c>
      <c r="EN19" s="723">
        <v>59.907896000000001</v>
      </c>
      <c r="EO19" s="723">
        <v>23.33</v>
      </c>
      <c r="EP19" s="723">
        <v>0.22500000000000001</v>
      </c>
      <c r="EQ19" s="723">
        <v>58.976052000000003</v>
      </c>
      <c r="ER19" s="723">
        <v>22.18</v>
      </c>
      <c r="ES19" s="723">
        <v>0.22500000000000001</v>
      </c>
      <c r="ET19" s="722">
        <v>59.669691999999998</v>
      </c>
      <c r="EU19" s="722">
        <v>27.8</v>
      </c>
      <c r="EV19" s="722">
        <v>0.22500000000000001</v>
      </c>
      <c r="EW19" s="723">
        <v>59.489725</v>
      </c>
      <c r="EX19" s="723">
        <v>25.27</v>
      </c>
      <c r="EY19" s="723">
        <v>0.22500000000000001</v>
      </c>
      <c r="EZ19" s="723">
        <v>57.854737</v>
      </c>
      <c r="FA19" s="723">
        <v>24.5</v>
      </c>
      <c r="FB19" s="723">
        <v>0.22500000000000001</v>
      </c>
      <c r="FC19" s="723">
        <v>52.751021000000001</v>
      </c>
      <c r="FD19" s="741">
        <v>25.83</v>
      </c>
      <c r="FE19" s="723">
        <v>0.22500000000000001</v>
      </c>
      <c r="FF19" s="727">
        <v>53.630493999999999</v>
      </c>
      <c r="FG19" s="727">
        <v>25.23</v>
      </c>
      <c r="FH19" s="727">
        <v>0.22500000000000001</v>
      </c>
      <c r="FI19" s="727">
        <v>50.053685000000002</v>
      </c>
      <c r="FJ19" s="727">
        <v>25.24</v>
      </c>
      <c r="FK19" s="727">
        <v>0.22500000000000001</v>
      </c>
      <c r="FL19" s="727">
        <v>49.851812000000002</v>
      </c>
      <c r="FM19" s="727">
        <v>23.25</v>
      </c>
      <c r="FN19" s="727">
        <v>0.22500000000000001</v>
      </c>
      <c r="FO19" s="727">
        <v>49.615707999999998</v>
      </c>
      <c r="FP19" s="727">
        <v>22.33</v>
      </c>
      <c r="FQ19" s="727">
        <v>0.22500000000000001</v>
      </c>
      <c r="FR19" s="727">
        <v>49.548834999999997</v>
      </c>
      <c r="FS19" s="742">
        <v>20.85</v>
      </c>
      <c r="FT19" s="626">
        <f>0.9/4</f>
        <v>0.22500000000000001</v>
      </c>
      <c r="FU19" s="727">
        <v>49.507159000000001</v>
      </c>
      <c r="FV19" s="727">
        <v>23.58</v>
      </c>
      <c r="FW19" s="727">
        <v>0.22500000000000001</v>
      </c>
      <c r="FX19" s="727">
        <v>49.292848999999997</v>
      </c>
      <c r="FY19" s="727">
        <v>21.57</v>
      </c>
      <c r="FZ19" s="727">
        <v>0.22500000000000001</v>
      </c>
      <c r="GA19" s="727">
        <v>47.114330000000002</v>
      </c>
      <c r="GB19" s="727">
        <v>21.3</v>
      </c>
      <c r="GC19" s="727">
        <v>0.22500000000000001</v>
      </c>
      <c r="GD19" s="750">
        <v>47.114330000000002</v>
      </c>
      <c r="GE19" s="741">
        <v>20.260000000000002</v>
      </c>
      <c r="GF19" s="751">
        <v>0.22500000000000001</v>
      </c>
      <c r="GG19" s="750">
        <v>47.078622000000003</v>
      </c>
      <c r="GH19" s="727">
        <v>17.239999999999998</v>
      </c>
      <c r="GI19" s="727">
        <v>0.22500000000000001</v>
      </c>
      <c r="GJ19" s="727">
        <v>46.916535000000003</v>
      </c>
      <c r="GK19" s="727">
        <v>17.98</v>
      </c>
      <c r="GL19" s="727">
        <v>0.22500000000000001</v>
      </c>
      <c r="GM19" s="727">
        <v>47.239652</v>
      </c>
      <c r="GN19" s="727">
        <v>19.03</v>
      </c>
      <c r="GO19" s="727">
        <v>0.22500000000000001</v>
      </c>
      <c r="GP19" s="727">
        <v>47.239652</v>
      </c>
      <c r="GQ19" s="727">
        <v>17.98</v>
      </c>
      <c r="GR19" s="727">
        <v>0.22500000000000001</v>
      </c>
      <c r="GS19" s="727">
        <v>47.225304000000001</v>
      </c>
      <c r="GT19" s="727">
        <v>16.34</v>
      </c>
      <c r="GU19" s="727">
        <v>0.22500000000000001</v>
      </c>
      <c r="GV19" s="727">
        <v>47.068584000000001</v>
      </c>
      <c r="GW19" s="727">
        <v>17.32</v>
      </c>
      <c r="GX19" s="727">
        <v>0.22500000000000001</v>
      </c>
      <c r="GY19" s="727">
        <v>47.033461000000003</v>
      </c>
      <c r="GZ19" s="727">
        <v>12.55</v>
      </c>
      <c r="HA19" s="727">
        <v>0.22500000000000001</v>
      </c>
      <c r="HB19" s="727">
        <v>47.033831999999997</v>
      </c>
      <c r="HC19" s="727">
        <v>14</v>
      </c>
      <c r="HD19" s="727">
        <v>0.22500000000000001</v>
      </c>
      <c r="HE19" s="727">
        <v>46.025013999999999</v>
      </c>
      <c r="HF19" s="727">
        <v>13.47</v>
      </c>
      <c r="HG19" s="727">
        <v>0.22500000000000001</v>
      </c>
      <c r="HH19" s="727">
        <v>44.973466000000002</v>
      </c>
      <c r="HI19" s="727">
        <v>21.9</v>
      </c>
      <c r="HJ19" s="727">
        <v>0.22500000000000001</v>
      </c>
      <c r="HK19" s="727">
        <v>44.978068999999998</v>
      </c>
      <c r="HL19" s="727">
        <v>23.9</v>
      </c>
      <c r="HM19" s="727">
        <v>0.22</v>
      </c>
      <c r="HN19" s="727">
        <v>45.003999999999998</v>
      </c>
      <c r="HO19" s="727">
        <v>21.97</v>
      </c>
      <c r="HP19" s="727">
        <v>0.22</v>
      </c>
      <c r="HQ19" s="727">
        <v>45.023000000000003</v>
      </c>
      <c r="HR19" s="727">
        <v>20.61</v>
      </c>
      <c r="HS19" s="727">
        <v>0.22</v>
      </c>
      <c r="HT19" s="727">
        <v>45.005800000000001</v>
      </c>
      <c r="HU19" s="727">
        <v>22.75</v>
      </c>
      <c r="HV19" s="727">
        <v>0.2175</v>
      </c>
      <c r="HW19" s="727">
        <v>44.991</v>
      </c>
      <c r="HX19" s="727">
        <v>22.725000000000001</v>
      </c>
      <c r="HY19" s="727">
        <v>0.21249999999999999</v>
      </c>
      <c r="HZ19" s="727">
        <v>44.975999999999999</v>
      </c>
      <c r="IA19" s="727">
        <v>27.375</v>
      </c>
      <c r="IB19" s="727">
        <v>0.21249999999999999</v>
      </c>
      <c r="IC19" s="727">
        <v>44.937800000000003</v>
      </c>
      <c r="ID19" s="727">
        <v>23.375</v>
      </c>
      <c r="IE19" s="727">
        <v>0.21249999999999999</v>
      </c>
      <c r="IF19" s="727">
        <v>44.884</v>
      </c>
      <c r="IG19" s="727">
        <v>16.75</v>
      </c>
      <c r="IH19" s="727">
        <v>0.21249999999999999</v>
      </c>
      <c r="II19" s="727">
        <v>44.954599999999999</v>
      </c>
      <c r="IJ19" s="722">
        <v>16.625</v>
      </c>
      <c r="IK19" s="722">
        <v>0.20749999999999999</v>
      </c>
      <c r="IL19" s="722">
        <v>45.010599999999997</v>
      </c>
      <c r="IM19" s="727">
        <v>16.03125</v>
      </c>
      <c r="IN19" s="722">
        <v>0.20749999999999999</v>
      </c>
      <c r="IO19" s="722">
        <v>45.062199999999997</v>
      </c>
      <c r="IP19" s="727">
        <v>16.21875</v>
      </c>
      <c r="IQ19" s="722">
        <v>0.20749999999999999</v>
      </c>
      <c r="IR19" s="721">
        <v>44.96</v>
      </c>
      <c r="IS19" s="721">
        <v>15.1875</v>
      </c>
      <c r="IT19" s="721">
        <v>0.20749999999999999</v>
      </c>
      <c r="IU19" s="721">
        <v>44.96</v>
      </c>
      <c r="IV19" s="721">
        <v>14.75</v>
      </c>
      <c r="IW19" s="721">
        <v>0.20250000000000001</v>
      </c>
      <c r="IX19" s="721">
        <v>44.96</v>
      </c>
      <c r="IY19" s="721">
        <v>17.156500000000001</v>
      </c>
      <c r="IZ19" s="721">
        <v>0.20250000000000001</v>
      </c>
      <c r="JA19" s="721">
        <v>44.94</v>
      </c>
      <c r="JB19" s="721">
        <v>16.844000000000001</v>
      </c>
      <c r="JC19" s="721">
        <v>0.20250000000000001</v>
      </c>
      <c r="JD19" s="721">
        <v>44.94</v>
      </c>
      <c r="JE19" s="721">
        <v>14.875</v>
      </c>
      <c r="JF19" s="721">
        <v>0.20250000000000001</v>
      </c>
      <c r="JG19" s="721">
        <v>44.94</v>
      </c>
      <c r="JH19" s="721">
        <v>17.125</v>
      </c>
      <c r="JI19" s="721">
        <v>0.19750000000000001</v>
      </c>
      <c r="JJ19" s="721">
        <v>44.933999999999997</v>
      </c>
      <c r="JK19" s="721">
        <v>16.1875</v>
      </c>
      <c r="JL19" s="721">
        <v>0.19750000000000001</v>
      </c>
      <c r="JM19" s="721">
        <v>44.926000000000002</v>
      </c>
      <c r="JN19" s="721">
        <v>13.78125</v>
      </c>
      <c r="JO19" s="721">
        <v>0.19750000000000001</v>
      </c>
      <c r="JP19" s="721">
        <v>44.926000000000002</v>
      </c>
      <c r="JQ19" s="721">
        <v>14.0625</v>
      </c>
      <c r="JR19" s="721">
        <v>0.19750000000000001</v>
      </c>
      <c r="JS19" s="721">
        <v>44.841999999999999</v>
      </c>
      <c r="JT19" s="721">
        <v>13.125</v>
      </c>
      <c r="JU19" s="721">
        <v>0.1925</v>
      </c>
      <c r="JV19" s="721">
        <v>44.841999999999999</v>
      </c>
      <c r="JW19" s="721">
        <v>13.8125</v>
      </c>
      <c r="JX19" s="721">
        <v>0.1925</v>
      </c>
      <c r="JY19" s="721">
        <v>44.841999999999999</v>
      </c>
      <c r="JZ19" s="721">
        <v>13.0625</v>
      </c>
      <c r="KA19" s="721">
        <v>0.1925</v>
      </c>
      <c r="KB19" s="721">
        <v>44.841999999999999</v>
      </c>
      <c r="KC19" s="721">
        <v>13.3125</v>
      </c>
      <c r="KD19" s="721">
        <v>0.1925</v>
      </c>
      <c r="KE19" s="721">
        <v>44.841999999999999</v>
      </c>
      <c r="KF19" s="721">
        <v>13.4375</v>
      </c>
      <c r="KG19" s="721">
        <v>0.1875</v>
      </c>
      <c r="KH19" s="721">
        <v>44.841999999999999</v>
      </c>
      <c r="KI19" s="721">
        <v>13.4375</v>
      </c>
      <c r="KJ19" s="721">
        <v>0.1875</v>
      </c>
      <c r="KK19" s="721">
        <v>44.814</v>
      </c>
      <c r="KL19" s="721">
        <v>12.8125</v>
      </c>
      <c r="KM19" s="721">
        <v>0.1875</v>
      </c>
      <c r="KN19" s="721">
        <v>44.814</v>
      </c>
      <c r="KO19" s="721">
        <v>11.75</v>
      </c>
      <c r="KP19" s="721">
        <v>0.1825</v>
      </c>
      <c r="KQ19" s="721">
        <v>44.814</v>
      </c>
      <c r="KR19" s="721">
        <v>11.1875</v>
      </c>
      <c r="KS19" s="721">
        <v>0.1825</v>
      </c>
      <c r="KT19" s="721">
        <v>44.792000000000002</v>
      </c>
      <c r="KU19" s="721">
        <v>11.59375</v>
      </c>
      <c r="KV19" s="721">
        <v>0.1825</v>
      </c>
      <c r="KW19" s="721">
        <v>44.792000000000002</v>
      </c>
      <c r="KX19" s="721">
        <v>11.1875</v>
      </c>
      <c r="KY19" s="721">
        <v>0.17749999999999999</v>
      </c>
      <c r="KZ19" s="721">
        <v>44.792000000000002</v>
      </c>
      <c r="LA19" s="721">
        <v>11.75</v>
      </c>
      <c r="LB19" s="721">
        <v>0.17749999999999999</v>
      </c>
      <c r="LC19" s="721">
        <v>44.725999999999999</v>
      </c>
      <c r="LD19" s="721">
        <v>11.875</v>
      </c>
      <c r="LE19" s="721">
        <v>0.17749999999999999</v>
      </c>
      <c r="LF19" s="721">
        <v>44.725999999999999</v>
      </c>
      <c r="LG19" s="721">
        <v>12.375</v>
      </c>
      <c r="LH19" s="721">
        <v>0.17749999999999999</v>
      </c>
      <c r="LI19" s="721">
        <v>44.725999999999999</v>
      </c>
      <c r="LJ19" s="721">
        <v>13.1875</v>
      </c>
      <c r="LK19" s="721">
        <v>0.17749999999999999</v>
      </c>
      <c r="LL19" s="721">
        <v>44690</v>
      </c>
      <c r="LM19" s="721">
        <v>13.0625</v>
      </c>
      <c r="LN19" s="721">
        <v>0.17749999999999999</v>
      </c>
      <c r="LO19" s="721">
        <v>44.64</v>
      </c>
      <c r="LP19" s="721">
        <v>12.6875</v>
      </c>
      <c r="LQ19" s="721">
        <v>0.17249999999999999</v>
      </c>
      <c r="LR19" s="721">
        <v>44.543999999999997</v>
      </c>
      <c r="LS19" s="721">
        <v>12.065</v>
      </c>
      <c r="LT19" s="721">
        <v>0.17499999999999999</v>
      </c>
      <c r="LU19" s="721">
        <v>44.543999999999997</v>
      </c>
      <c r="LV19" s="721">
        <v>12.125</v>
      </c>
      <c r="LW19" s="721">
        <v>0.17499999999999999</v>
      </c>
      <c r="LX19" s="721">
        <v>44.521999999999998</v>
      </c>
      <c r="LY19" s="721">
        <v>11.75</v>
      </c>
      <c r="LZ19" s="721">
        <v>0.17499999999999999</v>
      </c>
      <c r="MA19" s="721">
        <v>44.5</v>
      </c>
      <c r="MB19" s="721">
        <v>11.72</v>
      </c>
      <c r="MC19" s="721">
        <v>0.17</v>
      </c>
      <c r="MD19" s="721">
        <v>44.723999999999997</v>
      </c>
      <c r="ME19" s="721">
        <v>12.25</v>
      </c>
      <c r="MF19" s="721">
        <v>0.17</v>
      </c>
      <c r="MG19" s="721">
        <v>44.8</v>
      </c>
      <c r="MH19" s="721">
        <v>11.065</v>
      </c>
      <c r="MI19" s="721">
        <v>0.17</v>
      </c>
      <c r="MJ19" s="721">
        <v>44.936</v>
      </c>
      <c r="MK19" s="721">
        <v>10</v>
      </c>
      <c r="ML19" s="721">
        <v>0.17</v>
      </c>
      <c r="MM19" s="721">
        <v>45.015999999999998</v>
      </c>
      <c r="MN19" s="721">
        <v>9.5299999999999994</v>
      </c>
      <c r="MO19" s="721">
        <v>0.16</v>
      </c>
      <c r="MP19" s="721">
        <v>44.988</v>
      </c>
      <c r="MQ19" s="721">
        <v>9.0299999999999994</v>
      </c>
    </row>
    <row r="20" spans="1:355">
      <c r="B20" s="723" t="s">
        <v>254</v>
      </c>
      <c r="C20" s="886"/>
      <c r="D20" s="886"/>
      <c r="E20" s="886"/>
      <c r="F20" s="788"/>
      <c r="G20" s="788"/>
      <c r="H20" s="788"/>
      <c r="I20" s="788"/>
      <c r="J20" s="788"/>
      <c r="K20" s="788"/>
      <c r="L20" s="828"/>
      <c r="M20" s="829"/>
      <c r="N20" s="828"/>
      <c r="O20" s="828"/>
      <c r="P20" s="828"/>
      <c r="Q20" s="828"/>
      <c r="R20" s="828"/>
      <c r="S20" s="828"/>
      <c r="T20" s="828"/>
      <c r="U20" s="788"/>
      <c r="V20" s="827"/>
      <c r="W20" s="788"/>
      <c r="X20" s="832"/>
      <c r="Y20" s="788"/>
      <c r="Z20" s="788"/>
      <c r="AA20" s="788"/>
      <c r="AB20" s="788"/>
      <c r="AC20" s="788"/>
      <c r="AJ20" s="788"/>
      <c r="AK20" s="788"/>
      <c r="AL20" s="788"/>
      <c r="AM20" s="828"/>
      <c r="AN20" s="828"/>
      <c r="AO20" s="828"/>
      <c r="AP20" s="788"/>
      <c r="AQ20" s="788"/>
      <c r="AR20" s="788"/>
      <c r="AV20" s="723"/>
      <c r="AW20" s="723"/>
      <c r="AX20" s="723"/>
      <c r="AY20" s="723"/>
      <c r="AZ20" s="723"/>
      <c r="BA20" s="723"/>
      <c r="BB20" s="723"/>
      <c r="BC20" s="723"/>
      <c r="BD20" s="723"/>
      <c r="BE20" s="723"/>
      <c r="BF20" s="723"/>
      <c r="BG20" s="723"/>
      <c r="BH20" s="723"/>
      <c r="BI20" s="723"/>
      <c r="BJ20" s="723"/>
      <c r="BK20" s="723"/>
      <c r="BL20" s="723"/>
      <c r="BM20" s="723"/>
      <c r="BN20" s="723"/>
      <c r="BO20" s="723"/>
      <c r="BP20" s="723"/>
      <c r="BQ20" s="723"/>
      <c r="BR20" s="723"/>
      <c r="BS20" s="723"/>
      <c r="BT20" s="723"/>
      <c r="BU20" s="723"/>
      <c r="BV20" s="723"/>
      <c r="BW20" s="728"/>
      <c r="BX20" s="728"/>
      <c r="BY20" s="728"/>
      <c r="BZ20" s="723"/>
      <c r="CA20" s="723"/>
      <c r="CB20" s="723"/>
      <c r="CC20" s="723"/>
      <c r="CD20" s="723"/>
      <c r="CE20" s="723"/>
      <c r="CF20" s="723"/>
      <c r="CG20" s="723"/>
      <c r="CH20" s="723"/>
      <c r="CI20" s="723"/>
      <c r="CJ20" s="723"/>
      <c r="CK20" s="723"/>
      <c r="CL20" s="723"/>
      <c r="CM20" s="723"/>
      <c r="CN20" s="723"/>
      <c r="CO20" s="723"/>
      <c r="CP20" s="723"/>
      <c r="CQ20" s="723"/>
      <c r="CR20" s="723"/>
      <c r="CS20" s="723"/>
      <c r="CT20" s="723"/>
      <c r="CU20" s="723"/>
      <c r="CV20" s="723"/>
      <c r="CW20" s="723"/>
      <c r="CX20" s="722"/>
      <c r="CY20" s="723"/>
      <c r="CZ20" s="723"/>
      <c r="DA20" s="723"/>
      <c r="DB20" s="723"/>
      <c r="DC20" s="735"/>
      <c r="DD20" s="723"/>
      <c r="DE20" s="723"/>
      <c r="DF20" s="723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5"/>
      <c r="DU20" s="723"/>
      <c r="DV20" s="723"/>
      <c r="DW20" s="723"/>
      <c r="DX20" s="723"/>
      <c r="DY20" s="723"/>
      <c r="DZ20" s="723"/>
      <c r="EA20" s="723"/>
      <c r="EB20" s="723"/>
      <c r="EC20" s="723"/>
      <c r="ED20" s="723"/>
      <c r="EE20" s="723"/>
      <c r="EF20" s="723"/>
      <c r="EG20" s="723"/>
      <c r="EH20" s="723"/>
      <c r="EI20" s="723"/>
      <c r="EJ20" s="723"/>
      <c r="EK20" s="723"/>
      <c r="EL20" s="723"/>
      <c r="EM20" s="723"/>
      <c r="EN20" s="723"/>
      <c r="EO20" s="723"/>
      <c r="EP20" s="723"/>
      <c r="EQ20" s="723"/>
      <c r="ER20" s="723"/>
      <c r="ES20" s="723"/>
      <c r="ET20" s="722"/>
      <c r="EU20" s="722"/>
      <c r="EV20" s="722"/>
      <c r="EW20" s="723"/>
      <c r="EX20" s="723"/>
      <c r="EY20" s="723"/>
      <c r="EZ20" s="723"/>
      <c r="FA20" s="723"/>
      <c r="FB20" s="723"/>
      <c r="FC20" s="723"/>
      <c r="FD20" s="741"/>
      <c r="FE20" s="723"/>
      <c r="FF20" s="727"/>
      <c r="FG20" s="727"/>
      <c r="FH20" s="727"/>
      <c r="FI20" s="727"/>
      <c r="FJ20" s="727"/>
      <c r="FK20" s="727"/>
      <c r="FL20" s="727"/>
      <c r="FM20" s="727"/>
      <c r="FN20" s="727"/>
      <c r="FO20" s="727"/>
      <c r="FP20" s="727"/>
      <c r="FQ20" s="727"/>
      <c r="FR20" s="727"/>
      <c r="FS20" s="742"/>
      <c r="FT20" s="626"/>
      <c r="FU20" s="727"/>
      <c r="FV20" s="727"/>
      <c r="FW20" s="727"/>
      <c r="FX20" s="727"/>
      <c r="FY20" s="727"/>
      <c r="FZ20" s="727"/>
      <c r="GA20" s="727"/>
      <c r="GB20" s="727"/>
      <c r="GC20" s="727"/>
      <c r="GD20" s="750"/>
      <c r="GE20" s="741"/>
      <c r="GF20" s="751"/>
      <c r="GG20" s="750"/>
      <c r="GH20" s="727"/>
      <c r="GI20" s="727"/>
      <c r="GJ20" s="727"/>
      <c r="GK20" s="727"/>
      <c r="GL20" s="727"/>
      <c r="GM20" s="727"/>
      <c r="GN20" s="727"/>
      <c r="GO20" s="727"/>
      <c r="GP20" s="727"/>
      <c r="GQ20" s="727"/>
      <c r="GR20" s="727"/>
      <c r="GS20" s="727"/>
      <c r="GT20" s="727"/>
      <c r="GU20" s="752"/>
      <c r="GV20" s="727"/>
      <c r="GW20" s="727"/>
      <c r="GX20" s="727"/>
      <c r="GY20" s="727"/>
      <c r="GZ20" s="727"/>
      <c r="HA20" s="727"/>
      <c r="HB20" s="727"/>
      <c r="HC20" s="727"/>
      <c r="HD20" s="727"/>
      <c r="HE20" s="727"/>
      <c r="HF20" s="727"/>
      <c r="HG20" s="727"/>
      <c r="HH20" s="727"/>
      <c r="HI20" s="727"/>
      <c r="HJ20" s="727"/>
      <c r="HK20" s="727"/>
      <c r="HL20" s="727"/>
      <c r="HM20" s="727"/>
      <c r="HN20" s="727"/>
      <c r="HO20" s="752"/>
      <c r="HP20" s="752"/>
      <c r="HQ20" s="727"/>
      <c r="HR20" s="727"/>
      <c r="HS20" s="727"/>
      <c r="HT20" s="727"/>
      <c r="HU20" s="727"/>
      <c r="HV20" s="727"/>
      <c r="HW20" s="727"/>
      <c r="HX20" s="727"/>
      <c r="HY20" s="727"/>
      <c r="HZ20" s="727"/>
      <c r="IA20" s="727"/>
      <c r="IB20" s="727"/>
      <c r="IC20" s="727"/>
      <c r="ID20" s="727"/>
      <c r="IE20" s="727"/>
      <c r="IF20" s="727">
        <v>32.442551999999999</v>
      </c>
      <c r="IG20" s="727">
        <v>29.3125</v>
      </c>
      <c r="IH20" s="727">
        <v>0.22500000000000001</v>
      </c>
      <c r="II20" s="727">
        <v>32.442551999999999</v>
      </c>
      <c r="IJ20" s="722">
        <v>29.125</v>
      </c>
      <c r="IK20" s="722">
        <v>0.22500000000000001</v>
      </c>
      <c r="IL20" s="722">
        <v>32.442551999999999</v>
      </c>
      <c r="IM20" s="727">
        <v>27.5625</v>
      </c>
      <c r="IN20" s="722">
        <v>0.22500000000000001</v>
      </c>
      <c r="IO20" s="722">
        <v>32.442551999999999</v>
      </c>
      <c r="IP20" s="727">
        <v>26.375</v>
      </c>
      <c r="IQ20" s="722">
        <v>0.22500000000000001</v>
      </c>
      <c r="IR20" s="721">
        <v>32.44</v>
      </c>
      <c r="IS20" s="721">
        <v>26.1875</v>
      </c>
      <c r="IT20" s="721">
        <v>0.22500000000000001</v>
      </c>
      <c r="IU20" s="721">
        <v>32.44</v>
      </c>
      <c r="IV20" s="721">
        <v>18.375</v>
      </c>
      <c r="IW20" s="721">
        <v>0.22500000000000001</v>
      </c>
      <c r="IX20" s="721">
        <v>32.44</v>
      </c>
      <c r="IY20" s="721">
        <v>18.875</v>
      </c>
      <c r="IZ20" s="721">
        <v>0.22500000000000001</v>
      </c>
      <c r="JA20" s="721">
        <v>32.44</v>
      </c>
      <c r="JB20" s="721">
        <v>18.562999999999999</v>
      </c>
      <c r="JC20" s="721">
        <v>0.22500000000000001</v>
      </c>
      <c r="JD20" s="721">
        <v>32.44</v>
      </c>
      <c r="JE20" s="721">
        <v>19.5</v>
      </c>
      <c r="JF20" s="721">
        <v>0.22500000000000001</v>
      </c>
      <c r="JG20" s="721">
        <v>32.44</v>
      </c>
      <c r="JH20" s="721">
        <v>17.625</v>
      </c>
      <c r="JI20" s="721">
        <v>0.22500000000000001</v>
      </c>
      <c r="JJ20" s="721">
        <v>32.442</v>
      </c>
      <c r="JK20" s="721">
        <v>15.25</v>
      </c>
      <c r="JL20" s="721">
        <v>0.22500000000000001</v>
      </c>
      <c r="JM20" s="721">
        <v>32.442999999999998</v>
      </c>
      <c r="JN20" s="721">
        <v>13.0625</v>
      </c>
      <c r="JO20" s="721">
        <v>0.22500000000000001</v>
      </c>
      <c r="JP20" s="721">
        <v>32.442999999999998</v>
      </c>
      <c r="JQ20" s="721">
        <v>12.375</v>
      </c>
      <c r="JR20" s="721">
        <v>0.22500000000000001</v>
      </c>
      <c r="JS20" s="721">
        <v>32.442999999999998</v>
      </c>
      <c r="JT20" s="721">
        <v>10.625</v>
      </c>
      <c r="JU20" s="721">
        <v>0.22500000000000001</v>
      </c>
      <c r="JV20" s="721">
        <v>32.442999999999998</v>
      </c>
      <c r="JW20" s="721">
        <v>11.625</v>
      </c>
      <c r="JX20" s="721">
        <v>0.22500000000000001</v>
      </c>
      <c r="JY20" s="721">
        <v>32.442999999999998</v>
      </c>
      <c r="JZ20" s="721">
        <v>12.25</v>
      </c>
      <c r="KA20" s="721">
        <v>0.22500000000000001</v>
      </c>
      <c r="KB20" s="721">
        <v>32.442999999999998</v>
      </c>
      <c r="KC20" s="721">
        <v>14.5</v>
      </c>
      <c r="KD20" s="721">
        <v>0.22500000000000001</v>
      </c>
      <c r="KE20" s="721">
        <v>32.442999999999998</v>
      </c>
      <c r="KF20" s="721">
        <v>14.5</v>
      </c>
      <c r="KG20" s="721">
        <v>0.22500000000000001</v>
      </c>
      <c r="KH20" s="721">
        <v>32.442999999999998</v>
      </c>
      <c r="KI20" s="721">
        <v>14.375</v>
      </c>
      <c r="KJ20" s="721">
        <v>0.22500000000000001</v>
      </c>
      <c r="KK20" s="721">
        <v>32.442999999999998</v>
      </c>
      <c r="KL20" s="721">
        <v>13.125</v>
      </c>
      <c r="KM20" s="721">
        <v>0.22500000000000001</v>
      </c>
      <c r="KN20" s="721">
        <v>32.442999999999998</v>
      </c>
      <c r="KO20" s="721">
        <v>11.875</v>
      </c>
      <c r="KP20" s="721">
        <v>0.22500000000000001</v>
      </c>
      <c r="KQ20" s="721">
        <v>32.442999999999998</v>
      </c>
      <c r="KR20" s="721">
        <v>11</v>
      </c>
      <c r="KS20" s="721">
        <v>0.22500000000000001</v>
      </c>
      <c r="KT20" s="721">
        <v>32.442</v>
      </c>
      <c r="KU20" s="721">
        <v>13.5625</v>
      </c>
      <c r="KV20" s="721">
        <v>0.22500000000000001</v>
      </c>
      <c r="KW20" s="721">
        <v>32.442</v>
      </c>
      <c r="KX20" s="721">
        <v>11.25</v>
      </c>
      <c r="KY20" s="721">
        <v>0.22500000000000001</v>
      </c>
      <c r="KZ20" s="721">
        <v>32.442999999999998</v>
      </c>
      <c r="LA20" s="721">
        <v>11.5</v>
      </c>
      <c r="LB20" s="721">
        <v>0.22500000000000001</v>
      </c>
      <c r="LC20" s="721">
        <v>31.917000000000002</v>
      </c>
      <c r="LD20" s="721">
        <v>12.75</v>
      </c>
      <c r="LE20" s="721">
        <v>0.22500000000000001</v>
      </c>
      <c r="LF20" s="721">
        <v>31.917000000000002</v>
      </c>
      <c r="LG20" s="721">
        <v>15</v>
      </c>
      <c r="LH20" s="721">
        <v>0.22500000000000001</v>
      </c>
      <c r="LI20" s="721">
        <v>31.917000000000002</v>
      </c>
      <c r="LJ20" s="721">
        <v>22.25</v>
      </c>
      <c r="LK20" s="721">
        <v>0.39</v>
      </c>
      <c r="LL20" s="721">
        <v>31.619</v>
      </c>
      <c r="LM20" s="721">
        <v>23.375</v>
      </c>
      <c r="LN20" s="721">
        <v>0.39</v>
      </c>
      <c r="LO20" s="721">
        <v>31.347999999999999</v>
      </c>
      <c r="LP20" s="721">
        <v>24.375</v>
      </c>
      <c r="LQ20" s="721">
        <v>0.39</v>
      </c>
      <c r="LR20" s="721">
        <v>30.486000000000001</v>
      </c>
      <c r="LS20" s="721">
        <v>23.63</v>
      </c>
      <c r="LT20" s="721">
        <v>0.39</v>
      </c>
      <c r="LU20" s="721">
        <v>30.486000000000001</v>
      </c>
      <c r="LV20" s="721">
        <v>23</v>
      </c>
      <c r="LW20" s="721">
        <v>0.39</v>
      </c>
      <c r="LX20" s="721">
        <v>30.337</v>
      </c>
      <c r="LY20" s="721">
        <v>22.88</v>
      </c>
      <c r="LZ20" s="721">
        <v>0.39</v>
      </c>
      <c r="MA20" s="721">
        <v>30.186</v>
      </c>
      <c r="MB20" s="721">
        <v>20.13</v>
      </c>
      <c r="MC20" s="721">
        <v>0.39</v>
      </c>
      <c r="MD20" s="721">
        <v>29.509</v>
      </c>
      <c r="ME20" s="721">
        <v>23</v>
      </c>
      <c r="MF20" s="721">
        <v>0.39</v>
      </c>
      <c r="MG20" s="721">
        <v>29.372</v>
      </c>
      <c r="MH20" s="721">
        <v>19.63</v>
      </c>
      <c r="MI20" s="721">
        <v>0.39</v>
      </c>
      <c r="MJ20" s="721">
        <v>29.236999999999998</v>
      </c>
      <c r="MK20" s="721">
        <v>17.88</v>
      </c>
      <c r="ML20" s="721">
        <v>0.39</v>
      </c>
      <c r="MM20" s="721">
        <v>29.106999999999999</v>
      </c>
      <c r="MN20" s="721">
        <v>18.88</v>
      </c>
      <c r="MO20" s="721">
        <v>0.39</v>
      </c>
      <c r="MP20" s="721">
        <v>26.873999999999999</v>
      </c>
      <c r="MQ20" s="721">
        <v>18.13</v>
      </c>
    </row>
    <row r="21" spans="1:355">
      <c r="A21" s="633" t="s">
        <v>107</v>
      </c>
      <c r="B21" s="727" t="s">
        <v>124</v>
      </c>
      <c r="C21" s="886"/>
      <c r="D21" s="886"/>
      <c r="E21" s="886"/>
      <c r="F21" s="788"/>
      <c r="G21" s="788"/>
      <c r="H21" s="788"/>
      <c r="I21" s="788"/>
      <c r="J21" s="788"/>
      <c r="K21" s="788"/>
      <c r="L21" s="828"/>
      <c r="M21" s="829"/>
      <c r="N21" s="828"/>
      <c r="O21" s="828"/>
      <c r="P21" s="828"/>
      <c r="Q21" s="828"/>
      <c r="R21" s="828"/>
      <c r="S21" s="828"/>
      <c r="T21" s="828"/>
      <c r="U21" s="788"/>
      <c r="V21" s="827"/>
      <c r="W21" s="788"/>
      <c r="X21" s="832"/>
      <c r="Y21" s="788"/>
      <c r="Z21" s="788"/>
      <c r="AA21" s="788"/>
      <c r="AB21" s="788"/>
      <c r="AC21" s="788"/>
      <c r="AJ21" s="788"/>
      <c r="AK21" s="788"/>
      <c r="AL21" s="788"/>
      <c r="AM21" s="828"/>
      <c r="AN21" s="828"/>
      <c r="AO21" s="828"/>
      <c r="AP21" s="788"/>
      <c r="AQ21" s="788"/>
      <c r="AR21" s="788"/>
      <c r="AS21" s="727"/>
      <c r="AT21" s="727"/>
      <c r="AU21" s="727"/>
      <c r="AV21" s="727"/>
      <c r="AW21" s="727"/>
      <c r="AX21" s="727"/>
      <c r="AY21" s="727"/>
      <c r="AZ21" s="727"/>
      <c r="BA21" s="727"/>
      <c r="BB21" s="727"/>
      <c r="BC21" s="727"/>
      <c r="BD21" s="727"/>
      <c r="BE21" s="727"/>
      <c r="BF21" s="727"/>
      <c r="BG21" s="727"/>
      <c r="BH21" s="727"/>
      <c r="BI21" s="727"/>
      <c r="BJ21" s="727"/>
      <c r="BK21" s="727"/>
      <c r="BL21" s="727"/>
      <c r="BM21" s="727"/>
      <c r="BN21" s="727"/>
      <c r="BO21" s="727"/>
      <c r="BP21" s="727"/>
      <c r="BQ21" s="727"/>
      <c r="BR21" s="727"/>
      <c r="BS21" s="727"/>
      <c r="BT21" s="727"/>
      <c r="BU21" s="727"/>
      <c r="BV21" s="727"/>
      <c r="BW21" s="726"/>
      <c r="BX21" s="726"/>
      <c r="BY21" s="726"/>
      <c r="BZ21" s="727"/>
      <c r="CA21" s="727"/>
      <c r="CB21" s="727"/>
      <c r="CC21" s="727"/>
      <c r="CD21" s="727"/>
      <c r="CE21" s="727"/>
      <c r="CF21" s="727"/>
      <c r="CG21" s="727"/>
      <c r="CH21" s="727"/>
      <c r="CI21" s="726"/>
      <c r="CJ21" s="726"/>
      <c r="CK21" s="726"/>
      <c r="CL21" s="727"/>
      <c r="CM21" s="727"/>
      <c r="CN21" s="727"/>
      <c r="CO21" s="727"/>
      <c r="CP21" s="727"/>
      <c r="CQ21" s="727"/>
      <c r="CR21" s="727"/>
      <c r="CS21" s="727"/>
      <c r="CT21" s="727"/>
      <c r="CU21" s="726">
        <v>13.425986</v>
      </c>
      <c r="CV21" s="726">
        <v>35.200000000000003</v>
      </c>
      <c r="CW21" s="726">
        <v>0.23</v>
      </c>
      <c r="CX21" s="727">
        <v>13.425986</v>
      </c>
      <c r="CY21" s="727">
        <v>35.1</v>
      </c>
      <c r="CZ21" s="727">
        <v>0.23</v>
      </c>
      <c r="DA21" s="727">
        <v>13.399127999999999</v>
      </c>
      <c r="DB21" s="727">
        <v>35.21</v>
      </c>
      <c r="DC21" s="727">
        <v>0.23</v>
      </c>
      <c r="DD21" s="727">
        <v>13.353973</v>
      </c>
      <c r="DE21" s="727">
        <v>36.15</v>
      </c>
      <c r="DF21" s="727">
        <v>0.23</v>
      </c>
      <c r="DG21" s="727">
        <v>13.144056000000001</v>
      </c>
      <c r="DH21" s="727">
        <v>23.29</v>
      </c>
      <c r="DI21" s="727">
        <v>0.23</v>
      </c>
      <c r="DJ21" s="727">
        <v>12.516488000000001</v>
      </c>
      <c r="DK21" s="727">
        <v>21.86</v>
      </c>
      <c r="DL21" s="727">
        <v>0.23</v>
      </c>
      <c r="DM21" s="727">
        <v>12.078723999999999</v>
      </c>
      <c r="DN21" s="727">
        <v>20.170000000000002</v>
      </c>
      <c r="DO21" s="727">
        <v>0.23</v>
      </c>
      <c r="DP21" s="727">
        <v>11.725484</v>
      </c>
      <c r="DQ21" s="727">
        <v>19.739999999999998</v>
      </c>
      <c r="DR21" s="727">
        <v>0.23</v>
      </c>
      <c r="DS21" s="727">
        <v>11.697392000000001</v>
      </c>
      <c r="DT21" s="748">
        <v>20.170000000000002</v>
      </c>
      <c r="DU21" s="727">
        <v>0.23</v>
      </c>
      <c r="DV21" s="727">
        <v>11.679133</v>
      </c>
      <c r="DW21" s="727">
        <v>20.8</v>
      </c>
      <c r="DX21" s="727">
        <v>0.23</v>
      </c>
      <c r="DY21" s="727">
        <v>11.660546999999999</v>
      </c>
      <c r="DZ21" s="727">
        <v>19.3</v>
      </c>
      <c r="EA21" s="727">
        <v>0.23</v>
      </c>
      <c r="EB21" s="727">
        <v>11.602399999999999</v>
      </c>
      <c r="EC21" s="727">
        <v>18.100000000000001</v>
      </c>
      <c r="ED21" s="727">
        <v>0.23</v>
      </c>
      <c r="EE21" s="727">
        <v>10.86</v>
      </c>
      <c r="EF21" s="727">
        <v>17.3</v>
      </c>
      <c r="EG21" s="727">
        <v>0.23</v>
      </c>
      <c r="EH21" s="727">
        <v>10.352262</v>
      </c>
      <c r="EI21" s="727">
        <v>23.86</v>
      </c>
      <c r="EJ21" s="727">
        <v>0.23</v>
      </c>
      <c r="EK21" s="727">
        <v>10.337892999999999</v>
      </c>
      <c r="EL21" s="727">
        <v>23.44</v>
      </c>
      <c r="EM21" s="727">
        <v>0.23</v>
      </c>
      <c r="EN21" s="727">
        <v>10.275505000000001</v>
      </c>
      <c r="EO21" s="727">
        <v>19.37</v>
      </c>
      <c r="EP21" s="727">
        <v>0.23</v>
      </c>
      <c r="EQ21" s="727">
        <v>10.185930000000001</v>
      </c>
      <c r="ER21" s="727">
        <v>23.9</v>
      </c>
      <c r="ES21" s="727">
        <v>0.23</v>
      </c>
      <c r="ET21" s="727">
        <v>10.197869000000001</v>
      </c>
      <c r="EU21" s="727">
        <v>30.84</v>
      </c>
      <c r="EV21" s="727">
        <v>0.23</v>
      </c>
      <c r="EW21" s="727">
        <v>10.186907</v>
      </c>
      <c r="EX21" s="727">
        <v>36.54</v>
      </c>
      <c r="EY21" s="727">
        <v>0.23</v>
      </c>
      <c r="EZ21" s="727">
        <v>10.135481</v>
      </c>
      <c r="FA21" s="727">
        <v>37.68</v>
      </c>
      <c r="FB21" s="727">
        <v>0.23</v>
      </c>
      <c r="FC21" s="723">
        <v>10.756027</v>
      </c>
      <c r="FD21" s="741">
        <v>28.82</v>
      </c>
      <c r="FE21" s="723">
        <v>0.23</v>
      </c>
      <c r="FF21" s="727">
        <v>10.328099</v>
      </c>
      <c r="FG21" s="727">
        <v>23.55</v>
      </c>
      <c r="FH21" s="727">
        <v>0.23</v>
      </c>
      <c r="FI21" s="727">
        <v>10.634854000000001</v>
      </c>
      <c r="FJ21" s="727">
        <v>22.11</v>
      </c>
      <c r="FK21" s="727">
        <v>0.23</v>
      </c>
      <c r="FL21" s="727">
        <v>12.297528</v>
      </c>
      <c r="FM21" s="727">
        <v>18.48</v>
      </c>
      <c r="FN21" s="727">
        <v>0.23</v>
      </c>
      <c r="FO21" s="727">
        <v>12.276642000000001</v>
      </c>
      <c r="FP21" s="727">
        <v>21.21</v>
      </c>
      <c r="FQ21" s="727">
        <v>0.23</v>
      </c>
      <c r="FR21" s="727">
        <v>12.276642000000001</v>
      </c>
      <c r="FS21" s="742">
        <v>18.010000000000002</v>
      </c>
      <c r="FT21" s="626">
        <f>0.92/4</f>
        <v>0.23</v>
      </c>
      <c r="FU21" s="727">
        <v>12.259428</v>
      </c>
      <c r="FV21" s="727">
        <v>17.5</v>
      </c>
      <c r="FW21" s="727">
        <v>0.23</v>
      </c>
      <c r="FX21" s="727">
        <v>12.21913</v>
      </c>
      <c r="FY21" s="727">
        <v>18.5</v>
      </c>
      <c r="FZ21" s="727">
        <v>0.23</v>
      </c>
      <c r="GA21" s="727">
        <v>12.138847</v>
      </c>
      <c r="GB21" s="727">
        <v>22.48</v>
      </c>
      <c r="GC21" s="727">
        <v>0.23</v>
      </c>
      <c r="GD21" s="750">
        <v>12.138847</v>
      </c>
      <c r="GE21" s="741">
        <v>23.26</v>
      </c>
      <c r="GF21" s="751">
        <v>0.23</v>
      </c>
      <c r="GG21" s="750">
        <v>12.112648999999999</v>
      </c>
      <c r="GH21" s="727">
        <v>20.11</v>
      </c>
      <c r="GI21" s="727">
        <v>0.23</v>
      </c>
      <c r="GJ21" s="727">
        <v>12.063879</v>
      </c>
      <c r="GK21" s="727">
        <v>20.49</v>
      </c>
      <c r="GL21" s="727">
        <v>0.23</v>
      </c>
      <c r="GM21" s="727">
        <v>11.927894</v>
      </c>
      <c r="GN21" s="727">
        <v>22.5</v>
      </c>
      <c r="GO21" s="727">
        <v>0.23</v>
      </c>
      <c r="GP21" s="727">
        <v>11.927894</v>
      </c>
      <c r="GQ21" s="727">
        <v>23.5</v>
      </c>
      <c r="GR21" s="727">
        <v>0.22</v>
      </c>
      <c r="GS21" s="727">
        <v>11.864013</v>
      </c>
      <c r="GT21" s="727">
        <v>22.18</v>
      </c>
      <c r="GU21" s="727">
        <v>0.22</v>
      </c>
      <c r="GV21" s="727">
        <v>11.776657999999999</v>
      </c>
      <c r="GW21" s="727">
        <v>19.55</v>
      </c>
      <c r="GX21" s="727">
        <v>0.22</v>
      </c>
      <c r="GY21" s="727">
        <v>11.73001</v>
      </c>
      <c r="GZ21" s="727">
        <v>17.2</v>
      </c>
      <c r="HA21" s="727">
        <v>0.22</v>
      </c>
      <c r="HB21" s="727">
        <v>11.697336</v>
      </c>
      <c r="HC21" s="727">
        <v>18.28</v>
      </c>
      <c r="HD21" s="727">
        <v>0.22</v>
      </c>
      <c r="HE21" s="727">
        <v>11.662096</v>
      </c>
      <c r="HF21" s="727">
        <v>17.63</v>
      </c>
      <c r="HG21" s="727">
        <v>0.22</v>
      </c>
      <c r="HH21" s="727">
        <v>11.622118</v>
      </c>
      <c r="HI21" s="727">
        <v>18</v>
      </c>
      <c r="HJ21" s="727">
        <v>0.22</v>
      </c>
      <c r="HK21" s="727">
        <v>11.571265</v>
      </c>
      <c r="HL21" s="727">
        <v>17.86</v>
      </c>
      <c r="HM21" s="727">
        <v>0.22</v>
      </c>
      <c r="HN21" s="727">
        <v>11.555</v>
      </c>
      <c r="HO21" s="727">
        <v>16.7</v>
      </c>
      <c r="HP21" s="727">
        <v>0.22</v>
      </c>
      <c r="HQ21" s="727">
        <v>11.547000000000001</v>
      </c>
      <c r="HR21" s="727">
        <v>17.489999999999998</v>
      </c>
      <c r="HS21" s="727">
        <v>0.22</v>
      </c>
      <c r="HT21" s="727">
        <v>11.5</v>
      </c>
      <c r="HU21" s="727">
        <v>18.91</v>
      </c>
      <c r="HV21" s="727">
        <v>0.22</v>
      </c>
      <c r="HW21" s="727">
        <v>11.507999999999999</v>
      </c>
      <c r="HX21" s="727">
        <v>16.489999999999998</v>
      </c>
      <c r="HY21" s="727">
        <v>0.22</v>
      </c>
      <c r="HZ21" s="727">
        <v>11.502433</v>
      </c>
      <c r="IA21" s="727">
        <v>12.1875</v>
      </c>
      <c r="IB21" s="727">
        <v>0.22</v>
      </c>
      <c r="IC21" s="727">
        <v>11.476556</v>
      </c>
      <c r="ID21" s="727">
        <v>10.1875</v>
      </c>
      <c r="IE21" s="727">
        <v>0.22</v>
      </c>
      <c r="IF21" s="727">
        <v>11.8</v>
      </c>
      <c r="IG21" s="727">
        <v>11</v>
      </c>
      <c r="IH21" s="727">
        <v>0.22</v>
      </c>
      <c r="II21" s="727">
        <v>11.463196999999999</v>
      </c>
      <c r="IJ21" s="722">
        <v>10.4375</v>
      </c>
      <c r="IK21" s="722">
        <v>0.22</v>
      </c>
      <c r="IL21" s="722">
        <v>11.5</v>
      </c>
      <c r="IM21" s="727">
        <v>10.625</v>
      </c>
      <c r="IN21" s="722">
        <v>0.22</v>
      </c>
      <c r="IO21" s="722">
        <v>11.5</v>
      </c>
      <c r="IP21" s="727">
        <v>13.1875</v>
      </c>
      <c r="IQ21" s="722">
        <v>0.22</v>
      </c>
      <c r="IR21" s="721">
        <v>11.44</v>
      </c>
      <c r="IS21" s="721">
        <v>12.8125</v>
      </c>
      <c r="IT21" s="721">
        <v>0.22</v>
      </c>
      <c r="IU21" s="721">
        <v>11.42</v>
      </c>
      <c r="IV21" s="721">
        <v>10.0625</v>
      </c>
      <c r="IW21" s="721">
        <v>0.22</v>
      </c>
      <c r="IX21" s="721">
        <v>11.42</v>
      </c>
      <c r="IY21" s="721">
        <v>10.375</v>
      </c>
      <c r="IZ21" s="721">
        <v>0.22</v>
      </c>
      <c r="JA21" s="721">
        <v>11.42</v>
      </c>
      <c r="JB21" s="721">
        <v>10.813000000000001</v>
      </c>
      <c r="JC21" s="721">
        <v>0.22</v>
      </c>
      <c r="JD21" s="721">
        <v>11.42</v>
      </c>
      <c r="JE21" s="721">
        <v>14.938000000000001</v>
      </c>
      <c r="JF21" s="721">
        <v>0.22</v>
      </c>
      <c r="JG21" s="721">
        <v>11.42</v>
      </c>
      <c r="JH21" s="721">
        <v>14.875</v>
      </c>
      <c r="JI21" s="721">
        <v>0.22</v>
      </c>
      <c r="JJ21" s="721">
        <v>11.423</v>
      </c>
      <c r="JK21" s="721">
        <v>15.25</v>
      </c>
      <c r="JL21" s="721">
        <v>0.22</v>
      </c>
      <c r="JM21" s="721">
        <v>11.52</v>
      </c>
      <c r="JN21" s="721">
        <v>13.25</v>
      </c>
      <c r="JO21" s="721">
        <v>0.22</v>
      </c>
      <c r="JP21" s="721">
        <v>11.52</v>
      </c>
      <c r="JQ21" s="721">
        <v>11.063000000000001</v>
      </c>
      <c r="JR21" s="721">
        <v>0.22</v>
      </c>
      <c r="JS21" s="721">
        <v>11.619</v>
      </c>
      <c r="JT21" s="721">
        <v>10.625</v>
      </c>
      <c r="JU21" s="721">
        <v>0.22</v>
      </c>
      <c r="JV21" s="721">
        <v>11.619</v>
      </c>
      <c r="JW21" s="721">
        <v>12</v>
      </c>
      <c r="JX21" s="721">
        <v>0.22</v>
      </c>
      <c r="JY21" s="721">
        <v>11.619</v>
      </c>
      <c r="JZ21" s="721">
        <v>12.5</v>
      </c>
      <c r="KA21" s="721">
        <v>0.22</v>
      </c>
      <c r="KB21" s="721">
        <v>11.619</v>
      </c>
      <c r="KC21" s="721">
        <v>12.75</v>
      </c>
      <c r="KD21" s="721">
        <v>0.22</v>
      </c>
      <c r="KE21" s="721">
        <v>11.619</v>
      </c>
      <c r="KF21" s="721">
        <v>15</v>
      </c>
      <c r="KG21" s="721">
        <v>0.2</v>
      </c>
      <c r="KH21" s="721">
        <v>11.619</v>
      </c>
      <c r="KI21" s="721">
        <v>13.375</v>
      </c>
      <c r="KJ21" s="721">
        <v>0.2</v>
      </c>
      <c r="KK21" s="721">
        <v>11.712</v>
      </c>
      <c r="KL21" s="721">
        <v>13.5</v>
      </c>
      <c r="KM21" s="721">
        <v>0.2</v>
      </c>
      <c r="KN21" s="721">
        <v>11.712</v>
      </c>
      <c r="KO21" s="721">
        <v>13.875</v>
      </c>
      <c r="KP21" s="721">
        <v>0.2</v>
      </c>
      <c r="KQ21" s="721">
        <v>11.712</v>
      </c>
      <c r="KR21" s="721">
        <v>13.375</v>
      </c>
      <c r="KS21" s="721">
        <v>0.2</v>
      </c>
      <c r="KT21" s="721">
        <v>11.7</v>
      </c>
      <c r="KU21" s="721">
        <v>13.5</v>
      </c>
      <c r="KV21" s="721">
        <v>0.2</v>
      </c>
      <c r="KW21" s="721">
        <v>11.7</v>
      </c>
      <c r="KX21" s="721">
        <v>12.5</v>
      </c>
      <c r="KY21" s="721">
        <v>0.35499999999999998</v>
      </c>
      <c r="KZ21" s="721">
        <v>11.659000000000001</v>
      </c>
      <c r="LA21" s="721">
        <v>14.625</v>
      </c>
      <c r="LB21" s="721">
        <v>0.35499999999999998</v>
      </c>
      <c r="LC21" s="721">
        <v>11.429</v>
      </c>
      <c r="LD21" s="721">
        <v>18.875</v>
      </c>
      <c r="LE21" s="721">
        <v>0.35499999999999998</v>
      </c>
      <c r="LF21" s="721">
        <v>11.429</v>
      </c>
      <c r="LG21" s="721">
        <v>21</v>
      </c>
      <c r="LH21" s="721">
        <v>0.35499999999999998</v>
      </c>
      <c r="LI21" s="721">
        <v>11.429</v>
      </c>
      <c r="LJ21" s="721">
        <v>23.5</v>
      </c>
      <c r="LK21" s="721">
        <v>0.35499999999999998</v>
      </c>
      <c r="LL21" s="721">
        <v>11.340999999999999</v>
      </c>
      <c r="LM21" s="721">
        <v>23.75</v>
      </c>
      <c r="LN21" s="721">
        <v>0.35499999999999998</v>
      </c>
      <c r="LO21" s="721">
        <v>11.242000000000001</v>
      </c>
      <c r="LP21" s="721">
        <v>24.375</v>
      </c>
      <c r="LQ21" s="721">
        <v>0.35499999999999998</v>
      </c>
      <c r="LR21" s="721">
        <v>10.946</v>
      </c>
      <c r="LS21" s="721">
        <v>24.75</v>
      </c>
      <c r="LT21" s="721">
        <v>0.35</v>
      </c>
      <c r="LU21" s="721">
        <v>10.946</v>
      </c>
      <c r="LV21" s="721">
        <v>21.58</v>
      </c>
      <c r="LW21" s="721">
        <v>0.35</v>
      </c>
      <c r="LX21" s="721">
        <v>10.898</v>
      </c>
      <c r="LY21" s="721">
        <v>20.83</v>
      </c>
      <c r="LZ21" s="721">
        <v>0.35</v>
      </c>
      <c r="MA21" s="721">
        <v>10.851000000000001</v>
      </c>
      <c r="MB21" s="721">
        <v>20.75</v>
      </c>
      <c r="MC21" s="721">
        <v>0.35</v>
      </c>
      <c r="MD21" s="721">
        <v>10.614000000000001</v>
      </c>
      <c r="ME21" s="721">
        <v>22.75</v>
      </c>
      <c r="MF21" s="721">
        <v>0.35</v>
      </c>
      <c r="MG21" s="721">
        <v>10.56</v>
      </c>
      <c r="MH21" s="721">
        <v>20.67</v>
      </c>
      <c r="MI21" s="721">
        <v>0.35</v>
      </c>
      <c r="MJ21" s="721">
        <v>10.49</v>
      </c>
      <c r="MK21" s="721">
        <v>18.25</v>
      </c>
      <c r="ML21" s="721">
        <v>0.35</v>
      </c>
      <c r="MM21" s="721">
        <v>10.388</v>
      </c>
      <c r="MN21" s="721">
        <v>17.579999999999998</v>
      </c>
      <c r="MO21" s="721">
        <v>0.35</v>
      </c>
      <c r="MP21" s="721">
        <v>10.205</v>
      </c>
      <c r="MQ21" s="721">
        <v>17.920000000000002</v>
      </c>
    </row>
    <row r="22" spans="1:355" ht="13.8" thickBot="1">
      <c r="B22" s="723" t="s">
        <v>255</v>
      </c>
      <c r="C22" s="886"/>
      <c r="D22" s="886"/>
      <c r="E22" s="886"/>
      <c r="F22" s="788"/>
      <c r="G22" s="788"/>
      <c r="H22" s="788"/>
      <c r="I22" s="788"/>
      <c r="J22" s="788"/>
      <c r="K22" s="788"/>
      <c r="L22" s="828"/>
      <c r="M22" s="829"/>
      <c r="N22" s="828"/>
      <c r="O22" s="828"/>
      <c r="P22" s="828"/>
      <c r="Q22" s="828"/>
      <c r="R22" s="828"/>
      <c r="S22" s="828"/>
      <c r="T22" s="828"/>
      <c r="U22" s="788"/>
      <c r="V22" s="827"/>
      <c r="W22" s="788"/>
      <c r="X22" s="832"/>
      <c r="Y22" s="788"/>
      <c r="Z22" s="788"/>
      <c r="AA22" s="788"/>
      <c r="AB22" s="788"/>
      <c r="AC22" s="788"/>
      <c r="AJ22" s="788"/>
      <c r="AK22" s="788"/>
      <c r="AL22" s="788"/>
      <c r="AM22" s="828"/>
      <c r="AN22" s="828"/>
      <c r="AO22" s="828"/>
      <c r="AP22" s="788"/>
      <c r="AQ22" s="788"/>
      <c r="AR22" s="788"/>
      <c r="AV22" s="723"/>
      <c r="AW22" s="723"/>
      <c r="AX22" s="723"/>
      <c r="AY22" s="723"/>
      <c r="AZ22" s="723"/>
      <c r="BA22" s="723"/>
      <c r="BB22" s="723"/>
      <c r="BC22" s="723"/>
      <c r="BD22" s="723"/>
      <c r="BE22" s="723"/>
      <c r="BF22" s="723"/>
      <c r="BG22" s="723"/>
      <c r="BH22" s="723"/>
      <c r="BI22" s="723"/>
      <c r="BJ22" s="723"/>
      <c r="BK22" s="723"/>
      <c r="BL22" s="723"/>
      <c r="BM22" s="723"/>
      <c r="BN22" s="723"/>
      <c r="BO22" s="723"/>
      <c r="BP22" s="723"/>
      <c r="BQ22" s="723"/>
      <c r="BR22" s="723"/>
      <c r="BS22" s="723"/>
      <c r="BT22" s="723"/>
      <c r="BU22" s="723"/>
      <c r="BV22" s="723"/>
      <c r="BW22" s="728"/>
      <c r="BX22" s="728"/>
      <c r="BY22" s="728"/>
      <c r="BZ22" s="723"/>
      <c r="CA22" s="723"/>
      <c r="CB22" s="723"/>
      <c r="CC22" s="723"/>
      <c r="CD22" s="723"/>
      <c r="CE22" s="723"/>
      <c r="CF22" s="723"/>
      <c r="CG22" s="723"/>
      <c r="CH22" s="723"/>
      <c r="CI22" s="723"/>
      <c r="CJ22" s="723"/>
      <c r="CK22" s="723"/>
      <c r="CL22" s="723"/>
      <c r="CM22" s="723"/>
      <c r="CN22" s="723"/>
      <c r="CO22" s="723"/>
      <c r="CP22" s="723"/>
      <c r="CQ22" s="723"/>
      <c r="CR22" s="723"/>
      <c r="CS22" s="723"/>
      <c r="CT22" s="723"/>
      <c r="CU22" s="723"/>
      <c r="CV22" s="723"/>
      <c r="CW22" s="723"/>
      <c r="CX22" s="722"/>
      <c r="CY22" s="723"/>
      <c r="CZ22" s="723"/>
      <c r="DA22" s="723"/>
      <c r="DB22" s="723"/>
      <c r="DC22" s="735"/>
      <c r="DD22" s="723"/>
      <c r="DE22" s="723"/>
      <c r="DF22" s="723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5"/>
      <c r="DU22" s="723"/>
      <c r="DV22" s="723"/>
      <c r="DW22" s="723"/>
      <c r="DX22" s="723"/>
      <c r="DY22" s="723"/>
      <c r="DZ22" s="723"/>
      <c r="EA22" s="723"/>
      <c r="EB22" s="723"/>
      <c r="EC22" s="723"/>
      <c r="ED22" s="723"/>
      <c r="EE22" s="723"/>
      <c r="EF22" s="723"/>
      <c r="EG22" s="723"/>
      <c r="EH22" s="723"/>
      <c r="EI22" s="723"/>
      <c r="EJ22" s="723"/>
      <c r="EK22" s="723"/>
      <c r="EL22" s="723"/>
      <c r="EM22" s="723"/>
      <c r="EN22" s="723"/>
      <c r="EO22" s="723"/>
      <c r="EP22" s="723"/>
      <c r="EQ22" s="723"/>
      <c r="ER22" s="723"/>
      <c r="ES22" s="723"/>
      <c r="ET22" s="722"/>
      <c r="EU22" s="722"/>
      <c r="EV22" s="722"/>
      <c r="EW22" s="723"/>
      <c r="EX22" s="723"/>
      <c r="EY22" s="723"/>
      <c r="EZ22" s="723"/>
      <c r="FA22" s="723"/>
      <c r="FB22" s="723"/>
      <c r="FC22" s="723"/>
      <c r="FD22" s="741"/>
      <c r="FE22" s="723"/>
      <c r="FF22" s="727"/>
      <c r="FG22" s="727"/>
      <c r="FH22" s="727"/>
      <c r="FI22" s="727"/>
      <c r="FJ22" s="727"/>
      <c r="FK22" s="727"/>
      <c r="FL22" s="727"/>
      <c r="FM22" s="727"/>
      <c r="FN22" s="727"/>
      <c r="FO22" s="727"/>
      <c r="FP22" s="727"/>
      <c r="FQ22" s="727"/>
      <c r="FR22" s="727"/>
      <c r="FS22" s="742"/>
      <c r="FT22" s="626"/>
      <c r="FU22" s="727"/>
      <c r="FV22" s="727"/>
      <c r="FW22" s="727"/>
      <c r="FX22" s="727"/>
      <c r="FY22" s="727"/>
      <c r="FZ22" s="727"/>
      <c r="GA22" s="727"/>
      <c r="GB22" s="727"/>
      <c r="GC22" s="727"/>
      <c r="GD22" s="750"/>
      <c r="GE22" s="741"/>
      <c r="GF22" s="751"/>
      <c r="GG22" s="750"/>
      <c r="GH22" s="727"/>
      <c r="GI22" s="727"/>
      <c r="GJ22" s="727"/>
      <c r="GK22" s="727"/>
      <c r="GL22" s="727"/>
      <c r="GM22" s="727"/>
      <c r="GN22" s="727"/>
      <c r="GO22" s="727"/>
      <c r="GP22" s="727"/>
      <c r="GQ22" s="727"/>
      <c r="GR22" s="727"/>
      <c r="GS22" s="727"/>
      <c r="GT22" s="727"/>
      <c r="GU22" s="752"/>
      <c r="GV22" s="727"/>
      <c r="GW22" s="727"/>
      <c r="GX22" s="727"/>
      <c r="GY22" s="727"/>
      <c r="GZ22" s="727"/>
      <c r="HA22" s="727"/>
      <c r="HB22" s="727"/>
      <c r="HC22" s="727"/>
      <c r="HD22" s="727"/>
      <c r="HE22" s="727"/>
      <c r="HF22" s="727"/>
      <c r="HG22" s="727"/>
      <c r="HH22" s="727"/>
      <c r="HI22" s="727"/>
      <c r="HJ22" s="727"/>
      <c r="HK22" s="727"/>
      <c r="HL22" s="727"/>
      <c r="HM22" s="727"/>
      <c r="HN22" s="727"/>
      <c r="HO22" s="752"/>
      <c r="HP22" s="752"/>
      <c r="HQ22" s="727"/>
      <c r="HR22" s="727"/>
      <c r="HS22" s="727"/>
      <c r="HT22" s="727"/>
      <c r="HU22" s="727"/>
      <c r="HV22" s="727"/>
      <c r="HW22" s="727"/>
      <c r="HX22" s="727"/>
      <c r="HY22" s="727"/>
      <c r="HZ22" s="727"/>
      <c r="IA22" s="727"/>
      <c r="IB22" s="727"/>
      <c r="IC22" s="727">
        <v>178</v>
      </c>
      <c r="ID22" s="727">
        <v>56.1875</v>
      </c>
      <c r="IE22" s="727">
        <v>0.4</v>
      </c>
      <c r="IF22" s="727">
        <v>212</v>
      </c>
      <c r="IG22" s="727">
        <v>38.6875</v>
      </c>
      <c r="IH22" s="727">
        <v>0.4</v>
      </c>
      <c r="II22" s="727">
        <v>218</v>
      </c>
      <c r="IJ22" s="722">
        <v>36.5</v>
      </c>
      <c r="IK22" s="722">
        <v>0.4</v>
      </c>
      <c r="IL22" s="722">
        <v>218</v>
      </c>
      <c r="IM22" s="727">
        <v>33.5</v>
      </c>
      <c r="IN22" s="722">
        <v>0.4</v>
      </c>
      <c r="IO22" s="722">
        <v>217.23500000000001</v>
      </c>
      <c r="IP22" s="727">
        <v>36.9375</v>
      </c>
      <c r="IQ22" s="722">
        <v>0.4</v>
      </c>
      <c r="IR22" s="721">
        <v>216.94</v>
      </c>
      <c r="IS22" s="721">
        <v>38.5625</v>
      </c>
      <c r="IT22" s="721">
        <v>0.4</v>
      </c>
      <c r="IU22" s="721">
        <v>217.02</v>
      </c>
      <c r="IV22" s="721">
        <v>36.5625</v>
      </c>
      <c r="IW22" s="721">
        <v>0.4</v>
      </c>
      <c r="IX22" s="721">
        <v>217.02</v>
      </c>
      <c r="IY22" s="721">
        <v>38.563000000000002</v>
      </c>
      <c r="IZ22" s="721">
        <v>0.4</v>
      </c>
      <c r="JA22" s="721">
        <v>216.71</v>
      </c>
      <c r="JB22" s="721">
        <v>37.375</v>
      </c>
      <c r="JC22" s="721">
        <v>0.4</v>
      </c>
      <c r="JD22" s="721">
        <v>216.71</v>
      </c>
      <c r="JE22" s="721">
        <v>35.063000000000002</v>
      </c>
      <c r="JF22" s="721">
        <v>0.4</v>
      </c>
      <c r="JG22" s="721">
        <v>216.41</v>
      </c>
      <c r="JH22" s="721">
        <v>35</v>
      </c>
      <c r="JI22" s="721">
        <v>0.4</v>
      </c>
      <c r="JJ22" s="721">
        <v>216.40899999999999</v>
      </c>
      <c r="JK22" s="721">
        <v>30.75</v>
      </c>
      <c r="JL22" s="721">
        <v>0.4</v>
      </c>
      <c r="JM22" s="721">
        <v>216.053</v>
      </c>
      <c r="JN22" s="721">
        <v>23.375</v>
      </c>
      <c r="JO22" s="721">
        <v>0.4</v>
      </c>
      <c r="JP22" s="721">
        <v>216.053</v>
      </c>
      <c r="JQ22" s="721">
        <v>22.25</v>
      </c>
      <c r="JR22" s="721">
        <v>0.4</v>
      </c>
      <c r="JS22" s="721">
        <v>215.56800000000001</v>
      </c>
      <c r="JT22" s="721">
        <v>19.5</v>
      </c>
      <c r="JU22" s="721">
        <v>0.4</v>
      </c>
      <c r="JV22" s="721">
        <v>215.56800000000001</v>
      </c>
      <c r="JW22" s="721">
        <v>27.125</v>
      </c>
      <c r="JX22" s="721">
        <v>0.4</v>
      </c>
      <c r="JY22" s="721">
        <v>214.78899999999999</v>
      </c>
      <c r="JZ22" s="721">
        <v>25.125</v>
      </c>
      <c r="KA22" s="721">
        <v>0.4</v>
      </c>
      <c r="KB22" s="721">
        <v>214.78899999999999</v>
      </c>
      <c r="KC22" s="721">
        <v>27.625</v>
      </c>
      <c r="KD22" s="721">
        <v>0.4</v>
      </c>
      <c r="KE22" s="721">
        <v>214.78899999999999</v>
      </c>
      <c r="KF22" s="721">
        <v>27</v>
      </c>
      <c r="KG22" s="721">
        <v>0.4</v>
      </c>
      <c r="KH22" s="721">
        <v>214.78899999999999</v>
      </c>
      <c r="KI22" s="721">
        <v>32.75</v>
      </c>
      <c r="KJ22" s="721">
        <v>0.4</v>
      </c>
      <c r="KK22" s="721">
        <v>214.429</v>
      </c>
      <c r="KL22" s="721">
        <v>30.25</v>
      </c>
      <c r="KM22" s="721">
        <v>0.4</v>
      </c>
      <c r="KN22" s="721">
        <v>214.429</v>
      </c>
      <c r="KO22" s="721">
        <v>26.625</v>
      </c>
      <c r="KP22" s="721">
        <v>0.4</v>
      </c>
      <c r="KQ22" s="721">
        <v>214.429</v>
      </c>
      <c r="KR22" s="721">
        <v>23.75</v>
      </c>
      <c r="KS22" s="721">
        <v>0.4</v>
      </c>
      <c r="KT22" s="721">
        <v>213.88</v>
      </c>
      <c r="KU22" s="721">
        <v>24</v>
      </c>
      <c r="KV22" s="721">
        <v>0.4</v>
      </c>
      <c r="KW22" s="721">
        <v>213.88</v>
      </c>
      <c r="KX22" s="721">
        <v>22.25</v>
      </c>
      <c r="KY22" s="721">
        <v>0.4</v>
      </c>
      <c r="KZ22" s="721">
        <v>213.733</v>
      </c>
      <c r="LA22" s="721">
        <v>22.75</v>
      </c>
      <c r="LB22" s="721">
        <v>0.4</v>
      </c>
      <c r="LC22" s="721">
        <v>213.55</v>
      </c>
      <c r="LD22" s="721">
        <v>25.125</v>
      </c>
      <c r="LE22" s="721">
        <v>0.4</v>
      </c>
      <c r="LF22" s="721">
        <v>213.55</v>
      </c>
      <c r="LG22" s="721">
        <v>28.125</v>
      </c>
      <c r="LH22" s="721">
        <v>0.4</v>
      </c>
      <c r="LI22" s="721">
        <v>213.55</v>
      </c>
      <c r="LJ22" s="721">
        <v>30.375</v>
      </c>
      <c r="LK22" s="721">
        <v>0.4</v>
      </c>
      <c r="LL22" s="721">
        <v>213.46600000000001</v>
      </c>
      <c r="LM22" s="721">
        <v>28</v>
      </c>
      <c r="LN22" s="721">
        <v>0.4</v>
      </c>
      <c r="LO22" s="721">
        <v>213.33699999999999</v>
      </c>
      <c r="LP22" s="721">
        <v>28</v>
      </c>
      <c r="LQ22" s="721">
        <v>0.4</v>
      </c>
      <c r="LR22" s="721">
        <v>212.84899999999999</v>
      </c>
      <c r="LS22" s="721">
        <v>23.25</v>
      </c>
      <c r="LT22" s="721">
        <v>0.4</v>
      </c>
      <c r="LU22" s="721">
        <v>212.84899999999999</v>
      </c>
      <c r="LV22" s="721">
        <v>22.88</v>
      </c>
      <c r="LW22" s="721">
        <v>0.75</v>
      </c>
      <c r="LX22" s="721">
        <v>212.78700000000001</v>
      </c>
      <c r="LY22" s="721">
        <v>26.63</v>
      </c>
      <c r="LZ22" s="721">
        <v>0.75</v>
      </c>
      <c r="MA22" s="721">
        <v>212.71299999999999</v>
      </c>
      <c r="MB22" s="721">
        <v>33.880000000000003</v>
      </c>
      <c r="MC22" s="721">
        <v>0.75</v>
      </c>
      <c r="MD22" s="721">
        <v>212.452</v>
      </c>
      <c r="ME22" s="721">
        <v>39.880000000000003</v>
      </c>
      <c r="MF22" s="721">
        <v>0.75</v>
      </c>
      <c r="MG22" s="721">
        <v>212.4</v>
      </c>
      <c r="MH22" s="721">
        <v>40.380000000000003</v>
      </c>
      <c r="MI22" s="721">
        <v>0.75</v>
      </c>
      <c r="MJ22" s="721">
        <v>212.35400000000001</v>
      </c>
      <c r="MK22" s="721">
        <v>36.130000000000003</v>
      </c>
      <c r="ML22" s="721">
        <v>0.75</v>
      </c>
      <c r="MM22" s="721">
        <v>212.30099999999999</v>
      </c>
      <c r="MN22" s="721">
        <v>39.380000000000003</v>
      </c>
      <c r="MO22" s="721">
        <v>0.75</v>
      </c>
      <c r="MP22" s="721">
        <v>212.03200000000001</v>
      </c>
      <c r="MQ22" s="721">
        <v>34.75</v>
      </c>
    </row>
    <row r="23" spans="1:355" ht="13.8" thickBot="1">
      <c r="B23" s="727" t="s">
        <v>256</v>
      </c>
      <c r="C23" s="886"/>
      <c r="D23" s="886"/>
      <c r="E23" s="886"/>
      <c r="F23" s="788"/>
      <c r="G23" s="788"/>
      <c r="H23" s="788"/>
      <c r="I23" s="788"/>
      <c r="J23" s="788"/>
      <c r="K23" s="788"/>
      <c r="L23" s="828"/>
      <c r="M23" s="829"/>
      <c r="N23" s="828"/>
      <c r="O23" s="828"/>
      <c r="P23" s="828"/>
      <c r="Q23" s="828"/>
      <c r="R23" s="828"/>
      <c r="S23" s="828"/>
      <c r="T23" s="828"/>
      <c r="U23" s="788"/>
      <c r="V23" s="827"/>
      <c r="W23" s="788"/>
      <c r="X23" s="832"/>
      <c r="Y23" s="788"/>
      <c r="Z23" s="788"/>
      <c r="AA23" s="788"/>
      <c r="AB23" s="788"/>
      <c r="AC23" s="788"/>
      <c r="AJ23" s="788"/>
      <c r="AK23" s="788"/>
      <c r="AL23" s="788"/>
      <c r="AM23" s="828"/>
      <c r="AN23" s="828"/>
      <c r="AO23" s="828"/>
      <c r="AP23" s="788"/>
      <c r="AQ23" s="788"/>
      <c r="AR23" s="788"/>
      <c r="AS23" s="727"/>
      <c r="AT23" s="727"/>
      <c r="AU23" s="727"/>
      <c r="AV23" s="727"/>
      <c r="AW23" s="727"/>
      <c r="AX23" s="727"/>
      <c r="AY23" s="727"/>
      <c r="AZ23" s="727"/>
      <c r="BA23" s="727"/>
      <c r="BB23" s="727"/>
      <c r="BC23" s="727"/>
      <c r="BD23" s="727"/>
      <c r="BE23" s="727"/>
      <c r="BF23" s="727"/>
      <c r="BG23" s="727"/>
      <c r="BH23" s="727"/>
      <c r="BI23" s="727"/>
      <c r="BJ23" s="727"/>
      <c r="BK23" s="727"/>
      <c r="BL23" s="727"/>
      <c r="BM23" s="727"/>
      <c r="BN23" s="727"/>
      <c r="BO23" s="727"/>
      <c r="BP23" s="727"/>
      <c r="BQ23" s="727"/>
      <c r="BR23" s="727"/>
      <c r="BS23" s="727"/>
      <c r="BT23" s="727"/>
      <c r="BU23" s="727"/>
      <c r="BV23" s="727"/>
      <c r="BW23" s="726"/>
      <c r="BX23" s="726"/>
      <c r="BY23" s="726"/>
      <c r="BZ23" s="727"/>
      <c r="CA23" s="727"/>
      <c r="CB23" s="727"/>
      <c r="CC23" s="727"/>
      <c r="CD23" s="727"/>
      <c r="CE23" s="727"/>
      <c r="CF23" s="727"/>
      <c r="CG23" s="727"/>
      <c r="CH23" s="727"/>
      <c r="CI23" s="727"/>
      <c r="CJ23" s="727"/>
      <c r="CK23" s="727"/>
      <c r="CL23" s="727"/>
      <c r="CM23" s="727"/>
      <c r="CN23" s="727"/>
      <c r="CO23" s="727"/>
      <c r="CP23" s="727"/>
      <c r="CQ23" s="727"/>
      <c r="CR23" s="727"/>
      <c r="CS23" s="727"/>
      <c r="CT23" s="727"/>
      <c r="CU23" s="727"/>
      <c r="CV23" s="727"/>
      <c r="CW23" s="727"/>
      <c r="CX23" s="727"/>
      <c r="CY23" s="727"/>
      <c r="CZ23" s="727"/>
      <c r="DA23" s="727"/>
      <c r="DB23" s="727"/>
      <c r="DC23" s="752"/>
      <c r="DD23" s="727"/>
      <c r="DE23" s="727"/>
      <c r="DF23" s="727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48"/>
      <c r="DU23" s="727"/>
      <c r="DV23" s="727"/>
      <c r="DW23" s="727"/>
      <c r="DX23" s="727"/>
      <c r="DY23" s="727"/>
      <c r="DZ23" s="727"/>
      <c r="EA23" s="727"/>
      <c r="EB23" s="727"/>
      <c r="EC23" s="727"/>
      <c r="ED23" s="727"/>
      <c r="EE23" s="727"/>
      <c r="EF23" s="727"/>
      <c r="EG23" s="727"/>
      <c r="EH23" s="727"/>
      <c r="EI23" s="727"/>
      <c r="EJ23" s="727"/>
      <c r="EK23" s="727"/>
      <c r="EL23" s="727"/>
      <c r="EM23" s="727"/>
      <c r="EN23" s="727"/>
      <c r="EO23" s="727"/>
      <c r="EP23" s="727"/>
      <c r="EQ23" s="727"/>
      <c r="ER23" s="727"/>
      <c r="ES23" s="727"/>
      <c r="ET23" s="727"/>
      <c r="EU23" s="727"/>
      <c r="EV23" s="727"/>
      <c r="EW23" s="727"/>
      <c r="EX23" s="727"/>
      <c r="EY23" s="727"/>
      <c r="EZ23" s="727"/>
      <c r="FA23" s="727"/>
      <c r="FB23" s="727"/>
      <c r="FC23" s="723">
        <v>82</v>
      </c>
      <c r="FD23" s="741">
        <v>19.79</v>
      </c>
      <c r="FE23" s="723">
        <v>0.25</v>
      </c>
      <c r="FF23" s="727">
        <v>83.5</v>
      </c>
      <c r="FG23" s="727">
        <v>19.850000000000001</v>
      </c>
      <c r="FH23" s="727">
        <v>0.25</v>
      </c>
      <c r="FI23" s="727">
        <v>78.400000000000006</v>
      </c>
      <c r="FJ23" s="727">
        <v>19.66</v>
      </c>
      <c r="FK23" s="727">
        <v>0.25</v>
      </c>
      <c r="FL23" s="727">
        <v>78.2</v>
      </c>
      <c r="FM23" s="727">
        <v>16.440000000000001</v>
      </c>
      <c r="FN23" s="727">
        <v>0.25</v>
      </c>
      <c r="FO23" s="727">
        <v>78</v>
      </c>
      <c r="FP23" s="727">
        <v>16.5</v>
      </c>
      <c r="FQ23" s="727">
        <v>0.25</v>
      </c>
      <c r="FR23" s="727">
        <v>77.8</v>
      </c>
      <c r="FS23" s="742">
        <v>16.32</v>
      </c>
      <c r="FT23" s="626">
        <f>1/4</f>
        <v>0.25</v>
      </c>
      <c r="FU23" s="727">
        <v>77.599999999999994</v>
      </c>
      <c r="FV23" s="727">
        <v>17.21</v>
      </c>
      <c r="FW23" s="727">
        <v>0.25</v>
      </c>
      <c r="FX23" s="727">
        <v>77.3</v>
      </c>
      <c r="FY23" s="727">
        <v>18.68</v>
      </c>
      <c r="FZ23" s="727">
        <v>0.25</v>
      </c>
      <c r="GA23" s="727">
        <v>76.599999999999994</v>
      </c>
      <c r="GB23" s="727">
        <v>17.920000000000002</v>
      </c>
      <c r="GC23" s="727">
        <v>0.25</v>
      </c>
      <c r="GD23" s="750">
        <v>76.599999999999994</v>
      </c>
      <c r="GE23" s="741">
        <v>18.850000000000001</v>
      </c>
      <c r="GF23" s="751">
        <v>0.25</v>
      </c>
      <c r="GG23" s="750">
        <v>76.3</v>
      </c>
      <c r="GH23" s="727">
        <v>17.96</v>
      </c>
      <c r="GI23" s="727">
        <v>0.25</v>
      </c>
      <c r="GJ23" s="727">
        <v>75.900000000000006</v>
      </c>
      <c r="GK23" s="727">
        <v>19.309999999999999</v>
      </c>
      <c r="GL23" s="727">
        <v>0.25</v>
      </c>
      <c r="GM23" s="727">
        <v>75.400000000000006</v>
      </c>
      <c r="GN23" s="727">
        <v>19.5</v>
      </c>
      <c r="GO23" s="727">
        <v>0.25</v>
      </c>
      <c r="GP23" s="727">
        <v>75.099999999999994</v>
      </c>
      <c r="GQ23" s="727">
        <v>18.34</v>
      </c>
      <c r="GR23" s="727">
        <v>0.25</v>
      </c>
      <c r="GS23" s="727">
        <v>74.8</v>
      </c>
      <c r="GT23" s="727">
        <v>15.44</v>
      </c>
      <c r="GU23" s="727">
        <v>0.25</v>
      </c>
      <c r="GV23" s="727">
        <v>74.5</v>
      </c>
      <c r="GW23" s="727">
        <v>15.07</v>
      </c>
      <c r="GX23" s="727">
        <v>0.25</v>
      </c>
      <c r="GY23" s="727">
        <v>74.3</v>
      </c>
      <c r="GZ23" s="727">
        <v>12.19</v>
      </c>
      <c r="HA23" s="727">
        <v>0.25</v>
      </c>
      <c r="HB23" s="727">
        <v>74.099999999999994</v>
      </c>
      <c r="HC23" s="727">
        <v>15.24</v>
      </c>
      <c r="HD23" s="727">
        <v>0.25</v>
      </c>
      <c r="HE23" s="727">
        <v>57.4</v>
      </c>
      <c r="HF23" s="727">
        <v>15</v>
      </c>
      <c r="HG23" s="758">
        <v>0.25</v>
      </c>
      <c r="HH23" s="727">
        <v>56.2</v>
      </c>
      <c r="HI23" s="727">
        <v>14</v>
      </c>
      <c r="HJ23" s="727">
        <v>0.42</v>
      </c>
      <c r="HK23" s="727">
        <v>55.893999999999998</v>
      </c>
      <c r="HL23" s="727">
        <v>21.31</v>
      </c>
      <c r="HM23" s="727">
        <v>0.42</v>
      </c>
      <c r="HN23" s="727">
        <v>55.9</v>
      </c>
      <c r="HO23" s="727">
        <v>18.93</v>
      </c>
      <c r="HP23" s="727">
        <v>0.42</v>
      </c>
      <c r="HQ23" s="727">
        <v>55.9</v>
      </c>
      <c r="HR23" s="727">
        <v>19.239999999999998</v>
      </c>
      <c r="HS23" s="727">
        <v>0.42</v>
      </c>
      <c r="HT23" s="727">
        <v>55.881999999999998</v>
      </c>
      <c r="HU23" s="727">
        <v>22.5</v>
      </c>
      <c r="HV23" s="727">
        <v>0.42</v>
      </c>
      <c r="HW23" s="727">
        <v>56.136000000000003</v>
      </c>
      <c r="HX23" s="727">
        <v>29.15</v>
      </c>
      <c r="HY23" s="727">
        <v>0.42</v>
      </c>
      <c r="HZ23" s="727">
        <v>59.356999999999999</v>
      </c>
      <c r="IA23" s="727">
        <v>32.75</v>
      </c>
      <c r="IB23" s="727">
        <v>0.42</v>
      </c>
      <c r="IC23" s="727">
        <v>67.087999999999994</v>
      </c>
      <c r="ID23" s="727">
        <v>40.125</v>
      </c>
      <c r="IE23" s="727">
        <v>0.4</v>
      </c>
      <c r="IF23" s="727">
        <v>70.936000000000007</v>
      </c>
      <c r="IG23" s="727">
        <v>39.5</v>
      </c>
      <c r="IH23" s="727">
        <v>0.4</v>
      </c>
      <c r="II23" s="727">
        <v>73.543000000000006</v>
      </c>
      <c r="IJ23" s="722">
        <v>45.5</v>
      </c>
      <c r="IK23" s="722">
        <v>0.4</v>
      </c>
      <c r="IL23" s="722">
        <v>75.355999999999995</v>
      </c>
      <c r="IM23" s="727">
        <v>34.625</v>
      </c>
      <c r="IN23" s="722">
        <v>0.4</v>
      </c>
      <c r="IO23" s="722">
        <v>75.775999999999996</v>
      </c>
      <c r="IP23" s="727">
        <v>39.125</v>
      </c>
      <c r="IQ23" s="722">
        <v>0.38</v>
      </c>
      <c r="IR23" s="721">
        <v>77.680000000000007</v>
      </c>
      <c r="IS23" s="721">
        <v>40.125</v>
      </c>
      <c r="IT23" s="721">
        <v>0.38</v>
      </c>
      <c r="IU23" s="721">
        <v>77.739999999999995</v>
      </c>
      <c r="IV23" s="721">
        <v>38.375</v>
      </c>
      <c r="IW23" s="721">
        <v>0.38</v>
      </c>
      <c r="IX23" s="721">
        <v>77.739999999999995</v>
      </c>
      <c r="IY23" s="721">
        <v>43.938000000000002</v>
      </c>
      <c r="IZ23" s="721">
        <v>0.38</v>
      </c>
      <c r="JA23" s="721">
        <v>77.680000000000007</v>
      </c>
      <c r="JB23" s="721">
        <v>38.625</v>
      </c>
      <c r="JC23" s="721">
        <v>0.36</v>
      </c>
      <c r="JD23" s="721">
        <v>77.680000000000007</v>
      </c>
      <c r="JE23" s="721">
        <v>36</v>
      </c>
      <c r="JF23" s="721">
        <v>0.36</v>
      </c>
      <c r="JG23" s="721">
        <v>77.61</v>
      </c>
      <c r="JH23" s="721">
        <v>37.25</v>
      </c>
      <c r="JI23" s="721">
        <v>0.36</v>
      </c>
      <c r="JJ23" s="721">
        <v>77.605000000000004</v>
      </c>
      <c r="JK23" s="721">
        <v>35.125</v>
      </c>
      <c r="JL23" s="721">
        <v>0.36</v>
      </c>
      <c r="JM23" s="721">
        <v>77.287000000000006</v>
      </c>
      <c r="JN23" s="721">
        <v>33.5625</v>
      </c>
      <c r="JO23" s="721">
        <v>0.34</v>
      </c>
      <c r="JP23" s="721">
        <v>77.287000000000006</v>
      </c>
      <c r="JQ23" s="721">
        <v>28.25</v>
      </c>
      <c r="JR23" s="721">
        <v>0.34</v>
      </c>
      <c r="JS23" s="721">
        <v>77.194000000000003</v>
      </c>
      <c r="JT23" s="721">
        <v>27.75</v>
      </c>
      <c r="JU23" s="721">
        <v>0.34</v>
      </c>
      <c r="JV23" s="721">
        <v>77.194000000000003</v>
      </c>
      <c r="JW23" s="721">
        <v>29</v>
      </c>
      <c r="JX23" s="721">
        <v>0.32</v>
      </c>
      <c r="JY23" s="721">
        <v>77.533000000000001</v>
      </c>
      <c r="JZ23" s="721">
        <v>27.875</v>
      </c>
      <c r="KA23" s="721">
        <v>0.32</v>
      </c>
      <c r="KB23" s="721">
        <v>77.533000000000001</v>
      </c>
      <c r="KC23" s="721">
        <v>27.5</v>
      </c>
      <c r="KD23" s="721">
        <v>0.32</v>
      </c>
      <c r="KE23" s="721">
        <v>77.533000000000001</v>
      </c>
      <c r="KF23" s="721">
        <v>28.875</v>
      </c>
      <c r="KG23" s="721">
        <v>0.32</v>
      </c>
      <c r="KH23" s="721">
        <v>77.533000000000001</v>
      </c>
      <c r="KI23" s="721">
        <v>30.75</v>
      </c>
      <c r="KJ23" s="721">
        <v>0.32</v>
      </c>
      <c r="KK23" s="721">
        <v>79.438500000000005</v>
      </c>
      <c r="KL23" s="721">
        <v>26.5</v>
      </c>
      <c r="KM23" s="721">
        <v>0.3</v>
      </c>
      <c r="KN23" s="721">
        <v>79.438500000000005</v>
      </c>
      <c r="KO23" s="721">
        <v>23.5</v>
      </c>
      <c r="KP23" s="721">
        <v>0.3</v>
      </c>
      <c r="KQ23" s="721">
        <v>79.438500000000005</v>
      </c>
      <c r="KR23" s="721">
        <v>21.9166666666666</v>
      </c>
      <c r="KS23" s="721">
        <v>0.293333333333333</v>
      </c>
      <c r="KT23" s="721">
        <v>79.438500000000005</v>
      </c>
      <c r="KU23" s="721">
        <v>19.75</v>
      </c>
      <c r="KV23" s="721">
        <v>0.293333333333333</v>
      </c>
      <c r="KW23" s="721">
        <v>79.438500000000005</v>
      </c>
      <c r="KX23" s="721">
        <v>19.3333333333333</v>
      </c>
      <c r="KY23" s="721">
        <v>0.28000000000000003</v>
      </c>
      <c r="KZ23" s="721">
        <v>79.486500000000007</v>
      </c>
      <c r="LA23" s="721">
        <v>19.75</v>
      </c>
      <c r="LB23" s="721">
        <v>0.28000000000000003</v>
      </c>
      <c r="LC23" s="721">
        <v>79.486500000000007</v>
      </c>
      <c r="LD23" s="721">
        <v>20.8333333333333</v>
      </c>
      <c r="LE23" s="721">
        <v>0.28000000000000003</v>
      </c>
      <c r="LF23" s="721">
        <v>79.486500000000007</v>
      </c>
      <c r="LG23" s="721">
        <v>23</v>
      </c>
      <c r="LH23" s="721">
        <v>0.28000000000000003</v>
      </c>
      <c r="LI23" s="721">
        <v>79.486500000000007</v>
      </c>
      <c r="LJ23" s="721">
        <v>24.1666666666666</v>
      </c>
      <c r="LK23" s="721">
        <v>0.266666666666666</v>
      </c>
      <c r="LL23" s="721">
        <v>79.447500000000005</v>
      </c>
      <c r="LM23" s="721">
        <v>23.0833333333333</v>
      </c>
      <c r="LN23" s="721">
        <v>0.266666666666666</v>
      </c>
      <c r="LO23" s="721">
        <v>79.429500000000004</v>
      </c>
      <c r="LP23" s="721">
        <v>23.5833333333333</v>
      </c>
      <c r="LQ23" s="721">
        <v>0.266666666666666</v>
      </c>
      <c r="LR23" s="721">
        <v>79.364000000000004</v>
      </c>
      <c r="LS23" s="721">
        <v>21.5</v>
      </c>
      <c r="LT23" s="721">
        <v>0.25</v>
      </c>
      <c r="LU23" s="721">
        <v>79.364000000000004</v>
      </c>
      <c r="LV23" s="721">
        <v>21.25</v>
      </c>
      <c r="LW23" s="721">
        <v>0.25</v>
      </c>
      <c r="LX23" s="721">
        <v>79.361999999999995</v>
      </c>
      <c r="LY23" s="721">
        <v>19.920000000000002</v>
      </c>
      <c r="LZ23" s="721">
        <v>0.25</v>
      </c>
      <c r="MA23" s="721">
        <v>79.358999999999995</v>
      </c>
      <c r="MB23" s="721">
        <v>19</v>
      </c>
      <c r="MC23" s="721">
        <v>0.25</v>
      </c>
      <c r="MD23" s="721">
        <v>80.087000000000003</v>
      </c>
      <c r="ME23" s="721">
        <v>20.420000000000002</v>
      </c>
      <c r="MF23" s="721">
        <v>0.24</v>
      </c>
      <c r="MG23" s="721">
        <v>80.316000000000003</v>
      </c>
      <c r="MH23" s="721">
        <v>19.25</v>
      </c>
      <c r="MI23" s="721">
        <v>0.24</v>
      </c>
      <c r="MJ23" s="721">
        <v>80.465999999999994</v>
      </c>
      <c r="MK23" s="721">
        <v>17.5</v>
      </c>
      <c r="ML23" s="721">
        <v>0.24</v>
      </c>
      <c r="MM23" s="721">
        <v>80.644999999999996</v>
      </c>
      <c r="MN23" s="721">
        <v>16.829999999999998</v>
      </c>
      <c r="MO23" s="721">
        <v>0.24</v>
      </c>
      <c r="MP23" s="721">
        <v>81.647999999999996</v>
      </c>
      <c r="MQ23" s="721">
        <v>16.579999999999998</v>
      </c>
    </row>
    <row r="24" spans="1:355">
      <c r="A24" s="633" t="s">
        <v>23</v>
      </c>
      <c r="B24" s="726" t="s">
        <v>125</v>
      </c>
      <c r="C24" s="885">
        <v>185</v>
      </c>
      <c r="D24" s="885">
        <v>94.97</v>
      </c>
      <c r="E24" s="885">
        <v>1.0125</v>
      </c>
      <c r="F24" s="828">
        <v>183</v>
      </c>
      <c r="G24" s="828">
        <v>129.87</v>
      </c>
      <c r="H24" s="828">
        <v>1.0125</v>
      </c>
      <c r="I24" s="828">
        <v>183</v>
      </c>
      <c r="J24" s="828">
        <v>132.96</v>
      </c>
      <c r="K24" s="828">
        <v>0.94499999999999995</v>
      </c>
      <c r="L24" s="828">
        <v>182</v>
      </c>
      <c r="M24" s="829">
        <v>127.88</v>
      </c>
      <c r="N24" s="828">
        <v>0.94499999999999995</v>
      </c>
      <c r="O24" s="828">
        <v>181</v>
      </c>
      <c r="P24" s="828">
        <v>124.74</v>
      </c>
      <c r="Q24" s="828">
        <v>0.94499999999999995</v>
      </c>
      <c r="R24" s="828">
        <v>182</v>
      </c>
      <c r="S24" s="828">
        <v>110.3</v>
      </c>
      <c r="T24" s="839">
        <v>0.94499999999999995</v>
      </c>
      <c r="U24" s="828">
        <v>181</v>
      </c>
      <c r="V24" s="829">
        <v>109.13</v>
      </c>
      <c r="W24" s="828">
        <v>0.88249999999999995</v>
      </c>
      <c r="X24" s="832">
        <v>180</v>
      </c>
      <c r="Y24" s="788">
        <v>103.63</v>
      </c>
      <c r="Z24" s="788">
        <v>0.88249999999999995</v>
      </c>
      <c r="AA24" s="788">
        <v>179</v>
      </c>
      <c r="AB24" s="788">
        <v>104.4</v>
      </c>
      <c r="AC24" s="788">
        <v>0.88249999999999995</v>
      </c>
      <c r="AD24" s="788">
        <v>179</v>
      </c>
      <c r="AE24" s="788">
        <v>109.46</v>
      </c>
      <c r="AF24" s="801">
        <v>0.88249999999999995</v>
      </c>
      <c r="AG24" s="788">
        <v>179</v>
      </c>
      <c r="AH24" s="788">
        <v>107.36</v>
      </c>
      <c r="AI24" s="788">
        <v>0.82499999999999996</v>
      </c>
      <c r="AJ24" s="788">
        <v>179</v>
      </c>
      <c r="AK24" s="788">
        <v>105.79</v>
      </c>
      <c r="AL24" s="788">
        <v>0.82499999999999996</v>
      </c>
      <c r="AM24" s="828">
        <v>179</v>
      </c>
      <c r="AN24" s="828">
        <v>102.11</v>
      </c>
      <c r="AO24" s="828">
        <v>0.82499999999999996</v>
      </c>
      <c r="AP24" s="788">
        <v>179</v>
      </c>
      <c r="AQ24" s="788">
        <v>98.51</v>
      </c>
      <c r="AR24" s="788">
        <v>0.82499999999999996</v>
      </c>
      <c r="AS24" s="727">
        <v>179</v>
      </c>
      <c r="AT24" s="727">
        <v>93.67</v>
      </c>
      <c r="AU24" s="727">
        <v>0.77</v>
      </c>
      <c r="AV24" s="727">
        <v>179</v>
      </c>
      <c r="AW24" s="727">
        <v>99.12</v>
      </c>
      <c r="AX24" s="747">
        <v>0.77</v>
      </c>
      <c r="AY24" s="727">
        <v>179</v>
      </c>
      <c r="AZ24" s="727">
        <v>90.66</v>
      </c>
      <c r="BA24" s="727">
        <v>0.73</v>
      </c>
      <c r="BB24" s="727">
        <v>179</v>
      </c>
      <c r="BC24" s="727">
        <v>80.19</v>
      </c>
      <c r="BD24" s="727">
        <v>0.73</v>
      </c>
      <c r="BE24" s="727">
        <v>179</v>
      </c>
      <c r="BF24" s="727">
        <v>80.37</v>
      </c>
      <c r="BG24" s="727">
        <v>0.73</v>
      </c>
      <c r="BH24" s="727">
        <v>178</v>
      </c>
      <c r="BI24" s="727">
        <v>74.64</v>
      </c>
      <c r="BJ24" s="746">
        <v>0.73</v>
      </c>
      <c r="BK24" s="726">
        <v>177</v>
      </c>
      <c r="BL24" s="726">
        <v>80.69</v>
      </c>
      <c r="BM24" s="726">
        <v>0.69</v>
      </c>
      <c r="BN24" s="727">
        <v>177</v>
      </c>
      <c r="BO24" s="727">
        <v>86.37</v>
      </c>
      <c r="BP24" s="727">
        <v>0.69</v>
      </c>
      <c r="BQ24" s="727">
        <v>177</v>
      </c>
      <c r="BR24" s="727">
        <v>76.08</v>
      </c>
      <c r="BS24" s="727">
        <v>0.69</v>
      </c>
      <c r="BT24" s="727">
        <v>177</v>
      </c>
      <c r="BU24" s="727">
        <v>77.87</v>
      </c>
      <c r="BV24" s="746">
        <v>0.69</v>
      </c>
      <c r="BW24" s="726">
        <v>175</v>
      </c>
      <c r="BX24" s="726">
        <v>74.290000000000006</v>
      </c>
      <c r="BY24" s="726">
        <v>0.65500000000000003</v>
      </c>
      <c r="BZ24" s="727">
        <v>175</v>
      </c>
      <c r="CA24" s="727">
        <v>66.39</v>
      </c>
      <c r="CB24" s="727">
        <v>0.65500000000000003</v>
      </c>
      <c r="CC24" s="727">
        <v>174</v>
      </c>
      <c r="CD24" s="727">
        <v>65.98</v>
      </c>
      <c r="CE24" s="727">
        <v>0.65500000000000003</v>
      </c>
      <c r="CF24" s="727">
        <v>173</v>
      </c>
      <c r="CG24" s="727">
        <v>67.010000000000005</v>
      </c>
      <c r="CH24" s="727">
        <v>0.65500000000000003</v>
      </c>
      <c r="CI24" s="726">
        <v>171</v>
      </c>
      <c r="CJ24" s="726">
        <v>68.34</v>
      </c>
      <c r="CK24" s="726">
        <v>0.62</v>
      </c>
      <c r="CL24" s="727">
        <v>172</v>
      </c>
      <c r="CM24" s="727">
        <v>60.05</v>
      </c>
      <c r="CN24" s="727">
        <v>0.62</v>
      </c>
      <c r="CO24" s="727">
        <v>170</v>
      </c>
      <c r="CP24" s="727">
        <v>59.94</v>
      </c>
      <c r="CQ24" s="727">
        <v>0.62</v>
      </c>
      <c r="CR24" s="727">
        <v>170</v>
      </c>
      <c r="CS24" s="727">
        <v>59.33</v>
      </c>
      <c r="CT24" s="746">
        <v>0.62</v>
      </c>
      <c r="CU24" s="726">
        <v>169</v>
      </c>
      <c r="CV24" s="726">
        <v>55.03</v>
      </c>
      <c r="CW24" s="726">
        <v>0.58750000000000002</v>
      </c>
      <c r="CX24" s="727">
        <v>169</v>
      </c>
      <c r="CY24" s="727">
        <v>54.45</v>
      </c>
      <c r="CZ24" s="727">
        <v>0.58750000000000002</v>
      </c>
      <c r="DA24" s="727">
        <v>169</v>
      </c>
      <c r="DB24" s="727">
        <v>49.02</v>
      </c>
      <c r="DC24" s="727">
        <v>0.58750000000000002</v>
      </c>
      <c r="DD24" s="727">
        <v>169</v>
      </c>
      <c r="DE24" s="727">
        <v>50.02</v>
      </c>
      <c r="DF24" s="747">
        <v>0.58750000000000002</v>
      </c>
      <c r="DG24" s="727">
        <v>169</v>
      </c>
      <c r="DH24" s="727">
        <v>48.96</v>
      </c>
      <c r="DI24" s="727">
        <v>0.56000000000000005</v>
      </c>
      <c r="DJ24" s="727">
        <v>169</v>
      </c>
      <c r="DK24" s="727">
        <v>45.32</v>
      </c>
      <c r="DL24" s="727">
        <v>0.56000000000000005</v>
      </c>
      <c r="DM24" s="727">
        <v>169</v>
      </c>
      <c r="DN24" s="727">
        <v>45.93</v>
      </c>
      <c r="DO24" s="727">
        <v>0.56000000000000005</v>
      </c>
      <c r="DP24" s="727">
        <v>166</v>
      </c>
      <c r="DQ24" s="727">
        <v>45.61</v>
      </c>
      <c r="DR24" s="727">
        <v>0.53</v>
      </c>
      <c r="DS24" s="727">
        <v>165</v>
      </c>
      <c r="DT24" s="748">
        <v>44.6</v>
      </c>
      <c r="DU24" s="727">
        <v>0.53</v>
      </c>
      <c r="DV24" s="727">
        <v>165</v>
      </c>
      <c r="DW24" s="727">
        <v>43.59</v>
      </c>
      <c r="DX24" s="727">
        <v>0.53</v>
      </c>
      <c r="DY24" s="727">
        <v>164</v>
      </c>
      <c r="DZ24" s="727">
        <v>35.14</v>
      </c>
      <c r="EA24" s="727">
        <v>0.53</v>
      </c>
      <c r="EB24" s="727">
        <v>163</v>
      </c>
      <c r="EC24" s="727">
        <v>32</v>
      </c>
      <c r="ED24" s="727">
        <v>0.53</v>
      </c>
      <c r="EE24" s="727">
        <v>162</v>
      </c>
      <c r="EF24" s="727">
        <v>27.7</v>
      </c>
      <c r="EG24" s="727">
        <v>0.53</v>
      </c>
      <c r="EH24" s="727">
        <v>162</v>
      </c>
      <c r="EI24" s="727">
        <v>35.67</v>
      </c>
      <c r="EJ24" s="727">
        <v>0.53</v>
      </c>
      <c r="EK24" s="727">
        <v>162</v>
      </c>
      <c r="EL24" s="727">
        <v>40.119999999999997</v>
      </c>
      <c r="EM24" s="727">
        <v>0.53</v>
      </c>
      <c r="EN24" s="727">
        <v>162</v>
      </c>
      <c r="EO24" s="727">
        <v>42.44</v>
      </c>
      <c r="EP24" s="727">
        <v>0.53</v>
      </c>
      <c r="EQ24" s="727">
        <v>169</v>
      </c>
      <c r="ER24" s="727">
        <v>38.89</v>
      </c>
      <c r="ES24" s="727">
        <v>0.53</v>
      </c>
      <c r="ET24" s="727">
        <v>165</v>
      </c>
      <c r="EU24" s="727">
        <v>43.96</v>
      </c>
      <c r="EV24" s="727">
        <v>0.53</v>
      </c>
      <c r="EW24" s="727">
        <v>174</v>
      </c>
      <c r="EX24" s="727">
        <v>48.44</v>
      </c>
      <c r="EY24" s="727">
        <v>0.53</v>
      </c>
      <c r="EZ24" s="727">
        <v>176</v>
      </c>
      <c r="FA24" s="727">
        <v>48.22</v>
      </c>
      <c r="FB24" s="727">
        <v>0.53</v>
      </c>
      <c r="FC24" s="723">
        <v>177</v>
      </c>
      <c r="FD24" s="741">
        <v>47.9</v>
      </c>
      <c r="FE24" s="723">
        <v>0.53</v>
      </c>
      <c r="FF24" s="727">
        <v>177</v>
      </c>
      <c r="FG24" s="727">
        <v>48.41</v>
      </c>
      <c r="FH24" s="749">
        <v>0.53</v>
      </c>
      <c r="FI24" s="727">
        <v>177.1</v>
      </c>
      <c r="FJ24" s="727">
        <v>41.51</v>
      </c>
      <c r="FK24" s="727">
        <v>0.51500000000000001</v>
      </c>
      <c r="FL24" s="727">
        <v>177.2</v>
      </c>
      <c r="FM24" s="727">
        <v>40.74</v>
      </c>
      <c r="FN24" s="727">
        <v>0.51500000000000001</v>
      </c>
      <c r="FO24" s="727">
        <v>175.5</v>
      </c>
      <c r="FP24" s="727">
        <v>40.090000000000003</v>
      </c>
      <c r="FQ24" s="727">
        <v>0.51500000000000001</v>
      </c>
      <c r="FR24" s="727">
        <v>175.5</v>
      </c>
      <c r="FS24" s="742">
        <v>43.19</v>
      </c>
      <c r="FT24" s="626">
        <f>2.06/4</f>
        <v>0.51500000000000001</v>
      </c>
      <c r="FU24" s="727">
        <v>173.6</v>
      </c>
      <c r="FV24" s="727">
        <v>45.86</v>
      </c>
      <c r="FW24" s="727">
        <v>0.51500000000000001</v>
      </c>
      <c r="FX24" s="727">
        <v>173.7</v>
      </c>
      <c r="FY24" s="727">
        <v>46.77</v>
      </c>
      <c r="FZ24" s="727">
        <v>0.51500000000000001</v>
      </c>
      <c r="GA24" s="727">
        <v>173.5</v>
      </c>
      <c r="GB24" s="727">
        <v>45.48</v>
      </c>
      <c r="GC24" s="727">
        <v>0.51500000000000001</v>
      </c>
      <c r="GD24" s="750">
        <v>173.5</v>
      </c>
      <c r="GE24" s="741">
        <v>43.13</v>
      </c>
      <c r="GF24" s="751">
        <v>0.51500000000000001</v>
      </c>
      <c r="GG24" s="750">
        <v>173.2</v>
      </c>
      <c r="GH24" s="727">
        <v>42.19</v>
      </c>
      <c r="GI24" s="727">
        <v>0.51500000000000001</v>
      </c>
      <c r="GJ24" s="727">
        <v>169.9</v>
      </c>
      <c r="GK24" s="727">
        <v>40.54</v>
      </c>
      <c r="GL24" s="727">
        <v>0.51500000000000001</v>
      </c>
      <c r="GM24" s="727">
        <v>168</v>
      </c>
      <c r="GN24" s="727">
        <v>41.15</v>
      </c>
      <c r="GO24" s="727">
        <v>0.51500000000000001</v>
      </c>
      <c r="GP24" s="727">
        <v>167.83600000000001</v>
      </c>
      <c r="GQ24" s="727">
        <v>39.4</v>
      </c>
      <c r="GR24" s="727">
        <v>0.51500000000000001</v>
      </c>
      <c r="GS24" s="727">
        <v>167.53399999999999</v>
      </c>
      <c r="GT24" s="727">
        <v>36.89</v>
      </c>
      <c r="GU24" s="727">
        <v>0.51500000000000001</v>
      </c>
      <c r="GV24" s="727">
        <v>167.24199999999999</v>
      </c>
      <c r="GW24" s="727">
        <v>38.64</v>
      </c>
      <c r="GX24" s="727">
        <v>0.51500000000000001</v>
      </c>
      <c r="GY24" s="727">
        <v>167.5</v>
      </c>
      <c r="GZ24" s="727">
        <v>38.65</v>
      </c>
      <c r="HA24" s="727">
        <v>0.51500000000000001</v>
      </c>
      <c r="HB24" s="727">
        <v>167.06</v>
      </c>
      <c r="HC24" s="727">
        <v>46.4</v>
      </c>
      <c r="HD24" s="727">
        <v>0.51500000000000001</v>
      </c>
      <c r="HE24" s="727">
        <v>161.124</v>
      </c>
      <c r="HF24" s="727">
        <v>40.700000000000003</v>
      </c>
      <c r="HG24" s="727">
        <v>0.51500000000000001</v>
      </c>
      <c r="HH24" s="727">
        <v>160.72499999999999</v>
      </c>
      <c r="HI24" s="727">
        <v>44.64</v>
      </c>
      <c r="HJ24" s="727">
        <v>0.51500000000000001</v>
      </c>
      <c r="HK24" s="727">
        <v>162.69999999999999</v>
      </c>
      <c r="HL24" s="727">
        <v>45.5</v>
      </c>
      <c r="HM24" s="727">
        <v>0.51500000000000001</v>
      </c>
      <c r="HN24" s="727">
        <v>164</v>
      </c>
      <c r="HO24" s="727">
        <v>41.94</v>
      </c>
      <c r="HP24" s="727">
        <v>0.51500000000000001</v>
      </c>
      <c r="HQ24" s="727">
        <v>145</v>
      </c>
      <c r="HR24" s="727">
        <v>43.05</v>
      </c>
      <c r="HS24" s="727">
        <v>0.51500000000000001</v>
      </c>
      <c r="HT24" s="727">
        <v>142</v>
      </c>
      <c r="HU24" s="727">
        <v>46.44</v>
      </c>
      <c r="HV24" s="727">
        <v>0.51500000000000001</v>
      </c>
      <c r="HW24" s="727">
        <v>143</v>
      </c>
      <c r="HX24" s="727">
        <v>39.799999999999997</v>
      </c>
      <c r="HY24" s="727">
        <v>0.51500000000000001</v>
      </c>
      <c r="HZ24" s="727">
        <v>143</v>
      </c>
      <c r="IA24" s="727">
        <v>38.9375</v>
      </c>
      <c r="IB24" s="727">
        <v>0.51500000000000001</v>
      </c>
      <c r="IC24" s="727">
        <v>143</v>
      </c>
      <c r="ID24" s="727">
        <v>38.25</v>
      </c>
      <c r="IE24" s="727">
        <v>0.51500000000000001</v>
      </c>
      <c r="IF24" s="727">
        <v>145</v>
      </c>
      <c r="IG24" s="727">
        <v>30.5625</v>
      </c>
      <c r="IH24" s="727">
        <v>0.51500000000000001</v>
      </c>
      <c r="II24" s="727">
        <v>145</v>
      </c>
      <c r="IJ24" s="722">
        <v>29.125</v>
      </c>
      <c r="IK24" s="722">
        <v>0.51500000000000001</v>
      </c>
      <c r="IL24" s="722">
        <v>145</v>
      </c>
      <c r="IM24" s="727">
        <v>31.375</v>
      </c>
      <c r="IN24" s="722">
        <v>0.51500000000000001</v>
      </c>
      <c r="IO24" s="722">
        <v>145</v>
      </c>
      <c r="IP24" s="727">
        <v>36.375</v>
      </c>
      <c r="IQ24" s="722">
        <v>0.51500000000000001</v>
      </c>
      <c r="IR24" s="721">
        <v>145.08000000000001</v>
      </c>
      <c r="IS24" s="721">
        <v>40.75</v>
      </c>
      <c r="IT24" s="721">
        <v>0.51500000000000001</v>
      </c>
      <c r="IU24" s="721">
        <v>145</v>
      </c>
      <c r="IV24" s="721">
        <v>38.4375</v>
      </c>
      <c r="IW24" s="721">
        <v>0.51500000000000001</v>
      </c>
      <c r="IX24" s="721">
        <v>145</v>
      </c>
      <c r="IY24" s="721">
        <v>43.063000000000002</v>
      </c>
      <c r="IZ24" s="721">
        <v>0.51500000000000001</v>
      </c>
      <c r="JA24" s="721">
        <v>145</v>
      </c>
      <c r="JB24" s="721">
        <v>45.188000000000002</v>
      </c>
      <c r="JC24" s="721">
        <v>0.51500000000000001</v>
      </c>
      <c r="JD24" s="721">
        <v>145</v>
      </c>
      <c r="JE24" s="721">
        <v>40.375</v>
      </c>
      <c r="JF24" s="721">
        <v>0.51500000000000001</v>
      </c>
      <c r="JG24" s="721">
        <v>145.1</v>
      </c>
      <c r="JH24" s="721">
        <v>39.3125</v>
      </c>
      <c r="JI24" s="721">
        <v>0.51500000000000001</v>
      </c>
      <c r="JJ24" s="721">
        <v>145.09800000000001</v>
      </c>
      <c r="JK24" s="721">
        <v>34.6875</v>
      </c>
      <c r="JL24" s="721">
        <v>0.51500000000000001</v>
      </c>
      <c r="JM24" s="721">
        <v>145.12</v>
      </c>
      <c r="JN24" s="721">
        <v>30.4375</v>
      </c>
      <c r="JO24" s="721">
        <v>0.51500000000000001</v>
      </c>
      <c r="JP24" s="721">
        <v>145.12</v>
      </c>
      <c r="JQ24" s="721">
        <v>27.625</v>
      </c>
      <c r="JR24" s="721">
        <v>0.51500000000000001</v>
      </c>
      <c r="JS24" s="721">
        <v>145.12</v>
      </c>
      <c r="JT24" s="721">
        <v>26.875</v>
      </c>
      <c r="JU24" s="721">
        <v>0.51500000000000001</v>
      </c>
      <c r="JV24" s="721">
        <v>145.12</v>
      </c>
      <c r="JW24" s="721">
        <v>32.375</v>
      </c>
      <c r="JX24" s="721">
        <v>0.51500000000000001</v>
      </c>
      <c r="JY24" s="721">
        <v>144.90600000000001</v>
      </c>
      <c r="JZ24" s="721">
        <v>28</v>
      </c>
      <c r="KA24" s="721">
        <v>0.51500000000000001</v>
      </c>
      <c r="KB24" s="721">
        <v>144.90600000000001</v>
      </c>
      <c r="KC24" s="721">
        <v>30.875</v>
      </c>
      <c r="KD24" s="721">
        <v>0.51500000000000001</v>
      </c>
      <c r="KE24" s="721">
        <v>144.90600000000001</v>
      </c>
      <c r="KF24" s="721">
        <v>33.625</v>
      </c>
      <c r="KG24" s="721">
        <v>0.51500000000000001</v>
      </c>
      <c r="KH24" s="721">
        <v>144.90600000000001</v>
      </c>
      <c r="KI24" s="721">
        <v>34.5</v>
      </c>
      <c r="KJ24" s="721">
        <v>0.51500000000000001</v>
      </c>
      <c r="KK24" s="721">
        <v>144.864</v>
      </c>
      <c r="KL24" s="721">
        <v>32.25</v>
      </c>
      <c r="KM24" s="721">
        <v>0.51500000000000001</v>
      </c>
      <c r="KN24" s="721">
        <v>144.864</v>
      </c>
      <c r="KO24" s="721">
        <v>29.5</v>
      </c>
      <c r="KP24" s="721">
        <v>0.51500000000000001</v>
      </c>
      <c r="KQ24" s="721">
        <v>144.864</v>
      </c>
      <c r="KR24" s="721">
        <v>27.375</v>
      </c>
      <c r="KS24" s="721">
        <v>0.51500000000000001</v>
      </c>
      <c r="KT24" s="721">
        <v>146.702</v>
      </c>
      <c r="KU24" s="721">
        <v>26.125</v>
      </c>
      <c r="KV24" s="721">
        <v>0.51500000000000001</v>
      </c>
      <c r="KW24" s="721">
        <v>146.702</v>
      </c>
      <c r="KX24" s="721">
        <v>25.5</v>
      </c>
      <c r="KY24" s="721">
        <v>0.51500000000000001</v>
      </c>
      <c r="KZ24" s="721">
        <v>147.04499999999999</v>
      </c>
      <c r="LA24" s="721">
        <v>24.75</v>
      </c>
      <c r="LB24" s="721">
        <v>0.51500000000000001</v>
      </c>
      <c r="LC24" s="721">
        <v>147.03299999999999</v>
      </c>
      <c r="LD24" s="721">
        <v>26.5</v>
      </c>
      <c r="LE24" s="721">
        <v>0.51500000000000001</v>
      </c>
      <c r="LF24" s="721">
        <v>147.03299999999999</v>
      </c>
      <c r="LG24" s="721">
        <v>30</v>
      </c>
      <c r="LH24" s="721">
        <v>0.51500000000000001</v>
      </c>
      <c r="LI24" s="721">
        <v>147.03299999999999</v>
      </c>
      <c r="LJ24" s="721">
        <v>34.375</v>
      </c>
      <c r="LK24" s="721">
        <v>0.51500000000000001</v>
      </c>
      <c r="LL24" s="721">
        <v>147.02699999999999</v>
      </c>
      <c r="LM24" s="721">
        <v>34.75</v>
      </c>
      <c r="LN24" s="721">
        <v>0.51500000000000001</v>
      </c>
      <c r="LO24" s="721">
        <v>147.02099999999999</v>
      </c>
      <c r="LP24" s="721">
        <v>35.125</v>
      </c>
      <c r="LQ24" s="721">
        <v>0.51500000000000001</v>
      </c>
      <c r="LR24" s="721">
        <v>146.995</v>
      </c>
      <c r="LS24" s="721">
        <v>32.75</v>
      </c>
      <c r="LT24" s="721">
        <v>0.5</v>
      </c>
      <c r="LU24" s="721">
        <v>146.995</v>
      </c>
      <c r="LV24" s="721">
        <v>32.380000000000003</v>
      </c>
      <c r="LW24" s="721">
        <v>0.5</v>
      </c>
      <c r="LX24" s="721">
        <v>146.99100000000001</v>
      </c>
      <c r="LY24" s="721">
        <v>31.25</v>
      </c>
      <c r="LZ24" s="721">
        <v>0.5</v>
      </c>
      <c r="MA24" s="721">
        <v>146.98699999999999</v>
      </c>
      <c r="MB24" s="721">
        <v>30.88</v>
      </c>
      <c r="MC24" s="721">
        <v>0.47</v>
      </c>
      <c r="MD24" s="721">
        <v>146.946</v>
      </c>
      <c r="ME24" s="721">
        <v>34.75</v>
      </c>
      <c r="MF24" s="721">
        <v>0.47</v>
      </c>
      <c r="MG24" s="721">
        <v>146.93799999999999</v>
      </c>
      <c r="MH24" s="721">
        <v>31.88</v>
      </c>
      <c r="MI24" s="721">
        <v>0.47</v>
      </c>
      <c r="MJ24" s="721">
        <v>146.93199999999999</v>
      </c>
      <c r="MK24" s="721">
        <v>28.5</v>
      </c>
      <c r="ML24" s="721">
        <v>0.47</v>
      </c>
      <c r="MM24" s="721">
        <v>146.92500000000001</v>
      </c>
      <c r="MN24" s="721">
        <v>29</v>
      </c>
      <c r="MO24" s="721">
        <v>0.45</v>
      </c>
      <c r="MP24" s="721">
        <v>146.88900000000001</v>
      </c>
      <c r="MQ24" s="721">
        <v>28.25</v>
      </c>
    </row>
    <row r="25" spans="1:355">
      <c r="A25" s="633" t="s">
        <v>11</v>
      </c>
      <c r="B25" s="728" t="s">
        <v>126</v>
      </c>
      <c r="C25" s="885">
        <v>808.8</v>
      </c>
      <c r="D25" s="885">
        <v>72.19</v>
      </c>
      <c r="E25" s="887">
        <v>0.94</v>
      </c>
      <c r="F25" s="828">
        <v>813</v>
      </c>
      <c r="G25" s="828">
        <v>82.82</v>
      </c>
      <c r="H25" s="828">
        <v>0.91749999999999998</v>
      </c>
      <c r="I25" s="828">
        <v>802.5</v>
      </c>
      <c r="J25" s="828">
        <v>81.040000000000006</v>
      </c>
      <c r="K25" s="828">
        <v>0.91749999999999998</v>
      </c>
      <c r="L25" s="828">
        <v>793.1</v>
      </c>
      <c r="M25" s="829">
        <v>77.319999999999993</v>
      </c>
      <c r="N25" s="828">
        <v>0.91749999999999998</v>
      </c>
      <c r="O25" s="828">
        <v>654.20000000000005</v>
      </c>
      <c r="P25" s="828">
        <v>76.66</v>
      </c>
      <c r="Q25" s="828">
        <v>0.91749999999999998</v>
      </c>
      <c r="R25" s="828">
        <v>653.9</v>
      </c>
      <c r="S25" s="828">
        <v>71.459999999999994</v>
      </c>
      <c r="T25" s="839">
        <v>0.91749999999999998</v>
      </c>
      <c r="U25" s="828">
        <v>652.79999999999995</v>
      </c>
      <c r="V25" s="829">
        <v>70.28</v>
      </c>
      <c r="W25" s="828">
        <v>0.83499999999999996</v>
      </c>
      <c r="X25" s="832">
        <v>650.5</v>
      </c>
      <c r="Y25" s="788">
        <v>68.180000000000007</v>
      </c>
      <c r="Z25" s="788">
        <v>0.83499999999999996</v>
      </c>
      <c r="AA25" s="788">
        <v>643.9</v>
      </c>
      <c r="AB25" s="788">
        <v>67.430000000000007</v>
      </c>
      <c r="AC25" s="801">
        <v>0.83499999999999996</v>
      </c>
      <c r="AD25" s="788">
        <v>642.5</v>
      </c>
      <c r="AE25" s="788">
        <v>81.06</v>
      </c>
      <c r="AF25" s="801">
        <v>0.77</v>
      </c>
      <c r="AG25" s="788">
        <v>629.20000000000005</v>
      </c>
      <c r="AH25" s="788">
        <v>76.930000000000007</v>
      </c>
      <c r="AI25" s="788">
        <v>0.755</v>
      </c>
      <c r="AJ25" s="788">
        <v>628.1</v>
      </c>
      <c r="AK25" s="788">
        <v>76.63</v>
      </c>
      <c r="AL25" s="788">
        <v>0.755</v>
      </c>
      <c r="AM25" s="828">
        <v>616.4</v>
      </c>
      <c r="AN25" s="828">
        <v>77.569999999999993</v>
      </c>
      <c r="AO25" s="830">
        <v>0.755</v>
      </c>
      <c r="AP25" s="788">
        <v>625.9</v>
      </c>
      <c r="AQ25" s="788">
        <v>76.59</v>
      </c>
      <c r="AR25" s="788">
        <v>0.7</v>
      </c>
      <c r="AS25" s="723">
        <v>615.6</v>
      </c>
      <c r="AT25" s="723">
        <v>74.27</v>
      </c>
      <c r="AU25" s="723">
        <v>0.7</v>
      </c>
      <c r="AV25" s="723">
        <v>596.6</v>
      </c>
      <c r="AW25" s="723">
        <v>77.930000000000007</v>
      </c>
      <c r="AX25" s="723">
        <v>0.7</v>
      </c>
      <c r="AY25" s="723">
        <v>592.4</v>
      </c>
      <c r="AZ25" s="723">
        <v>75.12</v>
      </c>
      <c r="BA25" s="753">
        <v>0.7</v>
      </c>
      <c r="BB25" s="723">
        <v>594.6</v>
      </c>
      <c r="BC25" s="723">
        <v>67.64</v>
      </c>
      <c r="BD25" s="723">
        <v>0.64749999999999996</v>
      </c>
      <c r="BE25" s="723">
        <v>591.5</v>
      </c>
      <c r="BF25" s="723">
        <v>70.38</v>
      </c>
      <c r="BG25" s="723">
        <v>0.64749999999999996</v>
      </c>
      <c r="BH25" s="723">
        <v>587.9</v>
      </c>
      <c r="BI25" s="723">
        <v>66.87</v>
      </c>
      <c r="BJ25" s="723">
        <v>0.64749999999999996</v>
      </c>
      <c r="BK25" s="728">
        <v>584.20000000000005</v>
      </c>
      <c r="BL25" s="728">
        <v>70.87</v>
      </c>
      <c r="BM25" s="754">
        <v>0.64749999999999996</v>
      </c>
      <c r="BN25" s="723">
        <v>583.1</v>
      </c>
      <c r="BO25" s="723">
        <v>76.900000000000006</v>
      </c>
      <c r="BP25" s="723">
        <v>0.6</v>
      </c>
      <c r="BQ25" s="723">
        <v>581.9</v>
      </c>
      <c r="BR25" s="723">
        <v>69.09</v>
      </c>
      <c r="BS25" s="723">
        <v>0.6</v>
      </c>
      <c r="BT25" s="723">
        <v>581.6</v>
      </c>
      <c r="BU25" s="723">
        <v>71.52</v>
      </c>
      <c r="BV25" s="723">
        <v>0.6</v>
      </c>
      <c r="BW25" s="728">
        <v>578.70000000000005</v>
      </c>
      <c r="BX25" s="728">
        <v>70.989999999999995</v>
      </c>
      <c r="BY25" s="754">
        <v>0.6</v>
      </c>
      <c r="BZ25" s="723">
        <v>579.4</v>
      </c>
      <c r="CA25" s="723">
        <v>64.69</v>
      </c>
      <c r="CB25" s="723">
        <v>0.5625</v>
      </c>
      <c r="CC25" s="723">
        <v>578.1</v>
      </c>
      <c r="CD25" s="723">
        <v>62.48</v>
      </c>
      <c r="CE25" s="723">
        <v>0.5625</v>
      </c>
      <c r="CF25" s="723">
        <v>576.6</v>
      </c>
      <c r="CG25" s="723">
        <v>56.82</v>
      </c>
      <c r="CH25" s="723">
        <v>0.5625</v>
      </c>
      <c r="CI25" s="728">
        <v>572.9</v>
      </c>
      <c r="CJ25" s="728">
        <v>58.18</v>
      </c>
      <c r="CK25" s="728">
        <v>0.5625</v>
      </c>
      <c r="CL25" s="723">
        <v>573.79999999999995</v>
      </c>
      <c r="CM25" s="723">
        <v>51.8</v>
      </c>
      <c r="CN25" s="757">
        <v>0.5625</v>
      </c>
      <c r="CO25" s="723">
        <v>572</v>
      </c>
      <c r="CP25" s="723">
        <v>52.94</v>
      </c>
      <c r="CQ25" s="723">
        <v>0.52749999999999997</v>
      </c>
      <c r="CR25" s="723">
        <v>570.5</v>
      </c>
      <c r="CS25" s="723">
        <v>54</v>
      </c>
      <c r="CT25" s="723">
        <v>0.52749999999999997</v>
      </c>
      <c r="CU25" s="728">
        <v>573.1</v>
      </c>
      <c r="CV25" s="728">
        <v>51.21</v>
      </c>
      <c r="CW25" s="754">
        <v>0.52749999999999997</v>
      </c>
      <c r="CX25" s="722">
        <v>569.4</v>
      </c>
      <c r="CY25" s="723">
        <v>53.07</v>
      </c>
      <c r="CZ25" s="723">
        <v>0.49249999999999999</v>
      </c>
      <c r="DA25" s="723">
        <v>573.4</v>
      </c>
      <c r="DB25" s="723">
        <v>50.77</v>
      </c>
      <c r="DC25" s="722">
        <v>0.49249999999999999</v>
      </c>
      <c r="DD25" s="723">
        <v>579.79999999999995</v>
      </c>
      <c r="DE25" s="723">
        <v>48.27</v>
      </c>
      <c r="DF25" s="723">
        <v>0.49249999999999999</v>
      </c>
      <c r="DG25" s="723">
        <v>580.5</v>
      </c>
      <c r="DH25" s="723">
        <v>44.7</v>
      </c>
      <c r="DI25" s="723">
        <v>0.49249999999999999</v>
      </c>
      <c r="DJ25" s="723">
        <v>585</v>
      </c>
      <c r="DK25" s="723">
        <v>42.72</v>
      </c>
      <c r="DL25" s="753">
        <v>0.49249999999999999</v>
      </c>
      <c r="DM25" s="723">
        <v>590.4</v>
      </c>
      <c r="DN25" s="723">
        <v>43.66</v>
      </c>
      <c r="DO25" s="723">
        <v>0.45750000000000002</v>
      </c>
      <c r="DP25" s="723">
        <v>599.9</v>
      </c>
      <c r="DQ25" s="723">
        <v>38.74</v>
      </c>
      <c r="DR25" s="723">
        <v>0.45750000000000002</v>
      </c>
      <c r="DS25" s="723">
        <v>598.1</v>
      </c>
      <c r="DT25" s="725">
        <v>41.11</v>
      </c>
      <c r="DU25" s="723">
        <v>0.45750000000000002</v>
      </c>
      <c r="DV25" s="723">
        <v>595.9</v>
      </c>
      <c r="DW25" s="723">
        <v>38.92</v>
      </c>
      <c r="DX25" s="723">
        <v>0.45750000000000002</v>
      </c>
      <c r="DY25" s="723">
        <v>593.70000000000005</v>
      </c>
      <c r="DZ25" s="723">
        <v>34.5</v>
      </c>
      <c r="EA25" s="723">
        <v>0.4375</v>
      </c>
      <c r="EB25" s="723">
        <v>585.29999999999995</v>
      </c>
      <c r="EC25" s="723">
        <v>33.42</v>
      </c>
      <c r="ED25" s="723">
        <v>0.4375</v>
      </c>
      <c r="EE25" s="723">
        <v>580.20000000000005</v>
      </c>
      <c r="EF25" s="723">
        <v>30.99</v>
      </c>
      <c r="EG25" s="723">
        <v>0.4375</v>
      </c>
      <c r="EH25" s="723">
        <v>578.6</v>
      </c>
      <c r="EI25" s="723">
        <v>35.840000000000003</v>
      </c>
      <c r="EJ25" s="723">
        <v>0.4375</v>
      </c>
      <c r="EK25" s="723">
        <v>577.1</v>
      </c>
      <c r="EL25" s="723">
        <v>42.78</v>
      </c>
      <c r="EM25" s="723">
        <v>0.39500000000000002</v>
      </c>
      <c r="EN25" s="723">
        <v>575.29999999999995</v>
      </c>
      <c r="EO25" s="723">
        <v>47.49</v>
      </c>
      <c r="EP25" s="723">
        <v>0.39500000000000002</v>
      </c>
      <c r="EQ25" s="723">
        <v>650.79999999999995</v>
      </c>
      <c r="ER25" s="723">
        <v>40.840000000000003</v>
      </c>
      <c r="ES25" s="723">
        <v>0.39500000000000002</v>
      </c>
      <c r="ET25" s="722">
        <f>317.8*2</f>
        <v>635.6</v>
      </c>
      <c r="EU25" s="722">
        <v>47.45</v>
      </c>
      <c r="EV25" s="722">
        <v>0.39500000000000002</v>
      </c>
      <c r="EW25" s="723">
        <f>349.1*2</f>
        <v>698.2</v>
      </c>
      <c r="EX25" s="723">
        <f>84.3/2</f>
        <v>42.15</v>
      </c>
      <c r="EY25" s="723">
        <f>0.71/2</f>
        <v>0.35499999999999998</v>
      </c>
      <c r="EZ25" s="723">
        <f>348.4*2</f>
        <v>696.8</v>
      </c>
      <c r="FA25" s="723">
        <f>86.31/2</f>
        <v>43.155000000000001</v>
      </c>
      <c r="FB25" s="723">
        <f>0.71/2</f>
        <v>0.35499999999999998</v>
      </c>
      <c r="FC25" s="723">
        <f>349.7*2</f>
        <v>699.4</v>
      </c>
      <c r="FD25" s="741">
        <f>88.77/2</f>
        <v>44.384999999999998</v>
      </c>
      <c r="FE25" s="723">
        <f>0.71/2</f>
        <v>0.35499999999999998</v>
      </c>
      <c r="FF25" s="727">
        <f>351.9*2</f>
        <v>703.8</v>
      </c>
      <c r="FG25" s="727">
        <f>83.84/2</f>
        <v>41.92</v>
      </c>
      <c r="FH25" s="727">
        <f>0.69/2</f>
        <v>0.34499999999999997</v>
      </c>
      <c r="FI25" s="727">
        <f>349*2</f>
        <v>698</v>
      </c>
      <c r="FJ25" s="727">
        <f>76.49/2</f>
        <v>38.244999999999997</v>
      </c>
      <c r="FK25" s="727">
        <f>0.69/2</f>
        <v>0.34499999999999997</v>
      </c>
      <c r="FL25" s="727">
        <f>346.5*2</f>
        <v>693</v>
      </c>
      <c r="FM25" s="727">
        <f>74.79/2</f>
        <v>37.395000000000003</v>
      </c>
      <c r="FN25" s="727">
        <f>0.69/2</f>
        <v>0.34499999999999997</v>
      </c>
      <c r="FO25" s="727">
        <f>346.2*2</f>
        <v>692.4</v>
      </c>
      <c r="FP25" s="727">
        <f>69.03/2</f>
        <v>34.515000000000001</v>
      </c>
      <c r="FQ25" s="727">
        <f>0.69/2</f>
        <v>0.34499999999999997</v>
      </c>
      <c r="FR25" s="727">
        <f>342.9*2</f>
        <v>685.8</v>
      </c>
      <c r="FS25" s="742">
        <f>77.2/2</f>
        <v>38.6</v>
      </c>
      <c r="FT25" s="626">
        <f>0.67/2</f>
        <v>0.33500000000000002</v>
      </c>
      <c r="FU25" s="727">
        <f>339.7*2</f>
        <v>679.4</v>
      </c>
      <c r="FV25" s="727">
        <f>86.14/2</f>
        <v>43.07</v>
      </c>
      <c r="FW25" s="727">
        <f>0.67/2</f>
        <v>0.33500000000000002</v>
      </c>
      <c r="FX25" s="727">
        <f>340.3*2</f>
        <v>680.6</v>
      </c>
      <c r="FY25" s="727">
        <f>73.39/2</f>
        <v>36.695</v>
      </c>
      <c r="FZ25" s="727">
        <f>0.67/2</f>
        <v>0.33500000000000002</v>
      </c>
      <c r="GA25" s="727">
        <f>329.7*2</f>
        <v>659.4</v>
      </c>
      <c r="GB25" s="727">
        <f>74.43/2</f>
        <v>37.215000000000003</v>
      </c>
      <c r="GC25" s="727">
        <f>0.67/2</f>
        <v>0.33500000000000002</v>
      </c>
      <c r="GD25" s="750">
        <f>329.7*2</f>
        <v>659.4</v>
      </c>
      <c r="GE25" s="741">
        <f>67.74/2</f>
        <v>33.869999999999997</v>
      </c>
      <c r="GF25" s="751">
        <f>0.665/2</f>
        <v>0.33250000000000002</v>
      </c>
      <c r="GG25" s="750">
        <f>327*2</f>
        <v>654</v>
      </c>
      <c r="GH25" s="727">
        <f>65.25/2</f>
        <v>32.625</v>
      </c>
      <c r="GI25" s="727">
        <f>0.665/2</f>
        <v>0.33250000000000002</v>
      </c>
      <c r="GJ25" s="727">
        <f>325*2</f>
        <v>650</v>
      </c>
      <c r="GK25" s="727">
        <f>63.08/2</f>
        <v>31.54</v>
      </c>
      <c r="GL25" s="727">
        <f>0.645/2</f>
        <v>0.32250000000000001</v>
      </c>
      <c r="GM25" s="727">
        <f>325.4*2</f>
        <v>650.79999999999995</v>
      </c>
      <c r="GN25" s="727">
        <f>64.3/2</f>
        <v>32.15</v>
      </c>
      <c r="GO25" s="727">
        <f>0.645/2</f>
        <v>0.32250000000000001</v>
      </c>
      <c r="GP25" s="727">
        <f>322.8*2</f>
        <v>645.6</v>
      </c>
      <c r="GQ25" s="727">
        <f>63.83/2</f>
        <v>31.914999999999999</v>
      </c>
      <c r="GR25" s="727">
        <f>0.645/2</f>
        <v>0.32250000000000001</v>
      </c>
      <c r="GS25" s="727">
        <f>314.4*2</f>
        <v>628.79999999999995</v>
      </c>
      <c r="GT25" s="727">
        <f>61.9/2</f>
        <v>30.95</v>
      </c>
      <c r="GU25" s="727">
        <f>0.645/2</f>
        <v>0.32250000000000001</v>
      </c>
      <c r="GV25" s="727">
        <f>308.5*2</f>
        <v>617</v>
      </c>
      <c r="GW25" s="727">
        <f>64.27/2</f>
        <v>32.134999999999998</v>
      </c>
      <c r="GX25" s="727">
        <f>0.645/2</f>
        <v>0.32250000000000001</v>
      </c>
      <c r="GY25" s="727">
        <f>301.9*2</f>
        <v>603.79999999999995</v>
      </c>
      <c r="GZ25" s="727">
        <f>55.37/2</f>
        <v>27.684999999999999</v>
      </c>
      <c r="HA25" s="727">
        <f>0.645/2</f>
        <v>0.32250000000000001</v>
      </c>
      <c r="HB25" s="727">
        <f>278.3*2</f>
        <v>556.6</v>
      </c>
      <c r="HC25" s="727">
        <f>54.9/2</f>
        <v>27.45</v>
      </c>
      <c r="HD25" s="727">
        <f>0.645/2</f>
        <v>0.32250000000000001</v>
      </c>
      <c r="HE25" s="727">
        <f>277.3*2</f>
        <v>554.6</v>
      </c>
      <c r="HF25" s="727">
        <f>50.73/2</f>
        <v>25.364999999999998</v>
      </c>
      <c r="HG25" s="727">
        <f>0.645/2</f>
        <v>0.32250000000000001</v>
      </c>
      <c r="HH25" s="727">
        <f>266.8*2</f>
        <v>533.6</v>
      </c>
      <c r="HI25" s="727">
        <f>66.2/2</f>
        <v>33.1</v>
      </c>
      <c r="HJ25" s="727">
        <f>0.645/2</f>
        <v>0.32250000000000001</v>
      </c>
      <c r="HK25" s="727">
        <f>260.8*2</f>
        <v>521.6</v>
      </c>
      <c r="HL25" s="727">
        <f>65.16/2</f>
        <v>32.58</v>
      </c>
      <c r="HM25" s="727">
        <f>0.645/2</f>
        <v>0.32250000000000001</v>
      </c>
      <c r="HN25" s="727">
        <f>248.3*2</f>
        <v>496.6</v>
      </c>
      <c r="HO25" s="727">
        <f>60.1/2</f>
        <v>30.05</v>
      </c>
      <c r="HP25" s="727">
        <f>0.645/2</f>
        <v>0.32250000000000001</v>
      </c>
      <c r="HQ25" s="727">
        <f>247.4*2</f>
        <v>494.8</v>
      </c>
      <c r="HR25" s="727">
        <f>59.35/2</f>
        <v>29.675000000000001</v>
      </c>
      <c r="HS25" s="727">
        <f>0.645/2</f>
        <v>0.32250000000000001</v>
      </c>
      <c r="HT25" s="727">
        <f>248.8*2</f>
        <v>497.6</v>
      </c>
      <c r="HU25" s="727">
        <f>60.13/2</f>
        <v>30.065000000000001</v>
      </c>
      <c r="HV25" s="727">
        <f>0.645/2</f>
        <v>0.32250000000000001</v>
      </c>
      <c r="HW25" s="727">
        <f>244.6*2</f>
        <v>489.2</v>
      </c>
      <c r="HX25" s="727">
        <f>64.47/2</f>
        <v>32.234999999999999</v>
      </c>
      <c r="HY25" s="727">
        <f>0.645/2</f>
        <v>0.32250000000000001</v>
      </c>
      <c r="HZ25" s="727">
        <f>239.5*2</f>
        <v>479</v>
      </c>
      <c r="IA25" s="727">
        <f>67/2</f>
        <v>33.5</v>
      </c>
      <c r="IB25" s="727">
        <f>0.645/2</f>
        <v>0.32250000000000001</v>
      </c>
      <c r="IC25" s="727">
        <f>237.8*2</f>
        <v>475.6</v>
      </c>
      <c r="ID25" s="727">
        <f>58.0625/2</f>
        <v>29.03125</v>
      </c>
      <c r="IE25" s="727">
        <f>0.645/2</f>
        <v>0.32250000000000001</v>
      </c>
      <c r="IF25" s="727">
        <f>223.4*2</f>
        <v>446.8</v>
      </c>
      <c r="IG25" s="727">
        <f>42.875/2</f>
        <v>21.4375</v>
      </c>
      <c r="IH25" s="727">
        <f>0.645/2</f>
        <v>0.32250000000000001</v>
      </c>
      <c r="II25" s="727">
        <f>191.391*2</f>
        <v>382.78199999999998</v>
      </c>
      <c r="IJ25" s="722">
        <f>38.4375/2</f>
        <v>19.21875</v>
      </c>
      <c r="IK25" s="722">
        <f>0.645/2</f>
        <v>0.32250000000000001</v>
      </c>
      <c r="IL25" s="722">
        <f>191.4*2</f>
        <v>382.8</v>
      </c>
      <c r="IM25" s="727">
        <f>39.25/2</f>
        <v>19.625</v>
      </c>
      <c r="IN25" s="722">
        <f>0.645/2</f>
        <v>0.32250000000000001</v>
      </c>
      <c r="IO25" s="722">
        <v>192</v>
      </c>
      <c r="IP25" s="727">
        <v>45.125</v>
      </c>
      <c r="IQ25" s="722">
        <v>0.64500000000000002</v>
      </c>
      <c r="IR25" s="721">
        <v>194.9</v>
      </c>
      <c r="IS25" s="721">
        <v>43.3125</v>
      </c>
      <c r="IT25" s="721">
        <v>0.64500000000000002</v>
      </c>
      <c r="IU25" s="721">
        <v>196.1</v>
      </c>
      <c r="IV25" s="721">
        <v>36.9375</v>
      </c>
      <c r="IW25" s="721">
        <v>0.64500000000000002</v>
      </c>
      <c r="IX25" s="721">
        <v>196.1</v>
      </c>
      <c r="IY25" s="721">
        <v>46.75</v>
      </c>
      <c r="IZ25" s="721">
        <v>0.64500000000000002</v>
      </c>
      <c r="JA25" s="721">
        <v>193.2</v>
      </c>
      <c r="JB25" s="721">
        <v>44.625</v>
      </c>
      <c r="JC25" s="721">
        <v>0.64500000000000002</v>
      </c>
      <c r="JD25" s="721">
        <v>193.2</v>
      </c>
      <c r="JE25" s="721">
        <v>40.75</v>
      </c>
      <c r="JF25" s="721">
        <v>0.64500000000000002</v>
      </c>
      <c r="JG25" s="721">
        <v>186</v>
      </c>
      <c r="JH25" s="721">
        <v>41.8125</v>
      </c>
      <c r="JI25" s="721">
        <v>0.64500000000000002</v>
      </c>
      <c r="JJ25" s="721">
        <v>186</v>
      </c>
      <c r="JK25" s="721">
        <v>42.5625</v>
      </c>
      <c r="JL25" s="721">
        <v>0.64500000000000002</v>
      </c>
      <c r="JM25" s="721">
        <v>183</v>
      </c>
      <c r="JN25" s="721">
        <v>37.875</v>
      </c>
      <c r="JO25" s="721">
        <v>0.64500000000000002</v>
      </c>
      <c r="JP25" s="721">
        <v>183</v>
      </c>
      <c r="JQ25" s="721">
        <v>36.625</v>
      </c>
      <c r="JR25" s="721">
        <v>0.64500000000000002</v>
      </c>
      <c r="JS25" s="721">
        <v>178.8</v>
      </c>
      <c r="JT25" s="721">
        <v>36.375</v>
      </c>
      <c r="JU25" s="721">
        <v>0.64500000000000002</v>
      </c>
      <c r="JV25" s="721">
        <v>178.8</v>
      </c>
      <c r="JW25" s="721">
        <v>38.5</v>
      </c>
      <c r="JX25" s="721">
        <v>0.64500000000000002</v>
      </c>
      <c r="JY25" s="721">
        <v>174.3</v>
      </c>
      <c r="JZ25" s="721">
        <v>37.75</v>
      </c>
      <c r="KA25" s="721">
        <v>0.64500000000000002</v>
      </c>
      <c r="KB25" s="721">
        <v>174.3</v>
      </c>
      <c r="KC25" s="721">
        <v>40</v>
      </c>
      <c r="KD25" s="721">
        <v>0.64500000000000002</v>
      </c>
      <c r="KE25" s="721">
        <v>174.3</v>
      </c>
      <c r="KF25" s="721">
        <v>39.5</v>
      </c>
      <c r="KG25" s="721">
        <v>0.64500000000000002</v>
      </c>
      <c r="KH25" s="721">
        <v>174.3</v>
      </c>
      <c r="KI25" s="721">
        <v>41.25</v>
      </c>
      <c r="KJ25" s="721">
        <v>0.64500000000000002</v>
      </c>
      <c r="KK25" s="721">
        <v>172.3</v>
      </c>
      <c r="KL25" s="721">
        <v>37.625</v>
      </c>
      <c r="KM25" s="721">
        <v>0.64500000000000002</v>
      </c>
      <c r="KN25" s="721">
        <v>172.3</v>
      </c>
      <c r="KO25" s="721">
        <v>36.5</v>
      </c>
      <c r="KP25" s="721">
        <v>0.64500000000000002</v>
      </c>
      <c r="KQ25" s="721">
        <v>172.3</v>
      </c>
      <c r="KR25" s="721">
        <v>36</v>
      </c>
      <c r="KS25" s="721">
        <v>0.64500000000000002</v>
      </c>
      <c r="KT25" s="721">
        <v>171.1</v>
      </c>
      <c r="KU25" s="721">
        <v>36</v>
      </c>
      <c r="KV25" s="721">
        <v>0.64500000000000002</v>
      </c>
      <c r="KW25" s="721">
        <v>171.1</v>
      </c>
      <c r="KX25" s="721">
        <v>37.25</v>
      </c>
      <c r="KY25" s="721">
        <v>0.63500000000000001</v>
      </c>
      <c r="KZ25" s="721">
        <v>167.87200000000001</v>
      </c>
      <c r="LA25" s="721">
        <v>36.375</v>
      </c>
      <c r="LB25" s="721">
        <v>0.63500000000000001</v>
      </c>
      <c r="LC25" s="721">
        <v>166.2</v>
      </c>
      <c r="LD25" s="721">
        <v>40</v>
      </c>
      <c r="LE25" s="721">
        <v>0.63500000000000001</v>
      </c>
      <c r="LF25" s="721">
        <v>166.2</v>
      </c>
      <c r="LG25" s="721">
        <v>45.375</v>
      </c>
      <c r="LH25" s="721">
        <v>0.63500000000000001</v>
      </c>
      <c r="LI25" s="721">
        <v>166.2</v>
      </c>
      <c r="LJ25" s="721">
        <v>48.375</v>
      </c>
      <c r="LK25" s="721">
        <v>0.61499999999999999</v>
      </c>
      <c r="LL25" s="721">
        <v>164.9</v>
      </c>
      <c r="LM25" s="721">
        <v>44.5</v>
      </c>
      <c r="LN25" s="721">
        <v>0.61499999999999999</v>
      </c>
      <c r="LO25" s="721">
        <v>164.1</v>
      </c>
      <c r="LP25" s="721">
        <v>43.875</v>
      </c>
      <c r="LQ25" s="721">
        <v>0.61499999999999999</v>
      </c>
      <c r="LR25" s="721">
        <v>160.4</v>
      </c>
      <c r="LS25" s="721">
        <v>39.5</v>
      </c>
      <c r="LT25" s="721">
        <v>0.68</v>
      </c>
      <c r="LU25" s="721">
        <v>160.4</v>
      </c>
      <c r="LV25" s="721">
        <v>39</v>
      </c>
      <c r="LW25" s="721">
        <v>0.6</v>
      </c>
      <c r="LX25" s="721">
        <v>159.69999999999999</v>
      </c>
      <c r="LY25" s="721">
        <v>38.25</v>
      </c>
      <c r="LZ25" s="721">
        <v>0.6</v>
      </c>
      <c r="MA25" s="721">
        <v>159.19999999999999</v>
      </c>
      <c r="MB25" s="721">
        <v>35.380000000000003</v>
      </c>
      <c r="MC25" s="721">
        <v>0.6</v>
      </c>
      <c r="MD25" s="721">
        <v>156.49799999999999</v>
      </c>
      <c r="ME25" s="721">
        <v>38</v>
      </c>
      <c r="MF25" s="721">
        <v>0.59</v>
      </c>
      <c r="MG25" s="721">
        <v>156</v>
      </c>
      <c r="MH25" s="721">
        <v>35.17</v>
      </c>
      <c r="MI25" s="721">
        <v>0.56999999999999995</v>
      </c>
      <c r="MJ25" s="721">
        <v>155.4</v>
      </c>
      <c r="MK25" s="721">
        <v>31.58</v>
      </c>
      <c r="ML25" s="721">
        <v>0.56999999999999995</v>
      </c>
      <c r="MM25" s="721">
        <v>154.94999999999999</v>
      </c>
      <c r="MN25" s="721">
        <v>32.08</v>
      </c>
      <c r="MO25" s="721">
        <v>0.56999999999999995</v>
      </c>
      <c r="MP25" s="721">
        <v>152.51400000000001</v>
      </c>
      <c r="MQ25" s="721">
        <v>31.25</v>
      </c>
    </row>
    <row r="26" spans="1:355">
      <c r="A26" s="633" t="s">
        <v>12</v>
      </c>
      <c r="B26" s="726" t="s">
        <v>127</v>
      </c>
      <c r="C26" s="885">
        <v>729</v>
      </c>
      <c r="D26" s="885">
        <v>80.88</v>
      </c>
      <c r="E26" s="885">
        <v>0.94499999999999995</v>
      </c>
      <c r="F26" s="828">
        <v>729</v>
      </c>
      <c r="G26" s="828">
        <v>91.21</v>
      </c>
      <c r="H26" s="828">
        <v>0.94499999999999995</v>
      </c>
      <c r="I26" s="828">
        <v>728</v>
      </c>
      <c r="J26" s="828">
        <v>95.86</v>
      </c>
      <c r="K26" s="839">
        <v>0.94499999999999995</v>
      </c>
      <c r="L26" s="828">
        <v>727</v>
      </c>
      <c r="M26" s="829">
        <v>88.24</v>
      </c>
      <c r="N26" s="828">
        <v>0.92749999999999999</v>
      </c>
      <c r="O26" s="828">
        <v>708</v>
      </c>
      <c r="P26" s="829">
        <v>90</v>
      </c>
      <c r="Q26" s="828">
        <v>0.92749999999999999</v>
      </c>
      <c r="R26" s="828">
        <v>713</v>
      </c>
      <c r="S26" s="828">
        <v>86.3</v>
      </c>
      <c r="T26" s="828">
        <v>0.92749999999999999</v>
      </c>
      <c r="U26" s="828">
        <v>703</v>
      </c>
      <c r="V26" s="829">
        <v>80.02</v>
      </c>
      <c r="W26" s="828">
        <v>0.92749999999999999</v>
      </c>
      <c r="X26" s="832">
        <v>701</v>
      </c>
      <c r="Y26" s="788">
        <v>79.08</v>
      </c>
      <c r="Z26" s="788">
        <v>0.89</v>
      </c>
      <c r="AA26" s="788">
        <v>700</v>
      </c>
      <c r="AB26" s="788">
        <v>77.47</v>
      </c>
      <c r="AC26" s="788">
        <v>0.89</v>
      </c>
      <c r="AD26" s="788">
        <v>700</v>
      </c>
      <c r="AE26" s="788">
        <v>84.11</v>
      </c>
      <c r="AF26" s="788">
        <v>0.89</v>
      </c>
      <c r="AG26" s="788">
        <v>700</v>
      </c>
      <c r="AH26" s="788">
        <v>83.92</v>
      </c>
      <c r="AI26" s="801">
        <v>0.89</v>
      </c>
      <c r="AJ26" s="788">
        <v>700</v>
      </c>
      <c r="AK26" s="788">
        <v>83.59</v>
      </c>
      <c r="AL26" s="788">
        <v>0.85499999999999998</v>
      </c>
      <c r="AM26" s="828">
        <v>691</v>
      </c>
      <c r="AN26" s="828">
        <v>82.01</v>
      </c>
      <c r="AO26" s="828">
        <v>0.85499999999999998</v>
      </c>
      <c r="AP26" s="788">
        <v>689</v>
      </c>
      <c r="AQ26" s="788">
        <v>77.62</v>
      </c>
      <c r="AR26" s="788">
        <v>0.85499999999999998</v>
      </c>
      <c r="AS26" s="727">
        <v>689</v>
      </c>
      <c r="AT26" s="727">
        <v>80.040000000000006</v>
      </c>
      <c r="AU26" s="747">
        <v>0.85499999999999998</v>
      </c>
      <c r="AV26" s="727">
        <v>689</v>
      </c>
      <c r="AW26" s="727">
        <v>85.79</v>
      </c>
      <c r="AX26" s="727">
        <v>0.82499999999999996</v>
      </c>
      <c r="AY26" s="727">
        <v>694</v>
      </c>
      <c r="AZ26" s="727">
        <v>80.680000000000007</v>
      </c>
      <c r="BA26" s="727">
        <v>0.82499999999999996</v>
      </c>
      <c r="BB26" s="727">
        <v>688</v>
      </c>
      <c r="BC26" s="727">
        <v>71.39</v>
      </c>
      <c r="BD26" s="727">
        <v>0.82499999999999996</v>
      </c>
      <c r="BE26" s="727">
        <v>692</v>
      </c>
      <c r="BF26" s="727">
        <v>71.94</v>
      </c>
      <c r="BG26" s="746">
        <v>0.82499999999999996</v>
      </c>
      <c r="BH26" s="727">
        <v>708</v>
      </c>
      <c r="BI26" s="727">
        <v>70.62</v>
      </c>
      <c r="BJ26" s="727">
        <v>0.79500000000000004</v>
      </c>
      <c r="BK26" s="726">
        <v>707</v>
      </c>
      <c r="BL26" s="726">
        <v>76.78</v>
      </c>
      <c r="BM26" s="726">
        <v>0.79500000000000004</v>
      </c>
      <c r="BN26" s="727">
        <v>707</v>
      </c>
      <c r="BO26" s="727">
        <v>83.54</v>
      </c>
      <c r="BP26" s="727">
        <v>0.79500000000000004</v>
      </c>
      <c r="BQ26" s="727">
        <v>707</v>
      </c>
      <c r="BR26" s="727">
        <v>74.77</v>
      </c>
      <c r="BS26" s="727">
        <v>0.79500000000000004</v>
      </c>
      <c r="BT26" s="727">
        <v>706</v>
      </c>
      <c r="BU26" s="727">
        <v>74.19</v>
      </c>
      <c r="BV26" s="727">
        <v>0.78</v>
      </c>
      <c r="BW26" s="726">
        <v>706</v>
      </c>
      <c r="BX26" s="726">
        <v>71.22</v>
      </c>
      <c r="BY26" s="726">
        <v>0.78</v>
      </c>
      <c r="BZ26" s="727">
        <v>706</v>
      </c>
      <c r="CA26" s="727">
        <v>69.010000000000005</v>
      </c>
      <c r="CB26" s="727">
        <v>0.78</v>
      </c>
      <c r="CC26" s="727">
        <v>706</v>
      </c>
      <c r="CD26" s="727">
        <v>66.78</v>
      </c>
      <c r="CE26" s="727">
        <v>0.78</v>
      </c>
      <c r="CF26" s="727">
        <v>705</v>
      </c>
      <c r="CG26" s="727">
        <v>67.5</v>
      </c>
      <c r="CH26" s="727">
        <v>0.78</v>
      </c>
      <c r="CI26" s="726">
        <v>574</v>
      </c>
      <c r="CJ26" s="726">
        <v>72.59</v>
      </c>
      <c r="CK26" s="726">
        <v>0.76500000000000001</v>
      </c>
      <c r="CL26" s="727">
        <v>699</v>
      </c>
      <c r="CM26" s="727">
        <v>63.8</v>
      </c>
      <c r="CN26" s="727">
        <v>0.76500000000000001</v>
      </c>
      <c r="CO26" s="730">
        <f>446+(297*0.87083)</f>
        <v>704.63651000000004</v>
      </c>
      <c r="CP26" s="730">
        <v>64.8</v>
      </c>
      <c r="CQ26" s="730">
        <v>0.76500000000000001</v>
      </c>
      <c r="CR26" s="727">
        <f>(445.3666666*3)/2.6125</f>
        <v>511.42583724401919</v>
      </c>
      <c r="CS26" s="727">
        <f>23.085*2.6125</f>
        <v>60.309562499999998</v>
      </c>
      <c r="CT26" s="727">
        <f>(0.765/3)*2.6125</f>
        <v>0.66618749999999993</v>
      </c>
      <c r="CU26" s="726">
        <v>1332</v>
      </c>
      <c r="CV26" s="726">
        <v>21.01</v>
      </c>
      <c r="CW26" s="726">
        <v>0.25</v>
      </c>
      <c r="CX26" s="727">
        <v>1332</v>
      </c>
      <c r="CY26" s="727">
        <v>22</v>
      </c>
      <c r="CZ26" s="727">
        <v>0.25</v>
      </c>
      <c r="DA26" s="727">
        <v>1332</v>
      </c>
      <c r="DB26" s="727">
        <v>19.989999999999998</v>
      </c>
      <c r="DC26" s="727">
        <v>0.25</v>
      </c>
      <c r="DD26" s="727">
        <v>1330</v>
      </c>
      <c r="DE26" s="727">
        <v>18.829999999999998</v>
      </c>
      <c r="DF26" s="747">
        <v>0.25</v>
      </c>
      <c r="DG26" s="727">
        <v>1326</v>
      </c>
      <c r="DH26" s="727">
        <v>18.14</v>
      </c>
      <c r="DI26" s="727">
        <v>0.245</v>
      </c>
      <c r="DJ26" s="727">
        <v>1320</v>
      </c>
      <c r="DK26" s="727">
        <v>17.809999999999999</v>
      </c>
      <c r="DL26" s="727">
        <v>0.245</v>
      </c>
      <c r="DM26" s="727">
        <v>1314</v>
      </c>
      <c r="DN26" s="727">
        <v>17.71</v>
      </c>
      <c r="DO26" s="727">
        <v>0.245</v>
      </c>
      <c r="DP26" s="727">
        <v>1310</v>
      </c>
      <c r="DQ26" s="727">
        <v>16</v>
      </c>
      <c r="DR26" s="727">
        <v>0.245</v>
      </c>
      <c r="DS26" s="727">
        <v>1306</v>
      </c>
      <c r="DT26" s="748">
        <v>16.32</v>
      </c>
      <c r="DU26" s="727">
        <v>0.24</v>
      </c>
      <c r="DV26" s="727">
        <v>1299</v>
      </c>
      <c r="DW26" s="727">
        <v>17.21</v>
      </c>
      <c r="DX26" s="727">
        <v>0.24</v>
      </c>
      <c r="DY26" s="727">
        <v>1288</v>
      </c>
      <c r="DZ26" s="727">
        <v>15.74</v>
      </c>
      <c r="EA26" s="727">
        <v>0.24</v>
      </c>
      <c r="EB26" s="727">
        <v>1282</v>
      </c>
      <c r="EC26" s="727">
        <v>14.59</v>
      </c>
      <c r="ED26" s="727">
        <v>0.24</v>
      </c>
      <c r="EE26" s="727">
        <v>1267</v>
      </c>
      <c r="EF26" s="727">
        <v>14.32</v>
      </c>
      <c r="EG26" s="727">
        <v>0.23</v>
      </c>
      <c r="EH26" s="727">
        <v>1265</v>
      </c>
      <c r="EI26" s="727">
        <v>15.01</v>
      </c>
      <c r="EJ26" s="727">
        <v>0.23</v>
      </c>
      <c r="EK26" s="727">
        <v>1264</v>
      </c>
      <c r="EL26" s="727">
        <v>17.43</v>
      </c>
      <c r="EM26" s="727">
        <v>0.23</v>
      </c>
      <c r="EN26" s="727">
        <v>1263</v>
      </c>
      <c r="EO26" s="727">
        <v>17.38</v>
      </c>
      <c r="EP26" s="746">
        <v>0.23</v>
      </c>
      <c r="EQ26" s="727">
        <v>1260</v>
      </c>
      <c r="ER26" s="727">
        <v>17.850000000000001</v>
      </c>
      <c r="ES26" s="727">
        <v>0.22</v>
      </c>
      <c r="ET26" s="727">
        <v>1260</v>
      </c>
      <c r="EU26" s="727">
        <v>20.170000000000002</v>
      </c>
      <c r="EV26" s="727">
        <v>0.22</v>
      </c>
      <c r="EW26" s="727">
        <v>1260</v>
      </c>
      <c r="EX26" s="727">
        <v>18.690000000000001</v>
      </c>
      <c r="EY26" s="727">
        <v>0.22</v>
      </c>
      <c r="EZ26" s="727">
        <v>1257</v>
      </c>
      <c r="FA26" s="727">
        <v>18.3</v>
      </c>
      <c r="FB26" s="727">
        <v>0.22</v>
      </c>
      <c r="FC26" s="723">
        <v>1170</v>
      </c>
      <c r="FD26" s="741">
        <v>20.29</v>
      </c>
      <c r="FE26" s="723">
        <v>0.21</v>
      </c>
      <c r="FF26" s="727">
        <v>1254</v>
      </c>
      <c r="FG26" s="727">
        <v>20</v>
      </c>
      <c r="FH26" s="727">
        <v>0.32</v>
      </c>
      <c r="FI26" s="627">
        <v>1238</v>
      </c>
      <c r="FJ26" s="727">
        <f>30.2/1.66</f>
        <v>18.192771084337348</v>
      </c>
      <c r="FK26" s="727">
        <v>0.32</v>
      </c>
      <c r="FL26" s="727">
        <f>928*1.334</f>
        <v>1237.952</v>
      </c>
      <c r="FM26" s="727">
        <f>29.37/1.66</f>
        <v>17.692771084337352</v>
      </c>
      <c r="FN26" s="749">
        <v>0.32</v>
      </c>
      <c r="FO26" s="727">
        <v>928</v>
      </c>
      <c r="FP26" s="727">
        <f>29.15/1.66</f>
        <v>17.560240963855421</v>
      </c>
      <c r="FQ26" s="727">
        <v>0.31</v>
      </c>
      <c r="FR26" s="727">
        <v>926</v>
      </c>
      <c r="FS26" s="742">
        <f>27.45/1.66</f>
        <v>16.536144578313252</v>
      </c>
      <c r="FT26" s="626">
        <f>1.24/4</f>
        <v>0.31</v>
      </c>
      <c r="FU26" s="727">
        <v>927</v>
      </c>
      <c r="FV26" s="727">
        <f>29.17/1.66</f>
        <v>17.572289156626507</v>
      </c>
      <c r="FW26" s="727">
        <v>0.31</v>
      </c>
      <c r="FX26" s="727">
        <v>954</v>
      </c>
      <c r="FY26" s="727">
        <f>29.73/1.66</f>
        <v>17.909638554216869</v>
      </c>
      <c r="FZ26" s="727">
        <v>0.31</v>
      </c>
      <c r="GA26" s="727">
        <v>938</v>
      </c>
      <c r="GB26" s="727">
        <f>28.01/1.66</f>
        <v>16.873493975903617</v>
      </c>
      <c r="GC26" s="727">
        <v>0.27500000000000002</v>
      </c>
      <c r="GD26" s="750">
        <v>938</v>
      </c>
      <c r="GE26" s="741">
        <f>25.33/1.66</f>
        <v>15.259036144578314</v>
      </c>
      <c r="GF26" s="751">
        <v>0.27500000000000002</v>
      </c>
      <c r="GG26" s="750">
        <v>926</v>
      </c>
      <c r="GH26" s="727">
        <f>22.89/1.66</f>
        <v>13.789156626506026</v>
      </c>
      <c r="GI26" s="727">
        <v>0.27500000000000002</v>
      </c>
      <c r="GJ26" s="727">
        <v>912</v>
      </c>
      <c r="GK26" s="727">
        <f>20.29/1.66</f>
        <v>12.22289156626506</v>
      </c>
      <c r="GL26" s="727">
        <v>0.27500000000000002</v>
      </c>
      <c r="GM26" s="727">
        <v>908</v>
      </c>
      <c r="GN26" s="727">
        <f>22.6/1.66</f>
        <v>13.614457831325304</v>
      </c>
      <c r="GO26" s="727">
        <v>0.27500000000000002</v>
      </c>
      <c r="GP26" s="727">
        <v>905</v>
      </c>
      <c r="GQ26" s="727">
        <f>20.45/1.66</f>
        <v>12.319277108433734</v>
      </c>
      <c r="GR26" s="727">
        <v>0.27500000000000002</v>
      </c>
      <c r="GS26" s="727">
        <v>902</v>
      </c>
      <c r="GT26" s="727">
        <f>17.81/1.66</f>
        <v>10.728915662650602</v>
      </c>
      <c r="GU26" s="727">
        <v>0.27500000000000002</v>
      </c>
      <c r="GV26" s="727">
        <v>896.7</v>
      </c>
      <c r="GW26" s="727">
        <f>19.95/1.66</f>
        <v>12.018072289156626</v>
      </c>
      <c r="GX26" s="727">
        <v>0.27500000000000002</v>
      </c>
      <c r="GY26" s="727">
        <v>836</v>
      </c>
      <c r="GZ26" s="727">
        <f>14.54/1.66</f>
        <v>8.7590361445783138</v>
      </c>
      <c r="HA26" s="727">
        <v>0.27500000000000002</v>
      </c>
      <c r="HB26" s="727">
        <v>834</v>
      </c>
      <c r="HC26" s="727">
        <f>19.54/1.66</f>
        <v>11.771084337349398</v>
      </c>
      <c r="HD26" s="727">
        <v>0.27500000000000002</v>
      </c>
      <c r="HE26" s="727">
        <v>830.6</v>
      </c>
      <c r="HF26" s="727">
        <f>19.55/1.66</f>
        <v>11.777108433734941</v>
      </c>
      <c r="HG26" s="727">
        <v>0.27500000000000002</v>
      </c>
      <c r="HH26" s="727">
        <v>787.7</v>
      </c>
      <c r="HI26" s="727">
        <f>31.1/1.66</f>
        <v>18.734939759036145</v>
      </c>
      <c r="HJ26" s="727">
        <v>0.27500000000000002</v>
      </c>
      <c r="HK26" s="727">
        <v>776</v>
      </c>
      <c r="HL26" s="727">
        <f>37.8/1.66</f>
        <v>22.771084337349397</v>
      </c>
      <c r="HM26" s="727">
        <v>0.27500000000000002</v>
      </c>
      <c r="HN26" s="727">
        <v>775.2</v>
      </c>
      <c r="HO26" s="727">
        <f>39.26/1.66</f>
        <v>23.650602409638555</v>
      </c>
      <c r="HP26" s="727">
        <v>0.27500000000000002</v>
      </c>
      <c r="HQ26" s="727">
        <v>773</v>
      </c>
      <c r="HR26" s="727">
        <f>37.85/1.66</f>
        <v>22.80120481927711</v>
      </c>
      <c r="HS26" s="727">
        <v>0.27500000000000002</v>
      </c>
      <c r="HT26" s="727">
        <v>745</v>
      </c>
      <c r="HU26" s="727">
        <f>39.01/1.66</f>
        <v>23.5</v>
      </c>
      <c r="HV26" s="727">
        <v>0.27500000000000002</v>
      </c>
      <c r="HW26" s="727">
        <v>738</v>
      </c>
      <c r="HX26" s="727">
        <f>42.74/1.66</f>
        <v>25.746987951807231</v>
      </c>
      <c r="HY26" s="727">
        <v>0.27500000000000002</v>
      </c>
      <c r="HZ26" s="727">
        <v>736</v>
      </c>
      <c r="IA26" s="727">
        <v>42.625</v>
      </c>
      <c r="IB26" s="727">
        <v>0.27500000000000002</v>
      </c>
      <c r="IC26" s="727">
        <v>736</v>
      </c>
      <c r="ID26" s="727">
        <v>42.875</v>
      </c>
      <c r="IE26" s="727">
        <v>0.27500000000000002</v>
      </c>
      <c r="IF26" s="727">
        <v>734</v>
      </c>
      <c r="IG26" s="727">
        <v>28.375</v>
      </c>
      <c r="IH26" s="727">
        <v>0.27500000000000002</v>
      </c>
      <c r="II26" s="727">
        <v>732</v>
      </c>
      <c r="IJ26" s="722">
        <v>26.25</v>
      </c>
      <c r="IK26" s="722">
        <v>0.27500000000000002</v>
      </c>
      <c r="IL26" s="722">
        <v>730</v>
      </c>
      <c r="IM26" s="727">
        <v>25.0625</v>
      </c>
      <c r="IN26" s="722">
        <v>0.27500000000000002</v>
      </c>
      <c r="IO26" s="722">
        <v>728</v>
      </c>
      <c r="IP26" s="727">
        <v>27.5625</v>
      </c>
      <c r="IQ26" s="722">
        <v>0.27500000000000002</v>
      </c>
      <c r="IR26" s="721">
        <v>722</v>
      </c>
      <c r="IS26" s="721">
        <v>27.21875</v>
      </c>
      <c r="IT26" s="721">
        <v>0.27500000000000002</v>
      </c>
      <c r="IU26" s="721">
        <v>722.4</v>
      </c>
      <c r="IV26" s="721">
        <v>27.40625</v>
      </c>
      <c r="IW26" s="721">
        <v>0.27500000000000002</v>
      </c>
      <c r="IX26" s="721">
        <v>722.4</v>
      </c>
      <c r="IY26" s="721">
        <v>32.031500000000001</v>
      </c>
      <c r="IZ26" s="721">
        <v>0.27500000000000002</v>
      </c>
      <c r="JA26" s="721">
        <v>720.2</v>
      </c>
      <c r="JB26" s="721">
        <v>33.094000000000001</v>
      </c>
      <c r="JC26" s="721">
        <v>0.27500000000000002</v>
      </c>
      <c r="JD26" s="721">
        <v>720.2</v>
      </c>
      <c r="JE26" s="721">
        <v>29.625</v>
      </c>
      <c r="JF26" s="721">
        <v>0.27500000000000002</v>
      </c>
      <c r="JG26" s="721">
        <v>719.8</v>
      </c>
      <c r="JH26" s="721">
        <v>29.78125</v>
      </c>
      <c r="JI26" s="721">
        <v>0.27500000000000002</v>
      </c>
      <c r="JJ26" s="721">
        <v>719.8</v>
      </c>
      <c r="JK26" s="721">
        <v>27.6875</v>
      </c>
      <c r="JL26" s="721">
        <v>0.27500000000000002</v>
      </c>
      <c r="JM26" s="721">
        <v>403.18</v>
      </c>
      <c r="JN26" s="721">
        <v>24.71875</v>
      </c>
      <c r="JO26" s="721">
        <v>0.27500000000000002</v>
      </c>
      <c r="JP26" s="721">
        <v>403.18</v>
      </c>
      <c r="JQ26" s="721">
        <v>23.969000000000001</v>
      </c>
      <c r="JR26" s="721">
        <v>0.26500000000000001</v>
      </c>
      <c r="JS26" s="721">
        <v>405.82600000000002</v>
      </c>
      <c r="JT26" s="721">
        <v>22.0625</v>
      </c>
      <c r="JU26" s="721">
        <v>0.26500000000000001</v>
      </c>
      <c r="JV26" s="721">
        <v>405.82600000000002</v>
      </c>
      <c r="JW26" s="721">
        <v>23.125</v>
      </c>
      <c r="JX26" s="721">
        <v>0.26500000000000001</v>
      </c>
      <c r="JY26" s="721">
        <v>409.71800000000002</v>
      </c>
      <c r="JZ26" s="721">
        <v>23.3125</v>
      </c>
      <c r="KA26" s="721">
        <v>0.26500000000000001</v>
      </c>
      <c r="KB26" s="721">
        <v>409.71800000000002</v>
      </c>
      <c r="KC26" s="721">
        <v>25.625</v>
      </c>
      <c r="KD26" s="721">
        <v>0.255</v>
      </c>
      <c r="KE26" s="721">
        <v>409.71800000000002</v>
      </c>
      <c r="KF26" s="721">
        <v>25.25</v>
      </c>
      <c r="KG26" s="721">
        <v>0.255</v>
      </c>
      <c r="KH26" s="721">
        <v>409.71800000000002</v>
      </c>
      <c r="KI26" s="721">
        <v>23.6875</v>
      </c>
      <c r="KJ26" s="721">
        <v>0.255</v>
      </c>
      <c r="KK26" s="721">
        <v>409.71800000000002</v>
      </c>
      <c r="KL26" s="721">
        <v>21.6875</v>
      </c>
      <c r="KM26" s="721">
        <v>0.255</v>
      </c>
      <c r="KN26" s="721">
        <v>409.71800000000002</v>
      </c>
      <c r="KO26" s="721">
        <v>20.75</v>
      </c>
      <c r="KP26" s="721">
        <v>0.245</v>
      </c>
      <c r="KQ26" s="721">
        <v>409.71800000000002</v>
      </c>
      <c r="KR26" s="721">
        <v>19.125</v>
      </c>
      <c r="KS26" s="721">
        <v>0.245</v>
      </c>
      <c r="KT26" s="721">
        <v>409.71800000000002</v>
      </c>
      <c r="KU26" s="721">
        <v>19.0625</v>
      </c>
      <c r="KV26" s="721">
        <v>0.245</v>
      </c>
      <c r="KW26" s="721">
        <v>409.71800000000002</v>
      </c>
      <c r="KX26" s="721">
        <v>19.5</v>
      </c>
      <c r="KY26" s="721">
        <v>0.245</v>
      </c>
      <c r="KZ26" s="721">
        <v>409.71800000000002</v>
      </c>
      <c r="LA26" s="721">
        <v>17.875</v>
      </c>
      <c r="LB26" s="721">
        <v>0.23499999999999999</v>
      </c>
      <c r="LC26" s="721">
        <v>409.71800000000002</v>
      </c>
      <c r="LD26" s="721">
        <v>18.0625</v>
      </c>
      <c r="LE26" s="721">
        <v>0.23499999999999999</v>
      </c>
      <c r="LF26" s="721">
        <v>409.71800000000002</v>
      </c>
      <c r="LG26" s="721">
        <v>21.1875</v>
      </c>
      <c r="LH26" s="721">
        <v>0.23499999999999999</v>
      </c>
      <c r="LI26" s="721">
        <v>409.71800000000002</v>
      </c>
      <c r="LJ26" s="721">
        <v>21.6875</v>
      </c>
      <c r="LK26" s="721">
        <v>0.23499999999999999</v>
      </c>
      <c r="LL26" s="721">
        <v>409.71800000000002</v>
      </c>
      <c r="LM26" s="721">
        <v>19.9375</v>
      </c>
      <c r="LN26" s="721">
        <v>0.22500000000000001</v>
      </c>
      <c r="LO26" s="721">
        <v>409.71800000000002</v>
      </c>
      <c r="LP26" s="721">
        <v>19.625</v>
      </c>
      <c r="LQ26" s="721">
        <v>0.22500000000000001</v>
      </c>
      <c r="LR26" s="721">
        <v>409.71800000000002</v>
      </c>
      <c r="LS26" s="721">
        <v>18.065000000000001</v>
      </c>
      <c r="LT26" s="721">
        <v>0.22500000000000001</v>
      </c>
      <c r="LU26" s="721">
        <v>409.61200000000002</v>
      </c>
      <c r="LV26" s="721">
        <v>18</v>
      </c>
      <c r="LW26" s="721">
        <v>0.22500000000000001</v>
      </c>
      <c r="LX26" s="721">
        <v>409.55799999999999</v>
      </c>
      <c r="LY26" s="721">
        <v>17.125</v>
      </c>
      <c r="LZ26" s="721">
        <v>0.215</v>
      </c>
      <c r="MA26" s="721">
        <v>409.404</v>
      </c>
      <c r="MB26" s="721">
        <v>16</v>
      </c>
      <c r="MC26" s="721">
        <v>0.215</v>
      </c>
      <c r="MD26" s="721">
        <v>406.86200000000002</v>
      </c>
      <c r="ME26" s="721">
        <v>17.5</v>
      </c>
      <c r="MF26" s="721">
        <v>0.215</v>
      </c>
      <c r="MG26" s="721">
        <v>406.08</v>
      </c>
      <c r="MH26" s="721">
        <v>16.190000000000001</v>
      </c>
      <c r="MI26" s="721">
        <v>0.215</v>
      </c>
      <c r="MJ26" s="721">
        <v>405.392</v>
      </c>
      <c r="MK26" s="721">
        <v>13.815</v>
      </c>
      <c r="ML26" s="721">
        <v>0.20499999999999999</v>
      </c>
      <c r="MM26" s="721">
        <v>405.17200000000003</v>
      </c>
      <c r="MN26" s="721">
        <v>14.375</v>
      </c>
      <c r="MO26" s="721">
        <v>0.20499999999999999</v>
      </c>
      <c r="MP26" s="721">
        <v>405.14</v>
      </c>
      <c r="MQ26" s="721">
        <v>15.315</v>
      </c>
    </row>
    <row r="27" spans="1:355">
      <c r="B27" s="723" t="s">
        <v>257</v>
      </c>
      <c r="C27" s="886"/>
      <c r="D27" s="886"/>
      <c r="E27" s="886"/>
      <c r="F27" s="788"/>
      <c r="G27" s="788"/>
      <c r="H27" s="788"/>
      <c r="I27" s="788"/>
      <c r="J27" s="788"/>
      <c r="K27" s="788"/>
      <c r="L27" s="828"/>
      <c r="M27" s="829"/>
      <c r="N27" s="828"/>
      <c r="O27" s="828"/>
      <c r="P27" s="828"/>
      <c r="Q27" s="828"/>
      <c r="R27" s="828"/>
      <c r="S27" s="828"/>
      <c r="T27" s="828"/>
      <c r="U27" s="788"/>
      <c r="V27" s="827"/>
      <c r="W27" s="788"/>
      <c r="X27" s="832"/>
      <c r="Y27" s="788"/>
      <c r="Z27" s="788"/>
      <c r="AA27" s="788"/>
      <c r="AB27" s="788"/>
      <c r="AC27" s="788"/>
      <c r="AJ27" s="788"/>
      <c r="AK27" s="788"/>
      <c r="AL27" s="788"/>
      <c r="AM27" s="828"/>
      <c r="AN27" s="828"/>
      <c r="AO27" s="828"/>
      <c r="AP27" s="788"/>
      <c r="AQ27" s="788"/>
      <c r="AR27" s="788"/>
      <c r="AV27" s="723"/>
      <c r="AW27" s="723"/>
      <c r="AX27" s="723"/>
      <c r="AY27" s="723"/>
      <c r="AZ27" s="723"/>
      <c r="BA27" s="723"/>
      <c r="BB27" s="723"/>
      <c r="BC27" s="723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3"/>
      <c r="BO27" s="723"/>
      <c r="BP27" s="723"/>
      <c r="BQ27" s="723"/>
      <c r="BR27" s="723"/>
      <c r="BS27" s="723"/>
      <c r="BT27" s="723"/>
      <c r="BU27" s="723"/>
      <c r="BV27" s="723"/>
      <c r="BW27" s="728"/>
      <c r="BX27" s="728"/>
      <c r="BY27" s="728"/>
      <c r="BZ27" s="723"/>
      <c r="CA27" s="723"/>
      <c r="CB27" s="723"/>
      <c r="CC27" s="723"/>
      <c r="CD27" s="723"/>
      <c r="CE27" s="723"/>
      <c r="CF27" s="723"/>
      <c r="CG27" s="723"/>
      <c r="CH27" s="723"/>
      <c r="CI27" s="723"/>
      <c r="CJ27" s="723"/>
      <c r="CK27" s="723"/>
      <c r="CL27" s="723"/>
      <c r="CM27" s="723"/>
      <c r="CN27" s="723"/>
      <c r="CO27" s="723"/>
      <c r="CP27" s="723"/>
      <c r="CQ27" s="723"/>
      <c r="CR27" s="723"/>
      <c r="CS27" s="723"/>
      <c r="CT27" s="723"/>
      <c r="CU27" s="723"/>
      <c r="CV27" s="723"/>
      <c r="CW27" s="723"/>
      <c r="CX27" s="722"/>
      <c r="CY27" s="723"/>
      <c r="CZ27" s="723"/>
      <c r="DA27" s="723"/>
      <c r="DB27" s="723"/>
      <c r="DC27" s="735"/>
      <c r="DD27" s="723"/>
      <c r="DE27" s="723"/>
      <c r="DF27" s="723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5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2"/>
      <c r="EU27" s="722"/>
      <c r="EV27" s="722"/>
      <c r="EW27" s="723"/>
      <c r="EX27" s="723"/>
      <c r="EY27" s="723"/>
      <c r="EZ27" s="723"/>
      <c r="FA27" s="723"/>
      <c r="FB27" s="723"/>
      <c r="FC27" s="723"/>
      <c r="FD27" s="741"/>
      <c r="FE27" s="723"/>
      <c r="FF27" s="727"/>
      <c r="FG27" s="727"/>
      <c r="FH27" s="727"/>
      <c r="FI27" s="727"/>
      <c r="FJ27" s="727"/>
      <c r="FK27" s="727"/>
      <c r="FL27" s="727"/>
      <c r="FM27" s="727"/>
      <c r="FN27" s="727"/>
      <c r="FO27" s="727"/>
      <c r="FP27" s="727"/>
      <c r="FQ27" s="727"/>
      <c r="FR27" s="727"/>
      <c r="FS27" s="742"/>
      <c r="FT27" s="626"/>
      <c r="FU27" s="727"/>
      <c r="FV27" s="727"/>
      <c r="FW27" s="727"/>
      <c r="FX27" s="727"/>
      <c r="FY27" s="727"/>
      <c r="FZ27" s="727"/>
      <c r="GA27" s="727"/>
      <c r="GB27" s="727"/>
      <c r="GC27" s="727"/>
      <c r="GD27" s="750"/>
      <c r="GE27" s="741"/>
      <c r="GF27" s="751"/>
      <c r="GG27" s="750"/>
      <c r="GH27" s="727"/>
      <c r="GI27" s="727"/>
      <c r="GJ27" s="727"/>
      <c r="GK27" s="727"/>
      <c r="GL27" s="727"/>
      <c r="GM27" s="727"/>
      <c r="GN27" s="727"/>
      <c r="GO27" s="727"/>
      <c r="GP27" s="727"/>
      <c r="GQ27" s="727"/>
      <c r="GR27" s="727"/>
      <c r="GS27" s="727"/>
      <c r="GT27" s="727"/>
      <c r="GU27" s="752"/>
      <c r="GV27" s="727"/>
      <c r="GW27" s="727"/>
      <c r="GX27" s="727"/>
      <c r="GY27" s="727"/>
      <c r="GZ27" s="727"/>
      <c r="HA27" s="727"/>
      <c r="HB27" s="727"/>
      <c r="HC27" s="727"/>
      <c r="HD27" s="727"/>
      <c r="HE27" s="727"/>
      <c r="HF27" s="727"/>
      <c r="HG27" s="727"/>
      <c r="HH27" s="727"/>
      <c r="HI27" s="727"/>
      <c r="HJ27" s="727"/>
      <c r="HK27" s="727"/>
      <c r="HL27" s="727"/>
      <c r="HM27" s="727"/>
      <c r="HN27" s="727"/>
      <c r="HO27" s="752"/>
      <c r="HP27" s="752"/>
      <c r="HQ27" s="727"/>
      <c r="HR27" s="727"/>
      <c r="HS27" s="727"/>
      <c r="HT27" s="727"/>
      <c r="HU27" s="727"/>
      <c r="HV27" s="727"/>
      <c r="HW27" s="727"/>
      <c r="HX27" s="727"/>
      <c r="HY27" s="727"/>
      <c r="HZ27" s="727"/>
      <c r="IA27" s="727"/>
      <c r="IB27" s="727"/>
      <c r="IC27" s="727"/>
      <c r="ID27" s="727"/>
      <c r="IE27" s="727"/>
      <c r="IF27" s="727"/>
      <c r="IG27" s="727"/>
      <c r="IH27" s="727"/>
      <c r="II27" s="727"/>
      <c r="IJ27" s="722"/>
      <c r="IK27" s="722"/>
      <c r="IL27" s="722"/>
      <c r="IM27" s="727"/>
      <c r="IN27" s="722"/>
      <c r="IO27" s="722"/>
      <c r="IP27" s="727"/>
      <c r="IQ27" s="722"/>
      <c r="IR27" s="721"/>
      <c r="IS27" s="721"/>
      <c r="IT27" s="721"/>
      <c r="IU27" s="721"/>
      <c r="IV27" s="721"/>
      <c r="IW27" s="721"/>
      <c r="IX27" s="721"/>
      <c r="IY27" s="721"/>
      <c r="IZ27" s="721"/>
      <c r="JA27" s="721"/>
      <c r="JB27" s="721"/>
      <c r="JC27" s="721"/>
      <c r="JD27" s="721"/>
      <c r="JE27" s="721"/>
      <c r="JF27" s="721"/>
      <c r="JG27" s="721">
        <v>1.59</v>
      </c>
      <c r="JH27" s="721">
        <v>40.375</v>
      </c>
      <c r="JI27" s="721">
        <v>0.28000000000000003</v>
      </c>
      <c r="JJ27" s="721">
        <v>1.593</v>
      </c>
      <c r="JK27" s="721">
        <v>40.5</v>
      </c>
      <c r="JL27" s="721">
        <v>0.28000000000000003</v>
      </c>
      <c r="JM27" s="721">
        <v>1.3</v>
      </c>
      <c r="JN27" s="721">
        <v>39.5</v>
      </c>
      <c r="JO27" s="721">
        <v>0.28000000000000003</v>
      </c>
      <c r="JP27" s="721">
        <v>1.3</v>
      </c>
      <c r="JQ27" s="721">
        <v>38.5</v>
      </c>
      <c r="JR27" s="721">
        <v>0.28000000000000003</v>
      </c>
      <c r="JS27" s="721">
        <v>1.3</v>
      </c>
      <c r="JT27" s="721">
        <v>39.5</v>
      </c>
      <c r="JU27" s="721">
        <v>0.28000000000000003</v>
      </c>
      <c r="JV27" s="721">
        <v>1.3</v>
      </c>
      <c r="JW27" s="721">
        <v>25.75</v>
      </c>
      <c r="JX27" s="721">
        <v>0.27</v>
      </c>
      <c r="JY27" s="721">
        <v>1.3</v>
      </c>
      <c r="JZ27" s="721">
        <v>24</v>
      </c>
      <c r="KA27" s="721">
        <v>0.27</v>
      </c>
      <c r="KB27" s="721">
        <v>1.3</v>
      </c>
      <c r="KC27" s="721">
        <v>25.5</v>
      </c>
      <c r="KD27" s="721">
        <v>0.27</v>
      </c>
      <c r="KE27" s="721">
        <v>1.3</v>
      </c>
      <c r="KF27" s="721">
        <v>26.25</v>
      </c>
      <c r="KG27" s="721">
        <v>0.26</v>
      </c>
      <c r="KH27" s="721">
        <v>1.3</v>
      </c>
      <c r="KI27" s="721">
        <v>23</v>
      </c>
      <c r="KJ27" s="721">
        <v>0.26</v>
      </c>
      <c r="KK27" s="721">
        <v>1.3</v>
      </c>
      <c r="KL27" s="721">
        <v>21.5</v>
      </c>
      <c r="KM27" s="721">
        <v>0.26</v>
      </c>
      <c r="KN27" s="721">
        <v>1.3</v>
      </c>
      <c r="KO27" s="721">
        <v>22.5</v>
      </c>
      <c r="KP27" s="721">
        <v>0.26</v>
      </c>
      <c r="KQ27" s="721">
        <v>1.3</v>
      </c>
      <c r="KR27" s="721">
        <v>22.5</v>
      </c>
      <c r="KS27" s="721">
        <v>0.25</v>
      </c>
      <c r="KT27" s="721">
        <v>1.3</v>
      </c>
      <c r="KU27" s="721">
        <v>24</v>
      </c>
      <c r="KV27" s="721">
        <v>0.25</v>
      </c>
      <c r="KW27" s="721">
        <v>1.3</v>
      </c>
      <c r="KX27" s="721">
        <v>22.25</v>
      </c>
      <c r="KY27" s="721">
        <v>0.25</v>
      </c>
      <c r="KZ27" s="721">
        <v>1.3</v>
      </c>
      <c r="LA27" s="721">
        <v>24.25</v>
      </c>
      <c r="LB27" s="721">
        <v>0.25</v>
      </c>
      <c r="LC27" s="721">
        <v>1.3</v>
      </c>
      <c r="LD27" s="721">
        <v>23.5</v>
      </c>
      <c r="LE27" s="721">
        <v>0.25</v>
      </c>
      <c r="LF27" s="721">
        <v>1.3</v>
      </c>
      <c r="LG27" s="721">
        <v>22.5</v>
      </c>
      <c r="LH27" s="721">
        <v>0.25</v>
      </c>
      <c r="LI27" s="721">
        <v>1.3</v>
      </c>
      <c r="LJ27" s="721">
        <v>22</v>
      </c>
      <c r="LK27" s="721">
        <v>0.25</v>
      </c>
      <c r="LL27" s="721">
        <v>1.29</v>
      </c>
      <c r="LM27" s="721">
        <v>20.5</v>
      </c>
      <c r="LN27" s="721">
        <v>0.25</v>
      </c>
      <c r="LO27" s="721">
        <v>1.2825</v>
      </c>
      <c r="LP27" s="721">
        <v>21.3333333333333</v>
      </c>
      <c r="LQ27" s="721">
        <v>0.24</v>
      </c>
      <c r="LR27" s="721">
        <v>1.26</v>
      </c>
      <c r="LS27" s="721">
        <v>20.67</v>
      </c>
      <c r="LT27" s="721">
        <v>0.24</v>
      </c>
      <c r="LU27" s="721">
        <v>1.26</v>
      </c>
      <c r="LV27" s="721">
        <v>20</v>
      </c>
      <c r="LW27" s="721">
        <v>0.24</v>
      </c>
      <c r="LX27" s="721">
        <v>1.26</v>
      </c>
      <c r="LY27" s="721">
        <v>20.58</v>
      </c>
      <c r="LZ27" s="721">
        <v>0.23</v>
      </c>
      <c r="MA27" s="721">
        <v>1.26</v>
      </c>
      <c r="MB27" s="721">
        <v>19.329999999999998</v>
      </c>
      <c r="MC27" s="721">
        <v>0.24</v>
      </c>
      <c r="MD27" s="721">
        <v>1.212</v>
      </c>
      <c r="ME27" s="721">
        <v>17</v>
      </c>
      <c r="MF27" s="721">
        <v>0.24</v>
      </c>
      <c r="MG27" s="721">
        <v>1.2110000000000001</v>
      </c>
      <c r="MH27" s="721">
        <v>16.829999999999998</v>
      </c>
      <c r="MI27" s="721">
        <v>0.24</v>
      </c>
      <c r="MJ27" s="721">
        <v>1.2050000000000001</v>
      </c>
      <c r="MK27" s="721">
        <v>16.5</v>
      </c>
      <c r="ML27" s="721">
        <v>0.23</v>
      </c>
      <c r="MM27" s="721">
        <v>1.167</v>
      </c>
      <c r="MN27" s="721">
        <v>16</v>
      </c>
      <c r="MO27" s="721">
        <v>0.24</v>
      </c>
      <c r="MP27" s="721">
        <v>1.1479999999999999</v>
      </c>
      <c r="MQ27" s="721">
        <v>15.5</v>
      </c>
    </row>
    <row r="28" spans="1:355">
      <c r="B28" s="723" t="s">
        <v>258</v>
      </c>
      <c r="C28" s="886"/>
      <c r="D28" s="886"/>
      <c r="E28" s="886"/>
      <c r="F28" s="788"/>
      <c r="G28" s="788"/>
      <c r="H28" s="788"/>
      <c r="I28" s="788"/>
      <c r="J28" s="788"/>
      <c r="K28" s="788"/>
      <c r="L28" s="828"/>
      <c r="M28" s="829"/>
      <c r="N28" s="828"/>
      <c r="O28" s="828"/>
      <c r="P28" s="828"/>
      <c r="Q28" s="828"/>
      <c r="R28" s="828"/>
      <c r="S28" s="828"/>
      <c r="T28" s="828"/>
      <c r="U28" s="788"/>
      <c r="V28" s="827"/>
      <c r="W28" s="788"/>
      <c r="X28" s="832"/>
      <c r="Y28" s="788"/>
      <c r="Z28" s="788"/>
      <c r="AA28" s="788"/>
      <c r="AB28" s="788"/>
      <c r="AC28" s="788"/>
      <c r="AJ28" s="788"/>
      <c r="AK28" s="788"/>
      <c r="AL28" s="788"/>
      <c r="AM28" s="828"/>
      <c r="AN28" s="828"/>
      <c r="AO28" s="828"/>
      <c r="AP28" s="788"/>
      <c r="AQ28" s="788"/>
      <c r="AR28" s="788"/>
      <c r="AV28" s="723"/>
      <c r="AW28" s="723"/>
      <c r="AX28" s="723"/>
      <c r="AY28" s="723"/>
      <c r="AZ28" s="723"/>
      <c r="BA28" s="723"/>
      <c r="BB28" s="723"/>
      <c r="BC28" s="723"/>
      <c r="BD28" s="723"/>
      <c r="BE28" s="723"/>
      <c r="BF28" s="723"/>
      <c r="BG28" s="723"/>
      <c r="BH28" s="723"/>
      <c r="BI28" s="723"/>
      <c r="BJ28" s="723"/>
      <c r="BK28" s="723"/>
      <c r="BL28" s="723"/>
      <c r="BM28" s="723"/>
      <c r="BN28" s="723"/>
      <c r="BO28" s="723"/>
      <c r="BP28" s="723"/>
      <c r="BQ28" s="723"/>
      <c r="BR28" s="723"/>
      <c r="BS28" s="723"/>
      <c r="BT28" s="723"/>
      <c r="BU28" s="723"/>
      <c r="BV28" s="723"/>
      <c r="BW28" s="728"/>
      <c r="BX28" s="728"/>
      <c r="BY28" s="728"/>
      <c r="BZ28" s="723"/>
      <c r="CA28" s="723"/>
      <c r="CB28" s="723"/>
      <c r="CC28" s="723"/>
      <c r="CD28" s="723"/>
      <c r="CE28" s="723"/>
      <c r="CF28" s="723"/>
      <c r="CG28" s="723"/>
      <c r="CH28" s="723"/>
      <c r="CI28" s="723"/>
      <c r="CJ28" s="723"/>
      <c r="CK28" s="723"/>
      <c r="CL28" s="723"/>
      <c r="CM28" s="723"/>
      <c r="CN28" s="723"/>
      <c r="CO28" s="723"/>
      <c r="CP28" s="723"/>
      <c r="CQ28" s="723"/>
      <c r="CR28" s="723"/>
      <c r="CS28" s="723"/>
      <c r="CT28" s="723"/>
      <c r="CU28" s="723"/>
      <c r="CV28" s="723"/>
      <c r="CW28" s="723"/>
      <c r="CX28" s="722"/>
      <c r="CY28" s="723"/>
      <c r="CZ28" s="723"/>
      <c r="DA28" s="723"/>
      <c r="DB28" s="723"/>
      <c r="DC28" s="735"/>
      <c r="DD28" s="723"/>
      <c r="DE28" s="723"/>
      <c r="DF28" s="723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5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2"/>
      <c r="EU28" s="722"/>
      <c r="EV28" s="722"/>
      <c r="EW28" s="723"/>
      <c r="EX28" s="723"/>
      <c r="EY28" s="723"/>
      <c r="EZ28" s="723"/>
      <c r="FA28" s="723"/>
      <c r="FB28" s="723"/>
      <c r="FC28" s="723"/>
      <c r="FD28" s="741"/>
      <c r="FE28" s="723"/>
      <c r="FF28" s="727"/>
      <c r="FG28" s="727"/>
      <c r="FH28" s="727"/>
      <c r="FI28" s="727"/>
      <c r="FJ28" s="727"/>
      <c r="FK28" s="727"/>
      <c r="FL28" s="727"/>
      <c r="FM28" s="727"/>
      <c r="FN28" s="727"/>
      <c r="FO28" s="727"/>
      <c r="FP28" s="727"/>
      <c r="FQ28" s="727"/>
      <c r="FR28" s="727"/>
      <c r="FS28" s="742"/>
      <c r="FT28" s="626"/>
      <c r="FU28" s="727"/>
      <c r="FV28" s="727"/>
      <c r="FW28" s="727"/>
      <c r="FX28" s="727"/>
      <c r="FY28" s="727"/>
      <c r="FZ28" s="727"/>
      <c r="GA28" s="727"/>
      <c r="GB28" s="727"/>
      <c r="GC28" s="727"/>
      <c r="GD28" s="750"/>
      <c r="GE28" s="741"/>
      <c r="GF28" s="751"/>
      <c r="GG28" s="750"/>
      <c r="GH28" s="727"/>
      <c r="GI28" s="727"/>
      <c r="GJ28" s="727"/>
      <c r="GK28" s="727"/>
      <c r="GL28" s="727"/>
      <c r="GM28" s="727"/>
      <c r="GN28" s="727"/>
      <c r="GO28" s="727"/>
      <c r="GP28" s="727"/>
      <c r="GQ28" s="727"/>
      <c r="GR28" s="727"/>
      <c r="GS28" s="727"/>
      <c r="GT28" s="727"/>
      <c r="GU28" s="752"/>
      <c r="GV28" s="727"/>
      <c r="GW28" s="727"/>
      <c r="GX28" s="727"/>
      <c r="GY28" s="727"/>
      <c r="GZ28" s="727"/>
      <c r="HA28" s="727"/>
      <c r="HB28" s="727"/>
      <c r="HC28" s="727"/>
      <c r="HD28" s="727"/>
      <c r="HE28" s="727"/>
      <c r="HF28" s="727"/>
      <c r="HG28" s="727"/>
      <c r="HH28" s="727"/>
      <c r="HI28" s="727"/>
      <c r="HJ28" s="727"/>
      <c r="HK28" s="727"/>
      <c r="HL28" s="727"/>
      <c r="HM28" s="727"/>
      <c r="HN28" s="727"/>
      <c r="HO28" s="752"/>
      <c r="HP28" s="752"/>
      <c r="HQ28" s="727"/>
      <c r="HR28" s="727"/>
      <c r="HS28" s="727"/>
      <c r="HT28" s="727"/>
      <c r="HU28" s="727"/>
      <c r="HV28" s="727"/>
      <c r="HW28" s="727"/>
      <c r="HX28" s="727"/>
      <c r="HY28" s="727"/>
      <c r="HZ28" s="727"/>
      <c r="IA28" s="727"/>
      <c r="IB28" s="727"/>
      <c r="IC28" s="727"/>
      <c r="ID28" s="727"/>
      <c r="IE28" s="727"/>
      <c r="IF28" s="727"/>
      <c r="IG28" s="727"/>
      <c r="IH28" s="727"/>
      <c r="II28" s="727">
        <v>20.435997</v>
      </c>
      <c r="IJ28" s="722">
        <v>31.375</v>
      </c>
      <c r="IK28" s="722">
        <v>0.41499999999999998</v>
      </c>
      <c r="IL28" s="722">
        <v>20.435997</v>
      </c>
      <c r="IM28" s="727">
        <v>30.3125</v>
      </c>
      <c r="IN28" s="722">
        <v>0.41499999999999998</v>
      </c>
      <c r="IO28" s="722">
        <v>20.435997</v>
      </c>
      <c r="IP28" s="727">
        <v>29.875</v>
      </c>
      <c r="IQ28" s="722">
        <v>0.41499999999999998</v>
      </c>
      <c r="IR28" s="721">
        <v>20.440000000000001</v>
      </c>
      <c r="IS28" s="721">
        <v>29.125</v>
      </c>
      <c r="IT28" s="721">
        <v>0.41499999999999998</v>
      </c>
      <c r="IU28" s="721">
        <v>20.440000000000001</v>
      </c>
      <c r="IV28" s="721">
        <v>28.3125</v>
      </c>
      <c r="IW28" s="721">
        <v>0.41499999999999998</v>
      </c>
      <c r="IX28" s="721">
        <v>20.440000000000001</v>
      </c>
      <c r="IY28" s="721">
        <v>28.25</v>
      </c>
      <c r="IZ28" s="721">
        <v>0.41499999999999998</v>
      </c>
      <c r="JA28" s="721">
        <v>20.440000000000001</v>
      </c>
      <c r="JB28" s="721">
        <v>26.125</v>
      </c>
      <c r="JC28" s="721">
        <v>0.41499999999999998</v>
      </c>
      <c r="JD28" s="721">
        <v>20.440000000000001</v>
      </c>
      <c r="JE28" s="721">
        <v>26.25</v>
      </c>
      <c r="JF28" s="721">
        <v>0.41499999999999998</v>
      </c>
      <c r="JG28" s="721">
        <v>20.440000000000001</v>
      </c>
      <c r="JH28" s="721">
        <v>27.25</v>
      </c>
      <c r="JI28" s="721">
        <v>0.41499999999999998</v>
      </c>
      <c r="JJ28" s="721">
        <v>20.436</v>
      </c>
      <c r="JK28" s="721">
        <v>26.25</v>
      </c>
      <c r="JL28" s="721">
        <v>0.41499999999999998</v>
      </c>
      <c r="JM28" s="721">
        <v>20.436</v>
      </c>
      <c r="JN28" s="721">
        <v>19.9375</v>
      </c>
      <c r="JO28" s="721">
        <v>0.41499999999999998</v>
      </c>
      <c r="JP28" s="721">
        <v>20.436</v>
      </c>
      <c r="JQ28" s="721">
        <v>18.25</v>
      </c>
      <c r="JR28" s="721">
        <v>0.41499999999999998</v>
      </c>
      <c r="JS28" s="721">
        <v>20.337</v>
      </c>
      <c r="JT28" s="721">
        <v>18</v>
      </c>
      <c r="JU28" s="721">
        <v>0.41499999999999998</v>
      </c>
      <c r="JV28" s="721">
        <v>20.337</v>
      </c>
      <c r="JW28" s="721">
        <v>17.375</v>
      </c>
      <c r="JX28" s="721">
        <v>0.41499999999999998</v>
      </c>
      <c r="JY28" s="721">
        <v>20.337</v>
      </c>
      <c r="JZ28" s="721">
        <v>16.75</v>
      </c>
      <c r="KA28" s="721">
        <v>0.41499999999999998</v>
      </c>
      <c r="KB28" s="721">
        <v>20.337</v>
      </c>
      <c r="KC28" s="721">
        <v>19.5</v>
      </c>
      <c r="KD28" s="721">
        <v>0.41499999999999998</v>
      </c>
      <c r="KE28" s="721">
        <v>20.337</v>
      </c>
      <c r="KF28" s="721">
        <v>21.5</v>
      </c>
      <c r="KG28" s="721">
        <v>0.4</v>
      </c>
      <c r="KH28" s="721">
        <v>20.337</v>
      </c>
      <c r="KI28" s="721">
        <v>23.625</v>
      </c>
      <c r="KJ28" s="721">
        <v>0.4</v>
      </c>
      <c r="KK28" s="721">
        <v>19.603000000000002</v>
      </c>
      <c r="KL28" s="721">
        <v>24.125</v>
      </c>
      <c r="KM28" s="721">
        <v>0.4</v>
      </c>
      <c r="KN28" s="721">
        <v>19.603000000000002</v>
      </c>
      <c r="KO28" s="721">
        <v>22.625</v>
      </c>
      <c r="KP28" s="721">
        <v>0.38500000000000001</v>
      </c>
      <c r="KQ28" s="721">
        <v>19.603000000000002</v>
      </c>
      <c r="KR28" s="721">
        <v>23.875</v>
      </c>
      <c r="KS28" s="721">
        <v>0.38500000000000001</v>
      </c>
      <c r="KT28" s="721">
        <v>19.603000000000002</v>
      </c>
      <c r="KU28" s="721">
        <v>22</v>
      </c>
      <c r="KV28" s="721">
        <v>0.38500000000000001</v>
      </c>
      <c r="KW28" s="721">
        <v>19.603000000000002</v>
      </c>
      <c r="KX28" s="721">
        <v>22.375</v>
      </c>
      <c r="KY28" s="721">
        <v>0.38500000000000001</v>
      </c>
      <c r="KZ28" s="721">
        <v>19.521000000000001</v>
      </c>
      <c r="LA28" s="721">
        <v>23.125</v>
      </c>
      <c r="LB28" s="721">
        <v>0.36</v>
      </c>
      <c r="LC28" s="721">
        <v>18.783999999999999</v>
      </c>
      <c r="LD28" s="721">
        <v>24.625</v>
      </c>
      <c r="LE28" s="721">
        <v>0.36</v>
      </c>
      <c r="LF28" s="721">
        <v>18.783999999999999</v>
      </c>
      <c r="LG28" s="721">
        <v>28</v>
      </c>
      <c r="LH28" s="721">
        <v>0.36</v>
      </c>
      <c r="LI28" s="721">
        <v>18.783999999999999</v>
      </c>
      <c r="LJ28" s="721">
        <v>29.875</v>
      </c>
      <c r="LK28" s="721">
        <v>0.36</v>
      </c>
      <c r="LL28" s="721">
        <v>18.584</v>
      </c>
      <c r="LM28" s="721">
        <v>28.25</v>
      </c>
      <c r="LN28" s="721">
        <v>0.36</v>
      </c>
      <c r="LO28" s="721">
        <v>17.283999999999999</v>
      </c>
      <c r="LP28" s="721">
        <v>27.875</v>
      </c>
      <c r="LQ28" s="721">
        <v>0.34</v>
      </c>
      <c r="LR28" s="721">
        <v>16.989000000000001</v>
      </c>
      <c r="LS28" s="721">
        <v>24.75</v>
      </c>
      <c r="LT28" s="721">
        <v>0.34</v>
      </c>
      <c r="LU28" s="721">
        <v>16.989000000000001</v>
      </c>
      <c r="LV28" s="721">
        <v>22.88</v>
      </c>
      <c r="LW28" s="721">
        <v>0.34</v>
      </c>
      <c r="LX28" s="721">
        <v>16.937999999999999</v>
      </c>
      <c r="LY28" s="721">
        <v>23.13</v>
      </c>
      <c r="LZ28" s="721">
        <v>0.34</v>
      </c>
      <c r="MA28" s="721">
        <v>16.882000000000001</v>
      </c>
      <c r="MB28" s="721">
        <v>21.38</v>
      </c>
      <c r="MC28" s="721">
        <v>0.34</v>
      </c>
      <c r="MD28" s="721">
        <v>16.608000000000001</v>
      </c>
      <c r="ME28" s="721">
        <v>20.63</v>
      </c>
      <c r="MF28" s="721">
        <v>0.34</v>
      </c>
      <c r="MG28" s="721">
        <v>16.552</v>
      </c>
      <c r="MH28" s="721">
        <v>21</v>
      </c>
      <c r="MI28" s="721">
        <v>0.34</v>
      </c>
      <c r="MJ28" s="721">
        <v>16.498999999999999</v>
      </c>
      <c r="MK28" s="721">
        <v>19.5</v>
      </c>
      <c r="ML28" s="721">
        <v>0.12</v>
      </c>
      <c r="MM28" s="721">
        <v>16.442</v>
      </c>
      <c r="MN28" s="721">
        <v>19.38</v>
      </c>
      <c r="MO28" s="721">
        <v>0.65</v>
      </c>
      <c r="MP28" s="721">
        <v>15.917</v>
      </c>
      <c r="MQ28" s="721">
        <v>23.88</v>
      </c>
    </row>
    <row r="29" spans="1:355">
      <c r="A29" s="633" t="s">
        <v>46</v>
      </c>
      <c r="B29" s="728" t="s">
        <v>128</v>
      </c>
      <c r="C29" s="885">
        <v>40.605597000000003</v>
      </c>
      <c r="D29" s="885">
        <v>67.959999999999994</v>
      </c>
      <c r="E29" s="885">
        <v>0.38500000000000001</v>
      </c>
      <c r="F29" s="828">
        <v>40.616531999999999</v>
      </c>
      <c r="G29" s="828">
        <v>67.89</v>
      </c>
      <c r="H29" s="828">
        <v>0.38500000000000001</v>
      </c>
      <c r="I29" s="828">
        <v>40.602342999999998</v>
      </c>
      <c r="J29" s="828">
        <v>67.08</v>
      </c>
      <c r="K29" s="828">
        <v>0.38500000000000001</v>
      </c>
      <c r="L29" s="828">
        <v>40.582935999999997</v>
      </c>
      <c r="M29" s="829">
        <v>65.400000000000006</v>
      </c>
      <c r="N29" s="839">
        <v>0.38500000000000001</v>
      </c>
      <c r="O29" s="828">
        <v>40.521363999999998</v>
      </c>
      <c r="P29" s="828">
        <v>58.82</v>
      </c>
      <c r="Q29" s="828">
        <v>0.36</v>
      </c>
      <c r="R29" s="828">
        <v>40.535488999999998</v>
      </c>
      <c r="S29" s="828">
        <v>50.13</v>
      </c>
      <c r="T29" s="828">
        <v>0.36</v>
      </c>
      <c r="U29" s="828">
        <v>40.517713000000001</v>
      </c>
      <c r="V29" s="829">
        <v>57.2</v>
      </c>
      <c r="W29" s="828">
        <v>0.36</v>
      </c>
      <c r="X29" s="832">
        <v>40.491194</v>
      </c>
      <c r="Y29" s="788">
        <v>59.1</v>
      </c>
      <c r="Z29" s="801">
        <v>0.36</v>
      </c>
      <c r="AA29" s="788">
        <v>40.433999999999997</v>
      </c>
      <c r="AB29" s="788">
        <v>51</v>
      </c>
      <c r="AC29" s="788">
        <v>0.33500000000000002</v>
      </c>
      <c r="AD29" s="788">
        <v>40.427588999999998</v>
      </c>
      <c r="AE29" s="788">
        <v>55.35</v>
      </c>
      <c r="AF29" s="788">
        <v>0.33500000000000002</v>
      </c>
      <c r="AG29" s="788">
        <v>40.409030000000001</v>
      </c>
      <c r="AH29" s="788">
        <v>55.25</v>
      </c>
      <c r="AI29" s="788">
        <v>0.33500000000000002</v>
      </c>
      <c r="AJ29" s="788">
        <v>40.387234999999997</v>
      </c>
      <c r="AK29" s="788">
        <v>51.7</v>
      </c>
      <c r="AL29" s="801">
        <v>0.33500000000000002</v>
      </c>
      <c r="AM29" s="828">
        <v>40.350687999999998</v>
      </c>
      <c r="AN29" s="828">
        <v>50.5</v>
      </c>
      <c r="AO29" s="828">
        <v>0.31</v>
      </c>
      <c r="AP29" s="788">
        <v>40.363818999999999</v>
      </c>
      <c r="AQ29" s="788">
        <v>46.5</v>
      </c>
      <c r="AR29" s="788">
        <v>0.31</v>
      </c>
      <c r="AS29" s="723">
        <v>40.345149999999997</v>
      </c>
      <c r="AT29" s="723">
        <v>46.77</v>
      </c>
      <c r="AU29" s="723">
        <v>0.31</v>
      </c>
      <c r="AV29" s="723">
        <v>40.325324000000002</v>
      </c>
      <c r="AW29" s="723">
        <v>47.27</v>
      </c>
      <c r="AX29" s="753">
        <v>0.31</v>
      </c>
      <c r="AY29" s="723">
        <v>40.274985999999998</v>
      </c>
      <c r="AZ29" s="723">
        <v>45.88</v>
      </c>
      <c r="BA29" s="723">
        <v>0.29499999999999998</v>
      </c>
      <c r="BB29" s="723">
        <v>40.289009999999998</v>
      </c>
      <c r="BC29" s="723">
        <v>38.5</v>
      </c>
      <c r="BD29" s="723">
        <v>0.29499999999999998</v>
      </c>
      <c r="BE29" s="723">
        <v>40.269885000000002</v>
      </c>
      <c r="BF29" s="723">
        <v>36.82</v>
      </c>
      <c r="BG29" s="723">
        <v>0.29499999999999998</v>
      </c>
      <c r="BH29" s="723">
        <v>40.243198999999997</v>
      </c>
      <c r="BI29" s="723">
        <v>34.659999999999997</v>
      </c>
      <c r="BJ29" s="757">
        <v>0.29499999999999998</v>
      </c>
      <c r="BK29" s="728">
        <v>40.22</v>
      </c>
      <c r="BL29" s="728">
        <v>38.64</v>
      </c>
      <c r="BM29" s="728">
        <v>0.28000000000000003</v>
      </c>
      <c r="BN29" s="723">
        <v>40.213740999999999</v>
      </c>
      <c r="BO29" s="723">
        <v>40.06</v>
      </c>
      <c r="BP29" s="723">
        <v>0.28000000000000003</v>
      </c>
      <c r="BQ29" s="723">
        <v>40.180568999999998</v>
      </c>
      <c r="BR29" s="723">
        <v>36.549999999999997</v>
      </c>
      <c r="BS29" s="723">
        <v>0.28000000000000003</v>
      </c>
      <c r="BT29" s="723">
        <v>40.149082999999997</v>
      </c>
      <c r="BU29" s="723">
        <v>40.21</v>
      </c>
      <c r="BV29" s="757">
        <v>0.28000000000000003</v>
      </c>
      <c r="BW29" s="728">
        <v>40.114593999999997</v>
      </c>
      <c r="BX29" s="728">
        <v>35.729999999999997</v>
      </c>
      <c r="BY29" s="728">
        <v>0.26500000000000001</v>
      </c>
      <c r="BZ29" s="723">
        <v>40.132249999999999</v>
      </c>
      <c r="CA29" s="723">
        <v>35.11</v>
      </c>
      <c r="CB29" s="723">
        <v>0.26500000000000001</v>
      </c>
      <c r="CC29" s="723">
        <v>40.111756999999997</v>
      </c>
      <c r="CD29" s="723">
        <v>33.4</v>
      </c>
      <c r="CE29" s="723">
        <v>0.26500000000000001</v>
      </c>
      <c r="CF29" s="723">
        <v>40.078060999999998</v>
      </c>
      <c r="CG29" s="723">
        <v>35.31</v>
      </c>
      <c r="CH29" s="723">
        <v>0.26500000000000001</v>
      </c>
      <c r="CI29" s="728">
        <v>39.974021999999998</v>
      </c>
      <c r="CJ29" s="728">
        <v>33.65</v>
      </c>
      <c r="CK29" s="728">
        <v>0.25</v>
      </c>
      <c r="CL29" s="723">
        <v>40.009866000000002</v>
      </c>
      <c r="CM29" s="723">
        <v>31.91</v>
      </c>
      <c r="CN29" s="723">
        <v>0.25</v>
      </c>
      <c r="CO29" s="723">
        <v>39.958148999999999</v>
      </c>
      <c r="CP29" s="723">
        <v>34.25</v>
      </c>
      <c r="CQ29" s="723">
        <v>0.25</v>
      </c>
      <c r="CR29" s="723">
        <v>39.911031999999999</v>
      </c>
      <c r="CS29" s="723">
        <v>33.159999999999997</v>
      </c>
      <c r="CT29" s="757">
        <v>0.25</v>
      </c>
      <c r="CU29" s="728">
        <v>41.349882999999998</v>
      </c>
      <c r="CV29" s="728">
        <v>32.49</v>
      </c>
      <c r="CW29" s="728">
        <v>0.22</v>
      </c>
      <c r="CX29" s="722">
        <v>41.307631999999998</v>
      </c>
      <c r="CY29" s="723">
        <v>34.64</v>
      </c>
      <c r="CZ29" s="723">
        <v>0.22</v>
      </c>
      <c r="DA29" s="723">
        <v>41.853552000000001</v>
      </c>
      <c r="DB29" s="723">
        <v>32.090000000000003</v>
      </c>
      <c r="DC29" s="722">
        <v>0.22</v>
      </c>
      <c r="DD29" s="723">
        <v>42.308096999999997</v>
      </c>
      <c r="DE29" s="723">
        <v>32.299999999999997</v>
      </c>
      <c r="DF29" s="723">
        <v>0.22</v>
      </c>
      <c r="DG29" s="723">
        <v>42.414999999999999</v>
      </c>
      <c r="DH29" s="723">
        <v>30.41</v>
      </c>
      <c r="DI29" s="753">
        <v>0.22</v>
      </c>
      <c r="DJ29" s="723">
        <v>42.921044000000002</v>
      </c>
      <c r="DK29" s="723">
        <v>27.53</v>
      </c>
      <c r="DL29" s="723">
        <v>0</v>
      </c>
      <c r="DM29" s="723">
        <v>43.460458000000003</v>
      </c>
      <c r="DN29" s="723">
        <v>23.78</v>
      </c>
      <c r="DO29" s="723">
        <v>0</v>
      </c>
      <c r="DP29" s="723">
        <v>43.738947000000003</v>
      </c>
      <c r="DQ29" s="723">
        <v>19.350000000000001</v>
      </c>
      <c r="DR29" s="723">
        <v>0</v>
      </c>
      <c r="DS29" s="723">
        <v>43.976999999999997</v>
      </c>
      <c r="DT29" s="725">
        <v>20.6</v>
      </c>
      <c r="DU29" s="723">
        <v>0</v>
      </c>
      <c r="DV29" s="723">
        <v>44.588256999999999</v>
      </c>
      <c r="DW29" s="723">
        <v>20.28</v>
      </c>
      <c r="DX29" s="723">
        <v>0</v>
      </c>
      <c r="DY29" s="723">
        <v>44.782749000000003</v>
      </c>
      <c r="DZ29" s="723">
        <v>17.670000000000002</v>
      </c>
      <c r="EA29" s="723">
        <v>0</v>
      </c>
      <c r="EB29" s="723">
        <v>44.904299999999999</v>
      </c>
      <c r="EC29" s="723">
        <v>13.96</v>
      </c>
      <c r="ED29" s="723">
        <v>0</v>
      </c>
      <c r="EE29" s="723">
        <v>44.74</v>
      </c>
      <c r="EF29" s="723">
        <v>14.09</v>
      </c>
      <c r="EG29" s="723">
        <v>0</v>
      </c>
      <c r="EH29" s="723">
        <v>44.726098999999998</v>
      </c>
      <c r="EI29" s="723">
        <v>18.09</v>
      </c>
      <c r="EJ29" s="723">
        <v>0</v>
      </c>
      <c r="EK29" s="723">
        <v>44.686103000000003</v>
      </c>
      <c r="EL29" s="723">
        <v>21</v>
      </c>
      <c r="EM29" s="723">
        <v>0</v>
      </c>
      <c r="EN29" s="723">
        <v>44.960948999999999</v>
      </c>
      <c r="EO29" s="723">
        <v>19.8</v>
      </c>
      <c r="EP29" s="723">
        <v>0</v>
      </c>
      <c r="EQ29" s="723">
        <v>45.563858000000003</v>
      </c>
      <c r="ER29" s="723">
        <v>21.37</v>
      </c>
      <c r="ES29" s="723">
        <v>0</v>
      </c>
      <c r="ET29" s="722">
        <v>45.618130000000001</v>
      </c>
      <c r="EU29" s="722">
        <v>25.57</v>
      </c>
      <c r="EV29" s="722">
        <v>0</v>
      </c>
      <c r="EW29" s="723">
        <v>45.698</v>
      </c>
      <c r="EX29" s="723">
        <v>23.13</v>
      </c>
      <c r="EY29" s="723">
        <v>0</v>
      </c>
      <c r="EZ29" s="723">
        <v>45.936574</v>
      </c>
      <c r="FA29" s="723">
        <v>24.56</v>
      </c>
      <c r="FB29" s="723">
        <v>0</v>
      </c>
      <c r="FC29" s="723">
        <v>47.663890000000002</v>
      </c>
      <c r="FD29" s="741">
        <v>26.35</v>
      </c>
      <c r="FE29" s="723">
        <v>0</v>
      </c>
      <c r="FF29" s="727">
        <v>47.843730000000001</v>
      </c>
      <c r="FG29" s="727">
        <v>24.37</v>
      </c>
      <c r="FH29" s="727">
        <v>0</v>
      </c>
      <c r="FI29" s="727">
        <v>48.283607000000003</v>
      </c>
      <c r="FJ29" s="727">
        <v>22.34</v>
      </c>
      <c r="FK29" s="727">
        <v>0</v>
      </c>
      <c r="FL29" s="727">
        <v>48.131542000000003</v>
      </c>
      <c r="FM29" s="727">
        <v>20.16</v>
      </c>
      <c r="FN29" s="727">
        <v>0</v>
      </c>
      <c r="FO29" s="727">
        <v>47.905000000000001</v>
      </c>
      <c r="FP29" s="727">
        <v>19.04</v>
      </c>
      <c r="FQ29" s="727">
        <v>0</v>
      </c>
      <c r="FR29" s="727">
        <v>47.826500000000003</v>
      </c>
      <c r="FS29" s="742">
        <v>21.04</v>
      </c>
      <c r="FT29" s="626">
        <v>0</v>
      </c>
      <c r="FU29" s="727">
        <v>47.703969000000001</v>
      </c>
      <c r="FV29" s="727">
        <v>20.85</v>
      </c>
      <c r="FW29" s="727">
        <v>0</v>
      </c>
      <c r="FX29" s="727">
        <v>47.405270000000002</v>
      </c>
      <c r="FY29" s="727">
        <v>20.45</v>
      </c>
      <c r="FZ29" s="727">
        <v>0</v>
      </c>
      <c r="GA29" s="727">
        <v>47.456758999999998</v>
      </c>
      <c r="GB29" s="727">
        <v>19</v>
      </c>
      <c r="GC29" s="727">
        <v>0</v>
      </c>
      <c r="GD29" s="750">
        <v>47.456758999999998</v>
      </c>
      <c r="GE29" s="741">
        <v>18.940000000000001</v>
      </c>
      <c r="GF29" s="751">
        <v>0</v>
      </c>
      <c r="GG29" s="750">
        <v>47.500256999999998</v>
      </c>
      <c r="GH29" s="727">
        <v>16.07</v>
      </c>
      <c r="GI29" s="727">
        <v>0</v>
      </c>
      <c r="GJ29" s="727">
        <v>47.451300000000003</v>
      </c>
      <c r="GK29" s="727">
        <v>15.44</v>
      </c>
      <c r="GL29" s="727">
        <v>0</v>
      </c>
      <c r="GM29" s="727">
        <v>48.034945</v>
      </c>
      <c r="GN29" s="727">
        <v>13.84</v>
      </c>
      <c r="GO29" s="727">
        <v>0</v>
      </c>
      <c r="GP29" s="727">
        <v>48.034945</v>
      </c>
      <c r="GQ29" s="727">
        <v>13.35</v>
      </c>
      <c r="GR29" s="727">
        <v>0</v>
      </c>
      <c r="GS29" s="727">
        <v>48.659154999999998</v>
      </c>
      <c r="GT29" s="727">
        <v>11.55</v>
      </c>
      <c r="GU29" s="727">
        <v>0</v>
      </c>
      <c r="GV29" s="727">
        <v>49.620275999999997</v>
      </c>
      <c r="GW29" s="727">
        <v>12.33</v>
      </c>
      <c r="GX29" s="727">
        <v>0</v>
      </c>
      <c r="GY29" s="727">
        <v>49.607796999999998</v>
      </c>
      <c r="GZ29" s="727">
        <v>10.8</v>
      </c>
      <c r="HA29" s="727">
        <v>0</v>
      </c>
      <c r="HB29" s="727">
        <v>49.758859000000001</v>
      </c>
      <c r="HC29" s="727">
        <v>11</v>
      </c>
      <c r="HD29" s="727">
        <v>0</v>
      </c>
      <c r="HE29" s="727">
        <v>50.092213000000001</v>
      </c>
      <c r="HF29" s="727">
        <v>11.88</v>
      </c>
      <c r="HG29" s="727">
        <v>0</v>
      </c>
      <c r="HH29" s="727">
        <v>49.996059000000002</v>
      </c>
      <c r="HI29" s="727">
        <v>13.85</v>
      </c>
      <c r="HJ29" s="727">
        <v>0</v>
      </c>
      <c r="HK29" s="727">
        <v>50.004241</v>
      </c>
      <c r="HL29" s="727">
        <v>15.65</v>
      </c>
      <c r="HM29" s="727">
        <v>0</v>
      </c>
      <c r="HN29" s="727">
        <v>50.94</v>
      </c>
      <c r="HO29" s="727">
        <v>14.5</v>
      </c>
      <c r="HP29" s="727">
        <v>0</v>
      </c>
      <c r="HQ29" s="727">
        <v>51.334000000000003</v>
      </c>
      <c r="HR29" s="727">
        <v>13.15</v>
      </c>
      <c r="HS29" s="727">
        <v>0</v>
      </c>
      <c r="HT29" s="727">
        <v>51.015982000000001</v>
      </c>
      <c r="HU29" s="727">
        <v>15.99</v>
      </c>
      <c r="HV29" s="727">
        <v>0</v>
      </c>
      <c r="HW29" s="727">
        <v>52.673672000000003</v>
      </c>
      <c r="HX29" s="727">
        <v>14.6</v>
      </c>
      <c r="HY29" s="727">
        <v>0</v>
      </c>
      <c r="HZ29" s="727">
        <v>55.345543999999997</v>
      </c>
      <c r="IA29" s="727">
        <v>13.2</v>
      </c>
      <c r="IB29" s="727">
        <v>0</v>
      </c>
      <c r="IC29" s="727">
        <v>55.172803999999999</v>
      </c>
      <c r="ID29" s="727">
        <v>13.77</v>
      </c>
      <c r="IE29" s="727">
        <v>0</v>
      </c>
      <c r="IF29" s="727">
        <v>55.812309999999997</v>
      </c>
      <c r="IG29" s="727">
        <v>11.1875</v>
      </c>
      <c r="IH29" s="727">
        <v>0</v>
      </c>
      <c r="II29" s="727">
        <v>59.349468000000002</v>
      </c>
      <c r="IJ29" s="722">
        <v>10.375</v>
      </c>
      <c r="IK29" s="722">
        <v>0</v>
      </c>
      <c r="IL29" s="722">
        <v>59.232142000000003</v>
      </c>
      <c r="IM29" s="727">
        <v>9.8125</v>
      </c>
      <c r="IN29" s="722">
        <v>0</v>
      </c>
      <c r="IO29" s="722">
        <v>60.206105000000001</v>
      </c>
      <c r="IP29" s="727">
        <v>9</v>
      </c>
      <c r="IQ29" s="722">
        <v>0</v>
      </c>
      <c r="IR29" s="721">
        <v>60.17</v>
      </c>
      <c r="IS29" s="721">
        <v>8.9375</v>
      </c>
      <c r="IT29" s="721">
        <v>0</v>
      </c>
      <c r="IU29" s="721">
        <v>60.65</v>
      </c>
      <c r="IV29" s="721">
        <v>7.625</v>
      </c>
      <c r="IW29" s="721">
        <v>0</v>
      </c>
      <c r="IX29" s="721">
        <v>60.65</v>
      </c>
      <c r="IY29" s="721">
        <v>8.75</v>
      </c>
      <c r="IZ29" s="721">
        <v>0</v>
      </c>
      <c r="JA29" s="721">
        <v>60.44</v>
      </c>
      <c r="JB29" s="721">
        <v>9.6880000000000006</v>
      </c>
      <c r="JC29" s="721">
        <v>0</v>
      </c>
      <c r="JD29" s="721">
        <v>60.44</v>
      </c>
      <c r="JE29" s="721">
        <v>9.1880000000000006</v>
      </c>
      <c r="JF29" s="721">
        <v>0</v>
      </c>
      <c r="JG29" s="721">
        <v>60.46</v>
      </c>
      <c r="JH29" s="721">
        <v>8.5625</v>
      </c>
      <c r="JI29" s="721">
        <v>0</v>
      </c>
      <c r="JJ29" s="721">
        <v>60.459000000000003</v>
      </c>
      <c r="JK29" s="721">
        <v>7.3125</v>
      </c>
      <c r="JL29" s="721">
        <v>0</v>
      </c>
      <c r="JM29" s="721">
        <v>60.561</v>
      </c>
      <c r="JN29" s="721">
        <v>6</v>
      </c>
      <c r="JO29" s="721">
        <v>0</v>
      </c>
      <c r="JP29" s="721">
        <v>60.561</v>
      </c>
      <c r="JQ29" s="721">
        <v>7.0629999999999997</v>
      </c>
      <c r="JR29" s="721">
        <v>0</v>
      </c>
      <c r="JS29" s="721">
        <v>60</v>
      </c>
      <c r="JT29" s="721">
        <v>6</v>
      </c>
      <c r="JU29" s="721">
        <v>0</v>
      </c>
      <c r="JV29" s="721">
        <v>60</v>
      </c>
      <c r="JW29" s="721">
        <v>6.5</v>
      </c>
      <c r="JX29" s="721">
        <v>0</v>
      </c>
      <c r="JY29" s="721">
        <v>60</v>
      </c>
      <c r="JZ29" s="721">
        <v>5.4249999999999998</v>
      </c>
      <c r="KA29" s="721">
        <v>0</v>
      </c>
      <c r="KB29" s="721">
        <v>60</v>
      </c>
      <c r="KC29" s="721">
        <v>6</v>
      </c>
      <c r="KD29" s="721">
        <v>0</v>
      </c>
      <c r="KE29" s="721">
        <v>60</v>
      </c>
      <c r="KF29" s="721">
        <v>5.625</v>
      </c>
      <c r="KG29" s="721">
        <v>0</v>
      </c>
      <c r="KH29" s="721">
        <v>1.7771999999999999</v>
      </c>
      <c r="KI29" s="721">
        <v>10</v>
      </c>
      <c r="KJ29" s="721">
        <v>0</v>
      </c>
      <c r="KK29" s="721">
        <v>1.7771999999999999</v>
      </c>
      <c r="KL29" s="721">
        <v>20</v>
      </c>
      <c r="KM29" s="721">
        <v>0</v>
      </c>
      <c r="KN29" s="721">
        <v>1.7771999999999999</v>
      </c>
      <c r="KO29" s="721">
        <v>20</v>
      </c>
      <c r="KP29" s="721">
        <v>0</v>
      </c>
      <c r="KQ29" s="721">
        <v>1.7771999999999999</v>
      </c>
      <c r="KR29" s="721">
        <v>20</v>
      </c>
      <c r="KS29" s="721">
        <v>0</v>
      </c>
      <c r="KT29" s="721">
        <v>1.7771999999999999</v>
      </c>
      <c r="KU29" s="721">
        <v>16.25</v>
      </c>
      <c r="KV29" s="721">
        <v>0</v>
      </c>
      <c r="KW29" s="721">
        <v>1.7771999999999999</v>
      </c>
      <c r="KX29" s="721">
        <v>24.25</v>
      </c>
      <c r="KY29" s="721">
        <v>0</v>
      </c>
      <c r="KZ29" s="721">
        <v>1.7771999999999999</v>
      </c>
      <c r="LA29" s="721">
        <v>40</v>
      </c>
      <c r="LB29" s="721">
        <v>0</v>
      </c>
      <c r="LC29" s="721">
        <v>1.7771999999999999</v>
      </c>
      <c r="LD29" s="721">
        <v>52.5</v>
      </c>
      <c r="LE29" s="721">
        <v>0</v>
      </c>
      <c r="LF29" s="721">
        <v>1.7771999999999999</v>
      </c>
      <c r="LG29" s="721">
        <v>52.5</v>
      </c>
      <c r="LH29" s="721">
        <v>0</v>
      </c>
      <c r="LI29" s="721">
        <v>1.7771999999999999</v>
      </c>
      <c r="LJ29" s="721">
        <v>53.74</v>
      </c>
      <c r="LK29" s="721">
        <v>0</v>
      </c>
      <c r="LL29" s="721">
        <v>1.7767500000000001</v>
      </c>
      <c r="LM29" s="721">
        <v>62.5</v>
      </c>
      <c r="LN29" s="721">
        <v>0</v>
      </c>
      <c r="LO29" s="721">
        <v>1.7767500000000001</v>
      </c>
      <c r="LP29" s="721">
        <v>48.74</v>
      </c>
      <c r="LQ29" s="721">
        <v>0</v>
      </c>
      <c r="LR29" s="721">
        <v>1.776</v>
      </c>
      <c r="LS29" s="721">
        <v>47.5</v>
      </c>
      <c r="LT29" s="721">
        <v>0</v>
      </c>
      <c r="LU29" s="721">
        <v>1.776</v>
      </c>
      <c r="LV29" s="721">
        <v>60</v>
      </c>
      <c r="LW29" s="721">
        <v>0</v>
      </c>
      <c r="LX29" s="721">
        <v>1.776</v>
      </c>
      <c r="LY29" s="721">
        <v>67.5</v>
      </c>
      <c r="LZ29" s="721">
        <v>0</v>
      </c>
      <c r="MA29" s="721">
        <v>1.776</v>
      </c>
      <c r="MB29" s="721">
        <v>77.5</v>
      </c>
      <c r="MC29" s="721">
        <v>0</v>
      </c>
      <c r="MD29" s="721">
        <v>1.776</v>
      </c>
      <c r="ME29" s="721">
        <v>70</v>
      </c>
      <c r="MF29" s="721">
        <v>0</v>
      </c>
      <c r="MG29" s="721">
        <v>1.776</v>
      </c>
      <c r="MH29" s="721">
        <v>100</v>
      </c>
      <c r="MI29" s="721">
        <v>0</v>
      </c>
      <c r="MJ29" s="721">
        <v>1.7749999999999999</v>
      </c>
      <c r="MK29" s="721">
        <v>122.5</v>
      </c>
      <c r="ML29" s="721">
        <v>0</v>
      </c>
      <c r="MM29" s="721">
        <v>1.7749999999999999</v>
      </c>
      <c r="MN29" s="721">
        <v>157.5</v>
      </c>
      <c r="MO29" s="721">
        <v>0</v>
      </c>
      <c r="MP29" s="721">
        <v>1.766</v>
      </c>
      <c r="MQ29" s="721">
        <v>77.5</v>
      </c>
    </row>
    <row r="30" spans="1:355">
      <c r="A30" s="633" t="s">
        <v>51</v>
      </c>
      <c r="B30" s="728" t="s">
        <v>129</v>
      </c>
      <c r="C30" s="886"/>
      <c r="D30" s="886"/>
      <c r="E30" s="886"/>
      <c r="F30" s="788"/>
      <c r="G30" s="788"/>
      <c r="H30" s="788"/>
      <c r="I30" s="788"/>
      <c r="J30" s="788"/>
      <c r="K30" s="788"/>
      <c r="L30" s="828"/>
      <c r="M30" s="829"/>
      <c r="N30" s="828"/>
      <c r="O30" s="828"/>
      <c r="P30" s="828"/>
      <c r="Q30" s="828"/>
      <c r="R30" s="828"/>
      <c r="S30" s="828"/>
      <c r="T30" s="828"/>
      <c r="U30" s="788"/>
      <c r="V30" s="827"/>
      <c r="W30" s="788"/>
      <c r="X30" s="832"/>
      <c r="Y30" s="788"/>
      <c r="Z30" s="788"/>
      <c r="AA30" s="788"/>
      <c r="AB30" s="788"/>
      <c r="AC30" s="788"/>
      <c r="AJ30" s="788"/>
      <c r="AK30" s="788"/>
      <c r="AL30" s="788"/>
      <c r="AM30" s="828"/>
      <c r="AN30" s="828"/>
      <c r="AO30" s="828"/>
      <c r="AP30" s="788">
        <v>44.048999999999999</v>
      </c>
      <c r="AQ30" s="796">
        <v>34.090000000000003</v>
      </c>
      <c r="AR30" s="796">
        <v>0.26</v>
      </c>
      <c r="AS30" s="723">
        <v>43.953000000000003</v>
      </c>
      <c r="AT30" s="723">
        <v>34.14</v>
      </c>
      <c r="AU30" s="723">
        <v>0.26</v>
      </c>
      <c r="AV30" s="723">
        <v>43.881999999999998</v>
      </c>
      <c r="AW30" s="723">
        <v>33.97</v>
      </c>
      <c r="AX30" s="723">
        <v>0.26</v>
      </c>
      <c r="AY30" s="723">
        <v>43.670907999999997</v>
      </c>
      <c r="AZ30" s="723">
        <v>33.049999999999997</v>
      </c>
      <c r="BA30" s="723">
        <v>0.26</v>
      </c>
      <c r="BB30" s="723">
        <v>43.728000000000002</v>
      </c>
      <c r="BC30" s="723">
        <v>28.07</v>
      </c>
      <c r="BD30" s="723">
        <v>0.26</v>
      </c>
      <c r="BE30" s="723">
        <v>43.627000000000002</v>
      </c>
      <c r="BF30" s="723">
        <v>22.03</v>
      </c>
      <c r="BG30" s="723">
        <v>0.26</v>
      </c>
      <c r="BH30" s="723">
        <v>43.530999999999999</v>
      </c>
      <c r="BI30" s="723">
        <v>21.8</v>
      </c>
      <c r="BJ30" s="723">
        <v>0.26</v>
      </c>
      <c r="BK30" s="728">
        <v>43.447124000000002</v>
      </c>
      <c r="BL30" s="728">
        <v>24.82</v>
      </c>
      <c r="BM30" s="728">
        <v>0.26</v>
      </c>
      <c r="BN30" s="723">
        <v>43.366999999999997</v>
      </c>
      <c r="BO30" s="723">
        <v>29.74</v>
      </c>
      <c r="BP30" s="757">
        <v>0.26</v>
      </c>
      <c r="BQ30" s="723">
        <v>43.235999999999997</v>
      </c>
      <c r="BR30" s="723">
        <v>24.15</v>
      </c>
      <c r="BS30" s="723">
        <v>0.255</v>
      </c>
      <c r="BT30" s="723">
        <v>43.110999999999997</v>
      </c>
      <c r="BU30" s="723">
        <v>25.68</v>
      </c>
      <c r="BV30" s="723">
        <v>0.255</v>
      </c>
      <c r="BW30" s="728">
        <v>42.781382000000001</v>
      </c>
      <c r="BX30" s="728">
        <v>24.32</v>
      </c>
      <c r="BY30" s="728">
        <v>0.255</v>
      </c>
      <c r="BZ30" s="723">
        <v>42.869</v>
      </c>
      <c r="CA30" s="723">
        <v>22.69</v>
      </c>
      <c r="CB30" s="757">
        <v>0.255</v>
      </c>
      <c r="CC30" s="723">
        <v>42.707000000000001</v>
      </c>
      <c r="CD30" s="723">
        <v>21.66</v>
      </c>
      <c r="CE30" s="723">
        <v>0.25</v>
      </c>
      <c r="CF30" s="723">
        <v>42.564</v>
      </c>
      <c r="CG30" s="723">
        <v>22.31</v>
      </c>
      <c r="CH30" s="723">
        <v>0.25</v>
      </c>
      <c r="CI30" s="728">
        <v>42.256641000000002</v>
      </c>
      <c r="CJ30" s="728">
        <v>22.4</v>
      </c>
      <c r="CK30" s="728">
        <v>0.25</v>
      </c>
      <c r="CL30" s="723">
        <v>42.344999999999999</v>
      </c>
      <c r="CM30" s="723">
        <v>20.38</v>
      </c>
      <c r="CN30" s="723">
        <v>0.25</v>
      </c>
      <c r="CO30" s="723">
        <v>42.197000000000003</v>
      </c>
      <c r="CP30" s="723">
        <v>21.55</v>
      </c>
      <c r="CQ30" s="723">
        <v>0.25</v>
      </c>
      <c r="CR30" s="723">
        <v>42.046999999999997</v>
      </c>
      <c r="CS30" s="723">
        <v>21.1</v>
      </c>
      <c r="CT30" s="723">
        <v>0.25</v>
      </c>
      <c r="CU30" s="728">
        <v>41.851759000000001</v>
      </c>
      <c r="CV30" s="728">
        <v>20.350000000000001</v>
      </c>
      <c r="CW30" s="759">
        <v>0.25</v>
      </c>
      <c r="CX30" s="722">
        <v>41.951000000000001</v>
      </c>
      <c r="CY30" s="723">
        <v>21.1</v>
      </c>
      <c r="CZ30" s="723">
        <v>0</v>
      </c>
      <c r="DA30" s="723">
        <v>41.811</v>
      </c>
      <c r="DB30" s="723">
        <v>19.38</v>
      </c>
      <c r="DC30" s="722">
        <v>0</v>
      </c>
      <c r="DD30" s="723">
        <v>41.664999999999999</v>
      </c>
      <c r="DE30" s="723">
        <v>19.260000000000002</v>
      </c>
      <c r="DF30" s="723">
        <v>0</v>
      </c>
      <c r="DG30" s="723">
        <v>41.519207999999999</v>
      </c>
      <c r="DH30" s="723">
        <v>21.79</v>
      </c>
      <c r="DI30" s="723">
        <v>0.32</v>
      </c>
      <c r="DJ30" s="723">
        <v>41.404000000000003</v>
      </c>
      <c r="DK30" s="723">
        <v>22.2</v>
      </c>
      <c r="DL30" s="723">
        <v>0.32</v>
      </c>
      <c r="DM30" s="723">
        <v>40.622999999999998</v>
      </c>
      <c r="DN30" s="723">
        <v>20.149999999999999</v>
      </c>
      <c r="DO30" s="723">
        <v>0.32</v>
      </c>
      <c r="DP30" s="723">
        <v>38.601391</v>
      </c>
      <c r="DQ30" s="723">
        <v>18.77</v>
      </c>
      <c r="DR30" s="723">
        <v>0.32</v>
      </c>
      <c r="DS30" s="723">
        <v>36.569330999999998</v>
      </c>
      <c r="DT30" s="725">
        <v>18.02</v>
      </c>
      <c r="DU30" s="723">
        <v>0.32</v>
      </c>
      <c r="DV30" s="723">
        <v>34.840000000000003</v>
      </c>
      <c r="DW30" s="723">
        <v>18.73</v>
      </c>
      <c r="DX30" s="723">
        <v>0.32</v>
      </c>
      <c r="DY30" s="723">
        <v>34.194000000000003</v>
      </c>
      <c r="DZ30" s="723">
        <v>18.09</v>
      </c>
      <c r="EA30" s="723">
        <v>0.32</v>
      </c>
      <c r="EB30" s="723">
        <v>34.064</v>
      </c>
      <c r="EC30" s="723">
        <v>16.52</v>
      </c>
      <c r="ED30" s="723">
        <v>0.32</v>
      </c>
      <c r="EE30" s="723">
        <v>33.950000000000003</v>
      </c>
      <c r="EF30" s="723">
        <v>14.44</v>
      </c>
      <c r="EG30" s="723">
        <v>0.32</v>
      </c>
      <c r="EH30" s="723">
        <v>33.895000000000003</v>
      </c>
      <c r="EI30" s="723">
        <v>17.600000000000001</v>
      </c>
      <c r="EJ30" s="723">
        <v>0.32</v>
      </c>
      <c r="EK30" s="723">
        <v>33.774999999999999</v>
      </c>
      <c r="EL30" s="723">
        <v>21.35</v>
      </c>
      <c r="EM30" s="723">
        <v>0.32</v>
      </c>
      <c r="EN30" s="723">
        <v>33.658999999999999</v>
      </c>
      <c r="EO30" s="723">
        <v>18.54</v>
      </c>
      <c r="EP30" s="723">
        <v>0.32</v>
      </c>
      <c r="EQ30" s="723">
        <v>30.586780000000001</v>
      </c>
      <c r="ER30" s="723">
        <v>20.25</v>
      </c>
      <c r="ES30" s="723">
        <v>0.32</v>
      </c>
      <c r="ET30" s="722">
        <v>30.481000000000002</v>
      </c>
      <c r="EU30" s="722">
        <v>22.78</v>
      </c>
      <c r="EV30" s="722">
        <v>0.32</v>
      </c>
      <c r="EW30" s="723">
        <v>30.384</v>
      </c>
      <c r="EX30" s="723">
        <v>22.59</v>
      </c>
      <c r="EY30" s="723">
        <v>0.32</v>
      </c>
      <c r="EZ30" s="723">
        <v>30.928000000000001</v>
      </c>
      <c r="FA30" s="723">
        <v>22.37</v>
      </c>
      <c r="FB30" s="723">
        <v>0.32</v>
      </c>
      <c r="FC30" s="723">
        <v>28.277000000000001</v>
      </c>
      <c r="FD30" s="741">
        <v>24.8</v>
      </c>
      <c r="FE30" s="723">
        <v>0.32</v>
      </c>
      <c r="FF30" s="727">
        <v>30.12</v>
      </c>
      <c r="FG30" s="727">
        <v>24.69</v>
      </c>
      <c r="FH30" s="727">
        <v>0.32</v>
      </c>
      <c r="FI30" s="727">
        <v>26.587</v>
      </c>
      <c r="FJ30" s="727">
        <v>22.38</v>
      </c>
      <c r="FK30" s="727">
        <v>0.32</v>
      </c>
      <c r="FL30" s="727">
        <v>26.132999999999999</v>
      </c>
      <c r="FM30" s="727">
        <v>20.55</v>
      </c>
      <c r="FN30" s="727">
        <v>0.32</v>
      </c>
      <c r="FO30" s="727">
        <v>26.04</v>
      </c>
      <c r="FP30" s="727">
        <v>22.22</v>
      </c>
      <c r="FQ30" s="727">
        <v>0.32</v>
      </c>
      <c r="FR30" s="727">
        <v>25.962147999999999</v>
      </c>
      <c r="FS30" s="742">
        <v>20.329999999999998</v>
      </c>
      <c r="FT30" s="626">
        <f>1.28/4</f>
        <v>0.32</v>
      </c>
      <c r="FU30" s="727">
        <v>25.845970000000001</v>
      </c>
      <c r="FV30" s="727">
        <v>22.87</v>
      </c>
      <c r="FW30" s="727">
        <v>0.32</v>
      </c>
      <c r="FX30" s="727">
        <v>25.741886999999998</v>
      </c>
      <c r="FY30" s="727">
        <v>23.96</v>
      </c>
      <c r="FZ30" s="727">
        <v>0.32</v>
      </c>
      <c r="GA30" s="727">
        <v>25.539225999999999</v>
      </c>
      <c r="GB30" s="727">
        <v>23.26</v>
      </c>
      <c r="GC30" s="727">
        <v>0.32</v>
      </c>
      <c r="GD30" s="750">
        <v>25.539225999999999</v>
      </c>
      <c r="GE30" s="741">
        <v>22.68</v>
      </c>
      <c r="GF30" s="751">
        <v>0.32</v>
      </c>
      <c r="GG30" s="750">
        <v>25.408591999999999</v>
      </c>
      <c r="GH30" s="727">
        <v>20.55</v>
      </c>
      <c r="GI30" s="727">
        <v>0.32</v>
      </c>
      <c r="GJ30" s="727">
        <v>25.283414</v>
      </c>
      <c r="GK30" s="727">
        <v>20.11</v>
      </c>
      <c r="GL30" s="727">
        <v>0.32</v>
      </c>
      <c r="GM30" s="727">
        <v>22.826643000000001</v>
      </c>
      <c r="GN30" s="727">
        <v>22.65</v>
      </c>
      <c r="GO30" s="727">
        <v>0.32</v>
      </c>
      <c r="GP30" s="727">
        <v>22.826643000000001</v>
      </c>
      <c r="GQ30" s="727">
        <v>21.93</v>
      </c>
      <c r="GR30" s="727">
        <v>0.32</v>
      </c>
      <c r="GS30" s="727">
        <v>22.728088</v>
      </c>
      <c r="GT30" s="727">
        <v>22</v>
      </c>
      <c r="GU30" s="727">
        <v>0.32</v>
      </c>
      <c r="GV30" s="727">
        <v>22.607642999999999</v>
      </c>
      <c r="GW30" s="727">
        <v>21.75</v>
      </c>
      <c r="GX30" s="727">
        <v>0.32</v>
      </c>
      <c r="GY30" s="727">
        <v>22.534690000000001</v>
      </c>
      <c r="GZ30" s="727">
        <v>17.600000000000001</v>
      </c>
      <c r="HA30" s="727">
        <v>0.32</v>
      </c>
      <c r="HB30" s="727">
        <v>22.455446999999999</v>
      </c>
      <c r="HC30" s="727">
        <v>18.2</v>
      </c>
      <c r="HD30" s="727">
        <v>0.32</v>
      </c>
      <c r="HE30" s="727">
        <v>20.919087000000001</v>
      </c>
      <c r="HF30" s="727">
        <v>16.899999999999999</v>
      </c>
      <c r="HG30" s="727">
        <v>0.32</v>
      </c>
      <c r="HH30" s="727">
        <v>19.784887000000001</v>
      </c>
      <c r="HI30" s="727">
        <v>20.5</v>
      </c>
      <c r="HJ30" s="727">
        <v>0.32</v>
      </c>
      <c r="HK30" s="727">
        <v>18.181536999999999</v>
      </c>
      <c r="HL30" s="727">
        <v>21.39</v>
      </c>
      <c r="HM30" s="727">
        <v>0.32</v>
      </c>
      <c r="HN30" s="727">
        <v>17.681000000000001</v>
      </c>
      <c r="HO30" s="727">
        <v>21</v>
      </c>
      <c r="HP30" s="727">
        <v>0.32</v>
      </c>
      <c r="HQ30" s="727">
        <v>17.635000000000002</v>
      </c>
      <c r="HR30" s="727">
        <v>20.55</v>
      </c>
      <c r="HS30" s="727">
        <v>0.32</v>
      </c>
      <c r="HT30" s="727">
        <v>17.607704999999999</v>
      </c>
      <c r="HU30" s="727">
        <v>20.69</v>
      </c>
      <c r="HV30" s="727">
        <v>0.32</v>
      </c>
      <c r="HW30" s="727">
        <v>17.595915999999999</v>
      </c>
      <c r="HX30" s="727">
        <v>18.690000000000001</v>
      </c>
      <c r="HY30" s="727">
        <v>0.32</v>
      </c>
      <c r="HZ30" s="727">
        <v>17.555022999999998</v>
      </c>
      <c r="IA30" s="727">
        <v>26.3125</v>
      </c>
      <c r="IB30" s="727">
        <v>0.32</v>
      </c>
      <c r="IC30" s="727">
        <v>17.470289999999999</v>
      </c>
      <c r="ID30" s="727">
        <v>26.25</v>
      </c>
      <c r="IE30" s="727">
        <v>0.32</v>
      </c>
      <c r="IF30" s="727">
        <v>17.237805000000002</v>
      </c>
      <c r="IG30" s="727">
        <v>22.0625</v>
      </c>
      <c r="IH30" s="727">
        <v>0.32</v>
      </c>
      <c r="II30" s="727">
        <v>17.332906999999999</v>
      </c>
      <c r="IJ30" s="722">
        <v>19.625</v>
      </c>
      <c r="IK30" s="722">
        <v>0.32</v>
      </c>
      <c r="IL30" s="722">
        <v>17.282935999999999</v>
      </c>
      <c r="IM30" s="727">
        <v>22.625</v>
      </c>
      <c r="IN30" s="722">
        <v>0.32</v>
      </c>
      <c r="IO30" s="722">
        <v>17.203177</v>
      </c>
      <c r="IP30" s="727">
        <v>25.5625</v>
      </c>
      <c r="IQ30" s="722">
        <v>0.32</v>
      </c>
      <c r="IR30" s="721">
        <v>16.93</v>
      </c>
      <c r="IS30" s="721">
        <v>26.0625</v>
      </c>
      <c r="IT30" s="721">
        <v>0.32</v>
      </c>
      <c r="IU30" s="721">
        <v>16.97</v>
      </c>
      <c r="IV30" s="721">
        <v>22.8125</v>
      </c>
      <c r="IW30" s="721">
        <v>0.32</v>
      </c>
      <c r="IX30" s="721">
        <v>16.97</v>
      </c>
      <c r="IY30" s="721">
        <v>24.75</v>
      </c>
      <c r="IZ30" s="721">
        <v>0.32</v>
      </c>
      <c r="JA30" s="721">
        <v>16.79</v>
      </c>
      <c r="JB30" s="721">
        <v>22.75</v>
      </c>
      <c r="JC30" s="721">
        <v>0.32</v>
      </c>
      <c r="JD30" s="721">
        <v>16.79</v>
      </c>
      <c r="JE30" s="721">
        <v>20.875</v>
      </c>
      <c r="JF30" s="721">
        <v>0.32</v>
      </c>
      <c r="JG30" s="721">
        <v>16.66</v>
      </c>
      <c r="JH30" s="721">
        <v>21.625</v>
      </c>
      <c r="JI30" s="721">
        <v>0.32</v>
      </c>
      <c r="JJ30" s="721">
        <v>16.658999999999999</v>
      </c>
      <c r="JK30" s="721">
        <v>19.625</v>
      </c>
      <c r="JL30" s="721">
        <v>0.32</v>
      </c>
      <c r="JM30" s="721">
        <v>16.457000000000001</v>
      </c>
      <c r="JN30" s="721">
        <v>17.625</v>
      </c>
      <c r="JO30" s="721">
        <v>0.32</v>
      </c>
      <c r="JP30" s="721">
        <v>16.457000000000001</v>
      </c>
      <c r="JQ30" s="721">
        <v>17.312999999999999</v>
      </c>
      <c r="JR30" s="721">
        <v>0.32</v>
      </c>
      <c r="JS30" s="721">
        <v>16.312999999999999</v>
      </c>
      <c r="JT30" s="721">
        <v>17.75</v>
      </c>
      <c r="JU30" s="721">
        <v>0.32</v>
      </c>
      <c r="JV30" s="721">
        <v>16.312999999999999</v>
      </c>
      <c r="JW30" s="721">
        <v>18.75</v>
      </c>
      <c r="JX30" s="721">
        <v>0.32</v>
      </c>
      <c r="JY30" s="721">
        <v>15.082000000000001</v>
      </c>
      <c r="JZ30" s="721">
        <v>18.75</v>
      </c>
      <c r="KA30" s="721">
        <v>0.32</v>
      </c>
      <c r="KB30" s="721">
        <v>15.082000000000001</v>
      </c>
      <c r="KC30" s="721">
        <v>17.25</v>
      </c>
      <c r="KD30" s="721">
        <v>0.32</v>
      </c>
      <c r="KE30" s="721">
        <v>15.082000000000001</v>
      </c>
      <c r="KF30" s="721">
        <v>18.25</v>
      </c>
      <c r="KG30" s="721">
        <v>0.32</v>
      </c>
      <c r="KH30" s="721">
        <v>15.082000000000001</v>
      </c>
      <c r="KI30" s="721">
        <v>17.875</v>
      </c>
      <c r="KJ30" s="721">
        <v>0.32</v>
      </c>
      <c r="KK30" s="721">
        <v>13.646000000000001</v>
      </c>
      <c r="KL30" s="721">
        <v>18.375</v>
      </c>
      <c r="KM30" s="721">
        <v>0.32</v>
      </c>
      <c r="KN30" s="721">
        <v>13.646000000000001</v>
      </c>
      <c r="KO30" s="721">
        <v>17.375</v>
      </c>
      <c r="KP30" s="721">
        <v>0.32</v>
      </c>
      <c r="KQ30" s="721">
        <v>13.646000000000001</v>
      </c>
      <c r="KR30" s="721">
        <v>17.375</v>
      </c>
      <c r="KS30" s="721">
        <v>0.32</v>
      </c>
      <c r="KT30" s="721">
        <v>13.646000000000001</v>
      </c>
      <c r="KU30" s="721">
        <v>16</v>
      </c>
      <c r="KV30" s="721">
        <v>0.32</v>
      </c>
      <c r="KW30" s="721">
        <v>13.646000000000001</v>
      </c>
      <c r="KX30" s="721">
        <v>16.75</v>
      </c>
      <c r="KY30" s="721">
        <v>0.32</v>
      </c>
      <c r="KZ30" s="721">
        <v>13.563000000000001</v>
      </c>
      <c r="LA30" s="721">
        <v>16.375</v>
      </c>
      <c r="LB30" s="721">
        <v>0.32</v>
      </c>
      <c r="LC30" s="721">
        <v>13.461</v>
      </c>
      <c r="LD30" s="721">
        <v>19.5</v>
      </c>
      <c r="LE30" s="721">
        <v>0.32</v>
      </c>
      <c r="LF30" s="721">
        <v>13.461</v>
      </c>
      <c r="LG30" s="721">
        <v>20.75</v>
      </c>
      <c r="LH30" s="721">
        <v>0.32</v>
      </c>
      <c r="LI30" s="721">
        <v>13.461</v>
      </c>
      <c r="LJ30" s="721">
        <v>24</v>
      </c>
      <c r="LK30" s="721">
        <v>0.32</v>
      </c>
      <c r="LL30" s="721">
        <v>13.374000000000001</v>
      </c>
      <c r="LM30" s="721">
        <v>22.875</v>
      </c>
      <c r="LN30" s="721">
        <v>0.32</v>
      </c>
      <c r="LO30" s="721">
        <v>13.302</v>
      </c>
      <c r="LP30" s="721">
        <v>23</v>
      </c>
      <c r="LQ30" s="721">
        <v>0.32</v>
      </c>
      <c r="LR30" s="721">
        <v>13.081</v>
      </c>
      <c r="LS30" s="721">
        <v>21.25</v>
      </c>
      <c r="LT30" s="721">
        <v>0.34</v>
      </c>
      <c r="LU30" s="721">
        <v>13.081</v>
      </c>
      <c r="LV30" s="721">
        <v>23.13</v>
      </c>
      <c r="LW30" s="721">
        <v>0.31</v>
      </c>
      <c r="LX30" s="721">
        <v>13.039</v>
      </c>
      <c r="LY30" s="721">
        <v>23</v>
      </c>
      <c r="LZ30" s="721">
        <v>0.31</v>
      </c>
      <c r="MA30" s="721">
        <v>13.002000000000001</v>
      </c>
      <c r="MB30" s="721">
        <v>20.88</v>
      </c>
      <c r="MC30" s="721">
        <v>0.31</v>
      </c>
      <c r="MD30" s="721">
        <v>12.811999999999999</v>
      </c>
      <c r="ME30" s="721">
        <v>23.88</v>
      </c>
      <c r="MF30" s="721">
        <v>0.31</v>
      </c>
      <c r="MG30" s="721">
        <v>12.772</v>
      </c>
      <c r="MH30" s="721">
        <v>19.059999999999999</v>
      </c>
      <c r="MI30" s="721">
        <v>0.3</v>
      </c>
      <c r="MJ30" s="721">
        <v>12.728</v>
      </c>
      <c r="MK30" s="721">
        <v>17.440000000000001</v>
      </c>
      <c r="ML30" s="721">
        <v>0.3</v>
      </c>
      <c r="MM30" s="721">
        <v>12.688000000000001</v>
      </c>
      <c r="MN30" s="721">
        <v>16.75</v>
      </c>
      <c r="MO30" s="721">
        <v>0.3</v>
      </c>
      <c r="MP30" s="721">
        <v>11.74</v>
      </c>
      <c r="MQ30" s="721">
        <v>15.75</v>
      </c>
    </row>
    <row r="31" spans="1:355">
      <c r="A31" s="633" t="s">
        <v>15</v>
      </c>
      <c r="B31" s="728" t="s">
        <v>130</v>
      </c>
      <c r="C31" s="885">
        <v>195.19585799999999</v>
      </c>
      <c r="D31" s="885">
        <v>93.97</v>
      </c>
      <c r="E31" s="885">
        <v>0.93</v>
      </c>
      <c r="F31" s="828">
        <v>198.93238700000001</v>
      </c>
      <c r="G31" s="828">
        <v>119.8</v>
      </c>
      <c r="H31" s="828">
        <v>0.93</v>
      </c>
      <c r="I31" s="828">
        <v>193.01926900000001</v>
      </c>
      <c r="J31" s="828">
        <v>117.36</v>
      </c>
      <c r="K31" s="828">
        <v>0.91</v>
      </c>
      <c r="L31" s="828">
        <v>189.575187</v>
      </c>
      <c r="M31" s="829">
        <v>102.93</v>
      </c>
      <c r="N31" s="828">
        <v>0.91</v>
      </c>
      <c r="O31" s="828">
        <v>181.40959699999999</v>
      </c>
      <c r="P31" s="828">
        <v>95.63</v>
      </c>
      <c r="Q31" s="828">
        <v>0.91</v>
      </c>
      <c r="R31" s="828">
        <v>181.00230300000001</v>
      </c>
      <c r="S31" s="828">
        <v>86.07</v>
      </c>
      <c r="T31" s="839">
        <v>0.91</v>
      </c>
      <c r="U31" s="828">
        <v>180.82320300000001</v>
      </c>
      <c r="V31" s="829">
        <v>81.13</v>
      </c>
      <c r="W31" s="828">
        <v>0.89</v>
      </c>
      <c r="X31" s="832">
        <v>180.70757499999999</v>
      </c>
      <c r="Y31" s="788">
        <v>80.790000000000006</v>
      </c>
      <c r="Z31" s="788">
        <v>0.89</v>
      </c>
      <c r="AA31" s="788">
        <v>180.303505</v>
      </c>
      <c r="AB31" s="788">
        <v>78.78</v>
      </c>
      <c r="AC31" s="788">
        <v>0.89</v>
      </c>
      <c r="AD31" s="788">
        <v>179.563819</v>
      </c>
      <c r="AE31" s="788">
        <v>81.39</v>
      </c>
      <c r="AF31" s="801">
        <v>0.89</v>
      </c>
      <c r="AG31" s="788">
        <v>179.14534599999999</v>
      </c>
      <c r="AH31" s="788">
        <v>76.36</v>
      </c>
      <c r="AI31" s="788">
        <v>0.87</v>
      </c>
      <c r="AJ31" s="788">
        <v>179.33506299999999</v>
      </c>
      <c r="AK31" s="788">
        <v>76.77</v>
      </c>
      <c r="AL31" s="788">
        <v>0.87</v>
      </c>
      <c r="AM31" s="828">
        <v>178.88566</v>
      </c>
      <c r="AN31" s="828">
        <v>75.959999999999994</v>
      </c>
      <c r="AO31" s="828">
        <v>0.87</v>
      </c>
      <c r="AP31" s="788">
        <v>179.02335099999999</v>
      </c>
      <c r="AQ31" s="788">
        <v>73.47</v>
      </c>
      <c r="AR31" s="795">
        <v>0.87</v>
      </c>
      <c r="AS31" s="723">
        <v>178.08081490000001</v>
      </c>
      <c r="AT31" s="723">
        <v>76.73</v>
      </c>
      <c r="AU31" s="723">
        <v>0.85</v>
      </c>
      <c r="AV31" s="723">
        <v>178.57853600000001</v>
      </c>
      <c r="AW31" s="723">
        <v>81.349999999999994</v>
      </c>
      <c r="AX31" s="723">
        <v>0.85</v>
      </c>
      <c r="AY31" s="723">
        <v>179.176356</v>
      </c>
      <c r="AZ31" s="723">
        <v>79.28</v>
      </c>
      <c r="BA31" s="723">
        <v>0.85</v>
      </c>
      <c r="BB31" s="723">
        <v>179.15183200000001</v>
      </c>
      <c r="BC31" s="723">
        <v>68.36</v>
      </c>
      <c r="BD31" s="723">
        <v>0.85</v>
      </c>
      <c r="BE31" s="723">
        <v>179.521276</v>
      </c>
      <c r="BF31" s="723">
        <v>65.099999999999994</v>
      </c>
      <c r="BG31" s="723">
        <v>0.83</v>
      </c>
      <c r="BH31" s="723">
        <v>179.65898100000001</v>
      </c>
      <c r="BI31" s="723">
        <v>70.5</v>
      </c>
      <c r="BJ31" s="723">
        <v>0.83</v>
      </c>
      <c r="BK31" s="728">
        <v>180.245555</v>
      </c>
      <c r="BL31" s="728">
        <v>77.489999999999995</v>
      </c>
      <c r="BM31" s="728">
        <v>0.83</v>
      </c>
      <c r="BN31" s="723">
        <v>179.61006699999999</v>
      </c>
      <c r="BO31" s="723">
        <v>87.48</v>
      </c>
      <c r="BP31" s="723">
        <v>0.83</v>
      </c>
      <c r="BQ31" s="723">
        <v>179.35410300000001</v>
      </c>
      <c r="BR31" s="723">
        <v>77.33</v>
      </c>
      <c r="BS31" s="723">
        <v>0.83</v>
      </c>
      <c r="BT31" s="723">
        <v>178.79782900000001</v>
      </c>
      <c r="BU31" s="723">
        <v>82.09</v>
      </c>
      <c r="BV31" s="723">
        <v>0.83</v>
      </c>
      <c r="BW31" s="728">
        <v>178.21119200000001</v>
      </c>
      <c r="BX31" s="728">
        <v>66.849999999999994</v>
      </c>
      <c r="BY31" s="728">
        <v>0.83</v>
      </c>
      <c r="BZ31" s="723">
        <v>178.28372100000001</v>
      </c>
      <c r="CA31" s="723">
        <v>63.27</v>
      </c>
      <c r="CB31" s="723">
        <v>0.83</v>
      </c>
      <c r="CC31" s="723">
        <v>178.19652500000001</v>
      </c>
      <c r="CD31" s="723">
        <v>63.19</v>
      </c>
      <c r="CE31" s="723">
        <v>0.83</v>
      </c>
      <c r="CF31" s="723">
        <v>178.027961</v>
      </c>
      <c r="CG31" s="723">
        <v>69.680000000000007</v>
      </c>
      <c r="CH31" s="723">
        <v>0.83</v>
      </c>
      <c r="CI31" s="728">
        <v>177.32481300000001</v>
      </c>
      <c r="CJ31" s="728">
        <v>63.24</v>
      </c>
      <c r="CK31" s="728">
        <v>0.83</v>
      </c>
      <c r="CL31" s="723">
        <v>177.51784599999999</v>
      </c>
      <c r="CM31" s="723">
        <v>63.75</v>
      </c>
      <c r="CN31" s="723">
        <v>0.83</v>
      </c>
      <c r="CO31" s="723">
        <v>177.16651899999999</v>
      </c>
      <c r="CP31" s="723">
        <v>69.3</v>
      </c>
      <c r="CQ31" s="723">
        <v>0.83</v>
      </c>
      <c r="CR31" s="723">
        <v>176.865363</v>
      </c>
      <c r="CS31" s="723">
        <v>67.89</v>
      </c>
      <c r="CT31" s="723">
        <v>0.83</v>
      </c>
      <c r="CU31" s="728">
        <v>177.43020799999999</v>
      </c>
      <c r="CV31" s="728">
        <v>67.2</v>
      </c>
      <c r="CW31" s="728">
        <v>0.83</v>
      </c>
      <c r="CX31" s="722">
        <v>176.950469</v>
      </c>
      <c r="CY31" s="723">
        <v>73.05</v>
      </c>
      <c r="CZ31" s="723">
        <v>0.83</v>
      </c>
      <c r="DA31" s="723">
        <v>177.80888999999999</v>
      </c>
      <c r="DB31" s="723">
        <v>66.290000000000006</v>
      </c>
      <c r="DC31" s="722">
        <v>0.83</v>
      </c>
      <c r="DD31" s="723">
        <v>178.83434199999999</v>
      </c>
      <c r="DE31" s="723">
        <v>68.28</v>
      </c>
      <c r="DF31" s="723">
        <v>0.83</v>
      </c>
      <c r="DG31" s="723">
        <v>180.19991400000001</v>
      </c>
      <c r="DH31" s="723">
        <v>67.209999999999994</v>
      </c>
      <c r="DI31" s="723">
        <v>0.83</v>
      </c>
      <c r="DJ31" s="723">
        <v>185.96243100000001</v>
      </c>
      <c r="DK31" s="723">
        <v>70.83</v>
      </c>
      <c r="DL31" s="723">
        <v>0.83</v>
      </c>
      <c r="DM31" s="723">
        <v>188.77624</v>
      </c>
      <c r="DN31" s="723">
        <v>76.53</v>
      </c>
      <c r="DO31" s="723">
        <v>0.83</v>
      </c>
      <c r="DP31" s="723">
        <v>189.202684</v>
      </c>
      <c r="DQ31" s="723">
        <v>71.62</v>
      </c>
      <c r="DR31" s="723">
        <v>0.83</v>
      </c>
      <c r="DS31" s="723">
        <v>188.99696900000001</v>
      </c>
      <c r="DT31" s="725">
        <v>81.349999999999994</v>
      </c>
      <c r="DU31" s="723">
        <v>0.75</v>
      </c>
      <c r="DV31" s="723">
        <v>193.424904</v>
      </c>
      <c r="DW31" s="723">
        <v>81.84</v>
      </c>
      <c r="DX31" s="723">
        <v>0.75</v>
      </c>
      <c r="DY31" s="723">
        <v>196.10500200000001</v>
      </c>
      <c r="DZ31" s="723">
        <v>79.86</v>
      </c>
      <c r="EA31" s="723">
        <v>0.75</v>
      </c>
      <c r="EB31" s="723">
        <v>192.59360000000001</v>
      </c>
      <c r="EC31" s="723">
        <v>77.52</v>
      </c>
      <c r="ED31" s="723">
        <v>0.75</v>
      </c>
      <c r="EE31" s="723">
        <v>189.38</v>
      </c>
      <c r="EF31" s="723">
        <v>68.09</v>
      </c>
      <c r="EG31" s="723">
        <v>0.75</v>
      </c>
      <c r="EH31" s="723">
        <v>190.379009</v>
      </c>
      <c r="EI31" s="723">
        <v>83.13</v>
      </c>
      <c r="EJ31" s="723">
        <v>0.75</v>
      </c>
      <c r="EK31" s="723">
        <v>191.32692800000001</v>
      </c>
      <c r="EL31" s="723">
        <v>89.01</v>
      </c>
      <c r="EM31" s="723">
        <v>0.75</v>
      </c>
      <c r="EN31" s="723">
        <v>192.63960499999999</v>
      </c>
      <c r="EO31" s="723">
        <v>120.48</v>
      </c>
      <c r="EP31" s="723">
        <v>0.75</v>
      </c>
      <c r="EQ31" s="723">
        <v>196.572945</v>
      </c>
      <c r="ER31" s="723">
        <v>109.08</v>
      </c>
      <c r="ES31" s="723">
        <v>0.75</v>
      </c>
      <c r="ET31" s="722">
        <v>194.86435900000001</v>
      </c>
      <c r="EU31" s="722">
        <v>119.52</v>
      </c>
      <c r="EV31" s="722">
        <v>0.75</v>
      </c>
      <c r="EW31" s="723">
        <v>196.97914</v>
      </c>
      <c r="EX31" s="723">
        <v>108.29</v>
      </c>
      <c r="EY31" s="723">
        <v>0.75</v>
      </c>
      <c r="EZ31" s="723">
        <v>200.549935</v>
      </c>
      <c r="FA31" s="723">
        <v>107.35</v>
      </c>
      <c r="FB31" s="723">
        <v>0.54</v>
      </c>
      <c r="FC31" s="723">
        <v>207.456838</v>
      </c>
      <c r="FD31" s="741">
        <v>104.92</v>
      </c>
      <c r="FE31" s="723">
        <v>0.54</v>
      </c>
      <c r="FF31" s="727">
        <v>208.38286299999999</v>
      </c>
      <c r="FG31" s="727">
        <v>92.32</v>
      </c>
      <c r="FH31" s="727">
        <v>0.54</v>
      </c>
      <c r="FI31" s="727">
        <v>207.982485</v>
      </c>
      <c r="FJ31" s="727">
        <v>78.23</v>
      </c>
      <c r="FK31" s="727">
        <v>0.54</v>
      </c>
      <c r="FL31" s="727">
        <v>207.73234099999999</v>
      </c>
      <c r="FM31" s="727">
        <v>70.75</v>
      </c>
      <c r="FN31" s="727">
        <v>0.54</v>
      </c>
      <c r="FO31" s="727">
        <v>207.49574000000001</v>
      </c>
      <c r="FP31" s="727">
        <v>68.94</v>
      </c>
      <c r="FQ31" s="727">
        <v>0.54</v>
      </c>
      <c r="FR31" s="727">
        <v>207.90676199999999</v>
      </c>
      <c r="FS31" s="742">
        <v>68.650000000000006</v>
      </c>
      <c r="FT31" s="626">
        <f>2.16/4</f>
        <v>0.54</v>
      </c>
      <c r="FU31" s="727">
        <v>211.134467</v>
      </c>
      <c r="FV31" s="727">
        <v>74.319999999999993</v>
      </c>
      <c r="FW31" s="727">
        <v>0.54</v>
      </c>
      <c r="FX31" s="727">
        <v>214.12802300000001</v>
      </c>
      <c r="FY31" s="727">
        <v>75.55</v>
      </c>
      <c r="FZ31" s="727">
        <v>0.54</v>
      </c>
      <c r="GA31" s="727">
        <v>226.882474</v>
      </c>
      <c r="GB31" s="727">
        <v>70.66</v>
      </c>
      <c r="GC31" s="727">
        <v>0.54</v>
      </c>
      <c r="GD31" s="750">
        <v>226.882474</v>
      </c>
      <c r="GE31" s="741">
        <v>67.59</v>
      </c>
      <c r="GF31" s="751">
        <v>0.54</v>
      </c>
      <c r="GG31" s="750">
        <v>228.714654</v>
      </c>
      <c r="GH31" s="727">
        <v>60.61</v>
      </c>
      <c r="GI31" s="727">
        <v>0.45</v>
      </c>
      <c r="GJ31" s="727">
        <v>230.26463799999999</v>
      </c>
      <c r="GK31" s="727">
        <v>56.01</v>
      </c>
      <c r="GL31" s="727">
        <v>0.45</v>
      </c>
      <c r="GM31" s="727">
        <v>228.759297</v>
      </c>
      <c r="GN31" s="727">
        <v>59.5</v>
      </c>
      <c r="GO31" s="727">
        <v>0.45</v>
      </c>
      <c r="GP31" s="727">
        <v>228.10550499999999</v>
      </c>
      <c r="GQ31" s="727">
        <v>57.13</v>
      </c>
      <c r="GR31" s="727">
        <v>0.45</v>
      </c>
      <c r="GS31" s="727">
        <v>226.60915900000001</v>
      </c>
      <c r="GT31" s="727">
        <v>54.15</v>
      </c>
      <c r="GU31" s="727">
        <v>0.45</v>
      </c>
      <c r="GV31" s="727">
        <v>223.67333199999999</v>
      </c>
      <c r="GW31" s="727">
        <v>52.78</v>
      </c>
      <c r="GX31" s="727">
        <v>0.35</v>
      </c>
      <c r="GY31" s="727">
        <v>222.19111899999999</v>
      </c>
      <c r="GZ31" s="727">
        <v>48.15</v>
      </c>
      <c r="HA31" s="727">
        <v>0.35</v>
      </c>
      <c r="HB31" s="727">
        <v>223.714449</v>
      </c>
      <c r="HC31" s="727">
        <v>45.59</v>
      </c>
      <c r="HD31" s="727">
        <v>0.35</v>
      </c>
      <c r="HE31" s="727">
        <v>224.33065400000001</v>
      </c>
      <c r="HF31" s="727">
        <v>41.6</v>
      </c>
      <c r="HG31" s="727">
        <v>0.33</v>
      </c>
      <c r="HH31" s="727">
        <v>221.94345100000001</v>
      </c>
      <c r="HI31" s="727">
        <v>42.44</v>
      </c>
      <c r="HJ31" s="727">
        <v>0.33</v>
      </c>
      <c r="HK31" s="727">
        <v>221.05027799999999</v>
      </c>
      <c r="HL31" s="727">
        <v>43.41</v>
      </c>
      <c r="HM31" s="727">
        <v>0.33</v>
      </c>
      <c r="HN31" s="727">
        <v>221.67599999999999</v>
      </c>
      <c r="HO31" s="727">
        <v>39.11</v>
      </c>
      <c r="HP31" s="727">
        <v>0.33</v>
      </c>
      <c r="HQ31" s="727">
        <v>221.114</v>
      </c>
      <c r="HR31" s="727">
        <v>35.56</v>
      </c>
      <c r="HS31" s="727">
        <v>0.315</v>
      </c>
      <c r="HT31" s="727">
        <v>219.91713899999999</v>
      </c>
      <c r="HU31" s="727">
        <v>38.39</v>
      </c>
      <c r="HV31" s="727">
        <v>0.315</v>
      </c>
      <c r="HW31" s="727">
        <v>219.58236600000001</v>
      </c>
      <c r="HX31" s="727">
        <v>38</v>
      </c>
      <c r="HY31" s="727">
        <v>0.315</v>
      </c>
      <c r="HZ31" s="727">
        <v>222.15909099999999</v>
      </c>
      <c r="IA31" s="727">
        <v>42.3125</v>
      </c>
      <c r="IB31" s="727">
        <v>0.315</v>
      </c>
      <c r="IC31" s="727">
        <v>228.097385</v>
      </c>
      <c r="ID31" s="727">
        <v>37.25</v>
      </c>
      <c r="IE31" s="727">
        <v>0.3</v>
      </c>
      <c r="IF31" s="727">
        <v>236.60844499999999</v>
      </c>
      <c r="IG31" s="727">
        <v>27.375</v>
      </c>
      <c r="IH31" s="727">
        <v>0.3</v>
      </c>
      <c r="II31" s="727">
        <v>240.93069499999999</v>
      </c>
      <c r="IJ31" s="722">
        <v>20.1875</v>
      </c>
      <c r="IK31" s="722">
        <v>0.3</v>
      </c>
      <c r="IL31" s="722">
        <v>246.253929</v>
      </c>
      <c r="IM31" s="727">
        <v>25.75</v>
      </c>
      <c r="IN31" s="722">
        <v>0.3</v>
      </c>
      <c r="IO31" s="722">
        <v>246.79571000000001</v>
      </c>
      <c r="IP31" s="727">
        <v>28.9375</v>
      </c>
      <c r="IQ31" s="722">
        <v>0.3</v>
      </c>
      <c r="IR31" s="721">
        <v>246.4</v>
      </c>
      <c r="IS31" s="721">
        <v>31.25</v>
      </c>
      <c r="IT31" s="721">
        <v>0.3</v>
      </c>
      <c r="IU31" s="721">
        <v>246.62</v>
      </c>
      <c r="IV31" s="721">
        <v>27.5</v>
      </c>
      <c r="IW31" s="721">
        <v>0.3</v>
      </c>
      <c r="IX31" s="721">
        <v>246.62</v>
      </c>
      <c r="IY31" s="721">
        <v>31.125</v>
      </c>
      <c r="IZ31" s="721">
        <v>0.3</v>
      </c>
      <c r="JA31" s="721">
        <v>245.92</v>
      </c>
      <c r="JB31" s="721">
        <v>30.75</v>
      </c>
      <c r="JC31" s="721">
        <v>0.3</v>
      </c>
      <c r="JD31" s="721">
        <v>245.92</v>
      </c>
      <c r="JE31" s="721">
        <v>28.75</v>
      </c>
      <c r="JF31" s="721">
        <v>0.45</v>
      </c>
      <c r="JG31" s="721">
        <v>242.17</v>
      </c>
      <c r="JH31" s="721">
        <v>29.75</v>
      </c>
      <c r="JI31" s="721">
        <v>0.45</v>
      </c>
      <c r="JJ31" s="721">
        <v>242.172</v>
      </c>
      <c r="JK31" s="721">
        <v>29.9375</v>
      </c>
      <c r="JL31" s="721">
        <v>0.45</v>
      </c>
      <c r="JM31" s="721">
        <v>235.13300000000001</v>
      </c>
      <c r="JN31" s="721">
        <v>26.0625</v>
      </c>
      <c r="JO31" s="721">
        <v>0.45</v>
      </c>
      <c r="JP31" s="721">
        <v>235.13300000000001</v>
      </c>
      <c r="JQ31" s="721">
        <v>27.5</v>
      </c>
      <c r="JR31" s="721">
        <v>0.45</v>
      </c>
      <c r="JS31" s="721">
        <v>228.60300000000001</v>
      </c>
      <c r="JT31" s="721">
        <v>24.5</v>
      </c>
      <c r="JU31" s="721">
        <v>0.45</v>
      </c>
      <c r="JV31" s="721">
        <v>228.60300000000001</v>
      </c>
      <c r="JW31" s="721">
        <v>27.625</v>
      </c>
      <c r="JX31" s="721">
        <v>0.45</v>
      </c>
      <c r="JY31" s="721">
        <v>227.751</v>
      </c>
      <c r="JZ31" s="721">
        <v>27</v>
      </c>
      <c r="KA31" s="721">
        <v>0.45</v>
      </c>
      <c r="KB31" s="721">
        <v>227.751</v>
      </c>
      <c r="KC31" s="721">
        <v>28.375</v>
      </c>
      <c r="KD31" s="721">
        <v>0.45</v>
      </c>
      <c r="KE31" s="721">
        <v>227.751</v>
      </c>
      <c r="KF31" s="721">
        <v>28</v>
      </c>
      <c r="KG31" s="721">
        <v>0.45</v>
      </c>
      <c r="KH31" s="721">
        <v>227.751</v>
      </c>
      <c r="KI31" s="721">
        <v>29.25</v>
      </c>
      <c r="KJ31" s="721">
        <v>0.45</v>
      </c>
      <c r="KK31" s="721">
        <v>227.471</v>
      </c>
      <c r="KL31" s="721">
        <v>26.125</v>
      </c>
      <c r="KM31" s="721">
        <v>0.45</v>
      </c>
      <c r="KN31" s="721">
        <v>227.471</v>
      </c>
      <c r="KO31" s="721">
        <v>24.125</v>
      </c>
      <c r="KP31" s="721">
        <v>0.45</v>
      </c>
      <c r="KQ31" s="721">
        <v>227.471</v>
      </c>
      <c r="KR31" s="721">
        <v>20.875</v>
      </c>
      <c r="KS31" s="721">
        <v>0.45</v>
      </c>
      <c r="KT31" s="721">
        <v>227.471</v>
      </c>
      <c r="KU31" s="721">
        <v>21.875</v>
      </c>
      <c r="KV31" s="721">
        <v>0.45</v>
      </c>
      <c r="KW31" s="721">
        <v>227.471</v>
      </c>
      <c r="KX31" s="721">
        <v>23.25</v>
      </c>
      <c r="KY31" s="721">
        <v>0.45</v>
      </c>
      <c r="KZ31" s="721">
        <v>230.01</v>
      </c>
      <c r="LA31" s="721">
        <v>24.75</v>
      </c>
      <c r="LB31" s="721">
        <v>0.45</v>
      </c>
      <c r="LC31" s="721">
        <v>231</v>
      </c>
      <c r="LD31" s="721">
        <v>31.75</v>
      </c>
      <c r="LE31" s="721">
        <v>0.45</v>
      </c>
      <c r="LF31" s="721">
        <v>174.53399999999999</v>
      </c>
      <c r="LG31" s="721">
        <v>36</v>
      </c>
      <c r="LH31" s="721">
        <v>0.45</v>
      </c>
      <c r="LI31" s="721">
        <v>174.53399999999999</v>
      </c>
      <c r="LJ31" s="721">
        <v>38.75</v>
      </c>
      <c r="LK31" s="721">
        <v>0.4</v>
      </c>
      <c r="LL31" s="721">
        <v>174.74600000000001</v>
      </c>
      <c r="LM31" s="721">
        <v>36.25</v>
      </c>
      <c r="LN31" s="721">
        <v>0.4</v>
      </c>
      <c r="LO31" s="721">
        <v>175.10900000000001</v>
      </c>
      <c r="LP31" s="721">
        <v>35.375</v>
      </c>
      <c r="LQ31" s="721">
        <v>0.4</v>
      </c>
      <c r="LR31" s="721">
        <v>177.05600000000001</v>
      </c>
      <c r="LS31" s="721">
        <v>33</v>
      </c>
      <c r="LT31" s="721">
        <v>0.45</v>
      </c>
      <c r="LU31" s="721">
        <v>177.05600000000001</v>
      </c>
      <c r="LV31" s="721">
        <v>31.88</v>
      </c>
      <c r="LW31" s="721">
        <v>0.35</v>
      </c>
      <c r="LX31" s="721">
        <v>177.51300000000001</v>
      </c>
      <c r="LY31" s="721">
        <v>28.25</v>
      </c>
      <c r="LZ31" s="721">
        <v>0.35</v>
      </c>
      <c r="MA31" s="721">
        <v>177.982</v>
      </c>
      <c r="MB31" s="721">
        <v>27.38</v>
      </c>
      <c r="MC31" s="721">
        <v>0.35</v>
      </c>
      <c r="MD31" s="721">
        <v>182.66499999999999</v>
      </c>
      <c r="ME31" s="721">
        <v>29.63</v>
      </c>
      <c r="MF31" s="721">
        <v>0.35</v>
      </c>
      <c r="MG31" s="721">
        <v>183.51400000000001</v>
      </c>
      <c r="MH31" s="721">
        <v>26</v>
      </c>
      <c r="MI31" s="721">
        <v>0.3</v>
      </c>
      <c r="MJ31" s="721">
        <v>184.29499999999999</v>
      </c>
      <c r="MK31" s="721">
        <v>23.25</v>
      </c>
      <c r="ML31" s="721">
        <v>0.3</v>
      </c>
      <c r="MM31" s="721">
        <v>184.614</v>
      </c>
      <c r="MN31" s="721">
        <v>24.5</v>
      </c>
      <c r="MO31" s="721">
        <v>0.3</v>
      </c>
      <c r="MP31" s="721">
        <v>195.87700000000001</v>
      </c>
      <c r="MQ31" s="721">
        <v>22.38</v>
      </c>
    </row>
    <row r="32" spans="1:355">
      <c r="A32" s="633" t="s">
        <v>208</v>
      </c>
      <c r="B32" s="728" t="s">
        <v>207</v>
      </c>
      <c r="C32" s="885">
        <v>482</v>
      </c>
      <c r="D32" s="885">
        <v>240.62</v>
      </c>
      <c r="E32" s="887">
        <v>1.4</v>
      </c>
      <c r="F32" s="828">
        <v>481.9</v>
      </c>
      <c r="G32" s="828">
        <v>242.16</v>
      </c>
      <c r="H32" s="828">
        <v>1.25</v>
      </c>
      <c r="I32" s="828">
        <v>478.9</v>
      </c>
      <c r="J32" s="828">
        <v>232.99</v>
      </c>
      <c r="K32" s="828">
        <v>1.25</v>
      </c>
      <c r="L32" s="828">
        <v>478.3</v>
      </c>
      <c r="M32" s="829">
        <v>204.86</v>
      </c>
      <c r="N32" s="828">
        <v>1.25</v>
      </c>
      <c r="O32" s="828">
        <v>473.2</v>
      </c>
      <c r="P32" s="828">
        <v>193.32</v>
      </c>
      <c r="Q32" s="839">
        <v>1.25</v>
      </c>
      <c r="R32" s="828">
        <v>473.1</v>
      </c>
      <c r="S32" s="828">
        <v>173.82</v>
      </c>
      <c r="T32" s="828">
        <v>1.1100000000000001</v>
      </c>
      <c r="U32" s="828">
        <v>471.1</v>
      </c>
      <c r="V32" s="829">
        <v>167.6</v>
      </c>
      <c r="W32" s="828">
        <v>1.1100000000000001</v>
      </c>
      <c r="X32" s="832">
        <v>470.7</v>
      </c>
      <c r="Y32" s="788">
        <v>167.03</v>
      </c>
      <c r="Z32" s="788">
        <v>1.1100000000000001</v>
      </c>
      <c r="AA32" s="788">
        <v>470.3</v>
      </c>
      <c r="AB32" s="788">
        <v>163.33000000000001</v>
      </c>
      <c r="AC32" s="801">
        <v>1.1100000000000001</v>
      </c>
      <c r="AD32" s="788">
        <v>469.4</v>
      </c>
      <c r="AE32" s="788">
        <v>156.19</v>
      </c>
      <c r="AF32" s="788">
        <v>0.98250000000000004</v>
      </c>
      <c r="AG32" s="788">
        <v>467.9</v>
      </c>
      <c r="AH32" s="788">
        <v>146.55000000000001</v>
      </c>
      <c r="AI32" s="788">
        <v>0.98250000000000004</v>
      </c>
      <c r="AJ32" s="788">
        <v>467.5</v>
      </c>
      <c r="AK32" s="788">
        <v>140.13</v>
      </c>
      <c r="AL32" s="788">
        <v>0.98250000000000004</v>
      </c>
      <c r="AM32" s="828">
        <v>463.1</v>
      </c>
      <c r="AN32" s="828">
        <v>128.37</v>
      </c>
      <c r="AO32" s="828">
        <v>0.98250000000000004</v>
      </c>
      <c r="AP32" s="788">
        <v>463.3</v>
      </c>
      <c r="AQ32" s="788">
        <v>119.46</v>
      </c>
      <c r="AR32" s="788">
        <v>0.87</v>
      </c>
      <c r="AS32" s="723">
        <v>461.3</v>
      </c>
      <c r="AT32" s="723">
        <v>122.32</v>
      </c>
      <c r="AU32" s="723">
        <v>0.87</v>
      </c>
      <c r="AV32" s="760">
        <v>460.5</v>
      </c>
      <c r="AW32" s="760">
        <v>130.4</v>
      </c>
      <c r="AX32" s="760">
        <v>0.87</v>
      </c>
      <c r="AY32" s="723">
        <v>450.5</v>
      </c>
      <c r="AZ32" s="723">
        <v>118.34</v>
      </c>
      <c r="BA32" s="753">
        <v>0.87</v>
      </c>
      <c r="BB32" s="723">
        <v>454.1</v>
      </c>
      <c r="BC32" s="723">
        <v>103.89</v>
      </c>
      <c r="BD32" s="723">
        <v>0.77</v>
      </c>
      <c r="BE32" s="723">
        <v>445.5</v>
      </c>
      <c r="BF32" s="723">
        <v>97.55</v>
      </c>
      <c r="BG32" s="723">
        <v>0.77</v>
      </c>
      <c r="BH32" s="723">
        <v>442.3</v>
      </c>
      <c r="BI32" s="723">
        <v>98.03</v>
      </c>
      <c r="BJ32" s="723">
        <v>0.77</v>
      </c>
      <c r="BK32" s="728">
        <v>435.6</v>
      </c>
      <c r="BL32" s="728">
        <v>104.05</v>
      </c>
      <c r="BM32" s="754">
        <v>0.77</v>
      </c>
      <c r="BN32" s="723">
        <v>434.5</v>
      </c>
      <c r="BO32" s="723">
        <v>106.29</v>
      </c>
      <c r="BP32" s="723">
        <v>0.72499999999999998</v>
      </c>
      <c r="BQ32" s="723">
        <v>434.1</v>
      </c>
      <c r="BR32" s="723">
        <v>93.88</v>
      </c>
      <c r="BS32" s="723">
        <v>0.72499999999999998</v>
      </c>
      <c r="BT32" s="723">
        <v>433.5</v>
      </c>
      <c r="BU32" s="723">
        <v>102.48</v>
      </c>
      <c r="BV32" s="723">
        <v>0.72499999999999998</v>
      </c>
      <c r="BW32" s="728">
        <v>424.2</v>
      </c>
      <c r="BX32" s="728">
        <v>95.62</v>
      </c>
      <c r="BY32" s="754">
        <v>0.72499999999999998</v>
      </c>
      <c r="BZ32" s="723">
        <v>423.8</v>
      </c>
      <c r="CA32" s="723">
        <v>85.62</v>
      </c>
      <c r="CB32" s="723">
        <v>0.66</v>
      </c>
      <c r="CC32" s="723">
        <v>421.8</v>
      </c>
      <c r="CD32" s="723">
        <v>80.16</v>
      </c>
      <c r="CE32" s="723">
        <v>0.66</v>
      </c>
      <c r="CF32" s="723">
        <v>421</v>
      </c>
      <c r="CG32" s="723">
        <v>81.48</v>
      </c>
      <c r="CH32" s="723">
        <v>0.66</v>
      </c>
      <c r="CI32" s="728">
        <v>416.7</v>
      </c>
      <c r="CJ32" s="728">
        <v>77.680000000000007</v>
      </c>
      <c r="CK32" s="754">
        <v>0.66</v>
      </c>
      <c r="CL32" s="723">
        <v>419.3</v>
      </c>
      <c r="CM32" s="723">
        <v>69.19</v>
      </c>
      <c r="CN32" s="723">
        <v>0.6</v>
      </c>
      <c r="CO32" s="723">
        <v>415</v>
      </c>
      <c r="CP32" s="723">
        <v>70.33</v>
      </c>
      <c r="CQ32" s="723">
        <v>0.6</v>
      </c>
      <c r="CR32" s="723">
        <v>412.3</v>
      </c>
      <c r="CS32" s="723">
        <v>68.81</v>
      </c>
      <c r="CT32" s="723">
        <v>0.6</v>
      </c>
      <c r="CU32" s="728">
        <v>416.6</v>
      </c>
      <c r="CV32" s="728">
        <v>61.08</v>
      </c>
      <c r="CW32" s="754">
        <v>0.6</v>
      </c>
      <c r="CX32" s="722">
        <v>417.4</v>
      </c>
      <c r="CY32" s="723">
        <v>60.88</v>
      </c>
      <c r="CZ32" s="723">
        <v>0.55000000000000004</v>
      </c>
      <c r="DA32" s="723">
        <v>416.9</v>
      </c>
      <c r="DB32" s="723">
        <v>54.02</v>
      </c>
      <c r="DC32" s="722">
        <v>0.55000000000000004</v>
      </c>
      <c r="DD32" s="723">
        <v>415.8</v>
      </c>
      <c r="DE32" s="723">
        <v>57.46</v>
      </c>
      <c r="DF32" s="723">
        <v>0.55000000000000004</v>
      </c>
      <c r="DG32" s="723">
        <v>413.9</v>
      </c>
      <c r="DH32" s="723">
        <v>55.12</v>
      </c>
      <c r="DI32" s="753">
        <v>0.55000000000000004</v>
      </c>
      <c r="DJ32" s="723">
        <v>410.9</v>
      </c>
      <c r="DK32" s="723">
        <v>51.99</v>
      </c>
      <c r="DL32" s="723">
        <v>0.5</v>
      </c>
      <c r="DM32" s="723">
        <v>408.9</v>
      </c>
      <c r="DN32" s="723">
        <v>54.34</v>
      </c>
      <c r="DO32" s="723">
        <v>0.5</v>
      </c>
      <c r="DP32" s="723">
        <v>407.5</v>
      </c>
      <c r="DQ32" s="722">
        <v>48.76</v>
      </c>
      <c r="DR32" s="723">
        <v>0.5</v>
      </c>
      <c r="DS32" s="723">
        <v>406.5</v>
      </c>
      <c r="DT32" s="725">
        <v>48.33</v>
      </c>
      <c r="DU32" s="723">
        <v>0.5</v>
      </c>
      <c r="DV32" s="723">
        <v>405.1</v>
      </c>
      <c r="DW32" s="723">
        <v>52.82</v>
      </c>
      <c r="DX32" s="723">
        <v>0.47249999999999998</v>
      </c>
      <c r="DY32" s="723">
        <v>403.7</v>
      </c>
      <c r="DZ32" s="723">
        <v>55.23</v>
      </c>
      <c r="EA32" s="723">
        <v>0.47249999999999998</v>
      </c>
      <c r="EB32" s="723">
        <v>402.3</v>
      </c>
      <c r="EC32" s="723">
        <v>56.86</v>
      </c>
      <c r="ED32" s="723">
        <v>0.47249999999999998</v>
      </c>
      <c r="EE32" s="723">
        <v>401</v>
      </c>
      <c r="EF32" s="723">
        <v>50.73</v>
      </c>
      <c r="EG32" s="723">
        <v>0.47249999999999998</v>
      </c>
      <c r="EH32" s="723">
        <v>400.4</v>
      </c>
      <c r="EI32" s="723">
        <v>50.33</v>
      </c>
      <c r="EJ32" s="723">
        <v>0.44500000000000001</v>
      </c>
      <c r="EK32" s="723">
        <v>399.8</v>
      </c>
      <c r="EL32" s="723">
        <v>50.3</v>
      </c>
      <c r="EM32" s="723">
        <v>0.44500000000000001</v>
      </c>
      <c r="EN32" s="723">
        <v>399.1</v>
      </c>
      <c r="EO32" s="723">
        <v>65.58</v>
      </c>
      <c r="EP32" s="723">
        <v>0.44500000000000001</v>
      </c>
      <c r="EQ32" s="723">
        <v>397.7</v>
      </c>
      <c r="ER32" s="723">
        <v>62.74</v>
      </c>
      <c r="ES32" s="723">
        <v>0.44500000000000001</v>
      </c>
      <c r="ET32" s="722">
        <v>398.1</v>
      </c>
      <c r="EU32" s="722">
        <v>67.78</v>
      </c>
      <c r="EV32" s="722">
        <v>0.41</v>
      </c>
      <c r="EW32" s="723">
        <v>397.6</v>
      </c>
      <c r="EX32" s="723">
        <v>60.88</v>
      </c>
      <c r="EY32" s="723">
        <v>0.41</v>
      </c>
      <c r="EZ32" s="723">
        <v>396.8</v>
      </c>
      <c r="FA32" s="723">
        <v>56.74</v>
      </c>
      <c r="FB32" s="723">
        <v>0.41</v>
      </c>
      <c r="FC32" s="723">
        <v>393.5</v>
      </c>
      <c r="FD32" s="741">
        <v>61.17</v>
      </c>
      <c r="FE32" s="723">
        <v>0.41</v>
      </c>
      <c r="FF32" s="727">
        <v>394.9</v>
      </c>
      <c r="FG32" s="727">
        <v>54.42</v>
      </c>
      <c r="FH32" s="727">
        <v>0.375</v>
      </c>
      <c r="FI32" s="727">
        <v>394.3</v>
      </c>
      <c r="FJ32" s="727">
        <v>45</v>
      </c>
      <c r="FK32" s="727">
        <v>0.375</v>
      </c>
      <c r="FL32" s="727">
        <v>389.2</v>
      </c>
      <c r="FM32" s="727">
        <v>41.38</v>
      </c>
      <c r="FN32" s="727">
        <v>0.375</v>
      </c>
      <c r="FO32" s="727">
        <v>390</v>
      </c>
      <c r="FP32" s="727">
        <v>40.14</v>
      </c>
      <c r="FQ32" s="727">
        <v>0.375</v>
      </c>
      <c r="FR32" s="727">
        <v>383.8</v>
      </c>
      <c r="FS32" s="742">
        <v>41.56</v>
      </c>
      <c r="FT32" s="626">
        <f>1.42/4</f>
        <v>0.35499999999999998</v>
      </c>
      <c r="FU32" s="727">
        <v>381.4</v>
      </c>
      <c r="FV32" s="727">
        <v>47.6</v>
      </c>
      <c r="FW32" s="727">
        <v>0.35499999999999998</v>
      </c>
      <c r="FX32" s="727">
        <v>370.7</v>
      </c>
      <c r="FY32" s="727">
        <v>42.06</v>
      </c>
      <c r="FZ32" s="727">
        <v>0.35499999999999998</v>
      </c>
      <c r="GA32" s="727">
        <v>359.2</v>
      </c>
      <c r="GB32" s="727">
        <v>40.15</v>
      </c>
      <c r="GC32" s="727">
        <v>0.35499999999999998</v>
      </c>
      <c r="GD32" s="750">
        <v>360</v>
      </c>
      <c r="GE32" s="741">
        <v>37.375</v>
      </c>
      <c r="GF32" s="751">
        <v>0.34</v>
      </c>
      <c r="GG32" s="750">
        <v>358</v>
      </c>
      <c r="GH32" s="727">
        <v>34.159999999999997</v>
      </c>
      <c r="GI32" s="727">
        <v>0.34</v>
      </c>
      <c r="GJ32" s="727">
        <v>356.8</v>
      </c>
      <c r="GK32" s="727">
        <v>31.975000000000001</v>
      </c>
      <c r="GL32" s="727">
        <v>0.31</v>
      </c>
      <c r="GM32" s="727">
        <v>356.2</v>
      </c>
      <c r="GN32" s="727">
        <v>33.424999999999997</v>
      </c>
      <c r="GO32" s="727">
        <v>0.31</v>
      </c>
      <c r="GP32" s="727">
        <v>355.6</v>
      </c>
      <c r="GQ32" s="727">
        <v>32.71</v>
      </c>
      <c r="GR32" s="727">
        <v>0.3</v>
      </c>
      <c r="GS32" s="727">
        <v>354.6</v>
      </c>
      <c r="GT32" s="727">
        <v>31.6</v>
      </c>
      <c r="GU32" s="727">
        <v>0.3</v>
      </c>
      <c r="GV32" s="727">
        <v>353.6</v>
      </c>
      <c r="GW32" s="727">
        <v>33.424999999999997</v>
      </c>
      <c r="GX32" s="727">
        <v>0.3</v>
      </c>
      <c r="GY32" s="727">
        <v>354</v>
      </c>
      <c r="GZ32" s="727">
        <v>29.465</v>
      </c>
      <c r="HA32" s="727">
        <v>0.3</v>
      </c>
      <c r="HB32" s="727">
        <v>351.4</v>
      </c>
      <c r="HC32" s="727">
        <v>30.065000000000001</v>
      </c>
      <c r="HD32" s="727">
        <v>0.28999999999999998</v>
      </c>
      <c r="HE32" s="727">
        <v>341.2</v>
      </c>
      <c r="HF32" s="727">
        <v>26.9</v>
      </c>
      <c r="HG32" s="727">
        <v>0.28999999999999998</v>
      </c>
      <c r="HH32" s="727">
        <v>338.2</v>
      </c>
      <c r="HI32" s="727">
        <v>29.995000000000001</v>
      </c>
      <c r="HJ32" s="727">
        <v>0.28999999999999998</v>
      </c>
      <c r="HK32" s="727">
        <v>338</v>
      </c>
      <c r="HL32" s="727">
        <v>29.774999999999999</v>
      </c>
      <c r="HM32" s="727">
        <v>0.28999999999999998</v>
      </c>
      <c r="HN32" s="727">
        <v>338</v>
      </c>
      <c r="HO32" s="727">
        <v>28.2</v>
      </c>
      <c r="HP32" s="727">
        <v>0.28000000000000003</v>
      </c>
      <c r="HQ32" s="727">
        <v>338</v>
      </c>
      <c r="HR32" s="727">
        <v>26.774999999999999</v>
      </c>
      <c r="HS32" s="727">
        <v>0.28000000000000003</v>
      </c>
      <c r="HT32" s="727">
        <v>351.8</v>
      </c>
      <c r="HU32" s="727">
        <v>30.105</v>
      </c>
      <c r="HV32" s="727">
        <v>0.28000000000000003</v>
      </c>
      <c r="HW32" s="727">
        <v>338</v>
      </c>
      <c r="HX32" s="727">
        <v>30.65</v>
      </c>
      <c r="HY32" s="727">
        <v>0.28000000000000003</v>
      </c>
      <c r="HZ32" s="727">
        <v>340</v>
      </c>
      <c r="IA32" s="727">
        <v>35.875</v>
      </c>
      <c r="IB32" s="727">
        <v>0.27</v>
      </c>
      <c r="IC32" s="727">
        <v>340</v>
      </c>
      <c r="ID32" s="727">
        <v>32.875</v>
      </c>
      <c r="IE32" s="727">
        <v>0.27</v>
      </c>
      <c r="IF32" s="727">
        <v>340</v>
      </c>
      <c r="IG32" s="727">
        <v>24.84375</v>
      </c>
      <c r="IH32" s="727">
        <v>0.27</v>
      </c>
      <c r="II32" s="727">
        <v>342</v>
      </c>
      <c r="IJ32" s="722">
        <v>23.03125</v>
      </c>
      <c r="IK32" s="722">
        <v>0.27</v>
      </c>
      <c r="IL32" s="722">
        <v>342</v>
      </c>
      <c r="IM32" s="727">
        <v>21.40625</v>
      </c>
      <c r="IN32" s="722">
        <v>0.26</v>
      </c>
      <c r="IO32" s="722">
        <v>344</v>
      </c>
      <c r="IP32" s="727">
        <v>25.1875</v>
      </c>
      <c r="IQ32" s="722">
        <v>0.26</v>
      </c>
      <c r="IR32" s="721">
        <v>346</v>
      </c>
      <c r="IS32" s="721">
        <v>27.3125</v>
      </c>
      <c r="IT32" s="721">
        <v>0.26</v>
      </c>
      <c r="IU32" s="721">
        <v>344</v>
      </c>
      <c r="IV32" s="721">
        <v>26.625</v>
      </c>
      <c r="IW32" s="721">
        <v>0.2525</v>
      </c>
      <c r="IX32" s="721">
        <v>344</v>
      </c>
      <c r="IY32" s="721">
        <v>30.8125</v>
      </c>
      <c r="IZ32" s="721">
        <v>0.25</v>
      </c>
      <c r="JA32" s="721">
        <v>173.22</v>
      </c>
      <c r="JB32" s="721">
        <v>69.688000000000002</v>
      </c>
      <c r="JC32" s="721">
        <v>0.5</v>
      </c>
      <c r="JD32" s="721">
        <v>173.22</v>
      </c>
      <c r="JE32" s="721">
        <v>63</v>
      </c>
      <c r="JF32" s="721">
        <v>0.5</v>
      </c>
      <c r="JG32" s="721">
        <v>173.04</v>
      </c>
      <c r="JH32" s="721">
        <v>64.25</v>
      </c>
      <c r="JI32" s="721">
        <v>0.5</v>
      </c>
      <c r="JJ32" s="721">
        <v>173.041</v>
      </c>
      <c r="JK32" s="721">
        <v>59.1875</v>
      </c>
      <c r="JL32" s="721">
        <v>0.48</v>
      </c>
      <c r="JM32" s="721">
        <v>173.22200000000001</v>
      </c>
      <c r="JN32" s="721">
        <v>51.3125</v>
      </c>
      <c r="JO32" s="721">
        <v>0.48</v>
      </c>
      <c r="JP32" s="721">
        <v>173.22200000000001</v>
      </c>
      <c r="JQ32" s="721">
        <v>46.063000000000002</v>
      </c>
      <c r="JR32" s="721">
        <v>0.48</v>
      </c>
      <c r="JS32" s="721">
        <v>173.85</v>
      </c>
      <c r="JT32" s="721">
        <v>44.125</v>
      </c>
      <c r="JU32" s="721">
        <v>0.48</v>
      </c>
      <c r="JV32" s="721">
        <v>173.85</v>
      </c>
      <c r="JW32" s="721">
        <v>46</v>
      </c>
      <c r="JX32" s="721">
        <v>0.46</v>
      </c>
      <c r="JY32" s="721">
        <v>175.11199999999999</v>
      </c>
      <c r="JZ32" s="721">
        <v>43.25</v>
      </c>
      <c r="KA32" s="721">
        <v>0.46</v>
      </c>
      <c r="KB32" s="721">
        <v>175.11199999999999</v>
      </c>
      <c r="KC32" s="721">
        <v>46</v>
      </c>
      <c r="KD32" s="721">
        <v>0.46500000000000002</v>
      </c>
      <c r="KE32" s="721">
        <v>175.11199999999999</v>
      </c>
      <c r="KF32" s="721">
        <v>45.25</v>
      </c>
      <c r="KG32" s="721">
        <v>0.44</v>
      </c>
      <c r="KH32" s="721">
        <v>175.11199999999999</v>
      </c>
      <c r="KI32" s="721">
        <v>46.375</v>
      </c>
      <c r="KJ32" s="721">
        <v>0.44</v>
      </c>
      <c r="KK32" s="721">
        <v>177.203</v>
      </c>
      <c r="KL32" s="721">
        <v>40.875</v>
      </c>
      <c r="KM32" s="721">
        <v>0.44</v>
      </c>
      <c r="KN32" s="721">
        <v>177.203</v>
      </c>
      <c r="KO32" s="721">
        <v>38.625</v>
      </c>
      <c r="KP32" s="721">
        <v>0.44</v>
      </c>
      <c r="KQ32" s="721">
        <v>177.203</v>
      </c>
      <c r="KR32" s="721">
        <v>36.375</v>
      </c>
      <c r="KS32" s="721">
        <v>0.42</v>
      </c>
      <c r="KT32" s="721">
        <v>177.203</v>
      </c>
      <c r="KU32" s="721">
        <v>35.125</v>
      </c>
      <c r="KV32" s="721">
        <v>0.42</v>
      </c>
      <c r="KW32" s="721">
        <v>177.203</v>
      </c>
      <c r="KX32" s="721">
        <v>32.375</v>
      </c>
      <c r="KY32" s="721">
        <v>0.42</v>
      </c>
      <c r="KZ32" s="721">
        <v>185.13300000000001</v>
      </c>
      <c r="LA32" s="721">
        <v>29.75</v>
      </c>
      <c r="LB32" s="721">
        <v>0.42</v>
      </c>
      <c r="LC32" s="721">
        <v>188.13300000000001</v>
      </c>
      <c r="LD32" s="721">
        <v>33.125</v>
      </c>
      <c r="LE32" s="721">
        <v>0.42</v>
      </c>
      <c r="LF32" s="721">
        <v>188.13300000000001</v>
      </c>
      <c r="LG32" s="721">
        <v>39.125</v>
      </c>
      <c r="LH32" s="721">
        <v>0.62</v>
      </c>
      <c r="LI32" s="721">
        <v>188.13300000000001</v>
      </c>
      <c r="LJ32" s="721">
        <v>39.375</v>
      </c>
      <c r="LK32" s="721">
        <v>0.62</v>
      </c>
      <c r="LL32" s="721">
        <v>185.48</v>
      </c>
      <c r="LM32" s="721">
        <v>38.125</v>
      </c>
      <c r="LN32" s="721">
        <v>0.62</v>
      </c>
      <c r="LO32" s="721">
        <v>183.779</v>
      </c>
      <c r="LP32" s="721">
        <v>37</v>
      </c>
      <c r="LQ32" s="721">
        <v>0.61</v>
      </c>
      <c r="LR32" s="721">
        <v>174.608</v>
      </c>
      <c r="LS32" s="721">
        <v>36.25</v>
      </c>
      <c r="LT32" s="721">
        <v>0.61</v>
      </c>
      <c r="LU32" s="721">
        <v>174.608</v>
      </c>
      <c r="LV32" s="721">
        <v>36.380000000000003</v>
      </c>
      <c r="LW32" s="721">
        <v>0.61</v>
      </c>
      <c r="LX32" s="721">
        <v>172.56700000000001</v>
      </c>
      <c r="LY32" s="721">
        <v>34.880000000000003</v>
      </c>
      <c r="LZ32" s="721">
        <v>0.61</v>
      </c>
      <c r="MA32" s="721">
        <v>171.55</v>
      </c>
      <c r="MB32" s="721">
        <v>33.380000000000003</v>
      </c>
      <c r="MC32" s="721">
        <v>0.6</v>
      </c>
      <c r="MD32" s="721">
        <v>163.101</v>
      </c>
      <c r="ME32" s="721">
        <v>37</v>
      </c>
      <c r="MF32" s="721">
        <v>0.6</v>
      </c>
      <c r="MG32" s="721">
        <v>161.88399999999999</v>
      </c>
      <c r="MH32" s="721">
        <v>33.630000000000003</v>
      </c>
      <c r="MI32" s="721">
        <v>0.6</v>
      </c>
      <c r="MJ32" s="721">
        <v>161.494</v>
      </c>
      <c r="MK32" s="721">
        <v>30.38</v>
      </c>
      <c r="ML32" s="721">
        <v>0.6</v>
      </c>
      <c r="MM32" s="721">
        <v>161.232</v>
      </c>
      <c r="MN32" s="721">
        <v>30.25</v>
      </c>
      <c r="MO32" s="721">
        <v>0.59</v>
      </c>
      <c r="MP32" s="721">
        <v>136.732</v>
      </c>
      <c r="MQ32" s="721">
        <v>29</v>
      </c>
    </row>
    <row r="33" spans="1:355">
      <c r="B33" s="723" t="s">
        <v>259</v>
      </c>
      <c r="C33" s="886"/>
      <c r="D33" s="886"/>
      <c r="E33" s="886"/>
      <c r="F33" s="788"/>
      <c r="G33" s="788"/>
      <c r="H33" s="788"/>
      <c r="I33" s="788"/>
      <c r="J33" s="788"/>
      <c r="K33" s="788"/>
      <c r="L33" s="828"/>
      <c r="M33" s="829"/>
      <c r="N33" s="828"/>
      <c r="O33" s="828"/>
      <c r="P33" s="828"/>
      <c r="Q33" s="828"/>
      <c r="R33" s="828"/>
      <c r="S33" s="828"/>
      <c r="T33" s="828"/>
      <c r="U33" s="788"/>
      <c r="V33" s="827"/>
      <c r="W33" s="788"/>
      <c r="X33" s="832"/>
      <c r="Y33" s="788"/>
      <c r="Z33" s="788"/>
      <c r="AA33" s="788"/>
      <c r="AB33" s="788"/>
      <c r="AC33" s="788"/>
      <c r="AJ33" s="788"/>
      <c r="AK33" s="788"/>
      <c r="AL33" s="788"/>
      <c r="AM33" s="828"/>
      <c r="AN33" s="828"/>
      <c r="AO33" s="828"/>
      <c r="AP33" s="788"/>
      <c r="AQ33" s="788"/>
      <c r="AR33" s="788"/>
      <c r="AV33" s="723"/>
      <c r="AW33" s="723"/>
      <c r="AX33" s="723"/>
      <c r="AY33" s="723"/>
      <c r="AZ33" s="723"/>
      <c r="BA33" s="723"/>
      <c r="BB33" s="723"/>
      <c r="BC33" s="723"/>
      <c r="BD33" s="723"/>
      <c r="BE33" s="723"/>
      <c r="BF33" s="723"/>
      <c r="BG33" s="723"/>
      <c r="BH33" s="723"/>
      <c r="BI33" s="723"/>
      <c r="BJ33" s="723"/>
      <c r="BK33" s="723"/>
      <c r="BL33" s="723"/>
      <c r="BM33" s="723"/>
      <c r="BN33" s="723"/>
      <c r="BO33" s="723"/>
      <c r="BP33" s="723"/>
      <c r="BQ33" s="723"/>
      <c r="BR33" s="723"/>
      <c r="BS33" s="723"/>
      <c r="BT33" s="723"/>
      <c r="BU33" s="723"/>
      <c r="BV33" s="723"/>
      <c r="BW33" s="728"/>
      <c r="BX33" s="728"/>
      <c r="BY33" s="728"/>
      <c r="BZ33" s="723"/>
      <c r="CA33" s="723"/>
      <c r="CB33" s="723"/>
      <c r="CC33" s="723"/>
      <c r="CD33" s="723"/>
      <c r="CE33" s="723"/>
      <c r="CF33" s="723"/>
      <c r="CG33" s="723"/>
      <c r="CH33" s="723"/>
      <c r="CI33" s="723"/>
      <c r="CJ33" s="723"/>
      <c r="CK33" s="723"/>
      <c r="CL33" s="723"/>
      <c r="CM33" s="723"/>
      <c r="CN33" s="723"/>
      <c r="CO33" s="723"/>
      <c r="CP33" s="723"/>
      <c r="CQ33" s="723"/>
      <c r="CR33" s="723"/>
      <c r="CS33" s="723"/>
      <c r="CT33" s="723"/>
      <c r="CU33" s="723"/>
      <c r="CV33" s="723"/>
      <c r="CW33" s="723"/>
      <c r="CX33" s="722"/>
      <c r="CY33" s="723"/>
      <c r="CZ33" s="723"/>
      <c r="DA33" s="723"/>
      <c r="DB33" s="723"/>
      <c r="DC33" s="735"/>
      <c r="DD33" s="723"/>
      <c r="DE33" s="723"/>
      <c r="DF33" s="723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5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2"/>
      <c r="EU33" s="722"/>
      <c r="EV33" s="722"/>
      <c r="EW33" s="723"/>
      <c r="EX33" s="723"/>
      <c r="EY33" s="723"/>
      <c r="EZ33" s="723"/>
      <c r="FA33" s="723"/>
      <c r="FB33" s="723"/>
      <c r="FC33" s="723"/>
      <c r="FD33" s="741"/>
      <c r="FE33" s="723"/>
      <c r="FF33" s="727"/>
      <c r="FG33" s="727"/>
      <c r="FH33" s="727"/>
      <c r="FI33" s="727"/>
      <c r="FJ33" s="727"/>
      <c r="FK33" s="727"/>
      <c r="FL33" s="727"/>
      <c r="FM33" s="727"/>
      <c r="FN33" s="727"/>
      <c r="FO33" s="727"/>
      <c r="FP33" s="727"/>
      <c r="FQ33" s="727"/>
      <c r="FR33" s="727"/>
      <c r="FS33" s="742"/>
      <c r="FT33" s="626"/>
      <c r="FU33" s="727"/>
      <c r="FV33" s="727"/>
      <c r="FW33" s="727"/>
      <c r="FX33" s="727"/>
      <c r="FY33" s="727"/>
      <c r="FZ33" s="727"/>
      <c r="GA33" s="727"/>
      <c r="GB33" s="727"/>
      <c r="GC33" s="727"/>
      <c r="GD33" s="750"/>
      <c r="GE33" s="741"/>
      <c r="GF33" s="751"/>
      <c r="GG33" s="750"/>
      <c r="GH33" s="727"/>
      <c r="GI33" s="727"/>
      <c r="GJ33" s="727"/>
      <c r="GK33" s="727"/>
      <c r="GL33" s="727"/>
      <c r="GM33" s="727"/>
      <c r="GN33" s="727"/>
      <c r="GO33" s="727"/>
      <c r="GP33" s="727"/>
      <c r="GQ33" s="727"/>
      <c r="GR33" s="727"/>
      <c r="GS33" s="727"/>
      <c r="GT33" s="727"/>
      <c r="GU33" s="752"/>
      <c r="GV33" s="727"/>
      <c r="GW33" s="727"/>
      <c r="GX33" s="727"/>
      <c r="GY33" s="727"/>
      <c r="GZ33" s="727"/>
      <c r="HA33" s="727"/>
      <c r="HB33" s="727"/>
      <c r="HC33" s="727"/>
      <c r="HD33" s="727"/>
      <c r="HE33" s="727"/>
      <c r="HF33" s="727"/>
      <c r="HG33" s="727"/>
      <c r="HH33" s="727"/>
      <c r="HI33" s="727"/>
      <c r="HJ33" s="727"/>
      <c r="HK33" s="727"/>
      <c r="HL33" s="727"/>
      <c r="HM33" s="727"/>
      <c r="HN33" s="727"/>
      <c r="HO33" s="752"/>
      <c r="HP33" s="752"/>
      <c r="HQ33" s="727"/>
      <c r="HR33" s="727"/>
      <c r="HS33" s="727"/>
      <c r="HT33" s="727"/>
      <c r="HU33" s="727"/>
      <c r="HV33" s="727"/>
      <c r="HW33" s="727"/>
      <c r="HX33" s="727"/>
      <c r="HY33" s="727"/>
      <c r="HZ33" s="727"/>
      <c r="IA33" s="727"/>
      <c r="IB33" s="727"/>
      <c r="IC33" s="727">
        <v>98.614543999999995</v>
      </c>
      <c r="ID33" s="727">
        <v>52.9375</v>
      </c>
      <c r="IE33" s="727">
        <v>0.55500000000000005</v>
      </c>
      <c r="IF33" s="727">
        <v>98.519769999999994</v>
      </c>
      <c r="IG33" s="727">
        <v>46.875</v>
      </c>
      <c r="IH33" s="727">
        <v>0.55500000000000005</v>
      </c>
      <c r="II33" s="727">
        <v>98.453035999999997</v>
      </c>
      <c r="IJ33" s="722">
        <v>45.875</v>
      </c>
      <c r="IK33" s="722">
        <v>0.55500000000000005</v>
      </c>
      <c r="IL33" s="722">
        <v>98.3</v>
      </c>
      <c r="IM33" s="727">
        <v>42.3125</v>
      </c>
      <c r="IN33" s="722">
        <v>0.54500000000000004</v>
      </c>
      <c r="IO33" s="722">
        <v>97.980635000000007</v>
      </c>
      <c r="IP33" s="727">
        <v>46.25</v>
      </c>
      <c r="IQ33" s="722">
        <v>0.54500000000000004</v>
      </c>
      <c r="IR33" s="721">
        <v>97.1</v>
      </c>
      <c r="IS33" s="721">
        <v>41.3125</v>
      </c>
      <c r="IT33" s="721">
        <v>0.54500000000000004</v>
      </c>
      <c r="IU33" s="721">
        <v>97</v>
      </c>
      <c r="IV33" s="721">
        <v>37.75</v>
      </c>
      <c r="IW33" s="721">
        <v>0.53500000000000003</v>
      </c>
      <c r="IX33" s="721">
        <v>97</v>
      </c>
      <c r="IY33" s="721">
        <v>44.813000000000002</v>
      </c>
      <c r="IZ33" s="721">
        <v>0.53500000000000003</v>
      </c>
      <c r="JA33" s="721">
        <v>97.1</v>
      </c>
      <c r="JB33" s="721">
        <v>43.313000000000002</v>
      </c>
      <c r="JC33" s="721">
        <v>0.53500000000000003</v>
      </c>
      <c r="JD33" s="721">
        <v>97.1</v>
      </c>
      <c r="JE33" s="721">
        <v>41.125</v>
      </c>
      <c r="JF33" s="721">
        <v>0.53500000000000003</v>
      </c>
      <c r="JG33" s="721">
        <v>97.1</v>
      </c>
      <c r="JH33" s="721">
        <v>41.6875</v>
      </c>
      <c r="JI33" s="721">
        <v>0.53500000000000003</v>
      </c>
      <c r="JJ33" s="721">
        <v>97.1</v>
      </c>
      <c r="JK33" s="721">
        <v>39.25</v>
      </c>
      <c r="JL33" s="721">
        <v>0.52500000000000002</v>
      </c>
      <c r="JM33" s="721">
        <v>97</v>
      </c>
      <c r="JN33" s="721">
        <v>33</v>
      </c>
      <c r="JO33" s="721">
        <v>0.52500000000000002</v>
      </c>
      <c r="JP33" s="721">
        <v>97</v>
      </c>
      <c r="JQ33" s="721">
        <v>31.312999999999999</v>
      </c>
      <c r="JR33" s="721">
        <v>0.52500000000000002</v>
      </c>
      <c r="JS33" s="721">
        <v>97</v>
      </c>
      <c r="JT33" s="721">
        <v>30.375</v>
      </c>
      <c r="JU33" s="721">
        <v>0.52500000000000002</v>
      </c>
      <c r="JV33" s="721">
        <v>97</v>
      </c>
      <c r="JW33" s="721">
        <v>32.25</v>
      </c>
      <c r="JX33" s="721">
        <v>0.51500000000000001</v>
      </c>
      <c r="JY33" s="721">
        <v>95.905000000000001</v>
      </c>
      <c r="JZ33" s="721">
        <v>34</v>
      </c>
      <c r="KA33" s="721">
        <v>0.51500000000000001</v>
      </c>
      <c r="KB33" s="721">
        <v>95.905000000000001</v>
      </c>
      <c r="KC33" s="721">
        <v>34.75</v>
      </c>
      <c r="KD33" s="721">
        <v>0.51500000000000001</v>
      </c>
      <c r="KE33" s="721">
        <v>95.905000000000001</v>
      </c>
      <c r="KF33" s="721">
        <v>34.125</v>
      </c>
      <c r="KG33" s="721">
        <v>0.505</v>
      </c>
      <c r="KH33" s="721">
        <v>95.905000000000001</v>
      </c>
      <c r="KI33" s="721">
        <v>35.375</v>
      </c>
      <c r="KJ33" s="721">
        <v>0.505</v>
      </c>
      <c r="KK33" s="721">
        <v>88.6</v>
      </c>
      <c r="KL33" s="721">
        <v>32.375</v>
      </c>
      <c r="KM33" s="721">
        <v>0.505</v>
      </c>
      <c r="KN33" s="721">
        <v>88.6</v>
      </c>
      <c r="KO33" s="721">
        <v>31.25</v>
      </c>
      <c r="KP33" s="721">
        <v>0.505</v>
      </c>
      <c r="KQ33" s="721">
        <v>88.6</v>
      </c>
      <c r="KR33" s="721">
        <v>30.125</v>
      </c>
      <c r="KS33" s="721">
        <v>0.505</v>
      </c>
      <c r="KT33" s="721">
        <v>88.6</v>
      </c>
      <c r="KU33" s="721">
        <v>30</v>
      </c>
      <c r="KV33" s="721">
        <v>0.505</v>
      </c>
      <c r="KW33" s="721">
        <v>88.6</v>
      </c>
      <c r="KX33" s="721">
        <v>28.375</v>
      </c>
      <c r="KY33" s="721">
        <v>0.495</v>
      </c>
      <c r="KZ33" s="721">
        <v>88.576999999999998</v>
      </c>
      <c r="LA33" s="721">
        <v>25.75</v>
      </c>
      <c r="LB33" s="721">
        <v>0.495</v>
      </c>
      <c r="LC33" s="721">
        <v>88.576999999999998</v>
      </c>
      <c r="LD33" s="721">
        <v>29.5</v>
      </c>
      <c r="LE33" s="721">
        <v>0.495</v>
      </c>
      <c r="LF33" s="721">
        <v>88.576999999999998</v>
      </c>
      <c r="LG33" s="721">
        <v>32.625</v>
      </c>
      <c r="LH33" s="721">
        <v>0.495</v>
      </c>
      <c r="LI33" s="721">
        <v>88.576999999999998</v>
      </c>
      <c r="LJ33" s="721">
        <v>35.5</v>
      </c>
      <c r="LK33" s="721">
        <v>0.48499999999999999</v>
      </c>
      <c r="LL33" s="721">
        <v>88.12</v>
      </c>
      <c r="LM33" s="721">
        <v>34.25</v>
      </c>
      <c r="LN33" s="721">
        <v>0.48499999999999999</v>
      </c>
      <c r="LO33" s="721">
        <v>87.671000000000006</v>
      </c>
      <c r="LP33" s="721">
        <v>34.625</v>
      </c>
      <c r="LQ33" s="721">
        <v>0.48499999999999999</v>
      </c>
      <c r="LR33" s="721">
        <v>84.823999999999998</v>
      </c>
      <c r="LS33" s="721">
        <v>32.630000000000003</v>
      </c>
      <c r="LT33" s="721">
        <v>0.52</v>
      </c>
      <c r="LU33" s="721">
        <v>84.823999999999998</v>
      </c>
      <c r="LV33" s="721">
        <v>32.5</v>
      </c>
      <c r="LW33" s="721">
        <v>0.47</v>
      </c>
      <c r="LX33" s="721">
        <v>83.867000000000004</v>
      </c>
      <c r="LY33" s="721">
        <v>30.42</v>
      </c>
      <c r="LZ33" s="721">
        <v>0.47</v>
      </c>
      <c r="MA33" s="721">
        <v>83.004000000000005</v>
      </c>
      <c r="MB33" s="721">
        <v>28.58</v>
      </c>
      <c r="MC33" s="721">
        <v>0.47</v>
      </c>
      <c r="MD33" s="721">
        <v>80.796000000000006</v>
      </c>
      <c r="ME33" s="721">
        <v>31.33</v>
      </c>
      <c r="MF33" s="721">
        <v>0.47</v>
      </c>
      <c r="MG33" s="721">
        <v>80.150000000000006</v>
      </c>
      <c r="MH33" s="721">
        <v>29.42</v>
      </c>
      <c r="MI33" s="721">
        <v>0.46</v>
      </c>
      <c r="MJ33" s="721">
        <v>78.983999999999995</v>
      </c>
      <c r="MK33" s="721">
        <v>26.08</v>
      </c>
      <c r="ML33" s="721">
        <v>0.46</v>
      </c>
      <c r="MM33" s="721">
        <v>77.596999999999994</v>
      </c>
      <c r="MN33" s="721">
        <v>26.83</v>
      </c>
      <c r="MO33" s="721">
        <v>0.46</v>
      </c>
      <c r="MP33" s="721">
        <v>76.97</v>
      </c>
      <c r="MQ33" s="721">
        <v>25.5</v>
      </c>
    </row>
    <row r="34" spans="1:355">
      <c r="B34" s="723" t="s">
        <v>260</v>
      </c>
      <c r="C34" s="886"/>
      <c r="D34" s="886"/>
      <c r="E34" s="886"/>
      <c r="F34" s="788"/>
      <c r="G34" s="788"/>
      <c r="H34" s="788"/>
      <c r="I34" s="788"/>
      <c r="J34" s="788"/>
      <c r="K34" s="788"/>
      <c r="L34" s="828"/>
      <c r="M34" s="829"/>
      <c r="N34" s="828"/>
      <c r="O34" s="828"/>
      <c r="P34" s="828"/>
      <c r="Q34" s="828"/>
      <c r="R34" s="828"/>
      <c r="S34" s="828"/>
      <c r="T34" s="828"/>
      <c r="U34" s="788"/>
      <c r="V34" s="827"/>
      <c r="W34" s="788"/>
      <c r="X34" s="832"/>
      <c r="Y34" s="788"/>
      <c r="Z34" s="788"/>
      <c r="AA34" s="788"/>
      <c r="AB34" s="788"/>
      <c r="AC34" s="788"/>
      <c r="AJ34" s="788"/>
      <c r="AK34" s="788"/>
      <c r="AL34" s="788"/>
      <c r="AM34" s="828"/>
      <c r="AN34" s="828"/>
      <c r="AO34" s="828"/>
      <c r="AP34" s="788"/>
      <c r="AQ34" s="788"/>
      <c r="AR34" s="788"/>
      <c r="AV34" s="723"/>
      <c r="AW34" s="723"/>
      <c r="AX34" s="723"/>
      <c r="AY34" s="723"/>
      <c r="AZ34" s="723"/>
      <c r="BA34" s="723"/>
      <c r="BB34" s="723"/>
      <c r="BC34" s="723"/>
      <c r="BD34" s="723"/>
      <c r="BE34" s="723"/>
      <c r="BF34" s="723"/>
      <c r="BG34" s="723"/>
      <c r="BH34" s="723"/>
      <c r="BI34" s="723"/>
      <c r="BJ34" s="723"/>
      <c r="BK34" s="723"/>
      <c r="BL34" s="723"/>
      <c r="BM34" s="723"/>
      <c r="BN34" s="723"/>
      <c r="BO34" s="723"/>
      <c r="BP34" s="723"/>
      <c r="BQ34" s="723"/>
      <c r="BR34" s="723"/>
      <c r="BS34" s="723"/>
      <c r="BT34" s="723"/>
      <c r="BU34" s="723"/>
      <c r="BV34" s="723"/>
      <c r="BW34" s="728"/>
      <c r="BX34" s="728"/>
      <c r="BY34" s="728"/>
      <c r="BZ34" s="723"/>
      <c r="CA34" s="723"/>
      <c r="CB34" s="723"/>
      <c r="CC34" s="723"/>
      <c r="CD34" s="723"/>
      <c r="CE34" s="723"/>
      <c r="CF34" s="723"/>
      <c r="CG34" s="723"/>
      <c r="CH34" s="723"/>
      <c r="CI34" s="723"/>
      <c r="CJ34" s="723"/>
      <c r="CK34" s="723"/>
      <c r="CL34" s="723"/>
      <c r="CM34" s="723"/>
      <c r="CN34" s="723"/>
      <c r="CO34" s="723"/>
      <c r="CP34" s="723"/>
      <c r="CQ34" s="723"/>
      <c r="CR34" s="723"/>
      <c r="CS34" s="723"/>
      <c r="CT34" s="723"/>
      <c r="CU34" s="723"/>
      <c r="CV34" s="723"/>
      <c r="CW34" s="723"/>
      <c r="CX34" s="722"/>
      <c r="CY34" s="723"/>
      <c r="CZ34" s="723"/>
      <c r="DA34" s="723"/>
      <c r="DB34" s="723"/>
      <c r="DC34" s="735"/>
      <c r="DD34" s="723"/>
      <c r="DE34" s="723"/>
      <c r="DF34" s="723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5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2"/>
      <c r="EU34" s="722"/>
      <c r="EV34" s="722"/>
      <c r="EW34" s="723"/>
      <c r="EX34" s="723"/>
      <c r="EY34" s="723"/>
      <c r="EZ34" s="723"/>
      <c r="FA34" s="723"/>
      <c r="FB34" s="723"/>
      <c r="FC34" s="723"/>
      <c r="FD34" s="741"/>
      <c r="FE34" s="723"/>
      <c r="FF34" s="727"/>
      <c r="FG34" s="727"/>
      <c r="FH34" s="727"/>
      <c r="FI34" s="727"/>
      <c r="FJ34" s="727"/>
      <c r="FK34" s="727"/>
      <c r="FL34" s="727"/>
      <c r="FM34" s="727"/>
      <c r="FN34" s="727"/>
      <c r="FO34" s="727"/>
      <c r="FP34" s="727"/>
      <c r="FQ34" s="727"/>
      <c r="FR34" s="727"/>
      <c r="FS34" s="742"/>
      <c r="FT34" s="626"/>
      <c r="FU34" s="727"/>
      <c r="FV34" s="727"/>
      <c r="FW34" s="727"/>
      <c r="FX34" s="727"/>
      <c r="FY34" s="727"/>
      <c r="FZ34" s="727"/>
      <c r="GA34" s="727"/>
      <c r="GB34" s="727"/>
      <c r="GC34" s="727"/>
      <c r="GD34" s="750"/>
      <c r="GE34" s="741"/>
      <c r="GF34" s="751"/>
      <c r="GG34" s="750"/>
      <c r="GH34" s="727"/>
      <c r="GI34" s="727"/>
      <c r="GJ34" s="727"/>
      <c r="GK34" s="727"/>
      <c r="GL34" s="727"/>
      <c r="GM34" s="727"/>
      <c r="GN34" s="727"/>
      <c r="GO34" s="727"/>
      <c r="GP34" s="727"/>
      <c r="GQ34" s="727"/>
      <c r="GR34" s="727"/>
      <c r="GS34" s="727"/>
      <c r="GT34" s="727"/>
      <c r="GU34" s="752"/>
      <c r="GV34" s="727"/>
      <c r="GW34" s="727"/>
      <c r="GX34" s="727"/>
      <c r="GY34" s="727"/>
      <c r="GZ34" s="727"/>
      <c r="HA34" s="727"/>
      <c r="HB34" s="727"/>
      <c r="HC34" s="727"/>
      <c r="HD34" s="727"/>
      <c r="HE34" s="727"/>
      <c r="HF34" s="727"/>
      <c r="HG34" s="727"/>
      <c r="HH34" s="727"/>
      <c r="HI34" s="727"/>
      <c r="HJ34" s="727"/>
      <c r="HK34" s="727"/>
      <c r="HL34" s="727"/>
      <c r="HM34" s="727"/>
      <c r="HN34" s="727"/>
      <c r="HO34" s="752"/>
      <c r="HP34" s="752"/>
      <c r="HQ34" s="727">
        <v>119.559</v>
      </c>
      <c r="HR34" s="727">
        <v>40.36</v>
      </c>
      <c r="HS34" s="727">
        <v>0.54500000000000004</v>
      </c>
      <c r="HT34" s="727">
        <v>119.51600000000001</v>
      </c>
      <c r="HU34" s="727">
        <v>35.15</v>
      </c>
      <c r="HV34" s="727">
        <v>0.54500000000000004</v>
      </c>
      <c r="HW34" s="727">
        <v>120.755</v>
      </c>
      <c r="HX34" s="727">
        <v>32.49</v>
      </c>
      <c r="HY34" s="727">
        <v>0.54500000000000004</v>
      </c>
      <c r="HZ34" s="727">
        <v>121.32899999999999</v>
      </c>
      <c r="IA34" s="727">
        <v>36.8125</v>
      </c>
      <c r="IB34" s="727">
        <v>0.54500000000000004</v>
      </c>
      <c r="IC34" s="727">
        <v>121.199</v>
      </c>
      <c r="ID34" s="727">
        <v>32.4375</v>
      </c>
      <c r="IE34" s="727">
        <v>0.54500000000000004</v>
      </c>
      <c r="IF34" s="727">
        <v>121.367</v>
      </c>
      <c r="IG34" s="727">
        <v>27.0625</v>
      </c>
      <c r="IH34" s="727">
        <v>0.54500000000000004</v>
      </c>
      <c r="II34" s="727">
        <v>123.129</v>
      </c>
      <c r="IJ34" s="722">
        <v>27.375</v>
      </c>
      <c r="IK34" s="722">
        <v>0.53</v>
      </c>
      <c r="IL34" s="722">
        <v>125.04600000000001</v>
      </c>
      <c r="IM34" s="727">
        <v>29.75</v>
      </c>
      <c r="IN34" s="722">
        <v>0.53</v>
      </c>
      <c r="IO34" s="722">
        <v>125.70099999999999</v>
      </c>
      <c r="IP34" s="727">
        <v>32.625</v>
      </c>
      <c r="IQ34" s="722">
        <v>0.53</v>
      </c>
      <c r="IR34" s="721">
        <v>127.1</v>
      </c>
      <c r="IS34" s="721">
        <v>42.0625</v>
      </c>
      <c r="IT34" s="721">
        <v>0.53</v>
      </c>
      <c r="IU34" s="721">
        <v>128.07</v>
      </c>
      <c r="IV34" s="721">
        <v>37.3125</v>
      </c>
      <c r="IW34" s="721">
        <v>0.51500000000000001</v>
      </c>
      <c r="IX34" s="721">
        <v>128.07</v>
      </c>
      <c r="IY34" s="721">
        <v>44.188000000000002</v>
      </c>
      <c r="IZ34" s="721">
        <v>0.51500000000000001</v>
      </c>
      <c r="JA34" s="721">
        <v>124.54</v>
      </c>
      <c r="JB34" s="721">
        <v>42.5</v>
      </c>
      <c r="JC34" s="721">
        <v>0.51500000000000001</v>
      </c>
      <c r="JD34" s="721">
        <v>124.54</v>
      </c>
      <c r="JE34" s="721">
        <v>37.813000000000002</v>
      </c>
      <c r="JF34" s="721">
        <v>0.51500000000000001</v>
      </c>
      <c r="JG34" s="721">
        <v>121.05</v>
      </c>
      <c r="JH34" s="721">
        <v>44.25</v>
      </c>
      <c r="JI34" s="721">
        <v>0.5</v>
      </c>
      <c r="JJ34" s="721">
        <v>121.04900000000001</v>
      </c>
      <c r="JK34" s="721">
        <v>42.125</v>
      </c>
      <c r="JL34" s="721">
        <v>0.5</v>
      </c>
      <c r="JM34" s="721">
        <v>120.889</v>
      </c>
      <c r="JN34" s="721">
        <v>35.9375</v>
      </c>
      <c r="JO34" s="721">
        <v>0.5</v>
      </c>
      <c r="JP34" s="721">
        <v>120.889</v>
      </c>
      <c r="JQ34" s="721">
        <v>35.875</v>
      </c>
      <c r="JR34" s="721">
        <v>0.5</v>
      </c>
      <c r="JS34" s="721">
        <v>120.84</v>
      </c>
      <c r="JT34" s="721">
        <v>32</v>
      </c>
      <c r="JU34" s="721">
        <v>0.48499999999999999</v>
      </c>
      <c r="JV34" s="721">
        <v>120.791</v>
      </c>
      <c r="JW34" s="721">
        <v>33.625</v>
      </c>
      <c r="JX34" s="721">
        <v>0.48499999999999999</v>
      </c>
      <c r="JY34" s="721">
        <v>116.512</v>
      </c>
      <c r="JZ34" s="721">
        <v>30.75</v>
      </c>
      <c r="KA34" s="721">
        <v>0.48499999999999999</v>
      </c>
      <c r="KB34" s="721">
        <v>116.512</v>
      </c>
      <c r="KC34" s="721">
        <v>35.25</v>
      </c>
      <c r="KD34" s="721">
        <v>0.48499999999999999</v>
      </c>
      <c r="KE34" s="721">
        <v>116.512</v>
      </c>
      <c r="KF34" s="721">
        <v>32.75</v>
      </c>
      <c r="KG34" s="721">
        <v>0.47</v>
      </c>
      <c r="KH34" s="721">
        <v>116.512</v>
      </c>
      <c r="KI34" s="721">
        <v>34</v>
      </c>
      <c r="KJ34" s="721">
        <v>0.47</v>
      </c>
      <c r="KK34" s="721">
        <v>115.34</v>
      </c>
      <c r="KL34" s="721">
        <v>31.125</v>
      </c>
      <c r="KM34" s="721">
        <v>0.47</v>
      </c>
      <c r="KN34" s="721">
        <v>115.34</v>
      </c>
      <c r="KO34" s="721">
        <v>29.75</v>
      </c>
      <c r="KP34" s="721">
        <v>0.47</v>
      </c>
      <c r="KQ34" s="721">
        <v>115.34</v>
      </c>
      <c r="KR34" s="721">
        <v>29.125</v>
      </c>
      <c r="KS34" s="721">
        <v>0.45</v>
      </c>
      <c r="KT34" s="721">
        <v>114.931</v>
      </c>
      <c r="KU34" s="721">
        <v>26.25</v>
      </c>
      <c r="KV34" s="721">
        <v>0.45</v>
      </c>
      <c r="KW34" s="721">
        <v>114.931</v>
      </c>
      <c r="KX34" s="721">
        <v>24.75</v>
      </c>
      <c r="KY34" s="721">
        <v>0.45</v>
      </c>
      <c r="KZ34" s="721">
        <v>113.867</v>
      </c>
      <c r="LA34" s="721">
        <v>26.25</v>
      </c>
      <c r="LB34" s="721">
        <v>0.45</v>
      </c>
      <c r="LC34" s="721">
        <v>110.95399999999999</v>
      </c>
      <c r="LD34" s="721">
        <v>28.625</v>
      </c>
      <c r="LE34" s="721">
        <v>0.45</v>
      </c>
      <c r="LF34" s="721">
        <v>110.95399999999999</v>
      </c>
      <c r="LG34" s="721">
        <v>30.875</v>
      </c>
      <c r="LH34" s="721">
        <v>0.42499999999999999</v>
      </c>
      <c r="LI34" s="721">
        <v>110.95399999999999</v>
      </c>
      <c r="LJ34" s="721">
        <v>33.75</v>
      </c>
      <c r="LK34" s="721">
        <v>0.42499999999999999</v>
      </c>
      <c r="LL34" s="721">
        <v>110.883</v>
      </c>
      <c r="LM34" s="721">
        <v>32</v>
      </c>
      <c r="LN34" s="721">
        <v>0.4</v>
      </c>
      <c r="LO34" s="721">
        <v>110.85899999999999</v>
      </c>
      <c r="LP34" s="721">
        <v>30.25</v>
      </c>
      <c r="LQ34" s="721">
        <v>0.4</v>
      </c>
      <c r="LR34" s="721">
        <v>110.81699999999999</v>
      </c>
      <c r="LS34" s="721">
        <v>27.63</v>
      </c>
      <c r="LT34" s="721">
        <v>0.4</v>
      </c>
      <c r="LU34" s="721">
        <v>110.81699999999999</v>
      </c>
      <c r="LV34" s="721">
        <v>27.38</v>
      </c>
      <c r="LW34" s="721">
        <v>0.4</v>
      </c>
      <c r="LX34" s="721">
        <v>110.81699999999999</v>
      </c>
      <c r="LY34" s="721">
        <v>25.63</v>
      </c>
      <c r="LZ34" s="721">
        <v>0.4</v>
      </c>
      <c r="MA34" s="721">
        <v>110.81699999999999</v>
      </c>
      <c r="MB34" s="721">
        <v>25.63</v>
      </c>
      <c r="MC34" s="721">
        <v>0.38</v>
      </c>
      <c r="MD34" s="721">
        <v>110.798</v>
      </c>
      <c r="ME34" s="721">
        <v>27.25</v>
      </c>
      <c r="MF34" s="721">
        <v>0.38</v>
      </c>
      <c r="MG34" s="721">
        <v>110.792</v>
      </c>
      <c r="MH34" s="721">
        <v>25.5</v>
      </c>
      <c r="MI34" s="721">
        <v>0.38</v>
      </c>
      <c r="MJ34" s="721">
        <v>110.782</v>
      </c>
      <c r="MK34" s="721">
        <v>23.13</v>
      </c>
      <c r="ML34" s="721">
        <v>0.38</v>
      </c>
      <c r="MM34" s="721">
        <v>110.77800000000001</v>
      </c>
      <c r="MN34" s="721">
        <v>24.19</v>
      </c>
      <c r="MO34" s="721">
        <v>0.33</v>
      </c>
      <c r="MP34" s="721">
        <v>110.764</v>
      </c>
      <c r="MQ34" s="721">
        <v>22.75</v>
      </c>
    </row>
    <row r="35" spans="1:355">
      <c r="B35" s="723" t="s">
        <v>261</v>
      </c>
      <c r="C35" s="886"/>
      <c r="D35" s="886"/>
      <c r="E35" s="886"/>
      <c r="F35" s="788"/>
      <c r="G35" s="788"/>
      <c r="H35" s="788"/>
      <c r="I35" s="788"/>
      <c r="J35" s="788"/>
      <c r="K35" s="788"/>
      <c r="L35" s="828"/>
      <c r="M35" s="829"/>
      <c r="N35" s="828"/>
      <c r="O35" s="828"/>
      <c r="P35" s="828"/>
      <c r="Q35" s="828"/>
      <c r="R35" s="828"/>
      <c r="S35" s="828"/>
      <c r="T35" s="828"/>
      <c r="U35" s="788"/>
      <c r="V35" s="827"/>
      <c r="W35" s="788"/>
      <c r="X35" s="832"/>
      <c r="Y35" s="788"/>
      <c r="Z35" s="788"/>
      <c r="AA35" s="788"/>
      <c r="AB35" s="788"/>
      <c r="AC35" s="788"/>
      <c r="AJ35" s="788"/>
      <c r="AK35" s="788"/>
      <c r="AL35" s="788"/>
      <c r="AM35" s="828"/>
      <c r="AN35" s="828"/>
      <c r="AO35" s="828"/>
      <c r="AP35" s="788"/>
      <c r="AQ35" s="788"/>
      <c r="AR35" s="788"/>
      <c r="AV35" s="723"/>
      <c r="AW35" s="723"/>
      <c r="AX35" s="723"/>
      <c r="AY35" s="723"/>
      <c r="AZ35" s="723"/>
      <c r="BA35" s="723"/>
      <c r="BB35" s="723"/>
      <c r="BC35" s="723"/>
      <c r="BD35" s="723"/>
      <c r="BE35" s="723"/>
      <c r="BF35" s="723"/>
      <c r="BG35" s="723"/>
      <c r="BH35" s="723"/>
      <c r="BI35" s="723"/>
      <c r="BJ35" s="723"/>
      <c r="BK35" s="723"/>
      <c r="BL35" s="723"/>
      <c r="BM35" s="723"/>
      <c r="BN35" s="723"/>
      <c r="BO35" s="723"/>
      <c r="BP35" s="723"/>
      <c r="BQ35" s="723"/>
      <c r="BR35" s="723"/>
      <c r="BS35" s="723"/>
      <c r="BT35" s="723"/>
      <c r="BU35" s="723"/>
      <c r="BV35" s="723"/>
      <c r="BW35" s="728"/>
      <c r="BX35" s="728"/>
      <c r="BY35" s="728"/>
      <c r="BZ35" s="723"/>
      <c r="CA35" s="723"/>
      <c r="CB35" s="723"/>
      <c r="CC35" s="723"/>
      <c r="CD35" s="723"/>
      <c r="CE35" s="723"/>
      <c r="CF35" s="723"/>
      <c r="CG35" s="723"/>
      <c r="CH35" s="723"/>
      <c r="CI35" s="723"/>
      <c r="CJ35" s="723"/>
      <c r="CK35" s="723"/>
      <c r="CL35" s="723"/>
      <c r="CM35" s="723"/>
      <c r="CN35" s="723"/>
      <c r="CO35" s="723"/>
      <c r="CP35" s="723"/>
      <c r="CQ35" s="723"/>
      <c r="CR35" s="723"/>
      <c r="CS35" s="723"/>
      <c r="CT35" s="723"/>
      <c r="CU35" s="723"/>
      <c r="CV35" s="723"/>
      <c r="CW35" s="723"/>
      <c r="CX35" s="722"/>
      <c r="CY35" s="723"/>
      <c r="CZ35" s="723"/>
      <c r="DA35" s="723"/>
      <c r="DB35" s="723"/>
      <c r="DC35" s="735"/>
      <c r="DD35" s="723"/>
      <c r="DE35" s="723"/>
      <c r="DF35" s="723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5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2"/>
      <c r="EU35" s="722"/>
      <c r="EV35" s="722"/>
      <c r="EW35" s="723"/>
      <c r="EX35" s="723"/>
      <c r="EY35" s="723"/>
      <c r="EZ35" s="723"/>
      <c r="FA35" s="723"/>
      <c r="FB35" s="723"/>
      <c r="FC35" s="723">
        <v>5.27</v>
      </c>
      <c r="FD35" s="741">
        <v>34.869999999999997</v>
      </c>
      <c r="FE35" s="723">
        <v>0.28000000000000003</v>
      </c>
      <c r="FF35" s="727">
        <v>5.28</v>
      </c>
      <c r="FG35" s="727">
        <v>33.89</v>
      </c>
      <c r="FH35" s="727">
        <v>0.28000000000000003</v>
      </c>
      <c r="FI35" s="727">
        <v>5.26</v>
      </c>
      <c r="FJ35" s="727">
        <v>33.369999999999997</v>
      </c>
      <c r="FK35" s="727">
        <v>0.28000000000000003</v>
      </c>
      <c r="FL35" s="727">
        <v>5.2430000000000003</v>
      </c>
      <c r="FM35" s="727">
        <v>33.99</v>
      </c>
      <c r="FN35" s="727">
        <v>0.28000000000000003</v>
      </c>
      <c r="FO35" s="727">
        <v>5.2240000000000002</v>
      </c>
      <c r="FP35" s="727">
        <v>28.89</v>
      </c>
      <c r="FQ35" s="727">
        <v>0.28000000000000003</v>
      </c>
      <c r="FR35" s="727">
        <v>5.2080000000000002</v>
      </c>
      <c r="FS35" s="742">
        <v>28.77</v>
      </c>
      <c r="FT35" s="626">
        <f>1/4</f>
        <v>0.25</v>
      </c>
      <c r="FU35" s="727">
        <v>5.1859999999999999</v>
      </c>
      <c r="FV35" s="727">
        <v>32.93</v>
      </c>
      <c r="FW35" s="727">
        <v>0.25</v>
      </c>
      <c r="FX35" s="727">
        <v>5.16</v>
      </c>
      <c r="FY35" s="727">
        <v>29.84</v>
      </c>
      <c r="FZ35" s="727">
        <v>0.25</v>
      </c>
      <c r="GA35" s="727">
        <v>5.0890000000000004</v>
      </c>
      <c r="GB35" s="727">
        <v>29.3</v>
      </c>
      <c r="GC35" s="727">
        <v>0.25</v>
      </c>
      <c r="GD35" s="750">
        <v>5.0890000000000004</v>
      </c>
      <c r="GE35" s="741">
        <v>28.83</v>
      </c>
      <c r="GF35" s="751">
        <v>0.22</v>
      </c>
      <c r="GG35" s="750">
        <v>5.0720000000000001</v>
      </c>
      <c r="GH35" s="727">
        <v>26.05</v>
      </c>
      <c r="GI35" s="727">
        <v>0.22</v>
      </c>
      <c r="GJ35" s="727">
        <v>5.0460000000000003</v>
      </c>
      <c r="GK35" s="727">
        <v>26.1</v>
      </c>
      <c r="GL35" s="727">
        <v>0.22</v>
      </c>
      <c r="GM35" s="727">
        <v>4.9820000000000002</v>
      </c>
      <c r="GN35" s="727">
        <v>25.87</v>
      </c>
      <c r="GO35" s="727">
        <v>0.22</v>
      </c>
      <c r="GP35" s="727">
        <v>4.9820000000000002</v>
      </c>
      <c r="GQ35" s="727">
        <v>23.6</v>
      </c>
      <c r="GR35" s="727">
        <v>0.19</v>
      </c>
      <c r="GS35" s="727">
        <v>4.9690000000000003</v>
      </c>
      <c r="GT35" s="727">
        <v>22.55</v>
      </c>
      <c r="GU35" s="727">
        <v>0.19</v>
      </c>
      <c r="GV35" s="727">
        <v>4.9589999999999996</v>
      </c>
      <c r="GW35" s="727">
        <v>20</v>
      </c>
      <c r="GX35" s="727">
        <v>0.19</v>
      </c>
      <c r="GY35" s="727">
        <v>5.3330000000000002</v>
      </c>
      <c r="GZ35" s="727">
        <v>20.21</v>
      </c>
      <c r="HA35" s="727">
        <v>0.19</v>
      </c>
      <c r="HB35" s="727">
        <v>5.7229999999999999</v>
      </c>
      <c r="HC35" s="727">
        <v>20.97</v>
      </c>
      <c r="HD35" s="727">
        <v>0.19</v>
      </c>
      <c r="HE35" s="727">
        <v>5.7110000000000003</v>
      </c>
      <c r="HF35" s="727">
        <v>17.7</v>
      </c>
      <c r="HG35" s="727">
        <v>0.13750000000000001</v>
      </c>
      <c r="HH35" s="727">
        <v>5.6909999999999998</v>
      </c>
      <c r="HI35" s="727">
        <v>18.16</v>
      </c>
      <c r="HJ35" s="727">
        <v>0.13750000000000001</v>
      </c>
      <c r="HK35" s="727">
        <v>5.6719999999999997</v>
      </c>
      <c r="HL35" s="727">
        <v>18.25</v>
      </c>
      <c r="HM35" s="727">
        <v>0.13750000000000001</v>
      </c>
      <c r="HN35" s="727">
        <v>5.6440000000000001</v>
      </c>
      <c r="HO35" s="727">
        <v>18.649999999999999</v>
      </c>
      <c r="HP35" s="727">
        <v>0.13750000000000001</v>
      </c>
      <c r="HQ35" s="727">
        <v>5.6150000000000002</v>
      </c>
      <c r="HR35" s="727">
        <v>16.5</v>
      </c>
      <c r="HS35" s="727">
        <v>0.13750000000000001</v>
      </c>
      <c r="HT35" s="727">
        <v>5.5880000000000001</v>
      </c>
      <c r="HU35" s="727">
        <v>15.96</v>
      </c>
      <c r="HV35" s="727">
        <v>0.13750000000000001</v>
      </c>
      <c r="HW35" s="727">
        <v>5.5510000000000002</v>
      </c>
      <c r="HX35" s="727">
        <v>16.73</v>
      </c>
      <c r="HY35" s="727">
        <v>0.13750000000000001</v>
      </c>
      <c r="HZ35" s="727">
        <v>5.5049999999999999</v>
      </c>
      <c r="IA35" s="727">
        <v>12.5</v>
      </c>
      <c r="IB35" s="727">
        <v>0.13750000000000001</v>
      </c>
      <c r="IC35" s="727">
        <v>5.4720000000000004</v>
      </c>
      <c r="ID35" s="727">
        <v>7.5625</v>
      </c>
      <c r="IE35" s="727">
        <v>0.13750000000000001</v>
      </c>
      <c r="IF35" s="727">
        <v>5.4370000000000003</v>
      </c>
      <c r="IG35" s="727">
        <v>8.25</v>
      </c>
      <c r="IH35" s="727">
        <v>0.13750000000000001</v>
      </c>
      <c r="II35" s="727">
        <v>5.4020000000000001</v>
      </c>
      <c r="IJ35" s="722">
        <v>6.6875</v>
      </c>
      <c r="IK35" s="722">
        <v>0.13750000000000001</v>
      </c>
      <c r="IL35" s="722">
        <v>5.3739999999999997</v>
      </c>
      <c r="IM35" s="727">
        <v>7.4375</v>
      </c>
      <c r="IN35" s="722">
        <v>0.13750000000000001</v>
      </c>
      <c r="IO35" s="722">
        <v>5.3440000000000003</v>
      </c>
      <c r="IP35" s="727">
        <v>10.25</v>
      </c>
      <c r="IQ35" s="722">
        <v>0.13750000000000001</v>
      </c>
      <c r="IR35" s="721">
        <v>5.2</v>
      </c>
      <c r="IS35" s="721">
        <v>11.3125</v>
      </c>
      <c r="IT35" s="721">
        <v>0.13750000000000001</v>
      </c>
      <c r="IU35" s="721">
        <v>5.2</v>
      </c>
      <c r="IV35" s="721">
        <v>9.6875</v>
      </c>
      <c r="IW35" s="721">
        <v>0.13750000000000001</v>
      </c>
      <c r="IX35" s="721">
        <v>5.2</v>
      </c>
      <c r="IY35" s="721">
        <v>10.5</v>
      </c>
      <c r="IZ35" s="721">
        <v>0.13800000000000001</v>
      </c>
      <c r="JA35" s="721">
        <v>5.2</v>
      </c>
      <c r="JB35" s="721">
        <v>11.438000000000001</v>
      </c>
      <c r="JC35" s="721">
        <v>0.27500000000000002</v>
      </c>
      <c r="JD35" s="721">
        <v>5.2</v>
      </c>
      <c r="JE35" s="721">
        <v>14.313000000000001</v>
      </c>
      <c r="JF35" s="721">
        <v>0.27500000000000002</v>
      </c>
      <c r="JG35" s="721">
        <v>5.14</v>
      </c>
      <c r="JH35" s="721">
        <v>18.875</v>
      </c>
      <c r="JI35" s="721">
        <v>0.27500000000000002</v>
      </c>
      <c r="JJ35" s="721">
        <v>5.1379999999999999</v>
      </c>
      <c r="JK35" s="721">
        <v>18.3125</v>
      </c>
      <c r="JL35" s="721">
        <v>0.27500000000000002</v>
      </c>
      <c r="JM35" s="721">
        <v>5.0439999999999996</v>
      </c>
      <c r="JN35" s="721">
        <v>18.875</v>
      </c>
      <c r="JO35" s="721">
        <v>0.27500000000000002</v>
      </c>
      <c r="JP35" s="721">
        <v>5.0439999999999996</v>
      </c>
      <c r="JQ35" s="721">
        <v>23.687999999999999</v>
      </c>
      <c r="JR35" s="721">
        <v>0.53</v>
      </c>
      <c r="JS35" s="721">
        <v>4.9329999999999998</v>
      </c>
      <c r="JT35" s="721">
        <v>23.25</v>
      </c>
      <c r="JU35" s="721">
        <v>0.53</v>
      </c>
      <c r="JV35" s="721">
        <v>4.7699999999999996</v>
      </c>
      <c r="JW35" s="721">
        <v>23.875</v>
      </c>
      <c r="JX35" s="721">
        <v>0.53</v>
      </c>
      <c r="JY35" s="721">
        <v>4.7699999999999996</v>
      </c>
      <c r="JZ35" s="721">
        <v>24.25</v>
      </c>
      <c r="KA35" s="721">
        <v>0.53</v>
      </c>
      <c r="KB35" s="721">
        <v>4.7699999999999996</v>
      </c>
      <c r="KC35" s="721">
        <v>24.25</v>
      </c>
      <c r="KD35" s="721">
        <v>0.53</v>
      </c>
      <c r="KE35" s="721">
        <v>4.7699999999999996</v>
      </c>
      <c r="KF35" s="721">
        <v>27.375</v>
      </c>
      <c r="KG35" s="721">
        <v>0.53</v>
      </c>
      <c r="KH35" s="721">
        <v>4.7699999999999996</v>
      </c>
      <c r="KI35" s="721">
        <v>27.75</v>
      </c>
      <c r="KJ35" s="721">
        <v>0.53</v>
      </c>
      <c r="KK35" s="721">
        <v>4.68</v>
      </c>
      <c r="KL35" s="721">
        <v>27</v>
      </c>
      <c r="KM35" s="721">
        <v>0.53</v>
      </c>
      <c r="KN35" s="721">
        <v>4.68</v>
      </c>
      <c r="KO35" s="721">
        <v>25.125</v>
      </c>
      <c r="KP35" s="721">
        <v>0.53</v>
      </c>
      <c r="KQ35" s="721">
        <v>4.68</v>
      </c>
      <c r="KR35" s="721">
        <v>25</v>
      </c>
      <c r="KS35" s="721">
        <v>0.53</v>
      </c>
      <c r="KT35" s="721">
        <v>4.569</v>
      </c>
      <c r="KU35" s="721">
        <v>27.875</v>
      </c>
      <c r="KV35" s="721">
        <v>0.53</v>
      </c>
      <c r="KW35" s="721">
        <v>4.569</v>
      </c>
      <c r="KX35" s="721">
        <v>24</v>
      </c>
      <c r="KY35" s="721">
        <v>0.53</v>
      </c>
      <c r="KZ35" s="721">
        <v>4.55</v>
      </c>
      <c r="LA35" s="721">
        <v>24.625</v>
      </c>
      <c r="LB35" s="721">
        <v>0.53</v>
      </c>
      <c r="LC35" s="721">
        <v>4.47</v>
      </c>
      <c r="LD35" s="721">
        <v>29.75</v>
      </c>
      <c r="LE35" s="721">
        <v>0.53</v>
      </c>
      <c r="LF35" s="721">
        <v>4.47</v>
      </c>
      <c r="LG35" s="721">
        <v>31</v>
      </c>
      <c r="LH35" s="721">
        <v>0.53</v>
      </c>
      <c r="LI35" s="721">
        <v>4.47</v>
      </c>
      <c r="LJ35" s="721">
        <v>34.75</v>
      </c>
      <c r="LK35" s="721">
        <v>0.53</v>
      </c>
      <c r="LL35" s="721">
        <v>4.4420000000000002</v>
      </c>
      <c r="LM35" s="721">
        <v>35.625</v>
      </c>
      <c r="LN35" s="721">
        <v>0.52500000000000002</v>
      </c>
      <c r="LO35" s="721">
        <v>4.415</v>
      </c>
      <c r="LP35" s="721">
        <v>34.75</v>
      </c>
      <c r="LQ35" s="721">
        <v>0.52500000000000002</v>
      </c>
      <c r="LR35" s="721">
        <v>4.3310000000000004</v>
      </c>
      <c r="LS35" s="721">
        <v>33.130000000000003</v>
      </c>
      <c r="LT35" s="721">
        <v>0.53</v>
      </c>
      <c r="LU35" s="721">
        <v>4.3310000000000004</v>
      </c>
      <c r="LV35" s="721">
        <v>32.5</v>
      </c>
      <c r="LW35" s="721">
        <v>0.53</v>
      </c>
      <c r="LX35" s="721">
        <v>4.3170000000000002</v>
      </c>
      <c r="LY35" s="721">
        <v>30</v>
      </c>
      <c r="LZ35" s="721">
        <v>0.52</v>
      </c>
      <c r="MA35" s="721">
        <v>4.3049999999999997</v>
      </c>
      <c r="MB35" s="721">
        <v>29.5</v>
      </c>
      <c r="MC35" s="721">
        <v>0.52</v>
      </c>
      <c r="MD35" s="721">
        <v>3.919</v>
      </c>
      <c r="ME35" s="721">
        <v>29.88</v>
      </c>
      <c r="MF35" s="721">
        <v>0.52</v>
      </c>
      <c r="MG35" s="721">
        <v>3.798</v>
      </c>
      <c r="MH35" s="721">
        <v>28.25</v>
      </c>
      <c r="MI35" s="721">
        <v>0.52</v>
      </c>
      <c r="MJ35" s="721">
        <v>3.7850000000000001</v>
      </c>
      <c r="MK35" s="721">
        <v>25.38</v>
      </c>
      <c r="ML35" s="721">
        <v>0.51</v>
      </c>
      <c r="MM35" s="721">
        <v>3.7730000000000001</v>
      </c>
      <c r="MN35" s="721">
        <v>26</v>
      </c>
      <c r="MO35" s="721">
        <v>0.51</v>
      </c>
      <c r="MP35" s="721">
        <v>3.7290000000000001</v>
      </c>
      <c r="MQ35" s="721">
        <v>22.25</v>
      </c>
    </row>
    <row r="36" spans="1:355">
      <c r="B36" s="723" t="s">
        <v>262</v>
      </c>
      <c r="C36" s="886"/>
      <c r="D36" s="886"/>
      <c r="E36" s="886"/>
      <c r="F36" s="788"/>
      <c r="G36" s="788"/>
      <c r="H36" s="788"/>
      <c r="I36" s="788"/>
      <c r="J36" s="788"/>
      <c r="K36" s="788"/>
      <c r="L36" s="828"/>
      <c r="M36" s="829"/>
      <c r="N36" s="828"/>
      <c r="O36" s="828"/>
      <c r="P36" s="828"/>
      <c r="Q36" s="828"/>
      <c r="R36" s="828"/>
      <c r="S36" s="828"/>
      <c r="T36" s="828"/>
      <c r="U36" s="788"/>
      <c r="V36" s="827"/>
      <c r="W36" s="788"/>
      <c r="X36" s="832"/>
      <c r="Y36" s="788"/>
      <c r="Z36" s="788"/>
      <c r="AA36" s="788"/>
      <c r="AB36" s="788"/>
      <c r="AC36" s="788"/>
      <c r="AJ36" s="788"/>
      <c r="AK36" s="788"/>
      <c r="AL36" s="788"/>
      <c r="AM36" s="828"/>
      <c r="AN36" s="828"/>
      <c r="AO36" s="828"/>
      <c r="AP36" s="788"/>
      <c r="AQ36" s="788"/>
      <c r="AR36" s="788"/>
      <c r="AV36" s="723"/>
      <c r="AW36" s="723"/>
      <c r="AX36" s="723"/>
      <c r="AY36" s="723"/>
      <c r="AZ36" s="723"/>
      <c r="BA36" s="723"/>
      <c r="BB36" s="723"/>
      <c r="BC36" s="723"/>
      <c r="BD36" s="723"/>
      <c r="BE36" s="723"/>
      <c r="BF36" s="723"/>
      <c r="BG36" s="723"/>
      <c r="BH36" s="723"/>
      <c r="BI36" s="723"/>
      <c r="BJ36" s="723"/>
      <c r="BK36" s="723"/>
      <c r="BL36" s="723"/>
      <c r="BM36" s="723"/>
      <c r="BN36" s="723"/>
      <c r="BO36" s="723"/>
      <c r="BP36" s="723"/>
      <c r="BQ36" s="723"/>
      <c r="BR36" s="723"/>
      <c r="BS36" s="723"/>
      <c r="BT36" s="723"/>
      <c r="BU36" s="723"/>
      <c r="BV36" s="723"/>
      <c r="BW36" s="728"/>
      <c r="BX36" s="728"/>
      <c r="BY36" s="728"/>
      <c r="BZ36" s="723"/>
      <c r="CA36" s="723"/>
      <c r="CB36" s="723"/>
      <c r="CC36" s="723"/>
      <c r="CD36" s="723"/>
      <c r="CE36" s="723"/>
      <c r="CF36" s="723"/>
      <c r="CG36" s="723"/>
      <c r="CH36" s="723"/>
      <c r="CI36" s="723"/>
      <c r="CJ36" s="723"/>
      <c r="CK36" s="723"/>
      <c r="CL36" s="723"/>
      <c r="CM36" s="723"/>
      <c r="CN36" s="723"/>
      <c r="CO36" s="723"/>
      <c r="CP36" s="723"/>
      <c r="CQ36" s="723"/>
      <c r="CR36" s="723"/>
      <c r="CS36" s="723"/>
      <c r="CT36" s="723"/>
      <c r="CU36" s="723"/>
      <c r="CV36" s="723"/>
      <c r="CW36" s="723"/>
      <c r="CX36" s="722"/>
      <c r="CY36" s="723"/>
      <c r="CZ36" s="723"/>
      <c r="DA36" s="723"/>
      <c r="DB36" s="723"/>
      <c r="DC36" s="735"/>
      <c r="DD36" s="723"/>
      <c r="DE36" s="723"/>
      <c r="DF36" s="723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5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2"/>
      <c r="EU36" s="722"/>
      <c r="EV36" s="722"/>
      <c r="EW36" s="723"/>
      <c r="EX36" s="723"/>
      <c r="EY36" s="723"/>
      <c r="EZ36" s="723"/>
      <c r="FA36" s="723"/>
      <c r="FB36" s="723"/>
      <c r="FC36" s="723"/>
      <c r="FD36" s="741"/>
      <c r="FE36" s="723"/>
      <c r="FF36" s="727"/>
      <c r="FG36" s="727"/>
      <c r="FH36" s="727"/>
      <c r="FI36" s="727"/>
      <c r="FJ36" s="727"/>
      <c r="FK36" s="727"/>
      <c r="FL36" s="727"/>
      <c r="FM36" s="727"/>
      <c r="FN36" s="727"/>
      <c r="FO36" s="727"/>
      <c r="FP36" s="727"/>
      <c r="FQ36" s="727"/>
      <c r="FR36" s="727"/>
      <c r="FS36" s="742"/>
      <c r="FT36" s="626"/>
      <c r="FU36" s="727"/>
      <c r="FV36" s="727"/>
      <c r="FW36" s="727"/>
      <c r="FX36" s="727"/>
      <c r="FY36" s="727"/>
      <c r="FZ36" s="727"/>
      <c r="GA36" s="727"/>
      <c r="GB36" s="727"/>
      <c r="GC36" s="727"/>
      <c r="GD36" s="750"/>
      <c r="GE36" s="741"/>
      <c r="GF36" s="751"/>
      <c r="GG36" s="750"/>
      <c r="GH36" s="727"/>
      <c r="GI36" s="727"/>
      <c r="GJ36" s="727"/>
      <c r="GK36" s="727"/>
      <c r="GL36" s="727"/>
      <c r="GM36" s="727"/>
      <c r="GN36" s="727"/>
      <c r="GO36" s="727"/>
      <c r="GP36" s="727"/>
      <c r="GQ36" s="727"/>
      <c r="GR36" s="727"/>
      <c r="GS36" s="727"/>
      <c r="GT36" s="727"/>
      <c r="GU36" s="752"/>
      <c r="GV36" s="727"/>
      <c r="GW36" s="727"/>
      <c r="GX36" s="727"/>
      <c r="GY36" s="727"/>
      <c r="GZ36" s="727"/>
      <c r="HA36" s="727"/>
      <c r="HB36" s="727"/>
      <c r="HC36" s="727"/>
      <c r="HD36" s="727"/>
      <c r="HE36" s="727"/>
      <c r="HF36" s="727"/>
      <c r="HG36" s="727"/>
      <c r="HH36" s="727"/>
      <c r="HI36" s="727"/>
      <c r="HJ36" s="727"/>
      <c r="HK36" s="727"/>
      <c r="HL36" s="727"/>
      <c r="HM36" s="727"/>
      <c r="HN36" s="727"/>
      <c r="HO36" s="752"/>
      <c r="HP36" s="752"/>
      <c r="HQ36" s="727"/>
      <c r="HR36" s="727"/>
      <c r="HS36" s="727"/>
      <c r="HT36" s="727"/>
      <c r="HU36" s="727"/>
      <c r="HV36" s="727"/>
      <c r="HW36" s="727"/>
      <c r="HX36" s="727"/>
      <c r="HY36" s="727"/>
      <c r="HZ36" s="727"/>
      <c r="IA36" s="727"/>
      <c r="IB36" s="727"/>
      <c r="IC36" s="727"/>
      <c r="ID36" s="727"/>
      <c r="IE36" s="727"/>
      <c r="IF36" s="727"/>
      <c r="IG36" s="727"/>
      <c r="IH36" s="727"/>
      <c r="II36" s="727"/>
      <c r="IJ36" s="722"/>
      <c r="IK36" s="722"/>
      <c r="IL36" s="722"/>
      <c r="IM36" s="727"/>
      <c r="IN36" s="722"/>
      <c r="IO36" s="722"/>
      <c r="IP36" s="727"/>
      <c r="IQ36" s="722"/>
      <c r="IR36" s="721"/>
      <c r="IS36" s="721"/>
      <c r="IT36" s="721"/>
      <c r="IU36" s="721"/>
      <c r="IV36" s="721"/>
      <c r="IW36" s="721"/>
      <c r="IX36" s="721"/>
      <c r="IY36" s="721"/>
      <c r="IZ36" s="721"/>
      <c r="JA36" s="721"/>
      <c r="JB36" s="721"/>
      <c r="JC36" s="721"/>
      <c r="JD36" s="721"/>
      <c r="JE36" s="721"/>
      <c r="JF36" s="721"/>
      <c r="JG36" s="721"/>
      <c r="JH36" s="721"/>
      <c r="JI36" s="721"/>
      <c r="JJ36" s="721"/>
      <c r="JK36" s="721"/>
      <c r="JL36" s="721"/>
      <c r="JM36" s="721"/>
      <c r="JN36" s="721"/>
      <c r="JO36" s="721"/>
      <c r="JP36" s="721"/>
      <c r="JQ36" s="721"/>
      <c r="JR36" s="721"/>
      <c r="JS36" s="721"/>
      <c r="JT36" s="721"/>
      <c r="JU36" s="721"/>
      <c r="JV36" s="721"/>
      <c r="JW36" s="721"/>
      <c r="JX36" s="721"/>
      <c r="JY36" s="721"/>
      <c r="JZ36" s="721"/>
      <c r="KA36" s="721"/>
      <c r="KB36" s="721"/>
      <c r="KC36" s="721"/>
      <c r="KD36" s="721"/>
      <c r="KE36" s="721"/>
      <c r="KF36" s="721"/>
      <c r="KG36" s="721"/>
      <c r="KH36" s="721"/>
      <c r="KI36" s="721"/>
      <c r="KJ36" s="721"/>
      <c r="KK36" s="721"/>
      <c r="KL36" s="721"/>
      <c r="KM36" s="721"/>
      <c r="KN36" s="721"/>
      <c r="KO36" s="721"/>
      <c r="KP36" s="721"/>
      <c r="KQ36" s="721"/>
      <c r="KR36" s="721"/>
      <c r="KS36" s="721"/>
      <c r="KT36" s="721"/>
      <c r="KU36" s="721"/>
      <c r="KV36" s="721"/>
      <c r="KW36" s="721"/>
      <c r="KX36" s="721"/>
      <c r="KY36" s="721"/>
      <c r="KZ36" s="721"/>
      <c r="LA36" s="721"/>
      <c r="LB36" s="721"/>
      <c r="LC36" s="721"/>
      <c r="LD36" s="721"/>
      <c r="LE36" s="721"/>
      <c r="LF36" s="721">
        <v>114.05500000000001</v>
      </c>
      <c r="LG36" s="721">
        <v>20.25</v>
      </c>
      <c r="LH36" s="721">
        <v>0</v>
      </c>
      <c r="LI36" s="721">
        <v>114.05500000000001</v>
      </c>
      <c r="LJ36" s="721">
        <v>19.125</v>
      </c>
      <c r="LK36" s="721">
        <v>0</v>
      </c>
      <c r="LL36" s="721">
        <v>114.05500000000001</v>
      </c>
      <c r="LM36" s="721">
        <v>18.5</v>
      </c>
      <c r="LN36" s="721">
        <v>0</v>
      </c>
      <c r="LO36" s="721">
        <v>114.05500000000001</v>
      </c>
      <c r="LP36" s="721">
        <v>17.75</v>
      </c>
      <c r="LQ36" s="721">
        <v>0</v>
      </c>
      <c r="LR36" s="721">
        <v>114.05500000000001</v>
      </c>
      <c r="LS36" s="721">
        <v>16.25</v>
      </c>
      <c r="LT36" s="721">
        <v>0</v>
      </c>
      <c r="LU36" s="721">
        <v>114.05500000000001</v>
      </c>
      <c r="LV36" s="721">
        <v>16.375</v>
      </c>
      <c r="LW36" s="721">
        <v>0</v>
      </c>
      <c r="LX36" s="721">
        <v>114.05500000000001</v>
      </c>
      <c r="LY36" s="721">
        <v>15.25</v>
      </c>
      <c r="LZ36" s="721">
        <v>0</v>
      </c>
      <c r="MA36" s="721">
        <v>114.05500000000001</v>
      </c>
      <c r="MB36" s="721">
        <v>12.875</v>
      </c>
      <c r="MC36" s="721">
        <v>0</v>
      </c>
      <c r="MD36" s="721">
        <v>114.05500000000001</v>
      </c>
      <c r="ME36" s="721">
        <v>10.25</v>
      </c>
      <c r="MF36" s="721">
        <v>0</v>
      </c>
      <c r="MG36" s="721">
        <v>108.05500000000001</v>
      </c>
      <c r="MH36" s="721">
        <v>10.125</v>
      </c>
      <c r="MI36" s="721">
        <v>0</v>
      </c>
      <c r="MJ36" s="721">
        <v>108.05500000000001</v>
      </c>
      <c r="MK36" s="721">
        <v>9.25</v>
      </c>
      <c r="ML36" s="721">
        <v>0</v>
      </c>
      <c r="MM36" s="721">
        <v>108.05500000000001</v>
      </c>
      <c r="MN36" s="721">
        <v>11.875</v>
      </c>
      <c r="MO36" s="721">
        <v>0</v>
      </c>
      <c r="MP36" s="721">
        <v>108.05500000000001</v>
      </c>
      <c r="MQ36" s="721">
        <v>11</v>
      </c>
    </row>
    <row r="37" spans="1:355" ht="13.8" thickBot="1">
      <c r="A37" s="633" t="s">
        <v>36</v>
      </c>
      <c r="B37" s="726" t="s">
        <v>131</v>
      </c>
      <c r="C37" s="885">
        <v>108.949</v>
      </c>
      <c r="D37" s="885">
        <v>43.05</v>
      </c>
      <c r="E37" s="887">
        <v>0.33</v>
      </c>
      <c r="F37" s="828">
        <v>108.973</v>
      </c>
      <c r="G37" s="828">
        <v>46.86</v>
      </c>
      <c r="H37" s="828">
        <v>0.32</v>
      </c>
      <c r="I37" s="828">
        <v>108.938</v>
      </c>
      <c r="J37" s="828">
        <v>45.61</v>
      </c>
      <c r="K37" s="828">
        <v>0.32</v>
      </c>
      <c r="L37" s="828">
        <v>108.913</v>
      </c>
      <c r="M37" s="829">
        <v>43.55</v>
      </c>
      <c r="N37" s="828">
        <v>0.32</v>
      </c>
      <c r="O37" s="828">
        <v>108.855</v>
      </c>
      <c r="P37" s="828">
        <v>40.770000000000003</v>
      </c>
      <c r="Q37" s="839">
        <v>0.32</v>
      </c>
      <c r="R37" s="828">
        <v>108.879</v>
      </c>
      <c r="S37" s="828">
        <v>36.619999999999997</v>
      </c>
      <c r="T37" s="828">
        <v>0.31</v>
      </c>
      <c r="U37" s="828">
        <v>108.842</v>
      </c>
      <c r="V37" s="829">
        <v>35.590000000000003</v>
      </c>
      <c r="W37" s="828">
        <v>0.31</v>
      </c>
      <c r="X37" s="832">
        <v>108.818</v>
      </c>
      <c r="Y37" s="788">
        <v>34.299999999999997</v>
      </c>
      <c r="Z37" s="788">
        <v>0.31</v>
      </c>
      <c r="AA37" s="788">
        <v>108.786</v>
      </c>
      <c r="AB37" s="788">
        <v>34.380000000000003</v>
      </c>
      <c r="AC37" s="788">
        <v>0.31</v>
      </c>
      <c r="AD37" s="788">
        <v>108.786</v>
      </c>
      <c r="AE37" s="788">
        <v>36.15</v>
      </c>
      <c r="AF37" s="788">
        <v>0.31</v>
      </c>
      <c r="AG37" s="788">
        <v>108.75</v>
      </c>
      <c r="AH37" s="788">
        <v>33.369999999999997</v>
      </c>
      <c r="AI37" s="788">
        <v>0.31</v>
      </c>
      <c r="AJ37" s="788">
        <v>108.67400000000001</v>
      </c>
      <c r="AK37" s="788">
        <v>32.380000000000003</v>
      </c>
      <c r="AL37" s="788">
        <v>0.31</v>
      </c>
      <c r="AM37" s="828">
        <v>108.102</v>
      </c>
      <c r="AN37" s="828">
        <v>33.31</v>
      </c>
      <c r="AO37" s="828">
        <v>0.31</v>
      </c>
      <c r="AP37" s="788">
        <v>108.268</v>
      </c>
      <c r="AQ37" s="788">
        <v>33.07</v>
      </c>
      <c r="AR37" s="788">
        <v>0.31</v>
      </c>
      <c r="AS37" s="727">
        <v>107.962</v>
      </c>
      <c r="AT37" s="727">
        <v>29.85</v>
      </c>
      <c r="AU37" s="727">
        <v>0.31</v>
      </c>
      <c r="AV37" s="727">
        <v>107.62</v>
      </c>
      <c r="AW37" s="727">
        <v>32.79</v>
      </c>
      <c r="AX37" s="727">
        <v>0.31</v>
      </c>
      <c r="AY37" s="727">
        <v>106.41800000000001</v>
      </c>
      <c r="AZ37" s="727">
        <v>32.4</v>
      </c>
      <c r="BA37" s="727">
        <v>0.31</v>
      </c>
      <c r="BB37" s="727">
        <v>107.45699999999999</v>
      </c>
      <c r="BC37" s="727">
        <v>28.95</v>
      </c>
      <c r="BD37" s="727">
        <v>0.31</v>
      </c>
      <c r="BE37" s="727">
        <v>107.41800000000001</v>
      </c>
      <c r="BF37" s="727">
        <v>28.69</v>
      </c>
      <c r="BG37" s="727">
        <v>0.31</v>
      </c>
      <c r="BH37" s="727">
        <v>103.28100000000001</v>
      </c>
      <c r="BI37" s="727">
        <v>29.73</v>
      </c>
      <c r="BJ37" s="727">
        <v>0.31</v>
      </c>
      <c r="BK37" s="726">
        <v>102.56100000000001</v>
      </c>
      <c r="BL37" s="726">
        <v>32.119999999999997</v>
      </c>
      <c r="BM37" s="726">
        <v>0.31</v>
      </c>
      <c r="BN37" s="727">
        <v>102.416</v>
      </c>
      <c r="BO37" s="727">
        <v>33.479999999999997</v>
      </c>
      <c r="BP37" s="727">
        <v>0.31</v>
      </c>
      <c r="BQ37" s="727">
        <v>101.495</v>
      </c>
      <c r="BR37" s="727">
        <v>26.55</v>
      </c>
      <c r="BS37" s="727">
        <v>0.31</v>
      </c>
      <c r="BT37" s="727">
        <v>101.38200000000001</v>
      </c>
      <c r="BU37" s="727">
        <v>25.32</v>
      </c>
      <c r="BV37" s="727">
        <v>0.31</v>
      </c>
      <c r="BW37" s="726">
        <v>98.968000000000004</v>
      </c>
      <c r="BX37" s="726">
        <v>25.42</v>
      </c>
      <c r="BY37" s="726">
        <v>0.31</v>
      </c>
      <c r="BZ37" s="727">
        <v>99.203999999999994</v>
      </c>
      <c r="CA37" s="727">
        <v>26.06</v>
      </c>
      <c r="CB37" s="727">
        <v>0.31</v>
      </c>
      <c r="CC37" s="727">
        <v>98.66</v>
      </c>
      <c r="CD37" s="727">
        <v>25.1</v>
      </c>
      <c r="CE37" s="727">
        <v>0.31</v>
      </c>
      <c r="CF37" s="727">
        <v>98.135000000000005</v>
      </c>
      <c r="CG37" s="727">
        <v>25.31</v>
      </c>
      <c r="CH37" s="727">
        <v>0.31</v>
      </c>
      <c r="CI37" s="726">
        <v>96.908000000000001</v>
      </c>
      <c r="CJ37" s="726">
        <v>27.71</v>
      </c>
      <c r="CK37" s="726">
        <v>0.31</v>
      </c>
      <c r="CL37" s="727">
        <v>97.156999999999996</v>
      </c>
      <c r="CM37" s="727">
        <v>25.14</v>
      </c>
      <c r="CN37" s="727">
        <v>0.31</v>
      </c>
      <c r="CO37" s="727">
        <v>96.692999999999998</v>
      </c>
      <c r="CP37" s="727">
        <v>26.31</v>
      </c>
      <c r="CQ37" s="727">
        <v>0.31</v>
      </c>
      <c r="CR37" s="727">
        <v>96.167000000000002</v>
      </c>
      <c r="CS37" s="727">
        <v>28.54</v>
      </c>
      <c r="CT37" s="727">
        <v>0.31</v>
      </c>
      <c r="CU37" s="726">
        <v>95.51</v>
      </c>
      <c r="CV37" s="726">
        <v>25.35</v>
      </c>
      <c r="CW37" s="726">
        <v>0.31</v>
      </c>
      <c r="CX37" s="727">
        <v>95.873000000000005</v>
      </c>
      <c r="CY37" s="727">
        <v>26.48</v>
      </c>
      <c r="CZ37" s="727">
        <v>0.31</v>
      </c>
      <c r="DA37" s="727">
        <v>95.393000000000001</v>
      </c>
      <c r="DB37" s="727">
        <v>24.28</v>
      </c>
      <c r="DC37" s="727">
        <v>0.31</v>
      </c>
      <c r="DD37" s="727">
        <v>94.816999999999993</v>
      </c>
      <c r="DE37" s="727">
        <v>24.06</v>
      </c>
      <c r="DF37" s="727">
        <v>0.31</v>
      </c>
      <c r="DG37" s="727">
        <v>94.230999999999995</v>
      </c>
      <c r="DH37" s="727">
        <v>24.8</v>
      </c>
      <c r="DI37" s="727">
        <v>0.31</v>
      </c>
      <c r="DJ37" s="727">
        <v>93.698999999999998</v>
      </c>
      <c r="DK37" s="727">
        <v>22.79</v>
      </c>
      <c r="DL37" s="727">
        <v>0.31</v>
      </c>
      <c r="DM37" s="727">
        <v>93.159000000000006</v>
      </c>
      <c r="DN37" s="727">
        <v>22.54</v>
      </c>
      <c r="DO37" s="727">
        <v>0.31</v>
      </c>
      <c r="DP37" s="727">
        <v>92.572000000000003</v>
      </c>
      <c r="DQ37" s="727">
        <v>22.78</v>
      </c>
      <c r="DR37" s="727">
        <v>0.31</v>
      </c>
      <c r="DS37" s="727">
        <v>92.055999999999997</v>
      </c>
      <c r="DT37" s="748">
        <v>22.45</v>
      </c>
      <c r="DU37" s="727">
        <v>0.31</v>
      </c>
      <c r="DV37" s="727">
        <v>91.522000000000006</v>
      </c>
      <c r="DW37" s="727">
        <v>20.9</v>
      </c>
      <c r="DX37" s="727">
        <v>0.31</v>
      </c>
      <c r="DY37" s="727">
        <v>91.384</v>
      </c>
      <c r="DZ37" s="727">
        <v>18.12</v>
      </c>
      <c r="EA37" s="727">
        <v>0.31</v>
      </c>
      <c r="EB37" s="727">
        <v>90.603999999999999</v>
      </c>
      <c r="EC37" s="727">
        <v>19.059999999999999</v>
      </c>
      <c r="ED37" s="727">
        <v>0.31</v>
      </c>
      <c r="EE37" s="727">
        <v>86.36</v>
      </c>
      <c r="EF37" s="727">
        <v>13.74</v>
      </c>
      <c r="EG37" s="727">
        <v>0.31</v>
      </c>
      <c r="EH37" s="727">
        <v>84.625</v>
      </c>
      <c r="EI37" s="727">
        <v>22.14</v>
      </c>
      <c r="EJ37" s="727">
        <v>0.31</v>
      </c>
      <c r="EK37" s="727">
        <v>84.052000000000007</v>
      </c>
      <c r="EL37" s="727">
        <v>29.11</v>
      </c>
      <c r="EM37" s="727">
        <v>0.31</v>
      </c>
      <c r="EN37" s="727">
        <v>83.471999999999994</v>
      </c>
      <c r="EO37" s="727">
        <v>24.73</v>
      </c>
      <c r="EP37" s="727">
        <v>0.31</v>
      </c>
      <c r="EQ37" s="727">
        <v>82.215000000000003</v>
      </c>
      <c r="ER37" s="727">
        <v>23.87</v>
      </c>
      <c r="ES37" s="727">
        <v>0.31</v>
      </c>
      <c r="ET37" s="727">
        <v>82.480999999999995</v>
      </c>
      <c r="EU37" s="727">
        <v>22.77</v>
      </c>
      <c r="EV37" s="727">
        <v>0.31</v>
      </c>
      <c r="EW37" s="727">
        <v>81.906999999999996</v>
      </c>
      <c r="EX37" s="727">
        <v>21.71</v>
      </c>
      <c r="EY37" s="727">
        <v>0.31</v>
      </c>
      <c r="EZ37" s="727">
        <v>81.447999999999993</v>
      </c>
      <c r="FA37" s="727">
        <v>23.69</v>
      </c>
      <c r="FB37" s="727">
        <v>0.31</v>
      </c>
      <c r="FC37" s="723">
        <v>81.144999999999996</v>
      </c>
      <c r="FD37" s="741">
        <v>25.99</v>
      </c>
      <c r="FE37" s="723">
        <v>0.31</v>
      </c>
      <c r="FF37" s="727">
        <v>81.212999999999994</v>
      </c>
      <c r="FG37" s="727">
        <v>27.15</v>
      </c>
      <c r="FH37" s="727">
        <v>0.31</v>
      </c>
      <c r="FI37" s="727">
        <v>81.099999999999994</v>
      </c>
      <c r="FJ37" s="727">
        <v>27.06</v>
      </c>
      <c r="FK37" s="727">
        <v>0.31</v>
      </c>
      <c r="FL37" s="727">
        <v>80.980999999999995</v>
      </c>
      <c r="FM37" s="727">
        <v>27.91</v>
      </c>
      <c r="FN37" s="727">
        <v>0.31</v>
      </c>
      <c r="FO37" s="727">
        <v>80.924999999999997</v>
      </c>
      <c r="FP37" s="727">
        <v>27.13</v>
      </c>
      <c r="FQ37" s="727">
        <v>0.31</v>
      </c>
      <c r="FR37" s="727">
        <v>80.903000000000006</v>
      </c>
      <c r="FS37" s="742">
        <v>25.9</v>
      </c>
      <c r="FT37" s="626">
        <f>1.24/4</f>
        <v>0.31</v>
      </c>
      <c r="FU37" s="727">
        <v>80.813999999999993</v>
      </c>
      <c r="FV37" s="727">
        <v>27.88</v>
      </c>
      <c r="FW37" s="727">
        <v>0.31</v>
      </c>
      <c r="FX37" s="727">
        <v>80.700999999999993</v>
      </c>
      <c r="FY37" s="727">
        <v>26.81</v>
      </c>
      <c r="FZ37" s="727">
        <v>0.31</v>
      </c>
      <c r="GA37" s="727">
        <v>80.509</v>
      </c>
      <c r="GB37" s="727">
        <v>25.52</v>
      </c>
      <c r="GC37" s="727">
        <v>0.31</v>
      </c>
      <c r="GD37" s="750">
        <v>80.509</v>
      </c>
      <c r="GE37" s="741">
        <v>29.15</v>
      </c>
      <c r="GF37" s="751">
        <v>0.31</v>
      </c>
      <c r="GG37" s="750">
        <v>80.349999999999994</v>
      </c>
      <c r="GH37" s="727">
        <v>26.54</v>
      </c>
      <c r="GI37" s="727">
        <v>0.31</v>
      </c>
      <c r="GJ37" s="727">
        <v>76.738</v>
      </c>
      <c r="GK37" s="727">
        <v>26.1</v>
      </c>
      <c r="GL37" s="727">
        <v>0.31</v>
      </c>
      <c r="GM37" s="727">
        <v>75.542000000000002</v>
      </c>
      <c r="GN37" s="727">
        <v>25.92</v>
      </c>
      <c r="GO37" s="727">
        <v>0.31</v>
      </c>
      <c r="GP37" s="727">
        <v>75.031999999999996</v>
      </c>
      <c r="GQ37" s="727">
        <v>23.684999999999999</v>
      </c>
      <c r="GR37" s="727">
        <v>0.31</v>
      </c>
      <c r="GS37" s="727">
        <v>74.39</v>
      </c>
      <c r="GT37" s="727">
        <v>21.765000000000001</v>
      </c>
      <c r="GU37" s="727">
        <v>0.31</v>
      </c>
      <c r="GV37" s="727">
        <v>73.793999999999997</v>
      </c>
      <c r="GW37" s="727">
        <v>22.925000000000001</v>
      </c>
      <c r="GX37" s="727">
        <v>0.31</v>
      </c>
      <c r="GY37" s="727">
        <v>73.316000000000003</v>
      </c>
      <c r="GZ37" s="727">
        <v>20.38</v>
      </c>
      <c r="HA37" s="727">
        <v>0.31</v>
      </c>
      <c r="HB37" s="727">
        <v>72.87</v>
      </c>
      <c r="HC37" s="727">
        <v>21.99</v>
      </c>
      <c r="HD37" s="727">
        <v>0.31</v>
      </c>
      <c r="HE37" s="727">
        <v>72.378</v>
      </c>
      <c r="HF37" s="727">
        <v>21.55</v>
      </c>
      <c r="HG37" s="727">
        <v>0.31</v>
      </c>
      <c r="HH37" s="727">
        <v>71.635999999999996</v>
      </c>
      <c r="HI37" s="727">
        <v>21.274999999999999</v>
      </c>
      <c r="HJ37" s="727">
        <v>0.31</v>
      </c>
      <c r="HK37" s="727">
        <v>69.287999999999997</v>
      </c>
      <c r="HL37" s="727">
        <v>22.004999999999999</v>
      </c>
      <c r="HM37" s="727">
        <v>0.31</v>
      </c>
      <c r="HN37" s="727">
        <v>67.432000000000002</v>
      </c>
      <c r="HO37" s="727">
        <v>20.14</v>
      </c>
      <c r="HP37" s="727">
        <v>0.31</v>
      </c>
      <c r="HQ37" s="727">
        <v>66.962000000000003</v>
      </c>
      <c r="HR37" s="727">
        <v>19.5</v>
      </c>
      <c r="HS37" s="727">
        <v>0.31</v>
      </c>
      <c r="HT37" s="727">
        <v>66.317999999999998</v>
      </c>
      <c r="HU37" s="727">
        <v>19.100000000000001</v>
      </c>
      <c r="HV37" s="727">
        <v>0.31</v>
      </c>
      <c r="HW37" s="727">
        <v>65.727999999999994</v>
      </c>
      <c r="HX37" s="727">
        <v>18.475000000000001</v>
      </c>
      <c r="HY37" s="727">
        <v>0.31</v>
      </c>
      <c r="HZ37" s="727">
        <v>65.584000000000003</v>
      </c>
      <c r="IA37" s="727">
        <v>18.59375</v>
      </c>
      <c r="IB37" s="727">
        <v>0.31</v>
      </c>
      <c r="IC37" s="727">
        <v>64.805999999999997</v>
      </c>
      <c r="ID37" s="727">
        <v>17.4375</v>
      </c>
      <c r="IE37" s="727">
        <v>0.31</v>
      </c>
      <c r="IF37" s="727">
        <v>64.531999999999996</v>
      </c>
      <c r="IG37" s="727">
        <v>16.40625</v>
      </c>
      <c r="IH37" s="727">
        <v>0.31</v>
      </c>
      <c r="II37" s="727">
        <v>64.376000000000005</v>
      </c>
      <c r="IJ37" s="722">
        <v>15.90625</v>
      </c>
      <c r="IK37" s="722">
        <v>0.31</v>
      </c>
      <c r="IL37" s="722">
        <v>64.406000000000006</v>
      </c>
      <c r="IM37" s="727">
        <v>14.4375</v>
      </c>
      <c r="IN37" s="722">
        <v>0.31</v>
      </c>
      <c r="IO37" s="722">
        <v>64.366</v>
      </c>
      <c r="IP37" s="727">
        <v>17.59375</v>
      </c>
      <c r="IQ37" s="722">
        <v>0.31</v>
      </c>
      <c r="IR37" s="721">
        <v>32.200000000000003</v>
      </c>
      <c r="IS37" s="721">
        <v>17.75</v>
      </c>
      <c r="IT37" s="721">
        <v>0.31</v>
      </c>
      <c r="IU37" s="721">
        <v>30.47</v>
      </c>
      <c r="IV37" s="721">
        <v>35.0625</v>
      </c>
      <c r="IW37" s="721">
        <v>0.62</v>
      </c>
      <c r="IX37" s="721">
        <v>30.47</v>
      </c>
      <c r="IY37" s="721">
        <v>40.25</v>
      </c>
      <c r="IZ37" s="721">
        <v>0.62</v>
      </c>
      <c r="JA37" s="721">
        <v>30.47</v>
      </c>
      <c r="JB37" s="721">
        <v>41.25</v>
      </c>
      <c r="JC37" s="721">
        <v>0.62</v>
      </c>
      <c r="JD37" s="721">
        <v>30.47</v>
      </c>
      <c r="JE37" s="721">
        <v>39.688000000000002</v>
      </c>
      <c r="JF37" s="721">
        <v>0.62</v>
      </c>
      <c r="JG37" s="721">
        <v>30.47</v>
      </c>
      <c r="JH37" s="721">
        <v>41.5</v>
      </c>
      <c r="JI37" s="721">
        <v>0.62</v>
      </c>
      <c r="JJ37" s="721">
        <v>30.465</v>
      </c>
      <c r="JK37" s="721">
        <v>40.875</v>
      </c>
      <c r="JL37" s="721">
        <v>0.61</v>
      </c>
      <c r="JM37" s="721">
        <v>30.96</v>
      </c>
      <c r="JN37" s="721">
        <v>37.4375</v>
      </c>
      <c r="JO37" s="721">
        <v>0.61</v>
      </c>
      <c r="JP37" s="721">
        <v>30.96</v>
      </c>
      <c r="JQ37" s="721">
        <v>38.625</v>
      </c>
      <c r="JR37" s="721">
        <v>0.61</v>
      </c>
      <c r="JS37" s="721">
        <v>30.465</v>
      </c>
      <c r="JT37" s="721">
        <v>33.875</v>
      </c>
      <c r="JU37" s="721">
        <v>0.61</v>
      </c>
      <c r="JV37" s="721">
        <v>30.465</v>
      </c>
      <c r="JW37" s="721">
        <v>36.125</v>
      </c>
      <c r="JX37" s="721">
        <v>0.61</v>
      </c>
      <c r="JY37" s="721">
        <v>29.331</v>
      </c>
      <c r="JZ37" s="721">
        <v>34.125</v>
      </c>
      <c r="KA37" s="721">
        <v>0.6</v>
      </c>
      <c r="KB37" s="721">
        <v>29.331</v>
      </c>
      <c r="KC37" s="721">
        <v>35.5</v>
      </c>
      <c r="KD37" s="721">
        <v>0.6</v>
      </c>
      <c r="KE37" s="721">
        <v>29.331</v>
      </c>
      <c r="KF37" s="721">
        <v>35</v>
      </c>
      <c r="KG37" s="721">
        <v>0.6</v>
      </c>
      <c r="KH37" s="721">
        <v>29.331</v>
      </c>
      <c r="KI37" s="721">
        <v>38.75</v>
      </c>
      <c r="KJ37" s="721">
        <v>0.6</v>
      </c>
      <c r="KK37" s="721">
        <v>28.254999999999999</v>
      </c>
      <c r="KL37" s="721">
        <v>38</v>
      </c>
      <c r="KM37" s="721">
        <v>0.59</v>
      </c>
      <c r="KN37" s="721">
        <v>28.254999999999999</v>
      </c>
      <c r="KO37" s="721">
        <v>36.375</v>
      </c>
      <c r="KP37" s="721">
        <v>0.59</v>
      </c>
      <c r="KQ37" s="721">
        <v>28.254999999999999</v>
      </c>
      <c r="KR37" s="721">
        <v>33.5</v>
      </c>
      <c r="KS37" s="721">
        <v>0.59</v>
      </c>
      <c r="KT37" s="721">
        <v>28.254999999999999</v>
      </c>
      <c r="KU37" s="721">
        <v>32.375</v>
      </c>
      <c r="KV37" s="721">
        <v>0.59</v>
      </c>
      <c r="KW37" s="721">
        <v>28.254999999999999</v>
      </c>
      <c r="KX37" s="721">
        <v>31.625</v>
      </c>
      <c r="KY37" s="721">
        <v>0.57999999999999996</v>
      </c>
      <c r="KZ37" s="721">
        <v>27.891999999999999</v>
      </c>
      <c r="LA37" s="721">
        <v>31</v>
      </c>
      <c r="LB37" s="721">
        <v>0.57999999999999996</v>
      </c>
      <c r="LC37" s="721">
        <v>26.247</v>
      </c>
      <c r="LD37" s="721">
        <v>32.375</v>
      </c>
      <c r="LE37" s="721">
        <v>0.57999999999999996</v>
      </c>
      <c r="LF37" s="721">
        <v>26.247</v>
      </c>
      <c r="LG37" s="721">
        <v>35.875</v>
      </c>
      <c r="LH37" s="721">
        <v>0.57999999999999996</v>
      </c>
      <c r="LI37" s="721">
        <v>26.247</v>
      </c>
      <c r="LJ37" s="721">
        <v>38.25</v>
      </c>
      <c r="LK37" s="721">
        <v>0.56999999999999995</v>
      </c>
      <c r="LL37" s="721">
        <v>25.084</v>
      </c>
      <c r="LM37" s="721">
        <v>38</v>
      </c>
      <c r="LN37" s="721">
        <v>0.56999999999999995</v>
      </c>
      <c r="LO37" s="721">
        <v>24.86</v>
      </c>
      <c r="LP37" s="721">
        <v>38.125</v>
      </c>
      <c r="LQ37" s="721">
        <v>0.56999999999999995</v>
      </c>
      <c r="LR37" s="721">
        <v>24.161000000000001</v>
      </c>
      <c r="LS37" s="721">
        <v>37.25</v>
      </c>
      <c r="LT37" s="721">
        <v>0.6</v>
      </c>
      <c r="LU37" s="721">
        <v>24.161000000000001</v>
      </c>
      <c r="LV37" s="721">
        <v>41.75</v>
      </c>
      <c r="LW37" s="721">
        <v>0.56000000000000005</v>
      </c>
      <c r="LX37" s="721">
        <v>24.053999999999998</v>
      </c>
      <c r="LY37" s="721">
        <v>39.75</v>
      </c>
      <c r="LZ37" s="721">
        <v>0.56000000000000005</v>
      </c>
      <c r="MA37" s="721">
        <v>23.942</v>
      </c>
      <c r="MB37" s="721">
        <v>36.25</v>
      </c>
      <c r="MC37" s="721">
        <v>0.56000000000000005</v>
      </c>
      <c r="MD37" s="721">
        <v>22.882000000000001</v>
      </c>
      <c r="ME37" s="721">
        <v>36.75</v>
      </c>
      <c r="MF37" s="721">
        <v>0.56000000000000005</v>
      </c>
      <c r="MG37" s="721">
        <v>22.59</v>
      </c>
      <c r="MH37" s="721">
        <v>35.630000000000003</v>
      </c>
      <c r="MI37" s="721">
        <v>0.55000000000000004</v>
      </c>
      <c r="MJ37" s="721">
        <v>22.117999999999999</v>
      </c>
      <c r="MK37" s="721">
        <v>31.88</v>
      </c>
      <c r="ML37" s="721">
        <v>0.55000000000000004</v>
      </c>
      <c r="MM37" s="721">
        <v>21.968</v>
      </c>
      <c r="MN37" s="721">
        <v>33.25</v>
      </c>
      <c r="MO37" s="721">
        <v>0.55000000000000004</v>
      </c>
      <c r="MP37" s="721">
        <v>21.559000000000001</v>
      </c>
      <c r="MQ37" s="721">
        <v>31.63</v>
      </c>
    </row>
    <row r="38" spans="1:355" ht="13.8" thickBot="1">
      <c r="A38" s="633" t="s">
        <v>28</v>
      </c>
      <c r="B38" s="726" t="s">
        <v>132</v>
      </c>
      <c r="C38" s="885">
        <v>502.05</v>
      </c>
      <c r="D38" s="885">
        <v>15.45</v>
      </c>
      <c r="E38" s="887">
        <v>0.28999999999999998</v>
      </c>
      <c r="F38" s="828">
        <v>502.22800000000001</v>
      </c>
      <c r="G38" s="828">
        <v>27.27</v>
      </c>
      <c r="H38" s="828">
        <v>0.28749999999999998</v>
      </c>
      <c r="I38" s="828">
        <v>502.2</v>
      </c>
      <c r="J38" s="828">
        <v>30.18</v>
      </c>
      <c r="K38" s="828">
        <v>0.28749999999999998</v>
      </c>
      <c r="L38" s="828">
        <v>501.52100000000002</v>
      </c>
      <c r="M38" s="829">
        <v>28.63</v>
      </c>
      <c r="N38" s="828">
        <v>0.28749999999999998</v>
      </c>
      <c r="O38" s="828">
        <v>448.82900000000001</v>
      </c>
      <c r="P38" s="828">
        <v>30.7</v>
      </c>
      <c r="Q38" s="828">
        <v>0.28749999999999998</v>
      </c>
      <c r="R38" s="828">
        <v>431.55399999999997</v>
      </c>
      <c r="S38" s="828">
        <v>28.23</v>
      </c>
      <c r="T38" s="839">
        <v>0.28749999999999998</v>
      </c>
      <c r="U38" s="828">
        <v>431.52300000000002</v>
      </c>
      <c r="V38" s="829">
        <v>27.65</v>
      </c>
      <c r="W38" s="828">
        <v>0.27750000000000002</v>
      </c>
      <c r="X38" s="832">
        <v>431.23099999999999</v>
      </c>
      <c r="Y38" s="788">
        <v>27.71</v>
      </c>
      <c r="Z38" s="788">
        <v>0.27750000000000002</v>
      </c>
      <c r="AA38" s="788">
        <v>431.03800000000001</v>
      </c>
      <c r="AB38" s="788">
        <v>27.4</v>
      </c>
      <c r="AC38" s="801">
        <v>0.27750000000000002</v>
      </c>
      <c r="AD38" s="788">
        <v>431.02600000000001</v>
      </c>
      <c r="AE38" s="788">
        <v>28.36</v>
      </c>
      <c r="AF38" s="788">
        <v>0.26750000000000002</v>
      </c>
      <c r="AG38" s="788">
        <v>430.99599999999998</v>
      </c>
      <c r="AH38" s="788">
        <v>29.21</v>
      </c>
      <c r="AI38" s="788">
        <v>0.26750000000000002</v>
      </c>
      <c r="AJ38" s="788">
        <v>430.79399999999998</v>
      </c>
      <c r="AK38" s="788">
        <v>27.38</v>
      </c>
      <c r="AL38" s="788">
        <v>0.26750000000000002</v>
      </c>
      <c r="AM38" s="828">
        <v>430.60599999999999</v>
      </c>
      <c r="AN38" s="828">
        <v>27.57</v>
      </c>
      <c r="AO38" s="830">
        <v>0.26750000000000002</v>
      </c>
      <c r="AP38" s="788">
        <v>430.68200000000002</v>
      </c>
      <c r="AQ38" s="788">
        <v>24.64</v>
      </c>
      <c r="AR38" s="788">
        <v>0.25750000000000001</v>
      </c>
      <c r="AS38" s="727">
        <v>430.65300000000002</v>
      </c>
      <c r="AT38" s="727">
        <v>23.23</v>
      </c>
      <c r="AU38" s="727">
        <v>0.25750000000000001</v>
      </c>
      <c r="AV38" s="727">
        <v>430.40699999999998</v>
      </c>
      <c r="AW38" s="727">
        <v>24</v>
      </c>
      <c r="AX38" s="727">
        <v>0.25750000000000001</v>
      </c>
      <c r="AY38" s="727">
        <v>430.18</v>
      </c>
      <c r="AZ38" s="727">
        <v>20.92</v>
      </c>
      <c r="BA38" s="747">
        <v>0.25750000000000001</v>
      </c>
      <c r="BB38" s="727">
        <v>430.262</v>
      </c>
      <c r="BC38" s="727">
        <v>18.36</v>
      </c>
      <c r="BD38" s="727">
        <v>0.2475</v>
      </c>
      <c r="BE38" s="727">
        <v>430.23500000000001</v>
      </c>
      <c r="BF38" s="727">
        <v>18.04</v>
      </c>
      <c r="BG38" s="727">
        <v>0.2475</v>
      </c>
      <c r="BH38" s="727">
        <v>429.95499999999998</v>
      </c>
      <c r="BI38" s="727">
        <v>19.03</v>
      </c>
      <c r="BJ38" s="727">
        <v>0.2475</v>
      </c>
      <c r="BK38" s="726">
        <v>429.79599999999999</v>
      </c>
      <c r="BL38" s="726">
        <v>20.41</v>
      </c>
      <c r="BM38" s="761">
        <v>0.2475</v>
      </c>
      <c r="BN38" s="727">
        <v>429.79599999999999</v>
      </c>
      <c r="BO38" s="727">
        <v>23.43</v>
      </c>
      <c r="BP38" s="727">
        <v>0.23749999999999999</v>
      </c>
      <c r="BQ38" s="727">
        <v>429.77300000000002</v>
      </c>
      <c r="BR38" s="727">
        <v>24.47</v>
      </c>
      <c r="BS38" s="727">
        <v>0.23749999999999999</v>
      </c>
      <c r="BT38" s="727">
        <v>429.16300000000001</v>
      </c>
      <c r="BU38" s="727">
        <v>25.54</v>
      </c>
      <c r="BV38" s="727">
        <v>0.23749999999999999</v>
      </c>
      <c r="BW38" s="726">
        <v>428.46600000000001</v>
      </c>
      <c r="BX38" s="726">
        <v>23.69</v>
      </c>
      <c r="BY38" s="761">
        <v>0.23749999999999999</v>
      </c>
      <c r="BZ38" s="727">
        <v>428.62799999999999</v>
      </c>
      <c r="CA38" s="727">
        <v>23.18</v>
      </c>
      <c r="CB38" s="727">
        <v>0.20749999999999999</v>
      </c>
      <c r="CC38" s="727">
        <v>428.57100000000003</v>
      </c>
      <c r="CD38" s="727">
        <v>23.97</v>
      </c>
      <c r="CE38" s="727">
        <v>0.20749999999999999</v>
      </c>
      <c r="CF38" s="727">
        <v>427.96100000000001</v>
      </c>
      <c r="CG38" s="727">
        <v>23.49</v>
      </c>
      <c r="CH38" s="727">
        <v>0.20749999999999999</v>
      </c>
      <c r="CI38" s="726">
        <v>427.18900000000002</v>
      </c>
      <c r="CJ38" s="726">
        <v>23.96</v>
      </c>
      <c r="CK38" s="761">
        <v>0.20749999999999999</v>
      </c>
      <c r="CL38" s="727">
        <v>427.40600000000001</v>
      </c>
      <c r="CM38" s="727">
        <v>19.25</v>
      </c>
      <c r="CN38" s="727">
        <v>0.20250000000000001</v>
      </c>
      <c r="CO38" s="727">
        <v>427.34899999999999</v>
      </c>
      <c r="CP38" s="727">
        <v>21.3</v>
      </c>
      <c r="CQ38" s="727">
        <v>0.20250000000000001</v>
      </c>
      <c r="CR38" s="727">
        <v>426.49900000000002</v>
      </c>
      <c r="CS38" s="727">
        <v>20.655000000000001</v>
      </c>
      <c r="CT38" s="727">
        <v>0.20250000000000001</v>
      </c>
      <c r="CU38" s="726">
        <v>425.63600000000002</v>
      </c>
      <c r="CV38" s="726">
        <v>19.72</v>
      </c>
      <c r="CW38" s="761">
        <v>0.20250000000000001</v>
      </c>
      <c r="CX38" s="727">
        <v>425.88499999999999</v>
      </c>
      <c r="CY38" s="727">
        <v>20.09</v>
      </c>
      <c r="CZ38" s="727">
        <v>0.19750000000000001</v>
      </c>
      <c r="DA38" s="727">
        <v>425.63799999999998</v>
      </c>
      <c r="DB38" s="727">
        <v>19.62</v>
      </c>
      <c r="DC38" s="727">
        <v>0.19750000000000001</v>
      </c>
      <c r="DD38" s="727">
        <v>425.01799999999997</v>
      </c>
      <c r="DE38" s="727">
        <v>19.350000000000001</v>
      </c>
      <c r="DF38" s="727">
        <v>0.19750000000000001</v>
      </c>
      <c r="DG38" s="727">
        <v>423.86</v>
      </c>
      <c r="DH38" s="727">
        <v>17.559999999999999</v>
      </c>
      <c r="DI38" s="747">
        <v>0.19750000000000001</v>
      </c>
      <c r="DJ38" s="727">
        <v>422.178</v>
      </c>
      <c r="DK38" s="727">
        <v>15.72</v>
      </c>
      <c r="DL38" s="727">
        <v>0.19500000000000001</v>
      </c>
      <c r="DM38" s="727">
        <v>399.51499999999999</v>
      </c>
      <c r="DN38" s="727">
        <v>15.72</v>
      </c>
      <c r="DO38" s="727">
        <v>0.19500000000000001</v>
      </c>
      <c r="DP38" s="727">
        <v>392.85500000000002</v>
      </c>
      <c r="DQ38" s="727">
        <v>13.16</v>
      </c>
      <c r="DR38" s="727">
        <v>0.19500000000000001</v>
      </c>
      <c r="DS38" s="727">
        <v>390.92200000000003</v>
      </c>
      <c r="DT38" s="748">
        <v>14.36</v>
      </c>
      <c r="DU38" s="727">
        <v>0.19500000000000001</v>
      </c>
      <c r="DV38" s="727">
        <v>369.512</v>
      </c>
      <c r="DW38" s="727">
        <v>14.51</v>
      </c>
      <c r="DX38" s="727">
        <v>0.19</v>
      </c>
      <c r="DY38" s="727">
        <v>352.46100000000001</v>
      </c>
      <c r="DZ38" s="727">
        <v>12.43</v>
      </c>
      <c r="EA38" s="727">
        <v>0.19</v>
      </c>
      <c r="EB38" s="727">
        <v>347.49599999999998</v>
      </c>
      <c r="EC38" s="727">
        <v>11.08</v>
      </c>
      <c r="ED38" s="727">
        <v>0.19</v>
      </c>
      <c r="EE38" s="727">
        <v>344.54</v>
      </c>
      <c r="EF38" s="727">
        <v>10.43</v>
      </c>
      <c r="EG38" s="727">
        <v>0.19</v>
      </c>
      <c r="EH38" s="727">
        <v>342.22800000000001</v>
      </c>
      <c r="EI38" s="727">
        <v>12.62</v>
      </c>
      <c r="EJ38" s="727">
        <v>0.1825</v>
      </c>
      <c r="EK38" s="727">
        <v>331.35399999999998</v>
      </c>
      <c r="EL38" s="727">
        <v>14.57</v>
      </c>
      <c r="EM38" s="727">
        <v>0.1825</v>
      </c>
      <c r="EN38" s="727">
        <v>327.279</v>
      </c>
      <c r="EO38" s="727">
        <v>16.05</v>
      </c>
      <c r="EP38" s="727">
        <v>0.1825</v>
      </c>
      <c r="EQ38" s="727">
        <v>320.48</v>
      </c>
      <c r="ER38" s="727">
        <v>14.27</v>
      </c>
      <c r="ES38" s="727">
        <v>0.1825</v>
      </c>
      <c r="ET38" s="727">
        <v>321.19200000000001</v>
      </c>
      <c r="EU38" s="727">
        <v>17.13</v>
      </c>
      <c r="EV38" s="727">
        <v>0.17</v>
      </c>
      <c r="EW38" s="727">
        <v>320.92700000000002</v>
      </c>
      <c r="EX38" s="727">
        <v>16.03</v>
      </c>
      <c r="EY38" s="727">
        <v>0.17</v>
      </c>
      <c r="EZ38" s="727">
        <v>318.06</v>
      </c>
      <c r="FA38" s="727">
        <v>17.399999999999999</v>
      </c>
      <c r="FB38" s="727">
        <v>0.17</v>
      </c>
      <c r="FC38" s="723">
        <v>311.82600000000002</v>
      </c>
      <c r="FD38" s="741">
        <v>17.940000000000001</v>
      </c>
      <c r="FE38" s="723">
        <v>0.17</v>
      </c>
      <c r="FF38" s="727">
        <v>311.94499999999999</v>
      </c>
      <c r="FG38" s="727">
        <v>16.579999999999998</v>
      </c>
      <c r="FH38" s="727">
        <v>0.15</v>
      </c>
      <c r="FI38" s="727">
        <v>311.44</v>
      </c>
      <c r="FJ38" s="727">
        <v>14.32</v>
      </c>
      <c r="FK38" s="727">
        <v>0.15</v>
      </c>
      <c r="FL38" s="727">
        <v>310.846</v>
      </c>
      <c r="FM38" s="727">
        <v>12.5</v>
      </c>
      <c r="FN38" s="727">
        <v>0.15</v>
      </c>
      <c r="FO38" s="727">
        <v>310.14699999999999</v>
      </c>
      <c r="FP38" s="727">
        <v>11.93</v>
      </c>
      <c r="FQ38" s="727">
        <v>8.7499999999999994E-2</v>
      </c>
      <c r="FR38" s="727">
        <v>309.65699999999998</v>
      </c>
      <c r="FS38" s="742">
        <v>12.85</v>
      </c>
      <c r="FT38" s="626">
        <f>0.24/4</f>
        <v>0.06</v>
      </c>
      <c r="FU38" s="727">
        <v>309.09800000000001</v>
      </c>
      <c r="FV38" s="727">
        <v>14.87</v>
      </c>
      <c r="FW38" s="727">
        <v>7.0000000000000007E-2</v>
      </c>
      <c r="FX38" s="727">
        <v>308.47000000000003</v>
      </c>
      <c r="FY38" s="727">
        <v>13.21</v>
      </c>
      <c r="FZ38" s="727">
        <v>7.0000000000000007E-2</v>
      </c>
      <c r="GA38" s="727">
        <v>307.59199999999998</v>
      </c>
      <c r="GB38" s="727">
        <v>12.03</v>
      </c>
      <c r="GC38" s="727">
        <v>0.1</v>
      </c>
      <c r="GD38" s="750">
        <v>307.59199999999998</v>
      </c>
      <c r="GE38" s="741">
        <v>11.3</v>
      </c>
      <c r="GF38" s="751">
        <v>0.1</v>
      </c>
      <c r="GG38" s="750">
        <v>307.25</v>
      </c>
      <c r="GH38" s="727">
        <v>10.36</v>
      </c>
      <c r="GI38" s="727">
        <v>0.1</v>
      </c>
      <c r="GJ38" s="727">
        <v>306.012</v>
      </c>
      <c r="GK38" s="727">
        <v>11.5</v>
      </c>
      <c r="GL38" s="727">
        <v>0.1</v>
      </c>
      <c r="GM38" s="727">
        <v>305.685</v>
      </c>
      <c r="GN38" s="727">
        <v>11.43</v>
      </c>
      <c r="GO38" s="727">
        <v>0.1</v>
      </c>
      <c r="GP38" s="727">
        <v>305.00700000000001</v>
      </c>
      <c r="GQ38" s="727">
        <v>9.69</v>
      </c>
      <c r="GR38" s="727">
        <v>0.1</v>
      </c>
      <c r="GS38" s="727">
        <v>304.04599999999999</v>
      </c>
      <c r="GT38" s="727">
        <v>9.17</v>
      </c>
      <c r="GU38" s="727">
        <v>0.1</v>
      </c>
      <c r="GV38" s="727">
        <v>301.66399999999999</v>
      </c>
      <c r="GW38" s="727">
        <v>8.15</v>
      </c>
      <c r="GX38" s="727">
        <v>0.1</v>
      </c>
      <c r="GY38" s="727">
        <v>299.233</v>
      </c>
      <c r="GZ38" s="727">
        <v>7.05</v>
      </c>
      <c r="HA38" s="727">
        <v>0.1</v>
      </c>
      <c r="HB38" s="727">
        <v>298.79399999999998</v>
      </c>
      <c r="HC38" s="727">
        <v>8.5</v>
      </c>
      <c r="HD38" s="727">
        <v>0.16</v>
      </c>
      <c r="HE38" s="727">
        <v>297.69600000000003</v>
      </c>
      <c r="HF38" s="727">
        <v>10.01</v>
      </c>
      <c r="HG38" s="758">
        <v>0.16</v>
      </c>
      <c r="HH38" s="727">
        <v>296.22199999999998</v>
      </c>
      <c r="HI38" s="727">
        <v>16.899999999999999</v>
      </c>
      <c r="HJ38" s="727">
        <v>0.375</v>
      </c>
      <c r="HK38" s="727">
        <v>291.654</v>
      </c>
      <c r="HL38" s="727">
        <v>25.79</v>
      </c>
      <c r="HM38" s="727">
        <v>0.375</v>
      </c>
      <c r="HN38" s="727">
        <v>290.31799999999998</v>
      </c>
      <c r="HO38" s="727">
        <v>26.52</v>
      </c>
      <c r="HP38" s="727">
        <v>0.375</v>
      </c>
      <c r="HQ38" s="727">
        <v>289.74299999999999</v>
      </c>
      <c r="HR38" s="727">
        <v>26.32</v>
      </c>
      <c r="HS38" s="727">
        <v>0.375</v>
      </c>
      <c r="HT38" s="727">
        <v>287.33600000000001</v>
      </c>
      <c r="HU38" s="727">
        <v>32.21</v>
      </c>
      <c r="HV38" s="727">
        <v>0.375</v>
      </c>
      <c r="HW38" s="727">
        <v>286.10900099999998</v>
      </c>
      <c r="HX38" s="727">
        <v>45.25</v>
      </c>
      <c r="HY38" s="727">
        <v>0.375</v>
      </c>
      <c r="HZ38" s="727">
        <v>285.18299999999999</v>
      </c>
      <c r="IA38" s="727">
        <v>43.31</v>
      </c>
      <c r="IB38" s="727">
        <v>0.375</v>
      </c>
      <c r="IC38" s="727">
        <v>284.238</v>
      </c>
      <c r="ID38" s="727">
        <v>46.5</v>
      </c>
      <c r="IE38" s="727">
        <v>0.375</v>
      </c>
      <c r="IF38" s="727">
        <v>283.07799999999997</v>
      </c>
      <c r="IG38" s="727">
        <v>29.56</v>
      </c>
      <c r="IH38" s="727">
        <v>0.375</v>
      </c>
      <c r="II38" s="729">
        <v>284.42700000000002</v>
      </c>
      <c r="IJ38" s="723">
        <v>23.4375</v>
      </c>
      <c r="IK38" s="723">
        <v>0.375</v>
      </c>
      <c r="IL38" s="723">
        <v>285.28699999999998</v>
      </c>
      <c r="IM38" s="729">
        <v>22.875</v>
      </c>
      <c r="IN38" s="723">
        <v>0.375</v>
      </c>
      <c r="IO38" s="723">
        <v>285.47399999999999</v>
      </c>
      <c r="IP38" s="729">
        <v>27.0625</v>
      </c>
      <c r="IQ38" s="723">
        <v>0.375</v>
      </c>
      <c r="IR38" s="720">
        <v>284.10000000000002</v>
      </c>
      <c r="IS38" s="720">
        <v>27.625</v>
      </c>
      <c r="IT38" s="720">
        <v>0.375</v>
      </c>
      <c r="IU38" s="720">
        <v>284.2</v>
      </c>
      <c r="IV38" s="720">
        <v>26.0625</v>
      </c>
      <c r="IW38" s="720">
        <v>0.375</v>
      </c>
      <c r="IX38" s="720">
        <v>284.2</v>
      </c>
      <c r="IY38" s="720">
        <v>32.063000000000002</v>
      </c>
      <c r="IZ38" s="720">
        <v>0.375</v>
      </c>
      <c r="JA38" s="720">
        <v>283.52999999999997</v>
      </c>
      <c r="JB38" s="720">
        <v>31.125</v>
      </c>
      <c r="JC38" s="720">
        <v>0.375</v>
      </c>
      <c r="JD38" s="720">
        <v>283.52999999999997</v>
      </c>
      <c r="JE38" s="720">
        <v>30.812999999999999</v>
      </c>
      <c r="JF38" s="720">
        <v>0.375</v>
      </c>
      <c r="JG38" s="720">
        <v>263.37</v>
      </c>
      <c r="JH38" s="720">
        <v>28.75</v>
      </c>
      <c r="JI38" s="720">
        <v>0.375</v>
      </c>
      <c r="JJ38" s="720">
        <v>263.37299999999999</v>
      </c>
      <c r="JK38" s="720">
        <v>26.75</v>
      </c>
      <c r="JL38" s="720">
        <v>0.375</v>
      </c>
      <c r="JM38" s="720">
        <v>233.68899999999999</v>
      </c>
      <c r="JN38" s="720">
        <v>21.25</v>
      </c>
      <c r="JO38" s="720">
        <v>0.375</v>
      </c>
      <c r="JP38" s="720">
        <v>233.68899999999999</v>
      </c>
      <c r="JQ38" s="720">
        <v>21.437999999999999</v>
      </c>
      <c r="JR38" s="720">
        <v>0.375</v>
      </c>
      <c r="JS38" s="720">
        <v>245.88800000000001</v>
      </c>
      <c r="JT38" s="720">
        <v>20.875</v>
      </c>
      <c r="JU38" s="720">
        <v>0.375</v>
      </c>
      <c r="JV38" s="720">
        <v>245.88800000000001</v>
      </c>
      <c r="JW38" s="720">
        <v>22.625</v>
      </c>
      <c r="JX38" s="720">
        <v>0.375</v>
      </c>
      <c r="JY38" s="720">
        <v>247.196</v>
      </c>
      <c r="JZ38" s="720">
        <v>22.125</v>
      </c>
      <c r="KA38" s="720">
        <v>0.375</v>
      </c>
      <c r="KB38" s="720">
        <v>247.196</v>
      </c>
      <c r="KC38" s="720">
        <v>24.625</v>
      </c>
      <c r="KD38" s="720">
        <v>0.375</v>
      </c>
      <c r="KE38" s="720">
        <v>247.196</v>
      </c>
      <c r="KF38" s="720">
        <v>21.625</v>
      </c>
      <c r="KG38" s="720">
        <v>0.375</v>
      </c>
      <c r="KH38" s="720">
        <v>247.196</v>
      </c>
      <c r="KI38" s="720">
        <v>24.5</v>
      </c>
      <c r="KJ38" s="720">
        <v>0.375</v>
      </c>
      <c r="KK38" s="720">
        <v>247.196</v>
      </c>
      <c r="KL38" s="720">
        <v>22.062999999999999</v>
      </c>
      <c r="KM38" s="720">
        <v>0.375</v>
      </c>
      <c r="KN38" s="720">
        <v>247.196</v>
      </c>
      <c r="KO38" s="720">
        <v>21.062999999999999</v>
      </c>
      <c r="KP38" s="720">
        <v>0.375</v>
      </c>
      <c r="KQ38" s="720">
        <v>247.196</v>
      </c>
      <c r="KR38" s="720">
        <v>19.0625</v>
      </c>
      <c r="KS38" s="720">
        <v>0.375</v>
      </c>
      <c r="KT38" s="720">
        <v>245.33</v>
      </c>
      <c r="KU38" s="720">
        <v>17.8125</v>
      </c>
      <c r="KV38" s="720">
        <v>0.375</v>
      </c>
      <c r="KW38" s="720">
        <v>245.33</v>
      </c>
      <c r="KX38" s="720">
        <v>17.625</v>
      </c>
      <c r="KY38" s="720">
        <v>0.375</v>
      </c>
      <c r="KZ38" s="720">
        <v>261.41399999999999</v>
      </c>
      <c r="LA38" s="720">
        <v>16.3125</v>
      </c>
      <c r="LB38" s="720">
        <v>0.375</v>
      </c>
      <c r="LC38" s="720">
        <v>260.22800000000001</v>
      </c>
      <c r="LD38" s="720">
        <v>17.75</v>
      </c>
      <c r="LE38" s="720">
        <v>0.375</v>
      </c>
      <c r="LF38" s="720">
        <v>260.22800000000001</v>
      </c>
      <c r="LG38" s="720">
        <v>23.8125</v>
      </c>
      <c r="LH38" s="720">
        <v>0.375</v>
      </c>
      <c r="LI38" s="720">
        <v>260.22800000000001</v>
      </c>
      <c r="LJ38" s="720">
        <v>23.3125</v>
      </c>
      <c r="LK38" s="720">
        <v>0.375</v>
      </c>
      <c r="LL38" s="720">
        <v>259.69799999999998</v>
      </c>
      <c r="LM38" s="720">
        <v>21.875</v>
      </c>
      <c r="LN38" s="720">
        <v>0.375</v>
      </c>
      <c r="LO38" s="720">
        <v>259.2</v>
      </c>
      <c r="LP38" s="720">
        <v>23.375</v>
      </c>
      <c r="LQ38" s="720">
        <v>0.375</v>
      </c>
      <c r="LR38" s="720">
        <v>259.02800000000002</v>
      </c>
      <c r="LS38" s="720">
        <v>22.94</v>
      </c>
      <c r="LT38" s="720">
        <v>0.38</v>
      </c>
      <c r="LU38" s="720">
        <v>259.02800000000002</v>
      </c>
      <c r="LV38" s="720">
        <v>22.44</v>
      </c>
      <c r="LW38" s="720">
        <v>0.38</v>
      </c>
      <c r="LX38" s="720">
        <v>259.02800000000002</v>
      </c>
      <c r="LY38" s="720">
        <v>21.94</v>
      </c>
      <c r="LZ38" s="720">
        <v>0.37</v>
      </c>
      <c r="MA38" s="720">
        <v>259.02800000000002</v>
      </c>
      <c r="MB38" s="720">
        <v>21.31</v>
      </c>
      <c r="MC38" s="720">
        <v>0.37</v>
      </c>
      <c r="MD38" s="720">
        <v>257.60399999999998</v>
      </c>
      <c r="ME38" s="720">
        <v>22.13</v>
      </c>
      <c r="MF38" s="720">
        <v>0.37</v>
      </c>
      <c r="MG38" s="720">
        <v>257.27</v>
      </c>
      <c r="MH38" s="720">
        <v>19.88</v>
      </c>
      <c r="MI38" s="720">
        <v>0.37</v>
      </c>
      <c r="MJ38" s="720">
        <v>256.92599999999999</v>
      </c>
      <c r="MK38" s="720">
        <v>17.88</v>
      </c>
      <c r="ML38" s="720">
        <v>0.37</v>
      </c>
      <c r="MM38" s="720">
        <v>256.58</v>
      </c>
      <c r="MN38" s="720">
        <v>18.059999999999999</v>
      </c>
      <c r="MO38" s="720">
        <v>0.37</v>
      </c>
      <c r="MP38" s="720">
        <v>254.50800000000001</v>
      </c>
      <c r="MQ38" s="720">
        <v>18.38</v>
      </c>
    </row>
    <row r="39" spans="1:355">
      <c r="A39" s="633" t="s">
        <v>42</v>
      </c>
      <c r="B39" s="726" t="s">
        <v>133</v>
      </c>
      <c r="C39" s="885">
        <v>50.502000000000002</v>
      </c>
      <c r="D39" s="885">
        <v>87.79</v>
      </c>
      <c r="E39" s="885">
        <v>0.67</v>
      </c>
      <c r="F39" s="828">
        <v>50.499000000000002</v>
      </c>
      <c r="G39" s="828">
        <v>106.8</v>
      </c>
      <c r="H39" s="828">
        <v>0.67</v>
      </c>
      <c r="I39" s="828">
        <v>50.499000000000002</v>
      </c>
      <c r="J39" s="828">
        <v>112.67</v>
      </c>
      <c r="K39" s="828">
        <v>0.63</v>
      </c>
      <c r="L39" s="828">
        <v>50.509</v>
      </c>
      <c r="M39" s="829">
        <v>100.43</v>
      </c>
      <c r="N39" s="828">
        <v>0.63</v>
      </c>
      <c r="O39" s="828">
        <v>50.432000000000002</v>
      </c>
      <c r="P39" s="828">
        <v>99.54</v>
      </c>
      <c r="Q39" s="828">
        <v>0.63</v>
      </c>
      <c r="R39" s="828">
        <v>50.433999999999997</v>
      </c>
      <c r="S39" s="828">
        <v>93.06</v>
      </c>
      <c r="T39" s="828">
        <v>0.63</v>
      </c>
      <c r="U39" s="828">
        <v>50.435000000000002</v>
      </c>
      <c r="V39" s="829">
        <v>99.23</v>
      </c>
      <c r="W39" s="828">
        <v>0.63</v>
      </c>
      <c r="X39" s="832">
        <v>50.244999999999997</v>
      </c>
      <c r="Y39" s="788">
        <v>92.24</v>
      </c>
      <c r="Z39" s="788">
        <v>0.59</v>
      </c>
      <c r="AA39" s="788">
        <v>50.360999999999997</v>
      </c>
      <c r="AB39" s="788">
        <v>88.27</v>
      </c>
      <c r="AC39" s="788">
        <v>0.59</v>
      </c>
      <c r="AD39" s="788">
        <v>50.362000000000002</v>
      </c>
      <c r="AE39" s="788">
        <v>91.36</v>
      </c>
      <c r="AF39" s="801">
        <v>0.59</v>
      </c>
      <c r="AG39" s="788">
        <v>50.363</v>
      </c>
      <c r="AH39" s="788">
        <v>87.93</v>
      </c>
      <c r="AI39" s="788">
        <v>0.55000000000000004</v>
      </c>
      <c r="AJ39" s="788">
        <v>50.356000000000002</v>
      </c>
      <c r="AK39" s="788">
        <v>85.35</v>
      </c>
      <c r="AL39" s="788">
        <v>0.55000000000000004</v>
      </c>
      <c r="AM39" s="828">
        <v>50.298000000000002</v>
      </c>
      <c r="AN39" s="828">
        <v>82.96</v>
      </c>
      <c r="AO39" s="828">
        <v>0.55000000000000004</v>
      </c>
      <c r="AP39" s="788">
        <v>50.295999999999999</v>
      </c>
      <c r="AQ39" s="788">
        <v>80.55</v>
      </c>
      <c r="AR39" s="788">
        <v>0.55000000000000004</v>
      </c>
      <c r="AS39" s="727">
        <v>50.302</v>
      </c>
      <c r="AT39" s="727">
        <v>78.28</v>
      </c>
      <c r="AU39" s="747">
        <v>0.55000000000000004</v>
      </c>
      <c r="AV39" s="727">
        <v>50.298999999999999</v>
      </c>
      <c r="AW39" s="727">
        <v>81.349999999999994</v>
      </c>
      <c r="AX39" s="727">
        <v>0.51</v>
      </c>
      <c r="AY39" s="727">
        <v>50.22</v>
      </c>
      <c r="AZ39" s="727">
        <v>74.59</v>
      </c>
      <c r="BA39" s="727">
        <v>0.51</v>
      </c>
      <c r="BB39" s="727">
        <v>50.219000000000001</v>
      </c>
      <c r="BC39" s="727">
        <v>68</v>
      </c>
      <c r="BD39" s="727">
        <v>0.51</v>
      </c>
      <c r="BE39" s="727">
        <v>50.222000000000001</v>
      </c>
      <c r="BF39" s="727">
        <v>64.709999999999994</v>
      </c>
      <c r="BG39" s="746">
        <v>0.51</v>
      </c>
      <c r="BH39" s="727">
        <v>50.22</v>
      </c>
      <c r="BI39" s="727">
        <v>56.14</v>
      </c>
      <c r="BJ39" s="727">
        <v>0.47</v>
      </c>
      <c r="BK39" s="726">
        <v>50.131</v>
      </c>
      <c r="BL39" s="726">
        <v>62.87</v>
      </c>
      <c r="BM39" s="726">
        <v>0.47</v>
      </c>
      <c r="BN39" s="727">
        <v>50.128999999999998</v>
      </c>
      <c r="BO39" s="727">
        <v>66.19</v>
      </c>
      <c r="BP39" s="727">
        <v>0.47</v>
      </c>
      <c r="BQ39" s="727">
        <v>50.133000000000003</v>
      </c>
      <c r="BR39" s="727">
        <v>53.61</v>
      </c>
      <c r="BS39" s="727">
        <v>0.47</v>
      </c>
      <c r="BT39" s="727">
        <v>50.131</v>
      </c>
      <c r="BU39" s="727">
        <v>57.83</v>
      </c>
      <c r="BV39" s="727">
        <v>0.43</v>
      </c>
      <c r="BW39" s="726">
        <v>50.052</v>
      </c>
      <c r="BX39" s="726">
        <v>55.47</v>
      </c>
      <c r="BY39" s="726">
        <v>0.43</v>
      </c>
      <c r="BZ39" s="727">
        <v>50.055999999999997</v>
      </c>
      <c r="CA39" s="727">
        <v>51.84</v>
      </c>
      <c r="CB39" s="727">
        <v>0.43</v>
      </c>
      <c r="CC39" s="727">
        <v>50.055999999999997</v>
      </c>
      <c r="CD39" s="727">
        <v>48.4</v>
      </c>
      <c r="CE39" s="746">
        <v>0.43</v>
      </c>
      <c r="CF39" s="727">
        <v>50.039000000000001</v>
      </c>
      <c r="CG39" s="727">
        <v>47.76</v>
      </c>
      <c r="CH39" s="727">
        <v>0.38</v>
      </c>
      <c r="CI39" s="726">
        <v>49.93</v>
      </c>
      <c r="CJ39" s="726">
        <v>48.27</v>
      </c>
      <c r="CK39" s="726">
        <v>0.38</v>
      </c>
      <c r="CL39" s="727">
        <v>49.966000000000001</v>
      </c>
      <c r="CM39" s="727">
        <v>43.35</v>
      </c>
      <c r="CN39" s="727">
        <v>0.38</v>
      </c>
      <c r="CO39" s="727">
        <v>49.927</v>
      </c>
      <c r="CP39" s="727">
        <v>43.27</v>
      </c>
      <c r="CQ39" s="746">
        <v>0.38</v>
      </c>
      <c r="CR39" s="727">
        <v>49.86</v>
      </c>
      <c r="CS39" s="727">
        <v>42.08</v>
      </c>
      <c r="CT39" s="727">
        <v>0.33</v>
      </c>
      <c r="CU39" s="726">
        <v>49.457000000000001</v>
      </c>
      <c r="CV39" s="726">
        <v>41.12</v>
      </c>
      <c r="CW39" s="761">
        <v>0.33</v>
      </c>
      <c r="CX39" s="727">
        <v>49.52</v>
      </c>
      <c r="CY39" s="727">
        <v>42.41</v>
      </c>
      <c r="CZ39" s="727">
        <v>0.3</v>
      </c>
      <c r="DA39" s="727">
        <v>49.42</v>
      </c>
      <c r="DB39" s="727">
        <v>37.78</v>
      </c>
      <c r="DC39" s="727">
        <v>0.3</v>
      </c>
      <c r="DD39" s="727">
        <v>49.29</v>
      </c>
      <c r="DE39" s="727">
        <v>39.5</v>
      </c>
      <c r="DF39" s="727">
        <v>0.3</v>
      </c>
      <c r="DG39" s="727">
        <v>49.021000000000001</v>
      </c>
      <c r="DH39" s="727">
        <v>38.1</v>
      </c>
      <c r="DI39" s="727">
        <v>0.3</v>
      </c>
      <c r="DJ39" s="727">
        <v>48.085999999999999</v>
      </c>
      <c r="DK39" s="727">
        <v>36.979999999999997</v>
      </c>
      <c r="DL39" s="727">
        <v>0.3</v>
      </c>
      <c r="DM39" s="727">
        <v>47.887999999999998</v>
      </c>
      <c r="DN39" s="727">
        <v>35.92</v>
      </c>
      <c r="DO39" s="727">
        <v>0.3</v>
      </c>
      <c r="DP39" s="727">
        <v>47.773000000000003</v>
      </c>
      <c r="DQ39" s="727">
        <v>33.270000000000003</v>
      </c>
      <c r="DR39" s="727">
        <v>0.3</v>
      </c>
      <c r="DS39" s="727">
        <v>47.637</v>
      </c>
      <c r="DT39" s="748">
        <v>34.619999999999997</v>
      </c>
      <c r="DU39" s="727">
        <v>0.3</v>
      </c>
      <c r="DV39" s="727">
        <v>47.067999999999998</v>
      </c>
      <c r="DW39" s="727">
        <v>31.95</v>
      </c>
      <c r="DX39" s="727">
        <v>0.3</v>
      </c>
      <c r="DY39" s="727">
        <v>46.957999999999998</v>
      </c>
      <c r="DZ39" s="727">
        <v>28.79</v>
      </c>
      <c r="EA39" s="727">
        <v>0.3</v>
      </c>
      <c r="EB39" s="727">
        <v>46.831000000000003</v>
      </c>
      <c r="EC39" s="727">
        <v>26.14</v>
      </c>
      <c r="ED39" s="727">
        <v>0.3</v>
      </c>
      <c r="EE39" s="727">
        <v>45.81</v>
      </c>
      <c r="EF39" s="727">
        <v>23.36</v>
      </c>
      <c r="EG39" s="727">
        <v>0.3</v>
      </c>
      <c r="EH39" s="727">
        <v>44.997999999999998</v>
      </c>
      <c r="EI39" s="727">
        <v>29.45</v>
      </c>
      <c r="EJ39" s="727">
        <v>0.3</v>
      </c>
      <c r="EK39" s="727">
        <v>44.923999999999999</v>
      </c>
      <c r="EL39" s="727">
        <v>29.09</v>
      </c>
      <c r="EM39" s="727">
        <v>0.3</v>
      </c>
      <c r="EN39" s="727">
        <v>44.847000000000001</v>
      </c>
      <c r="EO39" s="727">
        <v>28.89</v>
      </c>
      <c r="EP39" s="727">
        <v>0.3</v>
      </c>
      <c r="EQ39" s="727">
        <v>44.151000000000003</v>
      </c>
      <c r="ER39" s="727">
        <v>32.11</v>
      </c>
      <c r="ES39" s="727">
        <v>0.3</v>
      </c>
      <c r="ET39" s="727">
        <v>44.417000000000002</v>
      </c>
      <c r="EU39" s="727">
        <v>35.22</v>
      </c>
      <c r="EV39" s="727">
        <v>0.3</v>
      </c>
      <c r="EW39" s="727">
        <v>43.750999999999998</v>
      </c>
      <c r="EX39" s="727">
        <v>32.74</v>
      </c>
      <c r="EY39" s="727">
        <v>0.3</v>
      </c>
      <c r="EZ39" s="727">
        <v>43.686999999999998</v>
      </c>
      <c r="FA39" s="727">
        <v>32.04</v>
      </c>
      <c r="FB39" s="727">
        <v>0.3</v>
      </c>
      <c r="FC39" s="723">
        <v>42.713000000000001</v>
      </c>
      <c r="FD39" s="741">
        <v>33.840000000000003</v>
      </c>
      <c r="FE39" s="723">
        <v>0.3</v>
      </c>
      <c r="FF39" s="727">
        <v>42.677999999999997</v>
      </c>
      <c r="FG39" s="727">
        <v>38.65</v>
      </c>
      <c r="FH39" s="727">
        <v>0.3</v>
      </c>
      <c r="FI39" s="727">
        <v>42.557000000000002</v>
      </c>
      <c r="FJ39" s="727">
        <v>37.81</v>
      </c>
      <c r="FK39" s="727">
        <v>0.3</v>
      </c>
      <c r="FL39" s="727">
        <v>42.473457000000003</v>
      </c>
      <c r="FM39" s="727">
        <v>34.29</v>
      </c>
      <c r="FN39" s="727">
        <v>0.3</v>
      </c>
      <c r="FO39" s="727">
        <v>42.374000000000002</v>
      </c>
      <c r="FP39" s="727">
        <v>32.520000000000003</v>
      </c>
      <c r="FQ39" s="727">
        <v>0.3</v>
      </c>
      <c r="FR39" s="727">
        <v>42.286999999999999</v>
      </c>
      <c r="FS39" s="742">
        <v>29.3</v>
      </c>
      <c r="FT39" s="626">
        <f>1.2/4</f>
        <v>0.3</v>
      </c>
      <c r="FU39" s="727">
        <v>42.23</v>
      </c>
      <c r="FV39" s="727">
        <v>30.13</v>
      </c>
      <c r="FW39" s="727">
        <v>0.3</v>
      </c>
      <c r="FX39" s="727">
        <v>42.21</v>
      </c>
      <c r="FY39" s="727">
        <v>30.63</v>
      </c>
      <c r="FZ39" s="727">
        <v>0.3</v>
      </c>
      <c r="GA39" s="727">
        <v>38.191000000000003</v>
      </c>
      <c r="GB39" s="727">
        <v>28.37</v>
      </c>
      <c r="GC39" s="727">
        <v>0.3</v>
      </c>
      <c r="GD39" s="750">
        <v>38.191000000000003</v>
      </c>
      <c r="GE39" s="741">
        <v>30.57</v>
      </c>
      <c r="GF39" s="751">
        <v>0.3</v>
      </c>
      <c r="GG39" s="750">
        <v>38.189</v>
      </c>
      <c r="GH39" s="727">
        <v>29.06</v>
      </c>
      <c r="GI39" s="727">
        <v>0.3</v>
      </c>
      <c r="GJ39" s="727">
        <v>38.200000000000003</v>
      </c>
      <c r="GK39" s="727">
        <v>27</v>
      </c>
      <c r="GL39" s="727">
        <v>0.3</v>
      </c>
      <c r="GM39" s="727">
        <v>38.200000000000003</v>
      </c>
      <c r="GN39" s="727">
        <v>29.9</v>
      </c>
      <c r="GO39" s="727">
        <v>0.3</v>
      </c>
      <c r="GP39" s="727">
        <v>38.200000000000003</v>
      </c>
      <c r="GQ39" s="727">
        <v>29.92</v>
      </c>
      <c r="GR39" s="727">
        <v>0.3</v>
      </c>
      <c r="GS39" s="727">
        <v>38.195999999999998</v>
      </c>
      <c r="GT39" s="727">
        <v>25.5</v>
      </c>
      <c r="GU39" s="727">
        <v>0.46500000000000002</v>
      </c>
      <c r="GV39" s="727">
        <v>38.140999999999998</v>
      </c>
      <c r="GW39" s="727">
        <v>26.25</v>
      </c>
      <c r="GX39" s="727">
        <v>0.46500000000000002</v>
      </c>
      <c r="GY39" s="727">
        <v>37.918999999999997</v>
      </c>
      <c r="GZ39" s="727">
        <v>22.8</v>
      </c>
      <c r="HA39" s="727">
        <v>0.46500000000000002</v>
      </c>
      <c r="HB39" s="727">
        <v>37.771000000000001</v>
      </c>
      <c r="HC39" s="727">
        <v>24.83</v>
      </c>
      <c r="HD39" s="727">
        <v>0.46500000000000002</v>
      </c>
      <c r="HE39" s="727">
        <v>37.664999999999999</v>
      </c>
      <c r="HF39" s="727">
        <v>24.33</v>
      </c>
      <c r="HG39" s="727">
        <v>0.46500000000000002</v>
      </c>
      <c r="HH39" s="727">
        <v>37.56</v>
      </c>
      <c r="HI39" s="727">
        <v>27.7</v>
      </c>
      <c r="HJ39" s="727">
        <v>0.46500000000000002</v>
      </c>
      <c r="HK39" s="727">
        <v>37.479999999999997</v>
      </c>
      <c r="HL39" s="727">
        <v>40.5</v>
      </c>
      <c r="HM39" s="727">
        <v>0.46500000000000002</v>
      </c>
      <c r="HN39" s="727">
        <v>37.409999999999997</v>
      </c>
      <c r="HO39" s="727">
        <v>40.6</v>
      </c>
      <c r="HP39" s="727">
        <v>0.46500000000000002</v>
      </c>
      <c r="HQ39" s="727">
        <v>37.411999999999999</v>
      </c>
      <c r="HR39" s="727">
        <v>35.76</v>
      </c>
      <c r="HS39" s="727">
        <v>0.46500000000000002</v>
      </c>
      <c r="HT39" s="727">
        <v>37.414999999999999</v>
      </c>
      <c r="HU39" s="727">
        <v>34.880000000000003</v>
      </c>
      <c r="HV39" s="727">
        <v>0.46500000000000002</v>
      </c>
      <c r="HW39" s="727">
        <v>37.517000000000003</v>
      </c>
      <c r="HX39" s="727">
        <v>38.21</v>
      </c>
      <c r="HY39" s="727">
        <v>0.46500000000000002</v>
      </c>
      <c r="HZ39" s="727">
        <v>37.524000000000001</v>
      </c>
      <c r="IA39" s="727">
        <v>49.0625</v>
      </c>
      <c r="IB39" s="727">
        <v>0.46500000000000002</v>
      </c>
      <c r="IC39" s="727">
        <v>37.612000000000002</v>
      </c>
      <c r="ID39" s="727">
        <v>46.25</v>
      </c>
      <c r="IE39" s="727">
        <v>0.46500000000000002</v>
      </c>
      <c r="IF39" s="727">
        <v>37.612000000000002</v>
      </c>
      <c r="IG39" s="727">
        <v>32.25</v>
      </c>
      <c r="IH39" s="727">
        <v>0.46500000000000002</v>
      </c>
      <c r="II39" s="727">
        <v>37.612000000000002</v>
      </c>
      <c r="IJ39" s="722">
        <v>34.75</v>
      </c>
      <c r="IK39" s="722">
        <v>0.46500000000000002</v>
      </c>
      <c r="IL39" s="722">
        <v>37.612000000000002</v>
      </c>
      <c r="IM39" s="727">
        <v>26.8125</v>
      </c>
      <c r="IN39" s="722">
        <v>0.46500000000000002</v>
      </c>
      <c r="IO39" s="722">
        <v>37.612000000000002</v>
      </c>
      <c r="IP39" s="727">
        <v>30.125</v>
      </c>
      <c r="IQ39" s="722">
        <v>0.46500000000000002</v>
      </c>
      <c r="IR39" s="721">
        <v>37.61</v>
      </c>
      <c r="IS39" s="721">
        <v>31.5</v>
      </c>
      <c r="IT39" s="721">
        <v>0.46500000000000002</v>
      </c>
      <c r="IU39" s="721">
        <v>37.61</v>
      </c>
      <c r="IV39" s="721">
        <v>29.4375</v>
      </c>
      <c r="IW39" s="721">
        <v>0.46500000000000002</v>
      </c>
      <c r="IX39" s="721">
        <v>37.61</v>
      </c>
      <c r="IY39" s="721">
        <v>36.188000000000002</v>
      </c>
      <c r="IZ39" s="721">
        <v>0.46500000000000002</v>
      </c>
      <c r="JA39" s="721">
        <v>37.61</v>
      </c>
      <c r="JB39" s="721">
        <v>33.813000000000002</v>
      </c>
      <c r="JC39" s="721">
        <v>0.46500000000000002</v>
      </c>
      <c r="JD39" s="721">
        <v>37.61</v>
      </c>
      <c r="JE39" s="721">
        <v>34.625</v>
      </c>
      <c r="JF39" s="721">
        <v>0.46500000000000002</v>
      </c>
      <c r="JG39" s="721">
        <v>37.61</v>
      </c>
      <c r="JH39" s="721">
        <v>37.6875</v>
      </c>
      <c r="JI39" s="721">
        <v>0.46500000000000002</v>
      </c>
      <c r="JJ39" s="721">
        <v>37.612000000000002</v>
      </c>
      <c r="JK39" s="721">
        <v>37.625</v>
      </c>
      <c r="JL39" s="721">
        <v>0.46500000000000002</v>
      </c>
      <c r="JM39" s="721">
        <v>37.612000000000002</v>
      </c>
      <c r="JN39" s="721">
        <v>31.5625</v>
      </c>
      <c r="JO39" s="721">
        <v>0.46500000000000002</v>
      </c>
      <c r="JP39" s="721">
        <v>37.612000000000002</v>
      </c>
      <c r="JQ39" s="721">
        <v>31.375</v>
      </c>
      <c r="JR39" s="721">
        <v>0.46500000000000002</v>
      </c>
      <c r="JS39" s="721">
        <v>37.612000000000002</v>
      </c>
      <c r="JT39" s="721">
        <v>29.75</v>
      </c>
      <c r="JU39" s="721">
        <v>0.46500000000000002</v>
      </c>
      <c r="JV39" s="721">
        <v>37.612000000000002</v>
      </c>
      <c r="JW39" s="721">
        <v>31.125</v>
      </c>
      <c r="JX39" s="721">
        <v>0.46500000000000002</v>
      </c>
      <c r="JY39" s="721">
        <v>37.612000000000002</v>
      </c>
      <c r="JZ39" s="721">
        <v>31.375</v>
      </c>
      <c r="KA39" s="721">
        <v>0.46500000000000002</v>
      </c>
      <c r="KB39" s="721">
        <v>37.612000000000002</v>
      </c>
      <c r="KC39" s="721">
        <v>31.125</v>
      </c>
      <c r="KD39" s="721">
        <v>0.46500000000000002</v>
      </c>
      <c r="KE39" s="721">
        <v>37.612000000000002</v>
      </c>
      <c r="KF39" s="721">
        <v>29</v>
      </c>
      <c r="KG39" s="721">
        <v>0.46500000000000002</v>
      </c>
      <c r="KH39" s="721">
        <v>37.612000000000002</v>
      </c>
      <c r="KI39" s="721">
        <v>30</v>
      </c>
      <c r="KJ39" s="721">
        <v>0.46500000000000002</v>
      </c>
      <c r="KK39" s="721">
        <v>37.612000000000002</v>
      </c>
      <c r="KL39" s="721">
        <v>27.25</v>
      </c>
      <c r="KM39" s="721">
        <v>0.46500000000000002</v>
      </c>
      <c r="KN39" s="721">
        <v>37.612000000000002</v>
      </c>
      <c r="KO39" s="721">
        <v>25.25</v>
      </c>
      <c r="KP39" s="721">
        <v>0.46500000000000002</v>
      </c>
      <c r="KQ39" s="721">
        <v>37.612000000000002</v>
      </c>
      <c r="KR39" s="721">
        <v>23.75</v>
      </c>
      <c r="KS39" s="721">
        <v>0.46500000000000002</v>
      </c>
      <c r="KT39" s="721">
        <v>37.347999999999999</v>
      </c>
      <c r="KU39" s="721">
        <v>23.5</v>
      </c>
      <c r="KV39" s="721">
        <v>0.46500000000000002</v>
      </c>
      <c r="KW39" s="721">
        <v>37.347999999999999</v>
      </c>
      <c r="KX39" s="721">
        <v>23.875</v>
      </c>
      <c r="KY39" s="721">
        <v>0.46500000000000002</v>
      </c>
      <c r="KZ39" s="721">
        <v>37.140999999999998</v>
      </c>
      <c r="LA39" s="721">
        <v>22.75</v>
      </c>
      <c r="LB39" s="721">
        <v>0.46500000000000002</v>
      </c>
      <c r="LC39" s="721">
        <v>36.784999999999997</v>
      </c>
      <c r="LD39" s="721">
        <v>27.5</v>
      </c>
      <c r="LE39" s="721">
        <v>0.46500000000000002</v>
      </c>
      <c r="LF39" s="721">
        <v>36.784999999999997</v>
      </c>
      <c r="LG39" s="721">
        <v>30.375</v>
      </c>
      <c r="LH39" s="721">
        <v>0.46500000000000002</v>
      </c>
      <c r="LI39" s="721">
        <v>36.784999999999997</v>
      </c>
      <c r="LJ39" s="721">
        <v>32.75</v>
      </c>
      <c r="LK39" s="721">
        <v>0.46500000000000002</v>
      </c>
      <c r="LL39" s="721">
        <v>36.566000000000003</v>
      </c>
      <c r="LM39" s="721">
        <v>31</v>
      </c>
      <c r="LN39" s="721">
        <v>0.46500000000000002</v>
      </c>
      <c r="LO39" s="721">
        <v>36.338000000000001</v>
      </c>
      <c r="LP39" s="721">
        <v>30.25</v>
      </c>
      <c r="LQ39" s="721">
        <v>0.46500000000000002</v>
      </c>
      <c r="LR39" s="721">
        <v>34.786000000000001</v>
      </c>
      <c r="LS39" s="721">
        <v>27.5</v>
      </c>
      <c r="LT39" s="721">
        <v>0.47</v>
      </c>
      <c r="LU39" s="721">
        <v>34.786000000000001</v>
      </c>
      <c r="LV39" s="721">
        <v>27</v>
      </c>
      <c r="LW39" s="721">
        <v>0.47</v>
      </c>
      <c r="LX39" s="721">
        <v>34.246000000000002</v>
      </c>
      <c r="LY39" s="721">
        <v>25.38</v>
      </c>
      <c r="LZ39" s="721">
        <v>0.47</v>
      </c>
      <c r="MA39" s="721">
        <v>34.124000000000002</v>
      </c>
      <c r="MB39" s="721">
        <v>24.88</v>
      </c>
      <c r="MC39" s="721">
        <v>0.47</v>
      </c>
      <c r="MD39" s="721">
        <v>33.976999999999997</v>
      </c>
      <c r="ME39" s="721">
        <v>28.75</v>
      </c>
      <c r="MF39" s="721">
        <v>0.47</v>
      </c>
      <c r="MG39" s="721">
        <v>33.976999999999997</v>
      </c>
      <c r="MH39" s="721">
        <v>26.75</v>
      </c>
      <c r="MI39" s="721">
        <v>0.47</v>
      </c>
      <c r="MJ39" s="721">
        <v>33.976999999999997</v>
      </c>
      <c r="MK39" s="721">
        <v>24.63</v>
      </c>
      <c r="ML39" s="721">
        <v>0.47</v>
      </c>
      <c r="MM39" s="721">
        <v>33.976999999999997</v>
      </c>
      <c r="MN39" s="721">
        <v>26.63</v>
      </c>
      <c r="MO39" s="721">
        <v>0.47</v>
      </c>
      <c r="MP39" s="721">
        <v>33.976999999999997</v>
      </c>
      <c r="MQ39" s="721">
        <v>25.75</v>
      </c>
    </row>
    <row r="40" spans="1:355">
      <c r="B40" s="723" t="s">
        <v>263</v>
      </c>
      <c r="C40" s="886"/>
      <c r="D40" s="886"/>
      <c r="E40" s="886"/>
      <c r="F40" s="788"/>
      <c r="G40" s="788"/>
      <c r="H40" s="788"/>
      <c r="I40" s="788"/>
      <c r="J40" s="788"/>
      <c r="K40" s="788"/>
      <c r="L40" s="828"/>
      <c r="M40" s="829"/>
      <c r="N40" s="828"/>
      <c r="O40" s="828"/>
      <c r="P40" s="828"/>
      <c r="Q40" s="828"/>
      <c r="R40" s="828"/>
      <c r="S40" s="828"/>
      <c r="T40" s="828"/>
      <c r="U40" s="788"/>
      <c r="V40" s="827"/>
      <c r="W40" s="788"/>
      <c r="X40" s="832"/>
      <c r="Y40" s="788"/>
      <c r="Z40" s="788"/>
      <c r="AA40" s="788"/>
      <c r="AB40" s="788"/>
      <c r="AC40" s="788"/>
      <c r="AJ40" s="788"/>
      <c r="AK40" s="788"/>
      <c r="AL40" s="788"/>
      <c r="AM40" s="828"/>
      <c r="AN40" s="828"/>
      <c r="AO40" s="828"/>
      <c r="AP40" s="788"/>
      <c r="AQ40" s="788"/>
      <c r="AR40" s="788"/>
      <c r="AV40" s="723"/>
      <c r="AW40" s="723"/>
      <c r="AX40" s="723"/>
      <c r="AY40" s="723"/>
      <c r="AZ40" s="723"/>
      <c r="BA40" s="723"/>
      <c r="BB40" s="723"/>
      <c r="BC40" s="723"/>
      <c r="BD40" s="723"/>
      <c r="BE40" s="723"/>
      <c r="BF40" s="723"/>
      <c r="BG40" s="723"/>
      <c r="BH40" s="723"/>
      <c r="BI40" s="723"/>
      <c r="BJ40" s="723"/>
      <c r="BK40" s="723"/>
      <c r="BL40" s="723"/>
      <c r="BM40" s="723"/>
      <c r="BN40" s="723"/>
      <c r="BO40" s="723"/>
      <c r="BP40" s="723"/>
      <c r="BQ40" s="723"/>
      <c r="BR40" s="723"/>
      <c r="BS40" s="723"/>
      <c r="BT40" s="723"/>
      <c r="BU40" s="723"/>
      <c r="BV40" s="723"/>
      <c r="BW40" s="728"/>
      <c r="BX40" s="728"/>
      <c r="BY40" s="728"/>
      <c r="BZ40" s="723"/>
      <c r="CA40" s="723"/>
      <c r="CB40" s="723"/>
      <c r="CC40" s="723"/>
      <c r="CD40" s="723"/>
      <c r="CE40" s="723"/>
      <c r="CF40" s="723"/>
      <c r="CG40" s="723"/>
      <c r="CH40" s="723"/>
      <c r="CI40" s="723"/>
      <c r="CJ40" s="723"/>
      <c r="CK40" s="723"/>
      <c r="CL40" s="723"/>
      <c r="CM40" s="723"/>
      <c r="CN40" s="723"/>
      <c r="CO40" s="723"/>
      <c r="CP40" s="723"/>
      <c r="CQ40" s="723"/>
      <c r="CR40" s="723"/>
      <c r="CS40" s="723"/>
      <c r="CT40" s="723"/>
      <c r="CU40" s="723"/>
      <c r="CV40" s="723"/>
      <c r="CW40" s="723"/>
      <c r="CX40" s="722"/>
      <c r="CY40" s="723"/>
      <c r="CZ40" s="723"/>
      <c r="DA40" s="723"/>
      <c r="DB40" s="723"/>
      <c r="DC40" s="735"/>
      <c r="DD40" s="723"/>
      <c r="DE40" s="723"/>
      <c r="DF40" s="723"/>
      <c r="DG40" s="723"/>
      <c r="DH40" s="723"/>
      <c r="DI40" s="723"/>
      <c r="DJ40" s="723"/>
      <c r="DK40" s="723"/>
      <c r="DL40" s="723"/>
      <c r="DM40" s="723"/>
      <c r="DN40" s="723"/>
      <c r="DO40" s="723"/>
      <c r="DP40" s="723"/>
      <c r="DQ40" s="723"/>
      <c r="DR40" s="723"/>
      <c r="DS40" s="723"/>
      <c r="DT40" s="725"/>
      <c r="DU40" s="723"/>
      <c r="DV40" s="723"/>
      <c r="DW40" s="723"/>
      <c r="DX40" s="723"/>
      <c r="DY40" s="723"/>
      <c r="DZ40" s="723"/>
      <c r="EA40" s="723"/>
      <c r="EB40" s="723"/>
      <c r="EC40" s="723"/>
      <c r="ED40" s="723"/>
      <c r="EE40" s="723"/>
      <c r="EF40" s="723"/>
      <c r="EG40" s="723"/>
      <c r="EH40" s="723"/>
      <c r="EI40" s="723"/>
      <c r="EJ40" s="723"/>
      <c r="EK40" s="723"/>
      <c r="EL40" s="723"/>
      <c r="EM40" s="723"/>
      <c r="EN40" s="723"/>
      <c r="EO40" s="723"/>
      <c r="EP40" s="723"/>
      <c r="EQ40" s="723"/>
      <c r="ER40" s="723"/>
      <c r="ES40" s="723"/>
      <c r="ET40" s="722"/>
      <c r="EU40" s="722"/>
      <c r="EV40" s="722"/>
      <c r="EW40" s="723"/>
      <c r="EX40" s="723"/>
      <c r="EY40" s="723"/>
      <c r="EZ40" s="723"/>
      <c r="FA40" s="723"/>
      <c r="FB40" s="723"/>
      <c r="FC40" s="723"/>
      <c r="FD40" s="741"/>
      <c r="FE40" s="723"/>
      <c r="FF40" s="727"/>
      <c r="FG40" s="727"/>
      <c r="FH40" s="727"/>
      <c r="FI40" s="727"/>
      <c r="FJ40" s="727"/>
      <c r="FK40" s="727"/>
      <c r="FL40" s="727"/>
      <c r="FM40" s="727"/>
      <c r="FN40" s="727"/>
      <c r="FO40" s="727"/>
      <c r="FP40" s="727"/>
      <c r="FQ40" s="727"/>
      <c r="FR40" s="727"/>
      <c r="FS40" s="742"/>
      <c r="FT40" s="626"/>
      <c r="FU40" s="727"/>
      <c r="FV40" s="727"/>
      <c r="FW40" s="727"/>
      <c r="FX40" s="727"/>
      <c r="FY40" s="727"/>
      <c r="FZ40" s="727"/>
      <c r="GA40" s="727"/>
      <c r="GB40" s="727"/>
      <c r="GC40" s="727"/>
      <c r="GD40" s="750"/>
      <c r="GE40" s="741"/>
      <c r="GF40" s="751"/>
      <c r="GG40" s="750"/>
      <c r="GH40" s="727"/>
      <c r="GI40" s="727"/>
      <c r="GJ40" s="727"/>
      <c r="GK40" s="727"/>
      <c r="GL40" s="727"/>
      <c r="GM40" s="727"/>
      <c r="GN40" s="727"/>
      <c r="GO40" s="727"/>
      <c r="GP40" s="727"/>
      <c r="GQ40" s="727"/>
      <c r="GR40" s="727"/>
      <c r="GS40" s="727"/>
      <c r="GT40" s="727"/>
      <c r="GU40" s="752"/>
      <c r="GV40" s="727"/>
      <c r="GW40" s="727"/>
      <c r="GX40" s="727"/>
      <c r="GY40" s="727"/>
      <c r="GZ40" s="727"/>
      <c r="HA40" s="727"/>
      <c r="HB40" s="727"/>
      <c r="HC40" s="727"/>
      <c r="HD40" s="727"/>
      <c r="HE40" s="727"/>
      <c r="HF40" s="727"/>
      <c r="HG40" s="727"/>
      <c r="HH40" s="727"/>
      <c r="HI40" s="727"/>
      <c r="HJ40" s="727"/>
      <c r="HK40" s="727"/>
      <c r="HL40" s="727"/>
      <c r="HM40" s="727"/>
      <c r="HN40" s="727"/>
      <c r="HO40" s="752"/>
      <c r="HP40" s="752"/>
      <c r="HQ40" s="727"/>
      <c r="HR40" s="727"/>
      <c r="HS40" s="727"/>
      <c r="HT40" s="727"/>
      <c r="HU40" s="727"/>
      <c r="HV40" s="727"/>
      <c r="HW40" s="727"/>
      <c r="HX40" s="727"/>
      <c r="HY40" s="727"/>
      <c r="HZ40" s="727">
        <v>87.926569000000001</v>
      </c>
      <c r="IA40" s="727">
        <v>24.1875</v>
      </c>
      <c r="IB40" s="727">
        <v>0.16250000000000001</v>
      </c>
      <c r="IC40" s="727">
        <v>86.600999999999999</v>
      </c>
      <c r="ID40" s="727">
        <v>22.875</v>
      </c>
      <c r="IE40" s="727">
        <v>0.16250000000000001</v>
      </c>
      <c r="IF40" s="727">
        <v>85.701999999999998</v>
      </c>
      <c r="IG40" s="727">
        <v>20.125</v>
      </c>
      <c r="IH40" s="727">
        <v>0.16250000000000001</v>
      </c>
      <c r="II40" s="727">
        <v>85.727999999999994</v>
      </c>
      <c r="IJ40" s="722">
        <v>19.5</v>
      </c>
      <c r="IK40" s="722">
        <v>0.16250000000000001</v>
      </c>
      <c r="IL40" s="722">
        <v>85.72</v>
      </c>
      <c r="IM40" s="727">
        <v>17.0625</v>
      </c>
      <c r="IN40" s="722">
        <v>0.15</v>
      </c>
      <c r="IO40" s="722">
        <v>85.718000000000004</v>
      </c>
      <c r="IP40" s="727">
        <v>19.4375</v>
      </c>
      <c r="IQ40" s="722">
        <v>0.15</v>
      </c>
      <c r="IR40" s="721">
        <v>89.98</v>
      </c>
      <c r="IS40" s="721">
        <v>21.1875</v>
      </c>
      <c r="IT40" s="721">
        <v>0.15</v>
      </c>
      <c r="IU40" s="721">
        <f>44.93*2</f>
        <v>89.86</v>
      </c>
      <c r="IV40" s="721">
        <v>21.9375</v>
      </c>
      <c r="IW40" s="721">
        <v>0.15</v>
      </c>
      <c r="IX40" s="721">
        <f>44.93*2</f>
        <v>89.86</v>
      </c>
      <c r="IY40" s="721">
        <f>55.625/2</f>
        <v>27.8125</v>
      </c>
      <c r="IZ40" s="721">
        <f>0.275/2</f>
        <v>0.13750000000000001</v>
      </c>
      <c r="JA40" s="721">
        <f>44.93*2</f>
        <v>89.86</v>
      </c>
      <c r="JB40" s="721">
        <f>47.063/2</f>
        <v>23.531500000000001</v>
      </c>
      <c r="JC40" s="721">
        <f>0.275/2</f>
        <v>0.13750000000000001</v>
      </c>
      <c r="JD40" s="721">
        <f>44.93*2</f>
        <v>89.86</v>
      </c>
      <c r="JE40" s="721">
        <f>44.438/2</f>
        <v>22.219000000000001</v>
      </c>
      <c r="JF40" s="721">
        <f>0.275/2</f>
        <v>0.13750000000000001</v>
      </c>
      <c r="JG40" s="721">
        <f>44.58*2</f>
        <v>89.16</v>
      </c>
      <c r="JH40" s="721">
        <f>45.0625/2</f>
        <v>22.53125</v>
      </c>
      <c r="JI40" s="721">
        <f>0.275/2</f>
        <v>0.13750000000000001</v>
      </c>
      <c r="JJ40" s="721">
        <f>44.582*2</f>
        <v>89.164000000000001</v>
      </c>
      <c r="JK40" s="721">
        <f>41.9375/2</f>
        <v>20.96875</v>
      </c>
      <c r="JL40" s="721">
        <f>0.25/2</f>
        <v>0.125</v>
      </c>
      <c r="JM40" s="721">
        <f>44.582*2</f>
        <v>89.164000000000001</v>
      </c>
      <c r="JN40" s="721">
        <f>34.25/2</f>
        <v>17.125</v>
      </c>
      <c r="JO40" s="721">
        <f>0.25/2</f>
        <v>0.125</v>
      </c>
      <c r="JP40" s="721">
        <f>44.582*2</f>
        <v>89.164000000000001</v>
      </c>
      <c r="JQ40" s="721">
        <f>31.25/2</f>
        <v>15.625</v>
      </c>
      <c r="JR40" s="721">
        <f>0.25/2</f>
        <v>0.125</v>
      </c>
      <c r="JS40" s="721">
        <f>44.93*2</f>
        <v>89.86</v>
      </c>
      <c r="JT40" s="721">
        <f>30.375/2</f>
        <v>15.1875</v>
      </c>
      <c r="JU40" s="721">
        <f>0.25/2</f>
        <v>0.125</v>
      </c>
      <c r="JV40" s="721">
        <f>44.93*2</f>
        <v>89.86</v>
      </c>
      <c r="JW40" s="721">
        <f>27.25/2</f>
        <v>13.625</v>
      </c>
      <c r="JX40" s="721">
        <f>0.37/2</f>
        <v>0.185</v>
      </c>
      <c r="JY40" s="721">
        <f>56.721*2</f>
        <v>113.44199999999999</v>
      </c>
      <c r="JZ40" s="721">
        <f>26.25/2</f>
        <v>13.125</v>
      </c>
      <c r="KA40" s="721">
        <f>0.37/2</f>
        <v>0.185</v>
      </c>
      <c r="KB40" s="721">
        <f>56.721*2</f>
        <v>113.44199999999999</v>
      </c>
      <c r="KC40" s="721">
        <f>26.25/2</f>
        <v>13.125</v>
      </c>
      <c r="KD40" s="721">
        <f>0.37/2</f>
        <v>0.185</v>
      </c>
      <c r="KE40" s="721">
        <f>56.721*2</f>
        <v>113.44199999999999</v>
      </c>
      <c r="KF40" s="721">
        <f>26.375/2</f>
        <v>13.1875</v>
      </c>
      <c r="KG40" s="721">
        <f>0.37/2</f>
        <v>0.185</v>
      </c>
      <c r="KH40" s="721">
        <f>56.721*2</f>
        <v>113.44199999999999</v>
      </c>
      <c r="KI40" s="721">
        <f>25.417/2</f>
        <v>12.708500000000001</v>
      </c>
      <c r="KJ40" s="721">
        <v>0.18</v>
      </c>
      <c r="KK40" s="721">
        <f>56.721*2</f>
        <v>113.44199999999999</v>
      </c>
      <c r="KL40" s="721">
        <f>23.917/2</f>
        <v>11.958500000000001</v>
      </c>
      <c r="KM40" s="721">
        <v>0.18</v>
      </c>
      <c r="KN40" s="721">
        <f>56.721*2</f>
        <v>113.44199999999999</v>
      </c>
      <c r="KO40" s="721">
        <f>21.25/2</f>
        <v>10.625</v>
      </c>
      <c r="KP40" s="721">
        <v>0.18</v>
      </c>
      <c r="KQ40" s="721">
        <f>56.721*2</f>
        <v>113.44199999999999</v>
      </c>
      <c r="KR40" s="721">
        <f>21.3333333333333/2</f>
        <v>10.66666666666665</v>
      </c>
      <c r="KS40" s="721">
        <v>0.18</v>
      </c>
      <c r="KT40" s="721">
        <f>56.583*2</f>
        <v>113.166</v>
      </c>
      <c r="KU40" s="721">
        <v>10</v>
      </c>
      <c r="KV40" s="721">
        <f>0.353333333333333/2</f>
        <v>0.1766666666666665</v>
      </c>
      <c r="KW40" s="721">
        <f>56.583*2</f>
        <v>113.166</v>
      </c>
      <c r="KX40" s="721">
        <v>9.75</v>
      </c>
      <c r="KY40" s="721">
        <f>0.353333333333333/2</f>
        <v>0.1766666666666665</v>
      </c>
      <c r="KZ40" s="721">
        <f>56.5875*2</f>
        <v>113.175</v>
      </c>
      <c r="LA40" s="721">
        <f>19.25/2</f>
        <v>9.625</v>
      </c>
      <c r="LB40" s="721">
        <f>0.353333333333333/2</f>
        <v>0.1766666666666665</v>
      </c>
      <c r="LC40" s="721">
        <f>56.496*2</f>
        <v>112.992</v>
      </c>
      <c r="LD40" s="721">
        <f>21.25/2</f>
        <v>10.625</v>
      </c>
      <c r="LE40" s="721">
        <f>0.353333333333333/2</f>
        <v>0.1766666666666665</v>
      </c>
      <c r="LF40" s="721">
        <f>56.496*2</f>
        <v>112.992</v>
      </c>
      <c r="LG40" s="721">
        <f>23.6666666666666/2</f>
        <v>11.8333333333333</v>
      </c>
      <c r="LH40" s="721">
        <v>0.17</v>
      </c>
      <c r="LI40" s="721">
        <f>56.496*2</f>
        <v>112.992</v>
      </c>
      <c r="LJ40" s="721">
        <f>25.3333333333333/2</f>
        <v>12.66666666666665</v>
      </c>
      <c r="LK40" s="721">
        <v>0.17</v>
      </c>
      <c r="LL40" s="721">
        <f>56.496*2</f>
        <v>112.992</v>
      </c>
      <c r="LM40" s="721">
        <f>24.5833333333333/2</f>
        <v>12.29166666666665</v>
      </c>
      <c r="LN40" s="721">
        <v>0.17</v>
      </c>
      <c r="LO40" s="721">
        <f>56.496*2</f>
        <v>112.992</v>
      </c>
      <c r="LP40" s="721">
        <f>25.1666666666666/2</f>
        <v>12.5833333333333</v>
      </c>
      <c r="LQ40" s="721">
        <v>0.17</v>
      </c>
      <c r="LR40" s="721">
        <f>56.372*2</f>
        <v>112.744</v>
      </c>
      <c r="LS40" s="721">
        <v>12</v>
      </c>
      <c r="LT40" s="721">
        <v>0.16500000000000001</v>
      </c>
      <c r="LU40" s="721">
        <f>56.372*2</f>
        <v>112.744</v>
      </c>
      <c r="LV40" s="721">
        <f>23.42/2</f>
        <v>11.71</v>
      </c>
      <c r="LW40" s="721">
        <v>0.16500000000000001</v>
      </c>
      <c r="LX40" s="721">
        <f>56.331*2</f>
        <v>112.66200000000001</v>
      </c>
      <c r="LY40" s="721">
        <f>23.33/2</f>
        <v>11.664999999999999</v>
      </c>
      <c r="LZ40" s="721">
        <v>0.16500000000000001</v>
      </c>
      <c r="MA40" s="721">
        <f>56.331*2</f>
        <v>112.66200000000001</v>
      </c>
      <c r="MB40" s="721">
        <f>21.5/2</f>
        <v>10.75</v>
      </c>
      <c r="MC40" s="721">
        <v>0.155</v>
      </c>
      <c r="MD40" s="721">
        <f>56.331*2</f>
        <v>112.66200000000001</v>
      </c>
      <c r="ME40" s="721">
        <f>22.25/2</f>
        <v>11.125</v>
      </c>
      <c r="MF40" s="721">
        <v>0.155</v>
      </c>
      <c r="MG40" s="721">
        <f>56.331*2</f>
        <v>112.66200000000001</v>
      </c>
      <c r="MH40" s="721">
        <f>20.58/2</f>
        <v>10.29</v>
      </c>
      <c r="MI40" s="721">
        <v>0.155</v>
      </c>
      <c r="MJ40" s="721">
        <f>56.331*2</f>
        <v>112.66200000000001</v>
      </c>
      <c r="MK40" s="721">
        <f>18.33/2</f>
        <v>9.1649999999999991</v>
      </c>
      <c r="ML40" s="721">
        <v>0.155</v>
      </c>
      <c r="MM40" s="721">
        <f>56.331*2</f>
        <v>112.66200000000001</v>
      </c>
      <c r="MN40" s="721">
        <f>18.67/2</f>
        <v>9.3350000000000009</v>
      </c>
      <c r="MO40" s="721">
        <v>0.15</v>
      </c>
      <c r="MP40" s="721">
        <f>56.331*2</f>
        <v>112.66200000000001</v>
      </c>
      <c r="MQ40" s="721">
        <f>17.83/2</f>
        <v>8.9149999999999991</v>
      </c>
    </row>
    <row r="41" spans="1:355">
      <c r="B41" s="723" t="s">
        <v>264</v>
      </c>
      <c r="C41" s="886"/>
      <c r="D41" s="886"/>
      <c r="E41" s="886"/>
      <c r="F41" s="788"/>
      <c r="G41" s="788"/>
      <c r="H41" s="788"/>
      <c r="I41" s="788"/>
      <c r="J41" s="788"/>
      <c r="K41" s="788"/>
      <c r="L41" s="828"/>
      <c r="M41" s="829"/>
      <c r="N41" s="828"/>
      <c r="O41" s="828"/>
      <c r="P41" s="828"/>
      <c r="Q41" s="828"/>
      <c r="R41" s="828"/>
      <c r="S41" s="828"/>
      <c r="T41" s="828"/>
      <c r="U41" s="788"/>
      <c r="V41" s="827"/>
      <c r="W41" s="788"/>
      <c r="X41" s="832"/>
      <c r="Y41" s="788"/>
      <c r="Z41" s="788"/>
      <c r="AA41" s="788"/>
      <c r="AB41" s="788"/>
      <c r="AC41" s="788"/>
      <c r="AJ41" s="788"/>
      <c r="AK41" s="788"/>
      <c r="AL41" s="788"/>
      <c r="AM41" s="828"/>
      <c r="AN41" s="828"/>
      <c r="AO41" s="828"/>
      <c r="AP41" s="788"/>
      <c r="AQ41" s="788"/>
      <c r="AR41" s="788"/>
      <c r="AV41" s="723"/>
      <c r="AW41" s="723"/>
      <c r="AX41" s="723"/>
      <c r="AY41" s="723"/>
      <c r="AZ41" s="723"/>
      <c r="BA41" s="723"/>
      <c r="BB41" s="723"/>
      <c r="BC41" s="723"/>
      <c r="BD41" s="723"/>
      <c r="BE41" s="723"/>
      <c r="BF41" s="723"/>
      <c r="BG41" s="723"/>
      <c r="BH41" s="723"/>
      <c r="BI41" s="723"/>
      <c r="BJ41" s="723"/>
      <c r="BK41" s="723"/>
      <c r="BL41" s="723"/>
      <c r="BM41" s="723"/>
      <c r="BN41" s="723"/>
      <c r="BO41" s="723"/>
      <c r="BP41" s="723"/>
      <c r="BQ41" s="723"/>
      <c r="BR41" s="723"/>
      <c r="BS41" s="723"/>
      <c r="BT41" s="723"/>
      <c r="BU41" s="723"/>
      <c r="BV41" s="723"/>
      <c r="BW41" s="728"/>
      <c r="BX41" s="728"/>
      <c r="BY41" s="728"/>
      <c r="BZ41" s="723"/>
      <c r="CA41" s="723"/>
      <c r="CB41" s="723"/>
      <c r="CC41" s="723"/>
      <c r="CD41" s="723"/>
      <c r="CE41" s="723"/>
      <c r="CF41" s="723"/>
      <c r="CG41" s="723"/>
      <c r="CH41" s="723"/>
      <c r="CI41" s="723"/>
      <c r="CJ41" s="723"/>
      <c r="CK41" s="723"/>
      <c r="CL41" s="723"/>
      <c r="CM41" s="723"/>
      <c r="CN41" s="723"/>
      <c r="CO41" s="723"/>
      <c r="CP41" s="723"/>
      <c r="CQ41" s="723"/>
      <c r="CR41" s="723"/>
      <c r="CS41" s="723"/>
      <c r="CT41" s="723"/>
      <c r="CU41" s="723"/>
      <c r="CV41" s="723"/>
      <c r="CW41" s="723"/>
      <c r="CX41" s="722"/>
      <c r="CY41" s="723"/>
      <c r="CZ41" s="723"/>
      <c r="DA41" s="723"/>
      <c r="DB41" s="723"/>
      <c r="DC41" s="735"/>
      <c r="DD41" s="723"/>
      <c r="DE41" s="723"/>
      <c r="DF41" s="723"/>
      <c r="DG41" s="723"/>
      <c r="DH41" s="723"/>
      <c r="DI41" s="723"/>
      <c r="DJ41" s="723"/>
      <c r="DK41" s="723"/>
      <c r="DL41" s="723"/>
      <c r="DM41" s="723"/>
      <c r="DN41" s="723"/>
      <c r="DO41" s="723"/>
      <c r="DP41" s="723"/>
      <c r="DQ41" s="723"/>
      <c r="DR41" s="723"/>
      <c r="DS41" s="723"/>
      <c r="DT41" s="725"/>
      <c r="DU41" s="723"/>
      <c r="DV41" s="723"/>
      <c r="DW41" s="723"/>
      <c r="DX41" s="723"/>
      <c r="DY41" s="723"/>
      <c r="DZ41" s="723"/>
      <c r="EA41" s="723"/>
      <c r="EB41" s="723"/>
      <c r="EC41" s="723"/>
      <c r="ED41" s="723"/>
      <c r="EE41" s="723"/>
      <c r="EF41" s="723"/>
      <c r="EG41" s="723"/>
      <c r="EH41" s="723"/>
      <c r="EI41" s="723"/>
      <c r="EJ41" s="723"/>
      <c r="EK41" s="723"/>
      <c r="EL41" s="723"/>
      <c r="EM41" s="723"/>
      <c r="EN41" s="723"/>
      <c r="EO41" s="723"/>
      <c r="EP41" s="723"/>
      <c r="EQ41" s="723"/>
      <c r="ER41" s="723"/>
      <c r="ES41" s="723"/>
      <c r="ET41" s="722"/>
      <c r="EU41" s="722"/>
      <c r="EV41" s="722"/>
      <c r="EW41" s="723"/>
      <c r="EX41" s="723"/>
      <c r="EY41" s="723"/>
      <c r="EZ41" s="723"/>
      <c r="FA41" s="723"/>
      <c r="FB41" s="723"/>
      <c r="FC41" s="723"/>
      <c r="FD41" s="741"/>
      <c r="FE41" s="723"/>
      <c r="FF41" s="727"/>
      <c r="FG41" s="727"/>
      <c r="FH41" s="727"/>
      <c r="FI41" s="727"/>
      <c r="FJ41" s="727"/>
      <c r="FK41" s="727"/>
      <c r="FL41" s="727"/>
      <c r="FM41" s="727"/>
      <c r="FN41" s="727"/>
      <c r="FO41" s="727"/>
      <c r="FP41" s="727"/>
      <c r="FQ41" s="727"/>
      <c r="FR41" s="727"/>
      <c r="FS41" s="742"/>
      <c r="FT41" s="626"/>
      <c r="FU41" s="727"/>
      <c r="FV41" s="727"/>
      <c r="FW41" s="727"/>
      <c r="FX41" s="727"/>
      <c r="FY41" s="727"/>
      <c r="FZ41" s="727"/>
      <c r="GA41" s="727"/>
      <c r="GB41" s="727"/>
      <c r="GC41" s="727"/>
      <c r="GD41" s="750"/>
      <c r="GE41" s="741"/>
      <c r="GF41" s="751"/>
      <c r="GG41" s="750"/>
      <c r="GH41" s="727"/>
      <c r="GI41" s="727"/>
      <c r="GJ41" s="727"/>
      <c r="GK41" s="727"/>
      <c r="GL41" s="727"/>
      <c r="GM41" s="727"/>
      <c r="GN41" s="727"/>
      <c r="GO41" s="727"/>
      <c r="GP41" s="727"/>
      <c r="GQ41" s="727"/>
      <c r="GR41" s="727"/>
      <c r="GS41" s="727"/>
      <c r="GT41" s="727"/>
      <c r="GU41" s="752"/>
      <c r="GV41" s="727"/>
      <c r="GW41" s="727"/>
      <c r="GX41" s="727"/>
      <c r="GY41" s="727"/>
      <c r="GZ41" s="727"/>
      <c r="HA41" s="727"/>
      <c r="HB41" s="727"/>
      <c r="HC41" s="727"/>
      <c r="HD41" s="727"/>
      <c r="HE41" s="727"/>
      <c r="HF41" s="727"/>
      <c r="HG41" s="727"/>
      <c r="HH41" s="727"/>
      <c r="HI41" s="727"/>
      <c r="HJ41" s="727"/>
      <c r="HK41" s="727"/>
      <c r="HL41" s="727"/>
      <c r="HM41" s="727"/>
      <c r="HN41" s="727"/>
      <c r="HO41" s="752"/>
      <c r="HP41" s="752"/>
      <c r="HQ41" s="727"/>
      <c r="HR41" s="727"/>
      <c r="HS41" s="727"/>
      <c r="HT41" s="727"/>
      <c r="HU41" s="727"/>
      <c r="HV41" s="727"/>
      <c r="HW41" s="727"/>
      <c r="HX41" s="727"/>
      <c r="HY41" s="727"/>
      <c r="HZ41" s="727"/>
      <c r="IA41" s="727"/>
      <c r="IB41" s="727"/>
      <c r="IC41" s="727"/>
      <c r="ID41" s="727"/>
      <c r="IE41" s="727"/>
      <c r="IF41" s="727"/>
      <c r="IG41" s="727"/>
      <c r="IH41" s="727"/>
      <c r="II41" s="727"/>
      <c r="IJ41" s="722"/>
      <c r="IK41" s="722"/>
      <c r="IL41" s="722"/>
      <c r="IM41" s="727"/>
      <c r="IN41" s="722"/>
      <c r="IO41" s="722"/>
      <c r="IP41" s="727"/>
      <c r="IQ41" s="722"/>
      <c r="IR41" s="721"/>
      <c r="IS41" s="721"/>
      <c r="IT41" s="721"/>
      <c r="IU41" s="721"/>
      <c r="IV41" s="721"/>
      <c r="IW41" s="721"/>
      <c r="IX41" s="721"/>
      <c r="IY41" s="721"/>
      <c r="IZ41" s="721"/>
      <c r="JA41" s="721"/>
      <c r="JB41" s="721"/>
      <c r="JC41" s="721"/>
      <c r="JD41" s="721"/>
      <c r="JE41" s="721"/>
      <c r="JF41" s="721"/>
      <c r="JG41" s="721">
        <v>37.82</v>
      </c>
      <c r="JH41" s="721">
        <v>42.8125</v>
      </c>
      <c r="JI41" s="721">
        <v>0.44</v>
      </c>
      <c r="JJ41" s="721">
        <v>37.817999999999998</v>
      </c>
      <c r="JK41" s="721">
        <v>39.25</v>
      </c>
      <c r="JL41" s="721">
        <v>0.44</v>
      </c>
      <c r="JM41" s="721">
        <v>37.817999999999998</v>
      </c>
      <c r="JN41" s="721">
        <v>34.6875</v>
      </c>
      <c r="JO41" s="721">
        <v>0.44</v>
      </c>
      <c r="JP41" s="721">
        <v>37.817999999999998</v>
      </c>
      <c r="JQ41" s="721">
        <v>34.125</v>
      </c>
      <c r="JR41" s="721">
        <v>0.44</v>
      </c>
      <c r="JS41" s="721">
        <v>37.817999999999998</v>
      </c>
      <c r="JT41" s="721">
        <v>30</v>
      </c>
      <c r="JU41" s="721">
        <v>0.44</v>
      </c>
      <c r="JV41" s="721">
        <v>37.817999999999998</v>
      </c>
      <c r="JW41" s="721">
        <v>30</v>
      </c>
      <c r="JX41" s="721">
        <v>0.43</v>
      </c>
      <c r="JY41" s="721">
        <v>37.817999999999998</v>
      </c>
      <c r="JZ41" s="721">
        <v>28.75</v>
      </c>
      <c r="KA41" s="721">
        <v>0.43</v>
      </c>
      <c r="KB41" s="721">
        <v>37.817999999999998</v>
      </c>
      <c r="KC41" s="721">
        <v>29.875</v>
      </c>
      <c r="KD41" s="721">
        <v>0.43</v>
      </c>
      <c r="KE41" s="721">
        <v>37.817999999999998</v>
      </c>
      <c r="KF41" s="721">
        <v>28.375</v>
      </c>
      <c r="KG41" s="721">
        <v>0.42</v>
      </c>
      <c r="KH41" s="721">
        <v>37.817999999999998</v>
      </c>
      <c r="KI41" s="721">
        <v>30</v>
      </c>
      <c r="KJ41" s="721">
        <v>0.42</v>
      </c>
      <c r="KK41" s="721">
        <v>37.817999999999998</v>
      </c>
      <c r="KL41" s="721">
        <v>29</v>
      </c>
      <c r="KM41" s="721">
        <v>0.42</v>
      </c>
      <c r="KN41" s="721">
        <v>37.817999999999998</v>
      </c>
      <c r="KO41" s="721">
        <v>27.875</v>
      </c>
      <c r="KP41" s="721">
        <v>0.42</v>
      </c>
      <c r="KQ41" s="721">
        <v>37.817999999999998</v>
      </c>
      <c r="KR41" s="721">
        <v>27.625</v>
      </c>
      <c r="KS41" s="721">
        <v>0.41</v>
      </c>
      <c r="KT41" s="721">
        <v>37.817999999999998</v>
      </c>
      <c r="KU41" s="721">
        <v>27</v>
      </c>
      <c r="KV41" s="721">
        <v>0.41</v>
      </c>
      <c r="KW41" s="721">
        <v>37.817999999999998</v>
      </c>
      <c r="KX41" s="721">
        <v>27.125</v>
      </c>
      <c r="KY41" s="721">
        <v>0.41</v>
      </c>
      <c r="KZ41" s="721">
        <v>37.817999999999998</v>
      </c>
      <c r="LA41" s="721">
        <v>25.125</v>
      </c>
      <c r="LB41" s="721">
        <v>0.41</v>
      </c>
      <c r="LC41" s="721">
        <v>37.817999999999998</v>
      </c>
      <c r="LD41" s="721">
        <v>28.625</v>
      </c>
      <c r="LE41" s="721">
        <v>0.41</v>
      </c>
      <c r="LF41" s="721">
        <v>37.817999999999998</v>
      </c>
      <c r="LG41" s="721">
        <v>29</v>
      </c>
      <c r="LH41" s="721">
        <v>0.4</v>
      </c>
      <c r="LI41" s="721">
        <v>37.817999999999998</v>
      </c>
      <c r="LJ41" s="721">
        <v>31.875</v>
      </c>
      <c r="LK41" s="721">
        <v>0.4</v>
      </c>
      <c r="LL41" s="721">
        <v>37.817999999999998</v>
      </c>
      <c r="LM41" s="721">
        <v>30.5</v>
      </c>
      <c r="LN41" s="721">
        <v>0.4</v>
      </c>
      <c r="LO41" s="721">
        <v>37.817999999999998</v>
      </c>
      <c r="LP41" s="721">
        <v>30.625</v>
      </c>
      <c r="LQ41" s="721">
        <v>0.4</v>
      </c>
      <c r="LR41" s="721">
        <v>37.817999999999998</v>
      </c>
      <c r="LS41" s="721">
        <v>28.13</v>
      </c>
      <c r="LT41" s="721">
        <v>0.39</v>
      </c>
      <c r="LU41" s="721">
        <v>37.817999999999998</v>
      </c>
      <c r="LV41" s="721">
        <v>28.25</v>
      </c>
      <c r="LW41" s="721">
        <v>0.39</v>
      </c>
      <c r="LX41" s="721">
        <v>37.817999999999998</v>
      </c>
      <c r="LY41" s="721">
        <v>26.5</v>
      </c>
      <c r="LZ41" s="721">
        <v>0.39</v>
      </c>
      <c r="MA41" s="721">
        <v>37.817999999999998</v>
      </c>
      <c r="MB41" s="721">
        <v>24.63</v>
      </c>
      <c r="MC41" s="721">
        <v>0.39</v>
      </c>
      <c r="MD41" s="721">
        <v>37.817999999999998</v>
      </c>
      <c r="ME41" s="721">
        <v>27.63</v>
      </c>
      <c r="MF41" s="721">
        <v>0.38</v>
      </c>
      <c r="MG41" s="721">
        <v>37.817999999999998</v>
      </c>
      <c r="MH41" s="721">
        <v>25.63</v>
      </c>
      <c r="MI41" s="721">
        <v>0.38</v>
      </c>
      <c r="MJ41" s="721">
        <v>37.817999999999998</v>
      </c>
      <c r="MK41" s="721">
        <v>22.63</v>
      </c>
      <c r="ML41" s="721">
        <v>0.38</v>
      </c>
      <c r="MM41" s="721">
        <v>37.817999999999998</v>
      </c>
      <c r="MN41" s="721">
        <v>21.25</v>
      </c>
      <c r="MO41" s="721">
        <v>0.38</v>
      </c>
      <c r="MP41" s="721">
        <v>37.817999999999998</v>
      </c>
      <c r="MQ41" s="721">
        <v>20.75</v>
      </c>
    </row>
    <row r="42" spans="1:355" ht="14.4">
      <c r="A42" s="633" t="s">
        <v>680</v>
      </c>
      <c r="B42" s="728" t="s">
        <v>679</v>
      </c>
      <c r="C42" s="885">
        <v>239.5</v>
      </c>
      <c r="D42" s="885">
        <v>55.05</v>
      </c>
      <c r="E42" s="885">
        <v>0.505</v>
      </c>
      <c r="F42" s="828">
        <v>234.6</v>
      </c>
      <c r="G42" s="828">
        <v>65.09</v>
      </c>
      <c r="H42" s="828">
        <v>0.505</v>
      </c>
      <c r="I42" s="828">
        <v>243.2</v>
      </c>
      <c r="J42" s="828">
        <v>66.56</v>
      </c>
      <c r="K42" s="828">
        <v>0.47499999999999998</v>
      </c>
      <c r="L42" s="828">
        <v>252.8</v>
      </c>
      <c r="M42" s="829">
        <v>60.15</v>
      </c>
      <c r="N42" s="828">
        <v>0.47499999999999998</v>
      </c>
      <c r="O42" s="835">
        <v>268.60000000000002</v>
      </c>
      <c r="P42" s="828">
        <v>58.05</v>
      </c>
      <c r="Q42" s="828">
        <v>0.47499999999999998</v>
      </c>
      <c r="R42" s="840">
        <v>268.60000000000002</v>
      </c>
      <c r="S42" s="828">
        <v>56.77</v>
      </c>
      <c r="T42" s="839">
        <v>0.47499999999999998</v>
      </c>
      <c r="U42" s="833">
        <v>271.71037000000001</v>
      </c>
      <c r="V42" s="829">
        <v>54.92</v>
      </c>
      <c r="W42" s="830">
        <v>0.46</v>
      </c>
      <c r="X42" s="833">
        <v>271.71037000000001</v>
      </c>
      <c r="Y42" s="788">
        <v>56.15</v>
      </c>
      <c r="Z42" s="788">
        <v>0.4</v>
      </c>
      <c r="AA42" s="834">
        <v>272.80708073664198</v>
      </c>
      <c r="AB42" s="788">
        <v>52.59</v>
      </c>
      <c r="AC42" s="788">
        <v>0.4</v>
      </c>
      <c r="AD42" s="835">
        <v>274.11965366666664</v>
      </c>
      <c r="AE42" s="788">
        <v>52.8</v>
      </c>
      <c r="AF42" s="788">
        <v>0.4</v>
      </c>
      <c r="AG42" s="835">
        <v>274.11191835483868</v>
      </c>
      <c r="AH42" s="788">
        <v>49.6</v>
      </c>
      <c r="AI42" s="788">
        <v>0.4</v>
      </c>
      <c r="AJ42" s="788">
        <v>142.436622</v>
      </c>
      <c r="AK42" s="788">
        <v>53.02</v>
      </c>
      <c r="AL42" s="788">
        <v>0.4</v>
      </c>
      <c r="AM42" s="828">
        <v>142.06755799999999</v>
      </c>
      <c r="AN42" s="828">
        <v>54.27</v>
      </c>
      <c r="AO42" s="830">
        <v>0.4</v>
      </c>
      <c r="AP42" s="788">
        <v>142.09070600000001</v>
      </c>
      <c r="AQ42" s="788">
        <v>56.35</v>
      </c>
      <c r="AR42" s="788">
        <v>0.38</v>
      </c>
      <c r="AS42" s="723">
        <v>142.03384199999999</v>
      </c>
      <c r="AT42" s="723">
        <v>56.75</v>
      </c>
      <c r="AU42" s="723">
        <v>0.38</v>
      </c>
      <c r="AV42" s="723">
        <v>141.99284599999999</v>
      </c>
      <c r="AW42" s="723">
        <v>56.09</v>
      </c>
      <c r="AX42" s="723">
        <v>0.38</v>
      </c>
      <c r="AY42" s="723">
        <v>137.957515</v>
      </c>
      <c r="AZ42" s="723">
        <v>49.61</v>
      </c>
      <c r="BA42" s="753">
        <v>0.38</v>
      </c>
      <c r="BB42" s="723">
        <v>141.62269699999999</v>
      </c>
      <c r="BC42" s="723">
        <v>42.41</v>
      </c>
      <c r="BD42" s="723">
        <v>0.36</v>
      </c>
      <c r="BE42" s="723">
        <v>135.93919700000001</v>
      </c>
      <c r="BF42" s="723">
        <v>38.44</v>
      </c>
      <c r="BG42" s="723">
        <v>0.36</v>
      </c>
      <c r="BH42" s="723">
        <v>132.39549700000001</v>
      </c>
      <c r="BI42" s="723">
        <v>34.22</v>
      </c>
      <c r="BJ42" s="723">
        <v>0.36</v>
      </c>
      <c r="BK42" s="728">
        <v>131.48291</v>
      </c>
      <c r="BL42" s="728">
        <v>38.76</v>
      </c>
      <c r="BM42" s="754">
        <v>0.36</v>
      </c>
      <c r="BN42" s="723">
        <v>130.19619299999999</v>
      </c>
      <c r="BO42" s="723">
        <v>41.24</v>
      </c>
      <c r="BP42" s="723">
        <v>0.35</v>
      </c>
      <c r="BQ42" s="723">
        <v>129.363382</v>
      </c>
      <c r="BR42" s="723">
        <v>34.119999999999997</v>
      </c>
      <c r="BS42" s="723">
        <v>0.35</v>
      </c>
      <c r="BT42" s="723">
        <v>129.00411199999999</v>
      </c>
      <c r="BU42" s="723">
        <v>38.19</v>
      </c>
      <c r="BV42" s="723">
        <v>0.35</v>
      </c>
      <c r="BW42" s="728">
        <v>127.46299399999999</v>
      </c>
      <c r="BX42" s="728">
        <v>35.159999999999997</v>
      </c>
      <c r="BY42" s="754">
        <v>0.35</v>
      </c>
      <c r="BZ42" s="723">
        <v>127.44479200000001</v>
      </c>
      <c r="CA42" s="723">
        <v>32.17</v>
      </c>
      <c r="CB42" s="723">
        <v>0.34</v>
      </c>
      <c r="CC42" s="723">
        <v>127.31141100000001</v>
      </c>
      <c r="CD42" s="723">
        <v>30.65</v>
      </c>
      <c r="CE42" s="723">
        <v>0.34</v>
      </c>
      <c r="CF42" s="723">
        <v>127.196454</v>
      </c>
      <c r="CG42" s="723">
        <v>31.96</v>
      </c>
      <c r="CH42" s="723">
        <v>0.34</v>
      </c>
      <c r="CI42" s="728">
        <v>126.71186899999999</v>
      </c>
      <c r="CJ42" s="728">
        <v>33.18</v>
      </c>
      <c r="CK42" s="754">
        <v>0.34</v>
      </c>
      <c r="CL42" s="723">
        <v>126.783248</v>
      </c>
      <c r="CM42" s="723">
        <v>28.62</v>
      </c>
      <c r="CN42" s="723">
        <v>0.33</v>
      </c>
      <c r="CO42" s="723">
        <v>126.637067</v>
      </c>
      <c r="CP42" s="723">
        <v>29.66</v>
      </c>
      <c r="CQ42" s="723">
        <v>0.33</v>
      </c>
      <c r="CR42" s="723">
        <v>126.495075</v>
      </c>
      <c r="CS42" s="723">
        <v>29.95</v>
      </c>
      <c r="CT42" s="723">
        <v>0.33</v>
      </c>
      <c r="CU42" s="728">
        <v>116.890552</v>
      </c>
      <c r="CV42" s="728">
        <v>27.94</v>
      </c>
      <c r="CW42" s="754">
        <v>0.33</v>
      </c>
      <c r="CX42" s="722">
        <v>116.806596</v>
      </c>
      <c r="CY42" s="723">
        <v>28.8</v>
      </c>
      <c r="CZ42" s="723">
        <v>0.32</v>
      </c>
      <c r="DA42" s="723">
        <v>114.908123</v>
      </c>
      <c r="DB42" s="723">
        <v>26.42</v>
      </c>
      <c r="DC42" s="722">
        <v>0.32</v>
      </c>
      <c r="DD42" s="723">
        <v>113.875389</v>
      </c>
      <c r="DE42" s="723">
        <v>26.91</v>
      </c>
      <c r="DF42" s="723">
        <v>0.32</v>
      </c>
      <c r="DG42" s="723">
        <v>112.348</v>
      </c>
      <c r="DH42" s="723">
        <v>26.42</v>
      </c>
      <c r="DI42" s="753">
        <v>0.32</v>
      </c>
      <c r="DJ42" s="723">
        <v>111.706541</v>
      </c>
      <c r="DK42" s="723">
        <v>25.16</v>
      </c>
      <c r="DL42" s="723">
        <v>0.31</v>
      </c>
      <c r="DM42" s="723">
        <v>111.522803</v>
      </c>
      <c r="DN42" s="723">
        <v>24.23</v>
      </c>
      <c r="DO42" s="723">
        <v>0.31</v>
      </c>
      <c r="DP42" s="723">
        <v>110.925146</v>
      </c>
      <c r="DQ42" s="723">
        <v>21.61</v>
      </c>
      <c r="DR42" s="723">
        <v>0.31</v>
      </c>
      <c r="DS42" s="723">
        <v>109.96</v>
      </c>
      <c r="DT42" s="725">
        <v>22.3</v>
      </c>
      <c r="DU42" s="723">
        <v>0.31</v>
      </c>
      <c r="DV42" s="723">
        <v>109.75303599999999</v>
      </c>
      <c r="DW42" s="723">
        <v>21.72</v>
      </c>
      <c r="DX42" s="723">
        <v>0.3</v>
      </c>
      <c r="DY42" s="723">
        <v>109.538854</v>
      </c>
      <c r="DZ42" s="723">
        <v>19.510000000000002</v>
      </c>
      <c r="EA42" s="723">
        <v>0.3</v>
      </c>
      <c r="EB42" s="723">
        <v>109.331</v>
      </c>
      <c r="EC42" s="723">
        <v>18.77</v>
      </c>
      <c r="ED42" s="723">
        <v>0.3</v>
      </c>
      <c r="EE42" s="723">
        <v>108.9</v>
      </c>
      <c r="EF42" s="723">
        <v>17.53</v>
      </c>
      <c r="EG42" s="723">
        <v>0.3</v>
      </c>
      <c r="EH42" s="760">
        <v>108.714778</v>
      </c>
      <c r="EI42" s="723">
        <v>20.51</v>
      </c>
      <c r="EJ42" s="723">
        <v>0.28999999999999998</v>
      </c>
      <c r="EK42" s="723">
        <v>100.73381500000001</v>
      </c>
      <c r="EL42" s="723">
        <v>23.04</v>
      </c>
      <c r="EM42" s="723">
        <v>0.28999999999999998</v>
      </c>
      <c r="EN42" s="723">
        <v>97.415865999999994</v>
      </c>
      <c r="EO42" s="723">
        <v>21.51</v>
      </c>
      <c r="EP42" s="723">
        <v>0.28999999999999998</v>
      </c>
      <c r="EQ42" s="723">
        <v>90.675511</v>
      </c>
      <c r="ER42" s="723">
        <v>22.77</v>
      </c>
      <c r="ES42" s="723">
        <v>0.28999999999999998</v>
      </c>
      <c r="ET42" s="722">
        <v>91.940878999999995</v>
      </c>
      <c r="EU42" s="722">
        <v>25.94</v>
      </c>
      <c r="EV42" s="722">
        <v>0.27</v>
      </c>
      <c r="EW42" s="723">
        <v>89.781651999999994</v>
      </c>
      <c r="EX42" s="723">
        <v>24.56</v>
      </c>
      <c r="EY42" s="723">
        <v>0.27</v>
      </c>
      <c r="EZ42" s="723">
        <v>87.947281000000004</v>
      </c>
      <c r="FA42" s="723">
        <v>24.28</v>
      </c>
      <c r="FB42" s="723">
        <v>0.27</v>
      </c>
      <c r="FC42" s="723">
        <v>87.509799999999998</v>
      </c>
      <c r="FD42" s="741">
        <v>27.52</v>
      </c>
      <c r="FE42" s="723">
        <v>0.27</v>
      </c>
      <c r="FF42" s="722">
        <v>87.578092999999996</v>
      </c>
      <c r="FG42" s="722">
        <v>25.96</v>
      </c>
      <c r="FH42" s="722">
        <v>0.25</v>
      </c>
      <c r="FI42" s="722">
        <v>87.461995999999999</v>
      </c>
      <c r="FJ42" s="722">
        <v>23.51</v>
      </c>
      <c r="FK42" s="722">
        <v>0.25</v>
      </c>
      <c r="FL42" s="722">
        <v>87.279334000000006</v>
      </c>
      <c r="FM42" s="722">
        <v>21.05</v>
      </c>
      <c r="FN42" s="722">
        <v>0.25</v>
      </c>
      <c r="FO42" s="722">
        <v>87.069000000000003</v>
      </c>
      <c r="FP42" s="722">
        <v>20.81</v>
      </c>
      <c r="FQ42" s="722">
        <v>0.25</v>
      </c>
      <c r="FR42" s="727">
        <v>86.949725999999998</v>
      </c>
      <c r="FS42" s="742">
        <v>21.5</v>
      </c>
      <c r="FT42" s="626">
        <f>0.92/4</f>
        <v>0.23</v>
      </c>
      <c r="FU42" s="727">
        <v>86.827477000000002</v>
      </c>
      <c r="FV42" s="722">
        <v>24.13</v>
      </c>
      <c r="FW42" s="722">
        <v>0.23</v>
      </c>
      <c r="FX42" s="722">
        <v>86.569148999999996</v>
      </c>
      <c r="FY42" s="722">
        <v>24.03</v>
      </c>
      <c r="FZ42" s="722">
        <v>0.23</v>
      </c>
      <c r="GA42" s="723">
        <v>86.059209999999993</v>
      </c>
      <c r="GB42" s="723">
        <v>21.64</v>
      </c>
      <c r="GC42" s="722">
        <v>0.23</v>
      </c>
      <c r="GD42" s="744">
        <v>86.059209999999993</v>
      </c>
      <c r="GE42" s="741">
        <v>22.87</v>
      </c>
      <c r="GF42" s="745">
        <v>0.23</v>
      </c>
      <c r="GG42" s="744">
        <v>85.833950000000002</v>
      </c>
      <c r="GH42" s="723">
        <v>20.2</v>
      </c>
      <c r="GI42" s="723">
        <v>0.19</v>
      </c>
      <c r="GJ42" s="723">
        <v>73.609221000000005</v>
      </c>
      <c r="GK42" s="723">
        <v>19.91</v>
      </c>
      <c r="GL42" s="723">
        <v>0.19</v>
      </c>
      <c r="GM42" s="723">
        <v>72.817132000000001</v>
      </c>
      <c r="GN42" s="723">
        <v>20.96</v>
      </c>
      <c r="GO42" s="723">
        <v>0.19</v>
      </c>
      <c r="GP42" s="723">
        <v>72.571600000000004</v>
      </c>
      <c r="GQ42" s="723">
        <v>20.25</v>
      </c>
      <c r="GR42" s="723">
        <v>0.19</v>
      </c>
      <c r="GS42" s="723">
        <v>72.207472999999993</v>
      </c>
      <c r="GT42" s="723">
        <v>18.45</v>
      </c>
      <c r="GU42" s="723">
        <v>0.19</v>
      </c>
      <c r="GV42" s="723">
        <v>72.038854000000001</v>
      </c>
      <c r="GW42" s="723">
        <v>16.23</v>
      </c>
      <c r="GX42" s="723">
        <v>0.19</v>
      </c>
      <c r="GY42" s="723">
        <v>71.442584999999994</v>
      </c>
      <c r="GZ42" s="723">
        <v>12.12</v>
      </c>
      <c r="HA42" s="723">
        <v>0.19</v>
      </c>
      <c r="HB42" s="723">
        <v>71.442584999999994</v>
      </c>
      <c r="HC42" s="723">
        <v>9.9</v>
      </c>
      <c r="HD42" s="723">
        <v>0.3</v>
      </c>
      <c r="HE42" s="723">
        <v>71.645655000000005</v>
      </c>
      <c r="HF42" s="723">
        <v>10.06</v>
      </c>
      <c r="HG42" s="723">
        <v>0.3</v>
      </c>
      <c r="HH42" s="727">
        <v>71.368921999999998</v>
      </c>
      <c r="HI42" s="727">
        <v>15.35</v>
      </c>
      <c r="HJ42" s="727">
        <v>0.3</v>
      </c>
      <c r="HK42" s="727">
        <v>70.650000000000006</v>
      </c>
      <c r="HL42" s="727">
        <v>17.149999999999999</v>
      </c>
      <c r="HM42" s="727">
        <v>0.3</v>
      </c>
      <c r="HN42" s="727">
        <v>70.736000000000004</v>
      </c>
      <c r="HO42" s="727">
        <v>17.2</v>
      </c>
      <c r="HP42" s="727">
        <v>0.3</v>
      </c>
      <c r="HQ42" s="727">
        <v>70.409000000000006</v>
      </c>
      <c r="HR42" s="727">
        <v>16.55</v>
      </c>
      <c r="HS42" s="727">
        <v>0.3</v>
      </c>
      <c r="HT42" s="727">
        <v>70.359297999999995</v>
      </c>
      <c r="HU42" s="727">
        <v>21.5</v>
      </c>
      <c r="HV42" s="727">
        <v>0.3</v>
      </c>
      <c r="HW42" s="727">
        <v>69.984999999999999</v>
      </c>
      <c r="HX42" s="727">
        <v>23.85</v>
      </c>
      <c r="HY42" s="727">
        <v>0.3</v>
      </c>
      <c r="HZ42" s="727">
        <v>69.382000000000005</v>
      </c>
      <c r="IA42" s="727">
        <v>24.8125</v>
      </c>
      <c r="IB42" s="727">
        <v>0.3</v>
      </c>
      <c r="IC42" s="727">
        <v>68.730999999999995</v>
      </c>
      <c r="ID42" s="727">
        <v>21.625</v>
      </c>
      <c r="IE42" s="727">
        <v>0.3</v>
      </c>
      <c r="IF42" s="727">
        <v>67.733999999999995</v>
      </c>
      <c r="IG42" s="727">
        <v>15.5</v>
      </c>
      <c r="IH42" s="727">
        <v>0.3</v>
      </c>
      <c r="II42" s="727">
        <v>68.012</v>
      </c>
      <c r="IJ42" s="722">
        <v>15.8125</v>
      </c>
      <c r="IK42" s="722">
        <v>0.53500000000000003</v>
      </c>
      <c r="IL42" s="722">
        <v>67.554000000000002</v>
      </c>
      <c r="IM42" s="727">
        <v>16.9375</v>
      </c>
      <c r="IN42" s="722">
        <v>0.53500000000000003</v>
      </c>
      <c r="IO42" s="722">
        <v>67.2</v>
      </c>
      <c r="IP42" s="727">
        <v>21.375</v>
      </c>
      <c r="IQ42" s="722">
        <v>0.53500000000000003</v>
      </c>
      <c r="IR42" s="721">
        <v>65.63</v>
      </c>
      <c r="IS42" s="721">
        <v>26.625</v>
      </c>
      <c r="IT42" s="721">
        <v>0.53500000000000003</v>
      </c>
      <c r="IU42" s="721">
        <v>65.7</v>
      </c>
      <c r="IV42" s="721">
        <v>26.6875</v>
      </c>
      <c r="IW42" s="721">
        <v>0.53500000000000003</v>
      </c>
      <c r="IX42" s="721">
        <v>65.7</v>
      </c>
      <c r="IY42" s="721">
        <v>33.25</v>
      </c>
      <c r="IZ42" s="721">
        <v>0.53500000000000003</v>
      </c>
      <c r="JA42" s="721">
        <v>65.41</v>
      </c>
      <c r="JB42" s="721">
        <v>41.375</v>
      </c>
      <c r="JC42" s="721">
        <v>0.53500000000000003</v>
      </c>
      <c r="JD42" s="721">
        <v>65.41</v>
      </c>
      <c r="JE42" s="721">
        <v>38.813000000000002</v>
      </c>
      <c r="JF42" s="721">
        <v>0.53500000000000003</v>
      </c>
      <c r="JG42" s="721">
        <v>65.239999999999995</v>
      </c>
      <c r="JH42" s="721">
        <v>42.75</v>
      </c>
      <c r="JI42" s="721">
        <v>0.52500000000000002</v>
      </c>
      <c r="JJ42" s="721">
        <v>65.242999999999995</v>
      </c>
      <c r="JK42" s="721">
        <v>43</v>
      </c>
      <c r="JL42" s="721">
        <v>0.52500000000000002</v>
      </c>
      <c r="JM42" s="721">
        <v>64.807000000000002</v>
      </c>
      <c r="JN42" s="721">
        <v>34.375</v>
      </c>
      <c r="JO42" s="721">
        <v>0.52500000000000002</v>
      </c>
      <c r="JP42" s="721">
        <v>64.807000000000002</v>
      </c>
      <c r="JQ42" s="721">
        <v>32.438000000000002</v>
      </c>
      <c r="JR42" s="721">
        <v>0.52500000000000002</v>
      </c>
      <c r="JS42" s="721">
        <v>64.161000000000001</v>
      </c>
      <c r="JT42" s="721">
        <v>30</v>
      </c>
      <c r="JU42" s="721">
        <v>0.52500000000000002</v>
      </c>
      <c r="JV42" s="721">
        <v>64.161000000000001</v>
      </c>
      <c r="JW42" s="721">
        <v>30.875</v>
      </c>
      <c r="JX42" s="721">
        <v>0.51500000000000001</v>
      </c>
      <c r="JY42" s="721">
        <v>62.244</v>
      </c>
      <c r="JZ42" s="721">
        <v>29.125</v>
      </c>
      <c r="KA42" s="721">
        <v>0.51500000000000001</v>
      </c>
      <c r="KB42" s="721">
        <v>62.244</v>
      </c>
      <c r="KC42" s="721">
        <v>29.875</v>
      </c>
      <c r="KD42" s="721">
        <v>0.51500000000000001</v>
      </c>
      <c r="KE42" s="721">
        <v>62.244</v>
      </c>
      <c r="KF42" s="721">
        <v>30.5</v>
      </c>
      <c r="KG42" s="721">
        <v>0.51500000000000001</v>
      </c>
      <c r="KH42" s="721">
        <v>62.244</v>
      </c>
      <c r="KI42" s="721">
        <v>33.375</v>
      </c>
      <c r="KJ42" s="721">
        <v>0.505</v>
      </c>
      <c r="KK42" s="721">
        <v>67.747</v>
      </c>
      <c r="KL42" s="721">
        <v>32.625</v>
      </c>
      <c r="KM42" s="721">
        <v>0.505</v>
      </c>
      <c r="KN42" s="721">
        <v>67.747</v>
      </c>
      <c r="KO42" s="721">
        <v>30.875</v>
      </c>
      <c r="KP42" s="721">
        <v>0.505</v>
      </c>
      <c r="KQ42" s="721">
        <v>67.747</v>
      </c>
      <c r="KR42" s="721">
        <v>31.125</v>
      </c>
      <c r="KS42" s="721">
        <v>0.505</v>
      </c>
      <c r="KT42" s="721">
        <v>67.671000000000006</v>
      </c>
      <c r="KU42" s="721">
        <v>28.625</v>
      </c>
      <c r="KV42" s="721">
        <v>0.495</v>
      </c>
      <c r="KW42" s="721">
        <v>67.671000000000006</v>
      </c>
      <c r="KX42" s="721">
        <v>28.375</v>
      </c>
      <c r="KY42" s="721">
        <v>0.495</v>
      </c>
      <c r="KZ42" s="721">
        <v>61.618000000000002</v>
      </c>
      <c r="LA42" s="721">
        <v>26.875</v>
      </c>
      <c r="LB42" s="721">
        <v>0.495</v>
      </c>
      <c r="LC42" s="721">
        <v>59.441000000000003</v>
      </c>
      <c r="LD42" s="721">
        <v>28.625</v>
      </c>
      <c r="LE42" s="721">
        <v>0.495</v>
      </c>
      <c r="LF42" s="721">
        <v>59.441000000000003</v>
      </c>
      <c r="LG42" s="721">
        <v>34.875</v>
      </c>
      <c r="LH42" s="721">
        <v>0.48499999999999999</v>
      </c>
      <c r="LI42" s="721">
        <v>59.441000000000003</v>
      </c>
      <c r="LJ42" s="721">
        <v>35.75</v>
      </c>
      <c r="LK42" s="721">
        <v>0.48499999999999999</v>
      </c>
      <c r="LL42" s="721">
        <v>58.045999999999999</v>
      </c>
      <c r="LM42" s="721">
        <v>34.875</v>
      </c>
      <c r="LN42" s="721">
        <v>0.48499999999999999</v>
      </c>
      <c r="LO42" s="721">
        <v>58.045999999999999</v>
      </c>
      <c r="LP42" s="721">
        <v>34.75</v>
      </c>
      <c r="LQ42" s="721">
        <v>0.48499999999999999</v>
      </c>
      <c r="LR42" s="721">
        <v>50.219000000000001</v>
      </c>
      <c r="LS42" s="721">
        <v>31.5</v>
      </c>
      <c r="LT42" s="721">
        <v>0.47499999999999998</v>
      </c>
      <c r="LU42" s="721">
        <v>50.219000000000001</v>
      </c>
      <c r="LV42" s="721">
        <v>29.625</v>
      </c>
      <c r="LW42" s="721">
        <v>0.47499999999999998</v>
      </c>
      <c r="LX42" s="721">
        <v>46.435000000000002</v>
      </c>
      <c r="LY42" s="721">
        <v>26.375</v>
      </c>
      <c r="LZ42" s="721">
        <v>0.47499999999999998</v>
      </c>
      <c r="MA42" s="721">
        <v>34.566000000000003</v>
      </c>
      <c r="MB42" s="721">
        <v>25.625</v>
      </c>
      <c r="MC42" s="721">
        <v>0.46500000000000002</v>
      </c>
      <c r="MD42" s="721">
        <v>34.566000000000003</v>
      </c>
      <c r="ME42" s="721">
        <v>23.875</v>
      </c>
      <c r="MF42" s="721">
        <v>0.46500000000000002</v>
      </c>
      <c r="MG42" s="721">
        <v>34.566000000000003</v>
      </c>
      <c r="MH42" s="721">
        <v>26</v>
      </c>
      <c r="MI42" s="721">
        <v>0.46500000000000002</v>
      </c>
      <c r="MJ42" s="721">
        <v>34.566000000000003</v>
      </c>
      <c r="MK42" s="721">
        <v>23.875</v>
      </c>
      <c r="ML42" s="721">
        <v>0.46500000000000002</v>
      </c>
      <c r="MM42" s="721">
        <v>34.566000000000003</v>
      </c>
      <c r="MN42" s="721">
        <v>23.875</v>
      </c>
      <c r="MO42" s="721">
        <v>0.63</v>
      </c>
      <c r="MP42" s="721">
        <v>34.566000000000003</v>
      </c>
      <c r="MQ42" s="721">
        <v>21.13</v>
      </c>
    </row>
    <row r="43" spans="1:355">
      <c r="A43" s="633" t="s">
        <v>37</v>
      </c>
      <c r="B43" s="726" t="s">
        <v>134</v>
      </c>
      <c r="C43" s="886"/>
      <c r="D43" s="886"/>
      <c r="E43" s="886"/>
      <c r="F43" s="788"/>
      <c r="G43" s="788"/>
      <c r="H43" s="788"/>
      <c r="I43" s="788"/>
      <c r="J43" s="788"/>
      <c r="K43" s="788"/>
      <c r="L43" s="828"/>
      <c r="M43" s="829"/>
      <c r="N43" s="828"/>
      <c r="O43" s="828"/>
      <c r="P43" s="828"/>
      <c r="Q43" s="828"/>
      <c r="R43" s="828"/>
      <c r="S43" s="828"/>
      <c r="T43" s="828"/>
      <c r="U43" s="788"/>
      <c r="V43" s="827"/>
      <c r="W43" s="788"/>
      <c r="X43" s="832"/>
      <c r="Y43" s="788"/>
      <c r="Z43" s="788"/>
      <c r="AA43" s="788">
        <v>215.6</v>
      </c>
      <c r="AB43" s="788">
        <v>31.79</v>
      </c>
      <c r="AC43" s="788">
        <v>0.27500000000000002</v>
      </c>
      <c r="AD43" s="788">
        <v>215.6</v>
      </c>
      <c r="AE43" s="788">
        <v>32.24</v>
      </c>
      <c r="AF43" s="788">
        <v>0.27500000000000002</v>
      </c>
      <c r="AG43" s="788">
        <v>215.5</v>
      </c>
      <c r="AH43" s="788">
        <v>30.3</v>
      </c>
      <c r="AI43" s="788">
        <v>0.27500000000000002</v>
      </c>
      <c r="AJ43" s="788">
        <v>215.3</v>
      </c>
      <c r="AK43" s="788">
        <v>29.28</v>
      </c>
      <c r="AL43" s="788">
        <v>0.27500000000000002</v>
      </c>
      <c r="AM43" s="828">
        <v>169.4</v>
      </c>
      <c r="AN43" s="828">
        <v>29.22</v>
      </c>
      <c r="AO43" s="828">
        <v>0.27500000000000002</v>
      </c>
      <c r="AP43" s="788">
        <v>154.6</v>
      </c>
      <c r="AQ43" s="788">
        <v>27.35</v>
      </c>
      <c r="AR43" s="795">
        <v>0.27500000000000002</v>
      </c>
      <c r="AS43" s="727">
        <v>154.6</v>
      </c>
      <c r="AT43" s="727">
        <v>27.29</v>
      </c>
      <c r="AU43" s="727">
        <v>0.26250000000000001</v>
      </c>
      <c r="AV43" s="727">
        <v>154.4</v>
      </c>
      <c r="AW43" s="727">
        <v>30.4</v>
      </c>
      <c r="AX43" s="727">
        <v>0.26250000000000001</v>
      </c>
      <c r="AY43" s="727">
        <v>154.19999999999999</v>
      </c>
      <c r="AZ43" s="727">
        <v>32.25</v>
      </c>
      <c r="BA43" s="727">
        <v>0.26250000000000001</v>
      </c>
      <c r="BB43" s="727">
        <v>154.19999999999999</v>
      </c>
      <c r="BC43" s="727">
        <v>27.31</v>
      </c>
      <c r="BD43" s="727">
        <v>0.26250000000000001</v>
      </c>
      <c r="BE43" s="727">
        <v>154.1</v>
      </c>
      <c r="BF43" s="727">
        <v>27.02</v>
      </c>
      <c r="BG43" s="727">
        <v>0.245</v>
      </c>
      <c r="BH43" s="727">
        <v>154</v>
      </c>
      <c r="BI43" s="727">
        <v>24.16</v>
      </c>
      <c r="BJ43" s="727">
        <v>0.245</v>
      </c>
      <c r="BK43" s="726">
        <v>154</v>
      </c>
      <c r="BL43" s="726">
        <v>26.68</v>
      </c>
      <c r="BM43" s="726">
        <v>0.245</v>
      </c>
      <c r="BN43" s="727">
        <v>153.9</v>
      </c>
      <c r="BO43" s="727">
        <v>28.41</v>
      </c>
      <c r="BP43" s="746">
        <v>0.245</v>
      </c>
      <c r="BQ43" s="727">
        <v>153.80000000000001</v>
      </c>
      <c r="BR43" s="727">
        <v>24.17</v>
      </c>
      <c r="BS43" s="727">
        <v>0.23</v>
      </c>
      <c r="BT43" s="727">
        <v>153.69999999999999</v>
      </c>
      <c r="BU43" s="727">
        <v>26.87</v>
      </c>
      <c r="BV43" s="727">
        <v>0.23</v>
      </c>
      <c r="BW43" s="726">
        <v>153.5</v>
      </c>
      <c r="BX43" s="726">
        <v>27.04</v>
      </c>
      <c r="BY43" s="726">
        <v>0.23</v>
      </c>
      <c r="BZ43" s="727">
        <v>153.6</v>
      </c>
      <c r="CA43" s="727">
        <v>24.24</v>
      </c>
      <c r="CB43" s="746">
        <v>0.23</v>
      </c>
      <c r="CC43" s="727">
        <v>153.5</v>
      </c>
      <c r="CD43" s="727">
        <v>22.2</v>
      </c>
      <c r="CE43" s="727">
        <v>0.2175</v>
      </c>
      <c r="CF43" s="727">
        <v>153.4</v>
      </c>
      <c r="CG43" s="727">
        <v>22.54</v>
      </c>
      <c r="CH43" s="727">
        <v>0.2175</v>
      </c>
      <c r="CI43" s="726">
        <v>145.5</v>
      </c>
      <c r="CJ43" s="726">
        <v>23.19</v>
      </c>
      <c r="CK43" s="726">
        <v>0.2175</v>
      </c>
      <c r="CL43" s="727">
        <v>153.19999999999999</v>
      </c>
      <c r="CM43" s="727">
        <v>20.309999999999999</v>
      </c>
      <c r="CN43" s="746">
        <v>0.2175</v>
      </c>
      <c r="CO43" s="727">
        <v>139.6</v>
      </c>
      <c r="CP43" s="727">
        <v>22.26</v>
      </c>
      <c r="CQ43" s="727">
        <v>0.21249999999999999</v>
      </c>
      <c r="CR43" s="727">
        <v>135.9</v>
      </c>
      <c r="CS43" s="727">
        <v>21.39</v>
      </c>
      <c r="CT43" s="727">
        <v>0.21249999999999999</v>
      </c>
      <c r="CU43" s="726">
        <v>135.6</v>
      </c>
      <c r="CV43" s="726">
        <v>20.27</v>
      </c>
      <c r="CW43" s="726">
        <v>0.21249999999999999</v>
      </c>
      <c r="CX43" s="727">
        <v>135.69999999999999</v>
      </c>
      <c r="CY43" s="727">
        <v>21.78</v>
      </c>
      <c r="CZ43" s="727">
        <v>0.21249999999999999</v>
      </c>
      <c r="DA43" s="727">
        <v>135.6</v>
      </c>
      <c r="DB43" s="727">
        <v>19.3</v>
      </c>
      <c r="DC43" s="727">
        <v>0.20749999999999999</v>
      </c>
      <c r="DD43" s="727">
        <v>135.4</v>
      </c>
      <c r="DE43" s="727">
        <v>20.73</v>
      </c>
      <c r="DF43" s="727">
        <v>0.20749999999999999</v>
      </c>
      <c r="DG43" s="727">
        <v>135.1</v>
      </c>
      <c r="DH43" s="727">
        <v>20.02</v>
      </c>
      <c r="DI43" s="727">
        <v>0.20749999999999999</v>
      </c>
      <c r="DJ43" s="727">
        <v>135.19999999999999</v>
      </c>
      <c r="DK43" s="727">
        <v>19.39</v>
      </c>
      <c r="DL43" s="727">
        <v>0.20749999999999999</v>
      </c>
      <c r="DM43" s="727">
        <v>135.1</v>
      </c>
      <c r="DN43" s="727">
        <v>18.899999999999999</v>
      </c>
      <c r="DO43" s="727">
        <v>0.20749999999999999</v>
      </c>
      <c r="DP43" s="727">
        <v>134.9</v>
      </c>
      <c r="DQ43" s="727">
        <v>17.02</v>
      </c>
      <c r="DR43" s="727">
        <v>0.20749999999999999</v>
      </c>
      <c r="DS43" s="727">
        <v>134.69999999999999</v>
      </c>
      <c r="DT43" s="748">
        <v>18.57</v>
      </c>
      <c r="DU43" s="727">
        <v>0.20749999999999999</v>
      </c>
      <c r="DV43" s="727">
        <v>134.6</v>
      </c>
      <c r="DW43" s="727">
        <v>19.39</v>
      </c>
      <c r="DX43" s="727">
        <v>0.20749999999999999</v>
      </c>
      <c r="DY43" s="727">
        <v>128.5</v>
      </c>
      <c r="DZ43" s="727">
        <v>17.95</v>
      </c>
      <c r="EA43" s="727">
        <v>0.20749999999999999</v>
      </c>
      <c r="EB43" s="727">
        <v>119.2</v>
      </c>
      <c r="EC43" s="727">
        <v>15.55</v>
      </c>
      <c r="ED43" s="727">
        <v>0.20749999999999999</v>
      </c>
      <c r="EE43" s="727">
        <v>118.5</v>
      </c>
      <c r="EF43" s="727">
        <v>13.47</v>
      </c>
      <c r="EG43" s="727">
        <v>0.20749999999999999</v>
      </c>
      <c r="EH43" s="730">
        <v>113.8</v>
      </c>
      <c r="EI43" s="727">
        <v>19.329999999999998</v>
      </c>
      <c r="EJ43" s="727">
        <v>0.41499999999999998</v>
      </c>
      <c r="EK43" s="727">
        <v>86</v>
      </c>
      <c r="EL43" s="727">
        <v>22.22</v>
      </c>
      <c r="EM43" s="727">
        <v>0.41499999999999998</v>
      </c>
      <c r="EN43" s="727">
        <v>85.9</v>
      </c>
      <c r="EO43" s="727">
        <v>25.28</v>
      </c>
      <c r="EP43" s="727">
        <v>0.41499999999999998</v>
      </c>
      <c r="EQ43" s="727">
        <v>84.9</v>
      </c>
      <c r="ER43" s="727">
        <v>24.65</v>
      </c>
      <c r="ES43" s="727">
        <v>0.41499999999999998</v>
      </c>
      <c r="ET43" s="727">
        <v>85.649000000000001</v>
      </c>
      <c r="EU43" s="727">
        <v>29.32</v>
      </c>
      <c r="EV43" s="727">
        <v>0.41499999999999998</v>
      </c>
      <c r="EW43" s="727">
        <v>85.555999999999997</v>
      </c>
      <c r="EX43" s="727">
        <v>28.81</v>
      </c>
      <c r="EY43" s="727">
        <v>0.41499999999999998</v>
      </c>
      <c r="EZ43" s="727">
        <v>82.813000000000002</v>
      </c>
      <c r="FA43" s="727">
        <v>29.12</v>
      </c>
      <c r="FB43" s="727">
        <v>0.41499999999999998</v>
      </c>
      <c r="FC43" s="723">
        <v>78.003</v>
      </c>
      <c r="FD43" s="741">
        <v>32.450000000000003</v>
      </c>
      <c r="FE43" s="723">
        <v>0.41499999999999998</v>
      </c>
      <c r="FF43" s="727">
        <v>80.081000000000003</v>
      </c>
      <c r="FG43" s="727">
        <v>31.8</v>
      </c>
      <c r="FH43" s="727">
        <v>0.41499999999999998</v>
      </c>
      <c r="FI43" s="727">
        <v>76.997</v>
      </c>
      <c r="FJ43" s="727">
        <v>31.02</v>
      </c>
      <c r="FK43" s="727">
        <v>0.41499999999999998</v>
      </c>
      <c r="FL43" s="727">
        <v>74.659000000000006</v>
      </c>
      <c r="FM43" s="727">
        <v>27.86</v>
      </c>
      <c r="FN43" s="727">
        <v>0.41499999999999998</v>
      </c>
      <c r="FO43" s="727">
        <v>74.703999999999994</v>
      </c>
      <c r="FP43" s="727">
        <v>28.15</v>
      </c>
      <c r="FQ43" s="727">
        <v>0.41499999999999998</v>
      </c>
      <c r="FR43" s="727">
        <v>74.653000000000006</v>
      </c>
      <c r="FS43" s="742">
        <v>27.96</v>
      </c>
      <c r="FT43" s="626">
        <f>1.66/4</f>
        <v>0.41499999999999998</v>
      </c>
      <c r="FU43" s="727">
        <v>74.591999999999999</v>
      </c>
      <c r="FV43" s="727">
        <v>29.91</v>
      </c>
      <c r="FW43" s="727">
        <v>0.41499999999999998</v>
      </c>
      <c r="FX43" s="727">
        <v>74.436000000000007</v>
      </c>
      <c r="FY43" s="727">
        <v>31.89</v>
      </c>
      <c r="FZ43" s="727">
        <v>0.41499999999999998</v>
      </c>
      <c r="GA43" s="727">
        <v>74.27</v>
      </c>
      <c r="GB43" s="727">
        <v>30.58</v>
      </c>
      <c r="GC43" s="727">
        <v>0.41499999999999998</v>
      </c>
      <c r="GD43" s="750">
        <v>74.27</v>
      </c>
      <c r="GE43" s="741">
        <v>30.28</v>
      </c>
      <c r="GF43" s="751">
        <v>0.41499999999999998</v>
      </c>
      <c r="GG43" s="750">
        <v>70.192999999999998</v>
      </c>
      <c r="GH43" s="727">
        <v>29.15</v>
      </c>
      <c r="GI43" s="727">
        <v>0.41499999999999998</v>
      </c>
      <c r="GJ43" s="727">
        <v>69.257000000000005</v>
      </c>
      <c r="GK43" s="727">
        <v>29.7</v>
      </c>
      <c r="GL43" s="727">
        <v>0.41499999999999998</v>
      </c>
      <c r="GM43" s="727">
        <v>69.206000000000003</v>
      </c>
      <c r="GN43" s="727">
        <v>33.79</v>
      </c>
      <c r="GO43" s="727">
        <v>0.41499999999999998</v>
      </c>
      <c r="GP43" s="727">
        <v>69.188999999999993</v>
      </c>
      <c r="GQ43" s="727">
        <v>31.82</v>
      </c>
      <c r="GR43" s="727">
        <v>0.41499999999999998</v>
      </c>
      <c r="GS43" s="727">
        <v>69.186000000000007</v>
      </c>
      <c r="GT43" s="727">
        <v>30.32</v>
      </c>
      <c r="GU43" s="727">
        <v>0.41499999999999998</v>
      </c>
      <c r="GV43" s="727">
        <v>69.19</v>
      </c>
      <c r="GW43" s="727">
        <v>28.88</v>
      </c>
      <c r="GX43" s="727">
        <v>0.41499999999999998</v>
      </c>
      <c r="GY43" s="727">
        <v>62.622999999999998</v>
      </c>
      <c r="GZ43" s="727">
        <v>23.87</v>
      </c>
      <c r="HA43" s="727">
        <v>0.41499999999999998</v>
      </c>
      <c r="HB43" s="727">
        <v>61.908999999999999</v>
      </c>
      <c r="HC43" s="727">
        <v>22.88</v>
      </c>
      <c r="HD43" s="727">
        <v>0.41499999999999998</v>
      </c>
      <c r="HE43" s="727">
        <v>61.908999999999999</v>
      </c>
      <c r="HF43" s="727">
        <v>19.149999999999999</v>
      </c>
      <c r="HG43" s="727">
        <v>0.41499999999999998</v>
      </c>
      <c r="HH43" s="727">
        <v>61.884</v>
      </c>
      <c r="HI43" s="727">
        <v>20.350000000000001</v>
      </c>
      <c r="HJ43" s="727">
        <v>0.41499999999999998</v>
      </c>
      <c r="HK43" s="727">
        <v>61.877000000000002</v>
      </c>
      <c r="HL43" s="727">
        <v>24.95</v>
      </c>
      <c r="HM43" s="727">
        <v>0.41499999999999998</v>
      </c>
      <c r="HN43" s="727">
        <v>61.87</v>
      </c>
      <c r="HO43" s="727">
        <v>25.2</v>
      </c>
      <c r="HP43" s="727">
        <v>0.41499999999999998</v>
      </c>
      <c r="HQ43" s="727">
        <v>61.854999999999997</v>
      </c>
      <c r="HR43" s="727">
        <v>26.09</v>
      </c>
      <c r="HS43" s="727">
        <v>0.41499999999999998</v>
      </c>
      <c r="HT43" s="727">
        <v>61.853000000000002</v>
      </c>
      <c r="HU43" s="727">
        <v>24.55</v>
      </c>
      <c r="HV43" s="727">
        <v>0.41499999999999998</v>
      </c>
      <c r="HW43" s="727">
        <v>61.908726000000001</v>
      </c>
      <c r="HX43" s="727">
        <v>24.6</v>
      </c>
      <c r="HY43" s="727">
        <v>0.41499999999999998</v>
      </c>
      <c r="HZ43" s="727">
        <v>61.845999999999997</v>
      </c>
      <c r="IA43" s="727">
        <v>27.4375</v>
      </c>
      <c r="IB43" s="727">
        <v>0.41499999999999998</v>
      </c>
      <c r="IC43" s="727">
        <v>61.863999999999997</v>
      </c>
      <c r="ID43" s="727">
        <v>26.6875</v>
      </c>
      <c r="IE43" s="727">
        <v>0.41499999999999998</v>
      </c>
      <c r="IF43" s="727">
        <v>61.898000000000003</v>
      </c>
      <c r="IG43" s="727">
        <v>22.5</v>
      </c>
      <c r="IH43" s="727">
        <v>0.41499999999999998</v>
      </c>
      <c r="II43" s="727">
        <v>61.898000000000003</v>
      </c>
      <c r="IJ43" s="722">
        <v>29</v>
      </c>
      <c r="IK43" s="722">
        <v>0.41499999999999998</v>
      </c>
      <c r="IL43" s="722">
        <v>61.898000000000003</v>
      </c>
      <c r="IM43" s="727">
        <v>22.0625</v>
      </c>
      <c r="IN43" s="722">
        <v>0.41499999999999998</v>
      </c>
      <c r="IO43" s="722">
        <v>61.898000000000003</v>
      </c>
      <c r="IP43" s="727">
        <v>24.1875</v>
      </c>
      <c r="IQ43" s="722">
        <v>0.41499999999999998</v>
      </c>
      <c r="IR43" s="721">
        <v>61.88</v>
      </c>
      <c r="IS43" s="721">
        <v>25.5</v>
      </c>
      <c r="IT43" s="721">
        <v>0.41499999999999998</v>
      </c>
      <c r="IU43" s="721">
        <v>61.88</v>
      </c>
      <c r="IV43" s="721">
        <v>24.625</v>
      </c>
      <c r="IW43" s="721">
        <v>0.41499999999999998</v>
      </c>
      <c r="IX43" s="721">
        <v>61.88</v>
      </c>
      <c r="IY43" s="721">
        <v>29.625</v>
      </c>
      <c r="IZ43" s="721">
        <v>0.41499999999999998</v>
      </c>
      <c r="JA43" s="721">
        <v>61.87</v>
      </c>
      <c r="JB43" s="721">
        <v>30.437999999999999</v>
      </c>
      <c r="JC43" s="721">
        <v>0.41499999999999998</v>
      </c>
      <c r="JD43" s="721">
        <v>61.87</v>
      </c>
      <c r="JE43" s="721">
        <v>29</v>
      </c>
      <c r="JF43" s="721">
        <v>0.40500000000000003</v>
      </c>
      <c r="JG43" s="721">
        <v>61.9</v>
      </c>
      <c r="JH43" s="721">
        <v>31.5</v>
      </c>
      <c r="JI43" s="721">
        <v>0.40500000000000003</v>
      </c>
      <c r="JJ43" s="721">
        <v>61.896000000000001</v>
      </c>
      <c r="JK43" s="721">
        <v>29.5625</v>
      </c>
      <c r="JL43" s="721">
        <v>0.40500000000000003</v>
      </c>
      <c r="JM43" s="721">
        <v>61.896000000000001</v>
      </c>
      <c r="JN43" s="721">
        <v>29.3125</v>
      </c>
      <c r="JO43" s="721">
        <v>0.40500000000000003</v>
      </c>
      <c r="JP43" s="721">
        <v>61.896000000000001</v>
      </c>
      <c r="JQ43" s="721">
        <v>28.562999999999999</v>
      </c>
      <c r="JR43" s="721">
        <v>0.40500000000000003</v>
      </c>
      <c r="JS43" s="721">
        <v>61.901000000000003</v>
      </c>
      <c r="JT43" s="721">
        <v>28</v>
      </c>
      <c r="JU43" s="721">
        <v>0.40500000000000003</v>
      </c>
      <c r="JV43" s="721">
        <v>61.901000000000003</v>
      </c>
      <c r="JW43" s="721">
        <v>28.5</v>
      </c>
      <c r="JX43" s="721">
        <v>0.40500000000000003</v>
      </c>
      <c r="JY43" s="721">
        <v>61.901000000000003</v>
      </c>
      <c r="JZ43" s="721">
        <v>26.75</v>
      </c>
      <c r="KA43" s="721">
        <v>0.40500000000000003</v>
      </c>
      <c r="KB43" s="721">
        <v>61.901000000000003</v>
      </c>
      <c r="KC43" s="721">
        <v>27.5</v>
      </c>
      <c r="KD43" s="721">
        <v>0.39</v>
      </c>
      <c r="KE43" s="721">
        <v>61.901000000000003</v>
      </c>
      <c r="KF43" s="721">
        <v>25.5</v>
      </c>
      <c r="KG43" s="721">
        <v>0.39</v>
      </c>
      <c r="KH43" s="721">
        <v>61.901000000000003</v>
      </c>
      <c r="KI43" s="721">
        <v>26.25</v>
      </c>
      <c r="KJ43" s="721">
        <v>0.39</v>
      </c>
      <c r="KK43" s="721">
        <v>61.901000000000003</v>
      </c>
      <c r="KL43" s="721">
        <v>23.875</v>
      </c>
      <c r="KM43" s="721">
        <v>0.39</v>
      </c>
      <c r="KN43" s="721">
        <v>61.901000000000003</v>
      </c>
      <c r="KO43" s="721">
        <v>22.875</v>
      </c>
      <c r="KP43" s="721">
        <v>0.38</v>
      </c>
      <c r="KQ43" s="721">
        <v>61.901000000000003</v>
      </c>
      <c r="KR43" s="721">
        <v>22.75</v>
      </c>
      <c r="KS43" s="721">
        <v>0.38</v>
      </c>
      <c r="KT43" s="721">
        <v>61.901000000000003</v>
      </c>
      <c r="KU43" s="721">
        <v>23.375</v>
      </c>
      <c r="KV43" s="721">
        <v>0.38</v>
      </c>
      <c r="KW43" s="721">
        <v>61.901000000000003</v>
      </c>
      <c r="KX43" s="721">
        <v>21.25</v>
      </c>
      <c r="KY43" s="721">
        <v>0.38</v>
      </c>
      <c r="KZ43" s="721">
        <v>61.906999999999996</v>
      </c>
      <c r="LA43" s="721">
        <v>19.125</v>
      </c>
      <c r="LB43" s="721">
        <v>0.37</v>
      </c>
      <c r="LC43" s="721">
        <v>61.908999999999999</v>
      </c>
      <c r="LD43" s="721">
        <v>21.125</v>
      </c>
      <c r="LE43" s="721">
        <v>0.37</v>
      </c>
      <c r="LF43" s="721">
        <v>61.908999999999999</v>
      </c>
      <c r="LG43" s="721">
        <v>23</v>
      </c>
      <c r="LH43" s="721">
        <v>0.37</v>
      </c>
      <c r="LI43" s="721">
        <v>61.908999999999999</v>
      </c>
      <c r="LJ43" s="721">
        <v>24.75</v>
      </c>
      <c r="LK43" s="721">
        <v>0.37</v>
      </c>
      <c r="LL43" s="721">
        <v>61.908999999999999</v>
      </c>
      <c r="LM43" s="721">
        <v>24.75</v>
      </c>
      <c r="LN43" s="721">
        <v>0.36</v>
      </c>
      <c r="LO43" s="721">
        <v>61.908999999999999</v>
      </c>
      <c r="LP43" s="721">
        <v>24.5</v>
      </c>
      <c r="LQ43" s="721">
        <v>0.36</v>
      </c>
      <c r="LR43" s="721">
        <v>61.908999999999999</v>
      </c>
      <c r="LS43" s="721">
        <v>22.75</v>
      </c>
      <c r="LT43" s="721">
        <v>0.36</v>
      </c>
      <c r="LU43" s="721">
        <v>61.908999999999999</v>
      </c>
      <c r="LV43" s="721">
        <v>23.13</v>
      </c>
      <c r="LW43" s="721">
        <v>0.36</v>
      </c>
      <c r="LX43" s="721">
        <v>61.908999999999999</v>
      </c>
      <c r="LY43" s="721">
        <v>22</v>
      </c>
      <c r="LZ43" s="721">
        <v>0.36</v>
      </c>
      <c r="MA43" s="721">
        <v>61.908000000000001</v>
      </c>
      <c r="MB43" s="721">
        <v>20.75</v>
      </c>
      <c r="MC43" s="721">
        <v>0.35</v>
      </c>
      <c r="MD43" s="721">
        <v>61.908000000000001</v>
      </c>
      <c r="ME43" s="721">
        <v>23.69</v>
      </c>
      <c r="MF43" s="721">
        <v>0.35</v>
      </c>
      <c r="MG43" s="721">
        <v>61.908000000000001</v>
      </c>
      <c r="MH43" s="721">
        <v>22.38</v>
      </c>
      <c r="MI43" s="721">
        <v>0.35</v>
      </c>
      <c r="MJ43" s="721">
        <v>61.908000000000001</v>
      </c>
      <c r="MK43" s="721">
        <v>18.5</v>
      </c>
      <c r="ML43" s="721">
        <v>0.34</v>
      </c>
      <c r="MM43" s="721">
        <v>61.908000000000001</v>
      </c>
      <c r="MN43" s="721">
        <v>17.940000000000001</v>
      </c>
      <c r="MO43" s="721">
        <v>0.34</v>
      </c>
      <c r="MP43" s="721">
        <v>61.9</v>
      </c>
      <c r="MQ43" s="721">
        <v>17.63</v>
      </c>
    </row>
    <row r="44" spans="1:355">
      <c r="B44" s="723" t="s">
        <v>265</v>
      </c>
      <c r="C44" s="886"/>
      <c r="D44" s="886"/>
      <c r="E44" s="886"/>
      <c r="F44" s="788"/>
      <c r="G44" s="788"/>
      <c r="H44" s="788"/>
      <c r="I44" s="788"/>
      <c r="J44" s="788"/>
      <c r="K44" s="788"/>
      <c r="L44" s="828"/>
      <c r="M44" s="829"/>
      <c r="N44" s="828"/>
      <c r="O44" s="828"/>
      <c r="P44" s="828"/>
      <c r="Q44" s="828"/>
      <c r="R44" s="828"/>
      <c r="S44" s="828"/>
      <c r="T44" s="828"/>
      <c r="U44" s="788"/>
      <c r="V44" s="827"/>
      <c r="W44" s="788"/>
      <c r="X44" s="832"/>
      <c r="Y44" s="788"/>
      <c r="Z44" s="788"/>
      <c r="AA44" s="788"/>
      <c r="AB44" s="788"/>
      <c r="AC44" s="788"/>
      <c r="AJ44" s="788"/>
      <c r="AK44" s="788"/>
      <c r="AL44" s="788"/>
      <c r="AM44" s="828"/>
      <c r="AN44" s="828"/>
      <c r="AO44" s="828"/>
      <c r="AP44" s="788"/>
      <c r="AQ44" s="788"/>
      <c r="AR44" s="788"/>
      <c r="AV44" s="723"/>
      <c r="AW44" s="723"/>
      <c r="AX44" s="723"/>
      <c r="AY44" s="723"/>
      <c r="AZ44" s="723"/>
      <c r="BA44" s="723"/>
      <c r="BB44" s="723"/>
      <c r="BC44" s="723"/>
      <c r="BD44" s="723"/>
      <c r="BE44" s="723"/>
      <c r="BF44" s="723"/>
      <c r="BG44" s="723"/>
      <c r="BH44" s="723"/>
      <c r="BI44" s="723"/>
      <c r="BJ44" s="723"/>
      <c r="BK44" s="723"/>
      <c r="BL44" s="723"/>
      <c r="BM44" s="723"/>
      <c r="BN44" s="723"/>
      <c r="BO44" s="723"/>
      <c r="BP44" s="723"/>
      <c r="BQ44" s="723"/>
      <c r="BR44" s="723"/>
      <c r="BS44" s="723"/>
      <c r="BT44" s="723"/>
      <c r="BU44" s="723"/>
      <c r="BV44" s="723"/>
      <c r="BW44" s="728"/>
      <c r="BX44" s="728"/>
      <c r="BY44" s="728"/>
      <c r="BZ44" s="723"/>
      <c r="CA44" s="723"/>
      <c r="CB44" s="723"/>
      <c r="CC44" s="723"/>
      <c r="CD44" s="723"/>
      <c r="CE44" s="723"/>
      <c r="CF44" s="723"/>
      <c r="CG44" s="723"/>
      <c r="CH44" s="723"/>
      <c r="CI44" s="723"/>
      <c r="CJ44" s="723"/>
      <c r="CK44" s="723"/>
      <c r="CL44" s="723"/>
      <c r="CM44" s="723"/>
      <c r="CN44" s="723"/>
      <c r="CO44" s="723"/>
      <c r="CP44" s="723"/>
      <c r="CQ44" s="723"/>
      <c r="CR44" s="723"/>
      <c r="CS44" s="723"/>
      <c r="CT44" s="723"/>
      <c r="CU44" s="723"/>
      <c r="CV44" s="723"/>
      <c r="CW44" s="723"/>
      <c r="CX44" s="722"/>
      <c r="CY44" s="723"/>
      <c r="CZ44" s="723"/>
      <c r="DA44" s="723"/>
      <c r="DB44" s="723"/>
      <c r="DC44" s="735"/>
      <c r="DD44" s="723"/>
      <c r="DE44" s="723"/>
      <c r="DF44" s="723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5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2"/>
      <c r="EU44" s="722"/>
      <c r="EV44" s="722"/>
      <c r="EW44" s="723"/>
      <c r="EX44" s="723"/>
      <c r="EY44" s="723"/>
      <c r="EZ44" s="723"/>
      <c r="FA44" s="723"/>
      <c r="FB44" s="723"/>
      <c r="FC44" s="723"/>
      <c r="FD44" s="741"/>
      <c r="FE44" s="723"/>
      <c r="FF44" s="727"/>
      <c r="FG44" s="727"/>
      <c r="FH44" s="727"/>
      <c r="FI44" s="727"/>
      <c r="FJ44" s="727"/>
      <c r="FK44" s="727"/>
      <c r="FL44" s="727"/>
      <c r="FM44" s="727"/>
      <c r="FN44" s="727"/>
      <c r="FO44" s="727"/>
      <c r="FP44" s="727"/>
      <c r="FQ44" s="727"/>
      <c r="FR44" s="727"/>
      <c r="FS44" s="742"/>
      <c r="FT44" s="626"/>
      <c r="FU44" s="727"/>
      <c r="FV44" s="727"/>
      <c r="FW44" s="727"/>
      <c r="FX44" s="727"/>
      <c r="FY44" s="727"/>
      <c r="FZ44" s="727"/>
      <c r="GA44" s="727"/>
      <c r="GB44" s="727"/>
      <c r="GC44" s="727"/>
      <c r="GD44" s="750"/>
      <c r="GE44" s="741"/>
      <c r="GF44" s="751"/>
      <c r="GG44" s="750"/>
      <c r="GH44" s="727"/>
      <c r="GI44" s="727"/>
      <c r="GJ44" s="727"/>
      <c r="GK44" s="727"/>
      <c r="GL44" s="727"/>
      <c r="GM44" s="727"/>
      <c r="GN44" s="727"/>
      <c r="GO44" s="727"/>
      <c r="GP44" s="727"/>
      <c r="GQ44" s="727"/>
      <c r="GR44" s="727"/>
      <c r="GS44" s="727"/>
      <c r="GT44" s="727"/>
      <c r="GU44" s="752"/>
      <c r="GV44" s="727"/>
      <c r="GW44" s="727"/>
      <c r="GX44" s="727"/>
      <c r="GY44" s="727"/>
      <c r="GZ44" s="727"/>
      <c r="HA44" s="727"/>
      <c r="HB44" s="727"/>
      <c r="HC44" s="727"/>
      <c r="HD44" s="727"/>
      <c r="HE44" s="727"/>
      <c r="HF44" s="727"/>
      <c r="HG44" s="727"/>
      <c r="HH44" s="727"/>
      <c r="HI44" s="727"/>
      <c r="HJ44" s="727"/>
      <c r="HK44" s="727"/>
      <c r="HL44" s="727"/>
      <c r="HM44" s="727"/>
      <c r="HN44" s="727"/>
      <c r="HO44" s="752"/>
      <c r="HP44" s="752"/>
      <c r="HQ44" s="727"/>
      <c r="HR44" s="727"/>
      <c r="HS44" s="727"/>
      <c r="HT44" s="727"/>
      <c r="HU44" s="727"/>
      <c r="HV44" s="727"/>
      <c r="HW44" s="727"/>
      <c r="HX44" s="727"/>
      <c r="HY44" s="727"/>
      <c r="HZ44" s="727"/>
      <c r="IA44" s="727"/>
      <c r="IB44" s="727"/>
      <c r="IC44" s="727"/>
      <c r="ID44" s="727"/>
      <c r="IE44" s="727"/>
      <c r="IF44" s="727"/>
      <c r="IG44" s="727"/>
      <c r="IH44" s="727"/>
      <c r="II44" s="727"/>
      <c r="IJ44" s="722"/>
      <c r="IK44" s="722"/>
      <c r="IL44" s="722"/>
      <c r="IM44" s="727"/>
      <c r="IN44" s="722"/>
      <c r="IO44" s="722"/>
      <c r="IP44" s="727"/>
      <c r="IQ44" s="722"/>
      <c r="IR44" s="721"/>
      <c r="IS44" s="721"/>
      <c r="IT44" s="721"/>
      <c r="IU44" s="721"/>
      <c r="IV44" s="721"/>
      <c r="IW44" s="721"/>
      <c r="IX44" s="721"/>
      <c r="IY44" s="721"/>
      <c r="IZ44" s="721"/>
      <c r="JA44" s="721"/>
      <c r="JB44" s="721"/>
      <c r="JC44" s="721"/>
      <c r="JD44" s="721"/>
      <c r="JE44" s="721"/>
      <c r="JF44" s="721"/>
      <c r="JG44" s="721"/>
      <c r="JH44" s="721"/>
      <c r="JI44" s="721"/>
      <c r="JJ44" s="721"/>
      <c r="JK44" s="721"/>
      <c r="JL44" s="721"/>
      <c r="JM44" s="721"/>
      <c r="JN44" s="721"/>
      <c r="JO44" s="721"/>
      <c r="JP44" s="721"/>
      <c r="JQ44" s="721"/>
      <c r="JR44" s="721"/>
      <c r="JS44" s="721"/>
      <c r="JT44" s="721"/>
      <c r="JU44" s="721"/>
      <c r="JV44" s="721"/>
      <c r="JW44" s="721"/>
      <c r="JX44" s="721"/>
      <c r="JY44" s="721"/>
      <c r="JZ44" s="721"/>
      <c r="KA44" s="721"/>
      <c r="KB44" s="721"/>
      <c r="KC44" s="721"/>
      <c r="KD44" s="721"/>
      <c r="KE44" s="721"/>
      <c r="KF44" s="721"/>
      <c r="KG44" s="721"/>
      <c r="KH44" s="721"/>
      <c r="KI44" s="721"/>
      <c r="KJ44" s="721"/>
      <c r="KK44" s="721"/>
      <c r="KL44" s="721"/>
      <c r="KM44" s="721"/>
      <c r="KN44" s="721"/>
      <c r="KO44" s="721"/>
      <c r="KP44" s="721"/>
      <c r="KQ44" s="721"/>
      <c r="KR44" s="721"/>
      <c r="KS44" s="721"/>
      <c r="KT44" s="721"/>
      <c r="KU44" s="721"/>
      <c r="KV44" s="721"/>
      <c r="KW44" s="721"/>
      <c r="KX44" s="721"/>
      <c r="KY44" s="721"/>
      <c r="KZ44" s="721"/>
      <c r="LA44" s="721"/>
      <c r="LB44" s="721"/>
      <c r="LC44" s="721"/>
      <c r="LD44" s="721"/>
      <c r="LE44" s="721"/>
      <c r="LF44" s="721"/>
      <c r="LG44" s="721"/>
      <c r="LH44" s="721"/>
      <c r="LI44" s="721"/>
      <c r="LJ44" s="721"/>
      <c r="LK44" s="721"/>
      <c r="LL44" s="721"/>
      <c r="LM44" s="721"/>
      <c r="LN44" s="721"/>
      <c r="LO44" s="721"/>
      <c r="LP44" s="721"/>
      <c r="LQ44" s="721"/>
      <c r="LR44" s="721"/>
      <c r="LS44" s="721"/>
      <c r="LT44" s="721"/>
      <c r="LU44" s="721"/>
      <c r="LV44" s="721"/>
      <c r="LW44" s="721"/>
      <c r="LX44" s="721"/>
      <c r="LY44" s="721"/>
      <c r="LZ44" s="721"/>
      <c r="MA44" s="721">
        <v>31.001000000000001</v>
      </c>
      <c r="MB44" s="721">
        <v>33.125</v>
      </c>
      <c r="MC44" s="721">
        <v>0.43</v>
      </c>
      <c r="MD44" s="721">
        <v>31.001000000000001</v>
      </c>
      <c r="ME44" s="721">
        <v>34.125</v>
      </c>
      <c r="MF44" s="721">
        <v>0.43</v>
      </c>
      <c r="MG44" s="721">
        <v>31.001000000000001</v>
      </c>
      <c r="MH44" s="721">
        <v>32</v>
      </c>
      <c r="MI44" s="721">
        <v>0.43</v>
      </c>
      <c r="MJ44" s="721">
        <v>31.001000000000001</v>
      </c>
      <c r="MK44" s="721">
        <v>27.625</v>
      </c>
      <c r="ML44" s="721">
        <v>0.43</v>
      </c>
      <c r="MM44" s="721">
        <v>31.001000000000001</v>
      </c>
      <c r="MN44" s="721">
        <v>27.625</v>
      </c>
      <c r="MO44" s="721">
        <v>0.43</v>
      </c>
      <c r="MP44" s="721">
        <v>31</v>
      </c>
      <c r="MQ44" s="721">
        <v>27</v>
      </c>
    </row>
    <row r="45" spans="1:355">
      <c r="A45" s="633" t="s">
        <v>391</v>
      </c>
      <c r="B45" s="727" t="s">
        <v>266</v>
      </c>
      <c r="C45" s="886"/>
      <c r="D45" s="886"/>
      <c r="E45" s="886"/>
      <c r="F45" s="788"/>
      <c r="G45" s="788"/>
      <c r="H45" s="788"/>
      <c r="I45" s="788"/>
      <c r="J45" s="788"/>
      <c r="K45" s="788"/>
      <c r="L45" s="828"/>
      <c r="M45" s="829"/>
      <c r="N45" s="828"/>
      <c r="O45" s="828"/>
      <c r="P45" s="828"/>
      <c r="Q45" s="828"/>
      <c r="R45" s="828"/>
      <c r="S45" s="828"/>
      <c r="T45" s="828"/>
      <c r="U45" s="788"/>
      <c r="V45" s="827"/>
      <c r="W45" s="788"/>
      <c r="X45" s="832"/>
      <c r="Y45" s="788"/>
      <c r="Z45" s="788"/>
      <c r="AA45" s="788"/>
      <c r="AB45" s="788"/>
      <c r="AC45" s="788"/>
      <c r="AJ45" s="788"/>
      <c r="AK45" s="788"/>
      <c r="AL45" s="788"/>
      <c r="AM45" s="828"/>
      <c r="AN45" s="828"/>
      <c r="AO45" s="828"/>
      <c r="AP45" s="788"/>
      <c r="AQ45" s="788"/>
      <c r="AR45" s="788"/>
      <c r="AS45" s="727"/>
      <c r="AT45" s="727"/>
      <c r="AU45" s="727"/>
      <c r="AV45" s="727"/>
      <c r="AW45" s="727"/>
      <c r="AX45" s="727"/>
      <c r="AY45" s="727"/>
      <c r="AZ45" s="727"/>
      <c r="BA45" s="727"/>
      <c r="BB45" s="727"/>
      <c r="BC45" s="727"/>
      <c r="BD45" s="727"/>
      <c r="BE45" s="727"/>
      <c r="BF45" s="727"/>
      <c r="BG45" s="727"/>
      <c r="BH45" s="727"/>
      <c r="BI45" s="727"/>
      <c r="BJ45" s="727"/>
      <c r="BK45" s="727"/>
      <c r="BL45" s="727"/>
      <c r="BM45" s="727"/>
      <c r="BN45" s="727"/>
      <c r="BO45" s="727"/>
      <c r="BP45" s="727"/>
      <c r="BQ45" s="727"/>
      <c r="BR45" s="727"/>
      <c r="BS45" s="727"/>
      <c r="BT45" s="727"/>
      <c r="BU45" s="727"/>
      <c r="BV45" s="727"/>
      <c r="BW45" s="726"/>
      <c r="BX45" s="726"/>
      <c r="BY45" s="726"/>
      <c r="BZ45" s="727"/>
      <c r="CA45" s="727"/>
      <c r="CB45" s="727"/>
      <c r="CC45" s="727"/>
      <c r="CD45" s="727"/>
      <c r="CE45" s="727"/>
      <c r="CF45" s="727"/>
      <c r="CG45" s="727"/>
      <c r="CH45" s="727"/>
      <c r="CI45" s="727"/>
      <c r="CJ45" s="727"/>
      <c r="CK45" s="727"/>
      <c r="CL45" s="727"/>
      <c r="CM45" s="727"/>
      <c r="CN45" s="727"/>
      <c r="CO45" s="727"/>
      <c r="CP45" s="727"/>
      <c r="CQ45" s="727"/>
      <c r="CR45" s="727"/>
      <c r="CS45" s="727"/>
      <c r="CT45" s="727"/>
      <c r="CU45" s="727"/>
      <c r="CV45" s="727"/>
      <c r="CW45" s="727"/>
      <c r="CX45" s="727"/>
      <c r="CY45" s="727"/>
      <c r="CZ45" s="727"/>
      <c r="DA45" s="727"/>
      <c r="DB45" s="727"/>
      <c r="DC45" s="752"/>
      <c r="DD45" s="727"/>
      <c r="DE45" s="727"/>
      <c r="DF45" s="727"/>
      <c r="DG45" s="727"/>
      <c r="DH45" s="727"/>
      <c r="DI45" s="727"/>
      <c r="DJ45" s="727"/>
      <c r="DK45" s="727"/>
      <c r="DL45" s="727"/>
      <c r="DM45" s="727">
        <v>1.6832739999999999</v>
      </c>
      <c r="DN45" s="727">
        <v>44.9</v>
      </c>
      <c r="DO45" s="727">
        <v>0.05</v>
      </c>
      <c r="DP45" s="727">
        <v>1.682599</v>
      </c>
      <c r="DQ45" s="727">
        <v>44.31</v>
      </c>
      <c r="DR45" s="727">
        <v>0.05</v>
      </c>
      <c r="DS45" s="727">
        <v>1.681924</v>
      </c>
      <c r="DT45" s="748">
        <v>44.05</v>
      </c>
      <c r="DU45" s="727">
        <v>0.05</v>
      </c>
      <c r="DV45" s="727">
        <v>1.681249</v>
      </c>
      <c r="DW45" s="727">
        <v>34.799999999999997</v>
      </c>
      <c r="DX45" s="727">
        <v>0.05</v>
      </c>
      <c r="DY45" s="727">
        <v>1.680574</v>
      </c>
      <c r="DZ45" s="727">
        <v>35.950000000000003</v>
      </c>
      <c r="EA45" s="727">
        <v>0.05</v>
      </c>
      <c r="EB45" s="727">
        <v>1.6797</v>
      </c>
      <c r="EC45" s="727">
        <v>34.75</v>
      </c>
      <c r="ED45" s="727">
        <v>0.05</v>
      </c>
      <c r="EE45" s="727">
        <v>1.68</v>
      </c>
      <c r="EF45" s="727">
        <v>35.369999999999997</v>
      </c>
      <c r="EG45" s="727">
        <v>0.05</v>
      </c>
      <c r="EH45" s="727">
        <v>1.6782490000000001</v>
      </c>
      <c r="EI45" s="727">
        <v>38.49</v>
      </c>
      <c r="EJ45" s="730">
        <v>0.05</v>
      </c>
      <c r="EK45" s="727">
        <v>1.678096</v>
      </c>
      <c r="EL45" s="727">
        <v>32.950000000000003</v>
      </c>
      <c r="EM45" s="727">
        <v>0</v>
      </c>
      <c r="EN45" s="727">
        <v>1.677862</v>
      </c>
      <c r="EO45" s="727">
        <v>42.75</v>
      </c>
      <c r="EP45" s="727">
        <v>0</v>
      </c>
      <c r="EQ45" s="727">
        <v>1.6697759999999999</v>
      </c>
      <c r="ER45" s="727">
        <v>27.8</v>
      </c>
      <c r="ES45" s="727">
        <v>0</v>
      </c>
      <c r="ET45" s="727">
        <v>1.67743</v>
      </c>
      <c r="EU45" s="727">
        <v>33.25</v>
      </c>
      <c r="EV45" s="727">
        <v>0</v>
      </c>
      <c r="EW45" s="727">
        <v>1.677187</v>
      </c>
      <c r="EX45" s="727">
        <v>28.2</v>
      </c>
      <c r="EY45" s="727">
        <v>0</v>
      </c>
      <c r="EZ45" s="727">
        <v>1.6468229999999999</v>
      </c>
      <c r="FA45" s="727">
        <v>26.85</v>
      </c>
      <c r="FB45" s="727">
        <v>0</v>
      </c>
      <c r="FC45" s="723">
        <v>1.638379</v>
      </c>
      <c r="FD45" s="741">
        <v>19</v>
      </c>
      <c r="FE45" s="723">
        <v>0</v>
      </c>
      <c r="FF45" s="727">
        <v>1.6380269999999999</v>
      </c>
      <c r="FG45" s="727">
        <v>15.18</v>
      </c>
      <c r="FH45" s="727">
        <v>0</v>
      </c>
      <c r="FI45" s="727">
        <v>1.637211</v>
      </c>
      <c r="FJ45" s="727">
        <v>16.75</v>
      </c>
      <c r="FK45" s="727">
        <v>0</v>
      </c>
      <c r="FL45" s="727">
        <v>1.637211</v>
      </c>
      <c r="FM45" s="727">
        <v>15.6</v>
      </c>
      <c r="FN45" s="727">
        <v>0</v>
      </c>
      <c r="FO45" s="727">
        <v>1.6364369999999999</v>
      </c>
      <c r="FP45" s="727">
        <v>15.36</v>
      </c>
      <c r="FQ45" s="727">
        <v>0</v>
      </c>
      <c r="FR45" s="727">
        <v>1.6364369999999999</v>
      </c>
      <c r="FS45" s="742">
        <v>15.49</v>
      </c>
      <c r="FT45" s="626">
        <f>1/4</f>
        <v>0.25</v>
      </c>
      <c r="FU45" s="727">
        <v>1.6361669999999999</v>
      </c>
      <c r="FV45" s="727">
        <v>19.7</v>
      </c>
      <c r="FW45" s="727">
        <v>0.25</v>
      </c>
      <c r="FX45" s="727">
        <v>1.6359060000000001</v>
      </c>
      <c r="FY45" s="727">
        <v>24.5</v>
      </c>
      <c r="FZ45" s="727">
        <v>0.25</v>
      </c>
      <c r="GA45" s="727">
        <v>1.635</v>
      </c>
      <c r="GB45" s="727">
        <v>25.25</v>
      </c>
      <c r="GC45" s="727">
        <v>0.25</v>
      </c>
      <c r="GD45" s="750">
        <v>1.635</v>
      </c>
      <c r="GE45" s="741">
        <v>26.35</v>
      </c>
      <c r="GF45" s="751">
        <v>0.2</v>
      </c>
      <c r="GG45" s="750">
        <v>1.599</v>
      </c>
      <c r="GH45" s="727">
        <v>29</v>
      </c>
      <c r="GI45" s="727">
        <v>0.38</v>
      </c>
      <c r="GJ45" s="727">
        <v>1.5807009999999999</v>
      </c>
      <c r="GK45" s="727">
        <v>32</v>
      </c>
      <c r="GL45" s="727">
        <v>0.38</v>
      </c>
      <c r="GM45" s="727">
        <v>1.5746560000000001</v>
      </c>
      <c r="GN45" s="727">
        <v>34.15</v>
      </c>
      <c r="GO45" s="727">
        <v>0.38</v>
      </c>
      <c r="GP45" s="727">
        <v>1.5746560000000001</v>
      </c>
      <c r="GQ45" s="727">
        <v>35.01</v>
      </c>
      <c r="GR45" s="727">
        <v>0.38</v>
      </c>
      <c r="GS45" s="762">
        <v>1.5745819999999999</v>
      </c>
      <c r="GT45" s="727">
        <v>36</v>
      </c>
      <c r="GU45" s="727">
        <v>0.37</v>
      </c>
      <c r="GV45" s="727">
        <v>1.574322</v>
      </c>
      <c r="GW45" s="727">
        <v>32.51</v>
      </c>
      <c r="GX45" s="727">
        <v>0.37</v>
      </c>
      <c r="GY45" s="727">
        <v>1.5740000000000001</v>
      </c>
      <c r="GZ45" s="727">
        <v>27.85</v>
      </c>
      <c r="HA45" s="727">
        <v>0.37</v>
      </c>
      <c r="HB45" s="727">
        <v>1.5740000000000001</v>
      </c>
      <c r="HC45" s="727">
        <v>32</v>
      </c>
      <c r="HD45" s="727">
        <v>0.37</v>
      </c>
      <c r="HE45" s="727">
        <v>1.5740000000000001</v>
      </c>
      <c r="HF45" s="727">
        <v>27</v>
      </c>
      <c r="HG45" s="727">
        <v>0.37</v>
      </c>
      <c r="HH45" s="727">
        <v>1.5740000000000001</v>
      </c>
      <c r="HI45" s="727">
        <v>29.84</v>
      </c>
      <c r="HJ45" s="727">
        <v>0.35</v>
      </c>
      <c r="HK45" s="727">
        <v>1.573</v>
      </c>
      <c r="HL45" s="727">
        <v>29.7</v>
      </c>
      <c r="HM45" s="727">
        <v>0.35</v>
      </c>
      <c r="HN45" s="727">
        <v>1.573</v>
      </c>
      <c r="HO45" s="727">
        <v>29.56</v>
      </c>
      <c r="HP45" s="727">
        <v>0.35</v>
      </c>
      <c r="HQ45" s="727">
        <v>1.573</v>
      </c>
      <c r="HR45" s="727">
        <v>27.85</v>
      </c>
      <c r="HS45" s="727">
        <v>0.32</v>
      </c>
      <c r="HT45" s="727">
        <v>1.5730599999999999</v>
      </c>
      <c r="HU45" s="727">
        <v>28.9</v>
      </c>
      <c r="HV45" s="727">
        <v>0.32</v>
      </c>
      <c r="HW45" s="727">
        <v>1.5728979999999999</v>
      </c>
      <c r="HX45" s="727">
        <v>26.2</v>
      </c>
      <c r="HY45" s="727">
        <v>0.32</v>
      </c>
      <c r="HZ45" s="727">
        <v>1.5727180000000001</v>
      </c>
      <c r="IA45" s="727">
        <v>26.375</v>
      </c>
      <c r="IB45" s="727">
        <v>0.32</v>
      </c>
      <c r="IC45" s="727">
        <v>1.594085</v>
      </c>
      <c r="ID45" s="727">
        <v>24.5</v>
      </c>
      <c r="IE45" s="727">
        <v>0.32</v>
      </c>
      <c r="IF45" s="727">
        <v>1.6</v>
      </c>
      <c r="IG45" s="727">
        <v>20.375</v>
      </c>
      <c r="IH45" s="727">
        <v>0.3</v>
      </c>
      <c r="II45" s="727">
        <v>1.6172500000000001</v>
      </c>
      <c r="IJ45" s="722">
        <v>17.4375</v>
      </c>
      <c r="IK45" s="722">
        <v>0.3</v>
      </c>
      <c r="IL45" s="722">
        <v>1.6172500000000001</v>
      </c>
      <c r="IM45" s="727">
        <v>17.375</v>
      </c>
      <c r="IN45" s="722">
        <v>0.3</v>
      </c>
      <c r="IO45" s="722">
        <v>1.617</v>
      </c>
      <c r="IP45" s="727">
        <v>18</v>
      </c>
      <c r="IQ45" s="722">
        <v>0.3</v>
      </c>
      <c r="IR45" s="721">
        <v>1.62</v>
      </c>
      <c r="IS45" s="721">
        <v>17.75</v>
      </c>
      <c r="IT45" s="721">
        <v>0.25</v>
      </c>
      <c r="IU45" s="721">
        <v>1.62</v>
      </c>
      <c r="IV45" s="721">
        <v>13.125</v>
      </c>
      <c r="IW45" s="721">
        <v>0.25</v>
      </c>
      <c r="IX45" s="721">
        <v>1.62</v>
      </c>
      <c r="IY45" s="721">
        <v>15.25</v>
      </c>
      <c r="IZ45" s="721">
        <v>0.25</v>
      </c>
      <c r="JA45" s="721">
        <v>1.62</v>
      </c>
      <c r="JB45" s="721">
        <v>14.438000000000001</v>
      </c>
      <c r="JC45" s="721">
        <v>0.25</v>
      </c>
      <c r="JD45" s="721">
        <v>1.62</v>
      </c>
      <c r="JE45" s="721">
        <v>14.25</v>
      </c>
      <c r="JF45" s="721">
        <v>0.25</v>
      </c>
      <c r="JG45" s="721">
        <v>1.62</v>
      </c>
      <c r="JH45" s="721">
        <v>14.0625</v>
      </c>
      <c r="JI45" s="721">
        <v>0.25</v>
      </c>
      <c r="JJ45" s="721">
        <v>1.617</v>
      </c>
      <c r="JK45" s="721">
        <v>12.125</v>
      </c>
      <c r="JL45" s="721">
        <v>0.25</v>
      </c>
      <c r="JM45" s="721">
        <v>1.62</v>
      </c>
      <c r="JN45" s="721">
        <v>11.5</v>
      </c>
      <c r="JO45" s="721">
        <v>0.25</v>
      </c>
      <c r="JP45" s="721">
        <v>1.62</v>
      </c>
      <c r="JQ45" s="721">
        <v>12.25</v>
      </c>
      <c r="JR45" s="721">
        <v>0.25</v>
      </c>
      <c r="JS45" s="721">
        <v>1.62</v>
      </c>
      <c r="JT45" s="721">
        <v>14.75</v>
      </c>
      <c r="JU45" s="721">
        <v>0.25</v>
      </c>
      <c r="JV45" s="721">
        <v>1.62</v>
      </c>
      <c r="JW45" s="721">
        <v>18.125</v>
      </c>
      <c r="JX45" s="721">
        <v>0.46</v>
      </c>
      <c r="JY45" s="721">
        <v>1.62</v>
      </c>
      <c r="JZ45" s="721">
        <v>18.75</v>
      </c>
      <c r="KA45" s="721">
        <v>0.46</v>
      </c>
      <c r="KB45" s="721">
        <v>1.62</v>
      </c>
      <c r="KC45" s="721">
        <v>18.25</v>
      </c>
      <c r="KD45" s="721">
        <v>0.46</v>
      </c>
      <c r="KE45" s="721">
        <v>1.62</v>
      </c>
      <c r="KF45" s="721">
        <v>20.375</v>
      </c>
      <c r="KG45" s="721">
        <v>0.46</v>
      </c>
      <c r="KH45" s="721">
        <v>1.62</v>
      </c>
      <c r="KI45" s="721">
        <v>21.375</v>
      </c>
      <c r="KJ45" s="721">
        <v>0.46</v>
      </c>
      <c r="KK45" s="721">
        <v>1.62</v>
      </c>
      <c r="KL45" s="721">
        <v>22.5</v>
      </c>
      <c r="KM45" s="721">
        <v>0.46</v>
      </c>
      <c r="KN45" s="721">
        <v>1.62</v>
      </c>
      <c r="KO45" s="721">
        <v>21.125</v>
      </c>
      <c r="KP45" s="721">
        <v>0.46</v>
      </c>
      <c r="KQ45" s="721">
        <v>1.62</v>
      </c>
      <c r="KR45" s="721">
        <v>22.75</v>
      </c>
      <c r="KS45" s="721">
        <v>0.46</v>
      </c>
      <c r="KT45" s="721">
        <v>1.62</v>
      </c>
      <c r="KU45" s="721">
        <v>20.75</v>
      </c>
      <c r="KV45" s="721">
        <v>0.46</v>
      </c>
      <c r="KW45" s="721">
        <v>1.62</v>
      </c>
      <c r="KX45" s="721">
        <v>23.125</v>
      </c>
      <c r="KY45" s="721">
        <v>0.46</v>
      </c>
      <c r="KZ45" s="721">
        <v>1.62</v>
      </c>
      <c r="LA45" s="721">
        <v>25.875</v>
      </c>
      <c r="LB45" s="721">
        <v>0.46</v>
      </c>
      <c r="LC45" s="721">
        <v>1.66</v>
      </c>
      <c r="LD45" s="721">
        <v>26.375</v>
      </c>
      <c r="LE45" s="721">
        <v>0.46</v>
      </c>
      <c r="LF45" s="721">
        <v>1.66</v>
      </c>
      <c r="LG45" s="721">
        <v>25.875</v>
      </c>
      <c r="LH45" s="721">
        <v>0.46</v>
      </c>
      <c r="LI45" s="721">
        <v>1.66</v>
      </c>
      <c r="LJ45" s="721">
        <v>30</v>
      </c>
      <c r="LK45" s="721">
        <v>0.44</v>
      </c>
      <c r="LL45" s="721">
        <v>1.66</v>
      </c>
      <c r="LM45" s="721">
        <v>29.625</v>
      </c>
      <c r="LN45" s="721">
        <v>0.44</v>
      </c>
      <c r="LO45" s="721">
        <v>1.66</v>
      </c>
      <c r="LP45" s="721">
        <v>30</v>
      </c>
      <c r="LQ45" s="721">
        <v>0.44</v>
      </c>
      <c r="LR45" s="721">
        <v>1.66</v>
      </c>
      <c r="LS45" s="721">
        <v>25.88</v>
      </c>
      <c r="LT45" s="721">
        <v>0.44</v>
      </c>
      <c r="LU45" s="721">
        <v>1.66</v>
      </c>
      <c r="LV45" s="721">
        <v>26.88</v>
      </c>
      <c r="LW45" s="721">
        <v>0.44</v>
      </c>
      <c r="LX45" s="721">
        <v>1.66</v>
      </c>
      <c r="LY45" s="721">
        <v>24.63</v>
      </c>
      <c r="LZ45" s="721">
        <v>0.44</v>
      </c>
      <c r="MA45" s="721">
        <v>1.66</v>
      </c>
      <c r="MB45" s="721">
        <v>25.63</v>
      </c>
      <c r="MC45" s="721">
        <v>0.42</v>
      </c>
      <c r="MD45" s="721">
        <v>1.71</v>
      </c>
      <c r="ME45" s="721">
        <v>26.38</v>
      </c>
      <c r="MF45" s="721">
        <v>0.42</v>
      </c>
      <c r="MG45" s="721">
        <v>1.726</v>
      </c>
      <c r="MH45" s="721">
        <v>23.25</v>
      </c>
      <c r="MI45" s="721">
        <v>0.42</v>
      </c>
      <c r="MJ45" s="721">
        <v>1.7370000000000001</v>
      </c>
      <c r="MK45" s="721">
        <v>21.63</v>
      </c>
      <c r="ML45" s="721">
        <v>0.42</v>
      </c>
      <c r="MM45" s="721">
        <v>1.7509999999999999</v>
      </c>
      <c r="MN45" s="721">
        <v>22.38</v>
      </c>
      <c r="MO45" s="721">
        <v>0.42</v>
      </c>
      <c r="MP45" s="721">
        <v>1.792</v>
      </c>
      <c r="MQ45" s="721">
        <v>22.25</v>
      </c>
    </row>
    <row r="46" spans="1:355">
      <c r="A46" s="633" t="s">
        <v>110</v>
      </c>
      <c r="B46" s="723" t="s">
        <v>392</v>
      </c>
      <c r="C46" s="886"/>
      <c r="D46" s="886"/>
      <c r="E46" s="886"/>
      <c r="F46" s="788"/>
      <c r="G46" s="788"/>
      <c r="H46" s="788"/>
      <c r="I46" s="788"/>
      <c r="J46" s="788"/>
      <c r="K46" s="788"/>
      <c r="L46" s="828"/>
      <c r="M46" s="829"/>
      <c r="N46" s="828"/>
      <c r="O46" s="828"/>
      <c r="P46" s="828"/>
      <c r="Q46" s="828"/>
      <c r="R46" s="828"/>
      <c r="S46" s="828"/>
      <c r="T46" s="828"/>
      <c r="U46" s="788"/>
      <c r="V46" s="827"/>
      <c r="W46" s="788"/>
      <c r="X46" s="832"/>
      <c r="Y46" s="788"/>
      <c r="Z46" s="788"/>
      <c r="AA46" s="788"/>
      <c r="AB46" s="788"/>
      <c r="AC46" s="788"/>
      <c r="AJ46" s="788"/>
      <c r="AK46" s="788"/>
      <c r="AL46" s="788"/>
      <c r="AM46" s="828"/>
      <c r="AN46" s="828"/>
      <c r="AO46" s="828"/>
      <c r="AP46" s="788"/>
      <c r="AQ46" s="788"/>
      <c r="AR46" s="788"/>
      <c r="AV46" s="723"/>
      <c r="AW46" s="723"/>
      <c r="AX46" s="723"/>
      <c r="AY46" s="723"/>
      <c r="AZ46" s="723"/>
      <c r="BA46" s="723"/>
      <c r="BB46" s="723"/>
      <c r="BC46" s="723"/>
      <c r="BD46" s="723"/>
      <c r="BE46" s="723"/>
      <c r="BF46" s="723"/>
      <c r="BG46" s="723"/>
      <c r="BH46" s="723"/>
      <c r="BI46" s="723"/>
      <c r="BJ46" s="723"/>
      <c r="BK46" s="723"/>
      <c r="BL46" s="723"/>
      <c r="BM46" s="723"/>
      <c r="BN46" s="723"/>
      <c r="BO46" s="723"/>
      <c r="BP46" s="723"/>
      <c r="BQ46" s="723"/>
      <c r="BR46" s="723"/>
      <c r="BS46" s="723"/>
      <c r="BT46" s="723"/>
      <c r="BU46" s="723"/>
      <c r="BV46" s="723"/>
      <c r="BW46" s="728"/>
      <c r="BX46" s="728"/>
      <c r="BY46" s="728"/>
      <c r="BZ46" s="723">
        <v>235.57830999999999</v>
      </c>
      <c r="CA46" s="723"/>
      <c r="CB46" s="723">
        <v>0.19</v>
      </c>
      <c r="CC46" s="723">
        <v>235.48955900000001</v>
      </c>
      <c r="CD46" s="723">
        <v>23.61</v>
      </c>
      <c r="CE46" s="723">
        <v>0.19</v>
      </c>
      <c r="CF46" s="723">
        <v>235.193702</v>
      </c>
      <c r="CG46" s="723">
        <v>23.46</v>
      </c>
      <c r="CH46" s="723">
        <v>0.19</v>
      </c>
      <c r="CI46" s="728">
        <v>235.84055799999999</v>
      </c>
      <c r="CJ46" s="728">
        <v>20.03</v>
      </c>
      <c r="CK46" s="754">
        <v>0.19</v>
      </c>
      <c r="CL46" s="723">
        <v>235.96140199999999</v>
      </c>
      <c r="CM46" s="723">
        <v>18.14</v>
      </c>
      <c r="CN46" s="723">
        <v>0.17</v>
      </c>
      <c r="CO46" s="723">
        <v>235.99975000000001</v>
      </c>
      <c r="CP46" s="723">
        <v>18.010000000000002</v>
      </c>
      <c r="CQ46" s="723">
        <v>0.17</v>
      </c>
      <c r="CR46" s="723">
        <v>235.99975000000001</v>
      </c>
      <c r="CS46" s="723">
        <v>17.579999999999998</v>
      </c>
      <c r="CT46" s="757">
        <v>0.17</v>
      </c>
      <c r="CU46" s="728">
        <v>235.84759600000001</v>
      </c>
      <c r="CV46" s="728">
        <v>16.12</v>
      </c>
      <c r="CW46" s="728">
        <v>0.13</v>
      </c>
      <c r="CX46" s="722">
        <v>235.99037300000001</v>
      </c>
      <c r="CY46" s="723">
        <v>16.350000000000001</v>
      </c>
      <c r="CZ46" s="723">
        <v>0.13</v>
      </c>
      <c r="DA46" s="723">
        <v>235.86706799999999</v>
      </c>
      <c r="DB46" s="723">
        <v>14.71</v>
      </c>
      <c r="DC46" s="722">
        <v>0.12</v>
      </c>
      <c r="DD46" s="723">
        <v>235.52642499999999</v>
      </c>
      <c r="DE46" s="723">
        <v>15.36</v>
      </c>
      <c r="DF46" s="723">
        <v>0.12</v>
      </c>
      <c r="DG46" s="723">
        <v>235.04834700000001</v>
      </c>
      <c r="DH46" s="723">
        <v>14.89</v>
      </c>
      <c r="DI46" s="723">
        <v>0.12</v>
      </c>
      <c r="DJ46" s="723">
        <v>235.11705799999999</v>
      </c>
      <c r="DK46" s="723">
        <v>14.05</v>
      </c>
      <c r="DL46" s="753">
        <v>0.12</v>
      </c>
      <c r="DM46" s="723">
        <v>234.99508299999999</v>
      </c>
      <c r="DN46" s="723">
        <v>13.15</v>
      </c>
      <c r="DO46" s="723">
        <v>0.11</v>
      </c>
      <c r="DP46" s="723">
        <v>234.858642</v>
      </c>
      <c r="DQ46" s="723">
        <v>11.81</v>
      </c>
      <c r="DR46" s="723">
        <v>0.11</v>
      </c>
      <c r="DS46" s="723">
        <v>234.728309</v>
      </c>
      <c r="DT46" s="725">
        <v>12.33</v>
      </c>
      <c r="DU46" s="723">
        <v>0.11</v>
      </c>
      <c r="DV46" s="723">
        <v>234.629761</v>
      </c>
      <c r="DW46" s="723">
        <v>12.38</v>
      </c>
      <c r="DX46" s="723">
        <v>0.11</v>
      </c>
      <c r="DY46" s="723">
        <v>234.474727</v>
      </c>
      <c r="DZ46" s="723">
        <v>11.59</v>
      </c>
      <c r="EA46" s="723">
        <v>0.1</v>
      </c>
      <c r="EB46" s="723">
        <v>234.33099999999999</v>
      </c>
      <c r="EC46" s="723">
        <v>10.79</v>
      </c>
      <c r="ED46" s="723">
        <v>0.1</v>
      </c>
      <c r="EE46" s="723">
        <v>234.2</v>
      </c>
      <c r="EF46" s="723">
        <v>9.39</v>
      </c>
      <c r="EG46" s="723">
        <v>0.1</v>
      </c>
      <c r="EH46" s="723">
        <v>234.09655900000001</v>
      </c>
      <c r="EI46" s="723">
        <v>9.89</v>
      </c>
      <c r="EJ46" s="760">
        <v>0.1</v>
      </c>
      <c r="EK46" s="723">
        <v>233.99272099999999</v>
      </c>
      <c r="EL46" s="723">
        <v>9.58</v>
      </c>
      <c r="EM46" s="723">
        <v>0.08</v>
      </c>
      <c r="EN46" s="723">
        <v>233.83623399999999</v>
      </c>
      <c r="EO46" s="723">
        <v>12.71</v>
      </c>
      <c r="EP46" s="723">
        <v>0.08</v>
      </c>
      <c r="EQ46" s="723">
        <v>222.18044</v>
      </c>
      <c r="ER46" s="723">
        <v>12.63</v>
      </c>
      <c r="ES46" s="723">
        <v>0.08</v>
      </c>
      <c r="ET46" s="722">
        <v>221.61224300000001</v>
      </c>
      <c r="EU46" s="722">
        <v>16.98</v>
      </c>
      <c r="EV46" s="722">
        <v>0.08</v>
      </c>
      <c r="EW46" s="723">
        <v>221.41234499999999</v>
      </c>
      <c r="EX46" s="723">
        <v>15.73</v>
      </c>
      <c r="EY46" s="723">
        <v>0.08</v>
      </c>
      <c r="EZ46" s="723">
        <v>221.24524700000001</v>
      </c>
      <c r="FA46" s="723">
        <v>17.559999999999999</v>
      </c>
      <c r="FB46" s="723">
        <v>0</v>
      </c>
      <c r="FC46" s="723">
        <v>208.53113400000001</v>
      </c>
      <c r="FD46" s="741">
        <v>17.38</v>
      </c>
      <c r="FE46" s="723">
        <v>0</v>
      </c>
      <c r="FF46" s="727">
        <v>211.14361600000001</v>
      </c>
      <c r="FG46" s="727">
        <v>16.829999999999998</v>
      </c>
      <c r="FH46" s="727">
        <v>0</v>
      </c>
      <c r="FI46" s="727">
        <v>200.89710099999999</v>
      </c>
      <c r="FJ46" s="727">
        <v>14.34</v>
      </c>
      <c r="FK46" s="727">
        <v>0</v>
      </c>
      <c r="FL46" s="727">
        <v>200.86861200000001</v>
      </c>
      <c r="FM46" s="727">
        <v>14</v>
      </c>
      <c r="FN46" s="727">
        <v>0</v>
      </c>
      <c r="FO46" s="727">
        <v>183.37725599999999</v>
      </c>
      <c r="FP46" s="727">
        <v>13.81</v>
      </c>
      <c r="FQ46" s="727">
        <v>0</v>
      </c>
      <c r="FR46" s="727">
        <v>183.37725599999999</v>
      </c>
      <c r="FS46" s="742">
        <v>13.04</v>
      </c>
      <c r="FT46" s="626">
        <v>0</v>
      </c>
      <c r="FU46" s="727">
        <v>183.33815300000001</v>
      </c>
      <c r="FV46" s="727">
        <v>14.85</v>
      </c>
      <c r="FW46" s="727">
        <v>0</v>
      </c>
      <c r="FX46" s="727">
        <v>117.54991200000001</v>
      </c>
      <c r="FY46" s="727">
        <v>12.45</v>
      </c>
      <c r="FZ46" s="727">
        <v>0</v>
      </c>
      <c r="GA46" s="727">
        <v>183.11711099999999</v>
      </c>
      <c r="GB46" s="727">
        <v>10.75</v>
      </c>
      <c r="GC46" s="727">
        <v>0</v>
      </c>
      <c r="GD46" s="750">
        <v>183.11711099999999</v>
      </c>
      <c r="GE46" s="742">
        <v>10.5</v>
      </c>
      <c r="GF46" s="751">
        <v>0</v>
      </c>
      <c r="GG46" s="750">
        <v>117.279506</v>
      </c>
      <c r="GH46" s="727">
        <v>8.9499999999999993</v>
      </c>
      <c r="GI46" s="727">
        <v>0</v>
      </c>
      <c r="GJ46" s="727">
        <v>117.239947</v>
      </c>
      <c r="GK46" s="727">
        <v>7.71</v>
      </c>
      <c r="GL46" s="727">
        <v>0</v>
      </c>
      <c r="GM46" s="727">
        <v>182.926433</v>
      </c>
      <c r="GN46" s="727">
        <v>7.4</v>
      </c>
      <c r="GO46" s="727">
        <v>0</v>
      </c>
      <c r="GP46" s="727">
        <v>182.926433</v>
      </c>
      <c r="GQ46" s="727">
        <v>7.34</v>
      </c>
      <c r="GR46" s="727">
        <v>0</v>
      </c>
      <c r="GS46" s="727">
        <v>177.144486</v>
      </c>
      <c r="GT46" s="727">
        <v>4.8499999999999996</v>
      </c>
      <c r="GU46" s="727">
        <v>0</v>
      </c>
      <c r="GV46" s="727">
        <v>111.499881</v>
      </c>
      <c r="GW46" s="727">
        <v>5.94</v>
      </c>
      <c r="GX46" s="727">
        <v>0</v>
      </c>
      <c r="GY46" s="727">
        <v>102.15</v>
      </c>
      <c r="GZ46" s="727">
        <v>3.18</v>
      </c>
      <c r="HA46" s="727">
        <v>0</v>
      </c>
      <c r="HB46" s="727">
        <v>102.132465</v>
      </c>
      <c r="HC46" s="727">
        <v>6.5</v>
      </c>
      <c r="HD46" s="727">
        <v>0</v>
      </c>
      <c r="HE46" s="727">
        <v>102.110536</v>
      </c>
      <c r="HF46" s="727">
        <v>6.1</v>
      </c>
      <c r="HG46" s="727">
        <v>0</v>
      </c>
      <c r="HH46" s="727">
        <v>102.110536</v>
      </c>
      <c r="HI46" s="727">
        <v>7.8</v>
      </c>
      <c r="HJ46" s="727">
        <v>0</v>
      </c>
      <c r="HK46" s="727">
        <v>102.099</v>
      </c>
      <c r="HL46" s="727">
        <v>15.09</v>
      </c>
      <c r="HM46" s="727">
        <v>0.15</v>
      </c>
      <c r="HN46" s="727">
        <v>90.302999999999997</v>
      </c>
      <c r="HO46" s="727">
        <v>15.05</v>
      </c>
      <c r="HP46" s="727">
        <v>0.2</v>
      </c>
      <c r="HQ46" s="727">
        <v>78.491</v>
      </c>
      <c r="HR46" s="727">
        <v>15.1</v>
      </c>
      <c r="HS46" s="727">
        <v>0.45</v>
      </c>
      <c r="HT46" s="727">
        <v>78.474999999999994</v>
      </c>
      <c r="HU46" s="727">
        <v>15.99</v>
      </c>
      <c r="HV46" s="727">
        <v>0</v>
      </c>
      <c r="HW46" s="727">
        <v>78.459000000000003</v>
      </c>
      <c r="HX46" s="727">
        <v>14.8</v>
      </c>
      <c r="HY46" s="727">
        <v>0.25</v>
      </c>
      <c r="HZ46" s="727">
        <v>78.445999999999998</v>
      </c>
      <c r="IA46" s="727">
        <v>16.0625</v>
      </c>
      <c r="IB46" s="727">
        <v>0.25</v>
      </c>
      <c r="IC46" s="727">
        <v>78.42</v>
      </c>
      <c r="ID46" s="727">
        <v>18</v>
      </c>
      <c r="IE46" s="727">
        <v>0.25</v>
      </c>
      <c r="IF46" s="727">
        <v>78.400000000000006</v>
      </c>
      <c r="IG46" s="727">
        <v>12.5625</v>
      </c>
      <c r="IH46" s="727">
        <v>0.25</v>
      </c>
      <c r="II46" s="727">
        <v>78.400000000000006</v>
      </c>
      <c r="IJ46" s="722">
        <v>12.5</v>
      </c>
      <c r="IK46" s="722">
        <v>0.25</v>
      </c>
      <c r="IL46" s="722">
        <v>69.364999999999995</v>
      </c>
      <c r="IM46" s="727">
        <v>17.375</v>
      </c>
      <c r="IN46" s="722">
        <v>0.25</v>
      </c>
      <c r="IO46" s="722">
        <v>31</v>
      </c>
      <c r="IP46" s="727">
        <v>22.25</v>
      </c>
      <c r="IQ46" s="722">
        <v>0.25</v>
      </c>
      <c r="IR46" s="721">
        <v>51.1</v>
      </c>
      <c r="IS46" s="721">
        <v>25</v>
      </c>
      <c r="IT46" s="721">
        <v>0.25</v>
      </c>
      <c r="IU46" s="721">
        <v>51.2</v>
      </c>
      <c r="IV46" s="721">
        <v>24.75</v>
      </c>
      <c r="IW46" s="721">
        <v>0.25</v>
      </c>
      <c r="IX46" s="721">
        <v>51.2</v>
      </c>
      <c r="IY46" s="721">
        <v>26</v>
      </c>
      <c r="IZ46" s="721">
        <v>0.25</v>
      </c>
      <c r="JA46" s="721">
        <v>50.58</v>
      </c>
      <c r="JB46" s="721">
        <v>26.875</v>
      </c>
      <c r="JC46" s="721">
        <v>0.4</v>
      </c>
      <c r="JD46" s="721">
        <v>50.58</v>
      </c>
      <c r="JE46" s="721">
        <v>25.75</v>
      </c>
      <c r="JF46" s="721">
        <v>0.4</v>
      </c>
      <c r="JG46" s="721">
        <v>49.9</v>
      </c>
      <c r="JH46" s="721">
        <v>26.75</v>
      </c>
      <c r="JI46" s="721">
        <v>0.4</v>
      </c>
      <c r="JJ46" s="721">
        <v>49.902000000000001</v>
      </c>
      <c r="JK46" s="721">
        <v>26.5625</v>
      </c>
      <c r="JL46" s="721">
        <v>0.4</v>
      </c>
      <c r="JM46" s="721">
        <v>49.058999999999997</v>
      </c>
      <c r="JN46" s="721">
        <v>22</v>
      </c>
      <c r="JO46" s="721">
        <v>0.4</v>
      </c>
      <c r="JP46" s="721">
        <v>49.058999999999997</v>
      </c>
      <c r="JQ46" s="721">
        <v>21.25</v>
      </c>
      <c r="JR46" s="721">
        <v>0.4</v>
      </c>
      <c r="JS46" s="721">
        <v>48.209000000000003</v>
      </c>
      <c r="JT46" s="721">
        <v>19.875</v>
      </c>
      <c r="JU46" s="721">
        <v>0.4</v>
      </c>
      <c r="JV46" s="721">
        <v>48.209000000000003</v>
      </c>
      <c r="JW46" s="721">
        <v>20.5</v>
      </c>
      <c r="JX46" s="721">
        <v>0.4</v>
      </c>
      <c r="JY46" s="721">
        <v>41.573</v>
      </c>
      <c r="JZ46" s="721">
        <v>20.5</v>
      </c>
      <c r="KA46" s="721">
        <v>0.4</v>
      </c>
      <c r="KB46" s="721">
        <v>41.573</v>
      </c>
      <c r="KC46" s="721">
        <v>22</v>
      </c>
      <c r="KD46" s="721">
        <v>0.4</v>
      </c>
      <c r="KE46" s="721">
        <v>41.573</v>
      </c>
      <c r="KF46" s="721">
        <v>21.875</v>
      </c>
      <c r="KG46" s="721">
        <v>0.4</v>
      </c>
      <c r="KH46" s="721">
        <v>41.573</v>
      </c>
      <c r="KI46" s="721">
        <v>22.25</v>
      </c>
      <c r="KJ46" s="721">
        <v>0.4</v>
      </c>
      <c r="KK46" s="721">
        <v>41.573</v>
      </c>
      <c r="KL46" s="721">
        <v>22.5</v>
      </c>
      <c r="KM46" s="721">
        <v>0.4</v>
      </c>
      <c r="KN46" s="721">
        <v>41.573</v>
      </c>
      <c r="KO46" s="721">
        <v>20.625</v>
      </c>
      <c r="KP46" s="721">
        <v>0.4</v>
      </c>
      <c r="KQ46" s="721">
        <v>41.573</v>
      </c>
      <c r="KR46" s="721">
        <v>20.125</v>
      </c>
      <c r="KS46" s="721">
        <v>0.4</v>
      </c>
      <c r="KT46" s="721">
        <v>41.573</v>
      </c>
      <c r="KU46" s="721">
        <v>20.375</v>
      </c>
      <c r="KV46" s="721">
        <v>0.4</v>
      </c>
      <c r="KW46" s="721">
        <v>41.573</v>
      </c>
      <c r="KX46" s="721">
        <v>20.125</v>
      </c>
      <c r="KY46" s="721">
        <v>0.4</v>
      </c>
      <c r="KZ46" s="721">
        <v>41.573</v>
      </c>
      <c r="LA46" s="721">
        <v>19.125</v>
      </c>
      <c r="LB46" s="721">
        <v>0.4</v>
      </c>
      <c r="LC46" s="721">
        <v>40.904000000000003</v>
      </c>
      <c r="LD46" s="721">
        <v>22.125</v>
      </c>
      <c r="LE46" s="721">
        <v>0.4</v>
      </c>
      <c r="LF46" s="721">
        <v>40.904000000000003</v>
      </c>
      <c r="LG46" s="721">
        <v>24.125</v>
      </c>
      <c r="LH46" s="721">
        <v>0.4</v>
      </c>
      <c r="LI46" s="721">
        <v>40.904000000000003</v>
      </c>
      <c r="LJ46" s="721">
        <v>26.375</v>
      </c>
      <c r="LK46" s="721">
        <v>0.4</v>
      </c>
      <c r="LL46" s="721">
        <v>38.225999999999999</v>
      </c>
      <c r="LM46" s="721">
        <v>25.125</v>
      </c>
      <c r="LN46" s="721">
        <v>0.4</v>
      </c>
      <c r="LO46" s="721">
        <v>37.381999999999998</v>
      </c>
      <c r="LP46" s="721">
        <v>25</v>
      </c>
      <c r="LQ46" s="721">
        <v>0.4</v>
      </c>
      <c r="LR46" s="721">
        <v>35.200000000000003</v>
      </c>
      <c r="LS46" s="721">
        <v>23.63</v>
      </c>
      <c r="LT46" s="721">
        <v>0.4</v>
      </c>
      <c r="LU46" s="721">
        <v>35.200000000000003</v>
      </c>
      <c r="LV46" s="721">
        <v>22.38</v>
      </c>
      <c r="LW46" s="721">
        <v>0.4</v>
      </c>
      <c r="LX46" s="721">
        <v>34.472999999999999</v>
      </c>
      <c r="LY46" s="721">
        <v>19</v>
      </c>
      <c r="LZ46" s="721">
        <v>0.4</v>
      </c>
      <c r="MA46" s="721">
        <v>33.076999999999998</v>
      </c>
      <c r="MB46" s="721">
        <v>19.13</v>
      </c>
      <c r="MC46" s="721">
        <v>0.4</v>
      </c>
      <c r="MD46" s="721">
        <v>30.855</v>
      </c>
      <c r="ME46" s="721">
        <v>19.38</v>
      </c>
      <c r="MF46" s="721">
        <v>0.4</v>
      </c>
      <c r="MG46" s="721">
        <v>30.263999999999999</v>
      </c>
      <c r="MH46" s="721">
        <v>17.88</v>
      </c>
      <c r="MI46" s="721">
        <v>0.4</v>
      </c>
      <c r="MJ46" s="721">
        <v>29.181999999999999</v>
      </c>
      <c r="MK46" s="721">
        <v>18.25</v>
      </c>
      <c r="ML46" s="721">
        <v>0.4</v>
      </c>
      <c r="MM46" s="721">
        <v>29.015999999999998</v>
      </c>
      <c r="MN46" s="721">
        <v>21.5</v>
      </c>
      <c r="MO46" s="721">
        <v>0.4</v>
      </c>
      <c r="MP46" s="721">
        <v>28.33</v>
      </c>
      <c r="MQ46" s="721">
        <v>21.88</v>
      </c>
    </row>
    <row r="47" spans="1:355">
      <c r="B47" s="723" t="s">
        <v>267</v>
      </c>
      <c r="C47" s="886"/>
      <c r="D47" s="886"/>
      <c r="E47" s="886"/>
      <c r="F47" s="788"/>
      <c r="G47" s="788"/>
      <c r="H47" s="788"/>
      <c r="I47" s="788"/>
      <c r="J47" s="788"/>
      <c r="K47" s="788"/>
      <c r="L47" s="828"/>
      <c r="M47" s="829"/>
      <c r="N47" s="828"/>
      <c r="O47" s="828"/>
      <c r="P47" s="828"/>
      <c r="Q47" s="828"/>
      <c r="R47" s="828"/>
      <c r="S47" s="828"/>
      <c r="T47" s="828"/>
      <c r="U47" s="788"/>
      <c r="V47" s="827"/>
      <c r="W47" s="788"/>
      <c r="X47" s="832"/>
      <c r="Y47" s="788"/>
      <c r="Z47" s="788"/>
      <c r="AA47" s="788"/>
      <c r="AB47" s="788"/>
      <c r="AC47" s="788"/>
      <c r="AJ47" s="788"/>
      <c r="AK47" s="788"/>
      <c r="AL47" s="788"/>
      <c r="AM47" s="828"/>
      <c r="AN47" s="828"/>
      <c r="AO47" s="828"/>
      <c r="AP47" s="788"/>
      <c r="AQ47" s="788"/>
      <c r="AR47" s="788"/>
      <c r="AV47" s="723"/>
      <c r="AW47" s="723"/>
      <c r="AX47" s="723"/>
      <c r="AY47" s="723"/>
      <c r="AZ47" s="723"/>
      <c r="BA47" s="723"/>
      <c r="BB47" s="723"/>
      <c r="BC47" s="723"/>
      <c r="BD47" s="723"/>
      <c r="BE47" s="723"/>
      <c r="BF47" s="723"/>
      <c r="BG47" s="723"/>
      <c r="BH47" s="723"/>
      <c r="BI47" s="723"/>
      <c r="BJ47" s="723"/>
      <c r="BK47" s="723"/>
      <c r="BL47" s="723"/>
      <c r="BM47" s="723"/>
      <c r="BN47" s="723"/>
      <c r="BO47" s="722"/>
      <c r="BP47" s="723"/>
      <c r="BQ47" s="723"/>
      <c r="BR47" s="723"/>
      <c r="BS47" s="723"/>
      <c r="BT47" s="723"/>
      <c r="BU47" s="723"/>
      <c r="BV47" s="723"/>
      <c r="BW47" s="728"/>
      <c r="BX47" s="728"/>
      <c r="BY47" s="728"/>
      <c r="BZ47" s="723"/>
      <c r="CA47" s="723"/>
      <c r="CB47" s="723"/>
      <c r="CC47" s="723"/>
      <c r="CD47" s="723"/>
      <c r="CE47" s="723"/>
      <c r="CF47" s="723"/>
      <c r="CG47" s="723"/>
      <c r="CH47" s="723"/>
      <c r="CI47" s="723"/>
      <c r="CJ47" s="723"/>
      <c r="CK47" s="723"/>
      <c r="CL47" s="723"/>
      <c r="CM47" s="723"/>
      <c r="CN47" s="723"/>
      <c r="CO47" s="723"/>
      <c r="CP47" s="723"/>
      <c r="CQ47" s="723"/>
      <c r="CR47" s="723"/>
      <c r="CS47" s="723"/>
      <c r="CT47" s="723"/>
      <c r="CU47" s="723"/>
      <c r="CV47" s="723"/>
      <c r="CW47" s="723"/>
      <c r="CX47" s="722"/>
      <c r="CY47" s="723"/>
      <c r="CZ47" s="723"/>
      <c r="DA47" s="723"/>
      <c r="DB47" s="723"/>
      <c r="DC47" s="735"/>
      <c r="DD47" s="723"/>
      <c r="DE47" s="723"/>
      <c r="DF47" s="723"/>
      <c r="DG47" s="723"/>
      <c r="DH47" s="723"/>
      <c r="DI47" s="723"/>
      <c r="DJ47" s="723"/>
      <c r="DK47" s="723"/>
      <c r="DL47" s="723"/>
      <c r="DM47" s="723"/>
      <c r="DN47" s="723"/>
      <c r="DO47" s="723"/>
      <c r="DP47" s="723"/>
      <c r="DQ47" s="723"/>
      <c r="DR47" s="723"/>
      <c r="DS47" s="723"/>
      <c r="DT47" s="725"/>
      <c r="DU47" s="723"/>
      <c r="DV47" s="723"/>
      <c r="DW47" s="723"/>
      <c r="DX47" s="723"/>
      <c r="DY47" s="723"/>
      <c r="DZ47" s="723"/>
      <c r="EA47" s="723"/>
      <c r="EB47" s="723"/>
      <c r="EC47" s="723"/>
      <c r="ED47" s="723"/>
      <c r="EE47" s="723"/>
      <c r="EF47" s="723"/>
      <c r="EG47" s="723"/>
      <c r="EH47" s="723"/>
      <c r="EI47" s="723"/>
      <c r="EJ47" s="723"/>
      <c r="EK47" s="723"/>
      <c r="EL47" s="723"/>
      <c r="EM47" s="723"/>
      <c r="EN47" s="723"/>
      <c r="EO47" s="723"/>
      <c r="EP47" s="723"/>
      <c r="EQ47" s="723"/>
      <c r="ER47" s="723"/>
      <c r="ES47" s="723"/>
      <c r="ET47" s="722"/>
      <c r="EU47" s="722"/>
      <c r="EV47" s="722"/>
      <c r="EW47" s="723"/>
      <c r="EX47" s="723"/>
      <c r="EY47" s="723"/>
      <c r="EZ47" s="723"/>
      <c r="FA47" s="723"/>
      <c r="FB47" s="723"/>
      <c r="FC47" s="723"/>
      <c r="FD47" s="741"/>
      <c r="FE47" s="723"/>
      <c r="FF47" s="727"/>
      <c r="FG47" s="727"/>
      <c r="FH47" s="727"/>
      <c r="FI47" s="727"/>
      <c r="FJ47" s="727"/>
      <c r="FK47" s="727"/>
      <c r="FL47" s="727"/>
      <c r="FM47" s="727"/>
      <c r="FN47" s="727"/>
      <c r="FO47" s="727"/>
      <c r="FP47" s="727"/>
      <c r="FQ47" s="727"/>
      <c r="FR47" s="727"/>
      <c r="FS47" s="742"/>
      <c r="FT47" s="626"/>
      <c r="FU47" s="727"/>
      <c r="FV47" s="727"/>
      <c r="FW47" s="727"/>
      <c r="FX47" s="727"/>
      <c r="FY47" s="727"/>
      <c r="FZ47" s="727"/>
      <c r="GA47" s="727"/>
      <c r="GB47" s="727"/>
      <c r="GC47" s="727"/>
      <c r="GD47" s="750"/>
      <c r="GE47" s="741"/>
      <c r="GF47" s="751"/>
      <c r="GG47" s="750"/>
      <c r="GH47" s="727"/>
      <c r="GI47" s="727"/>
      <c r="GJ47" s="727"/>
      <c r="GK47" s="727"/>
      <c r="GL47" s="727"/>
      <c r="GM47" s="727"/>
      <c r="GN47" s="727"/>
      <c r="GO47" s="727"/>
      <c r="GP47" s="727"/>
      <c r="GQ47" s="727"/>
      <c r="GR47" s="727"/>
      <c r="GS47" s="727"/>
      <c r="GT47" s="727"/>
      <c r="GU47" s="752"/>
      <c r="GV47" s="727"/>
      <c r="GW47" s="727"/>
      <c r="GX47" s="727"/>
      <c r="GY47" s="727"/>
      <c r="GZ47" s="727"/>
      <c r="HA47" s="727"/>
      <c r="HB47" s="727"/>
      <c r="HC47" s="727"/>
      <c r="HD47" s="727"/>
      <c r="HE47" s="727"/>
      <c r="HF47" s="727"/>
      <c r="HG47" s="727"/>
      <c r="HH47" s="727"/>
      <c r="HI47" s="727"/>
      <c r="HJ47" s="727"/>
      <c r="HK47" s="727"/>
      <c r="HL47" s="727"/>
      <c r="HM47" s="727"/>
      <c r="HN47" s="727"/>
      <c r="HO47" s="752"/>
      <c r="HP47" s="752"/>
      <c r="HQ47" s="727"/>
      <c r="HR47" s="727"/>
      <c r="HS47" s="727"/>
      <c r="HT47" s="727"/>
      <c r="HU47" s="727"/>
      <c r="HV47" s="727"/>
      <c r="HW47" s="727"/>
      <c r="HX47" s="727"/>
      <c r="HY47" s="727"/>
      <c r="HZ47" s="727"/>
      <c r="IA47" s="727"/>
      <c r="IB47" s="727"/>
      <c r="IC47" s="727"/>
      <c r="ID47" s="727"/>
      <c r="IE47" s="727"/>
      <c r="IF47" s="727"/>
      <c r="IG47" s="727"/>
      <c r="IH47" s="727"/>
      <c r="II47" s="727"/>
      <c r="IJ47" s="722"/>
      <c r="IK47" s="722"/>
      <c r="IL47" s="722">
        <v>59.355248000000003</v>
      </c>
      <c r="IM47" s="727">
        <v>51.75</v>
      </c>
      <c r="IN47" s="722">
        <v>0.59</v>
      </c>
      <c r="IO47" s="722">
        <v>59.1</v>
      </c>
      <c r="IP47" s="727">
        <v>51.875</v>
      </c>
      <c r="IQ47" s="722">
        <v>0.59</v>
      </c>
      <c r="IR47" s="721">
        <v>62.35</v>
      </c>
      <c r="IS47" s="721">
        <v>50.125</v>
      </c>
      <c r="IT47" s="721">
        <v>0.59</v>
      </c>
      <c r="IU47" s="721">
        <v>61.81</v>
      </c>
      <c r="IV47" s="721">
        <v>48.5</v>
      </c>
      <c r="IW47" s="721">
        <v>0.59</v>
      </c>
      <c r="IX47" s="721">
        <v>61.81</v>
      </c>
      <c r="IY47" s="721">
        <v>48.125</v>
      </c>
      <c r="IZ47" s="721">
        <v>0.59</v>
      </c>
      <c r="JA47" s="721">
        <v>64.53</v>
      </c>
      <c r="JB47" s="721">
        <v>41.5</v>
      </c>
      <c r="JC47" s="721">
        <v>0.59</v>
      </c>
      <c r="JD47" s="721">
        <v>64.53</v>
      </c>
      <c r="JE47" s="721">
        <v>43.25</v>
      </c>
      <c r="JF47" s="721">
        <v>0.59</v>
      </c>
      <c r="JG47" s="721">
        <v>64.95</v>
      </c>
      <c r="JH47" s="721">
        <v>45.6875</v>
      </c>
      <c r="JI47" s="721">
        <v>0.59</v>
      </c>
      <c r="JJ47" s="721">
        <v>64.944999999999993</v>
      </c>
      <c r="JK47" s="721">
        <v>42.75</v>
      </c>
      <c r="JL47" s="721">
        <v>0.59</v>
      </c>
      <c r="JM47" s="721">
        <v>64.97</v>
      </c>
      <c r="JN47" s="721">
        <v>39.25</v>
      </c>
      <c r="JO47" s="721">
        <v>0.59</v>
      </c>
      <c r="JP47" s="721">
        <v>64.97</v>
      </c>
      <c r="JQ47" s="721">
        <v>37</v>
      </c>
      <c r="JR47" s="721">
        <v>0.59</v>
      </c>
      <c r="JS47" s="721">
        <v>64.97</v>
      </c>
      <c r="JT47" s="721">
        <v>34.375</v>
      </c>
      <c r="JU47" s="721">
        <v>0.59</v>
      </c>
      <c r="JV47" s="721">
        <v>64.97</v>
      </c>
      <c r="JW47" s="721">
        <v>34.875</v>
      </c>
      <c r="JX47" s="721">
        <v>0.59</v>
      </c>
      <c r="JY47" s="721">
        <v>64.97</v>
      </c>
      <c r="JZ47" s="721">
        <v>31.125</v>
      </c>
      <c r="KA47" s="721">
        <v>0.59</v>
      </c>
      <c r="KB47" s="721">
        <v>64.97</v>
      </c>
      <c r="KC47" s="721">
        <v>36.375</v>
      </c>
      <c r="KD47" s="721">
        <v>0.59</v>
      </c>
      <c r="KE47" s="721">
        <v>64.97</v>
      </c>
      <c r="KF47" s="721">
        <v>38.25</v>
      </c>
      <c r="KG47" s="721">
        <v>0.59</v>
      </c>
      <c r="KH47" s="721">
        <v>64.97</v>
      </c>
      <c r="KI47" s="721">
        <v>39.625</v>
      </c>
      <c r="KJ47" s="721">
        <v>0.59</v>
      </c>
      <c r="KK47" s="721">
        <v>64.97</v>
      </c>
      <c r="KL47" s="721">
        <v>37</v>
      </c>
      <c r="KM47" s="721">
        <v>0.59</v>
      </c>
      <c r="KN47" s="721">
        <v>64.97</v>
      </c>
      <c r="KO47" s="721">
        <v>34.5</v>
      </c>
      <c r="KP47" s="721">
        <v>0.59</v>
      </c>
      <c r="KQ47" s="721">
        <v>64.97</v>
      </c>
      <c r="KR47" s="721">
        <v>30.875</v>
      </c>
      <c r="KS47" s="721">
        <v>0.57499999999999996</v>
      </c>
      <c r="KT47" s="721">
        <v>64.97</v>
      </c>
      <c r="KU47" s="721">
        <v>32.125</v>
      </c>
      <c r="KV47" s="721">
        <v>0.57499999999999996</v>
      </c>
      <c r="KW47" s="721">
        <v>64.97</v>
      </c>
      <c r="KX47" s="721">
        <v>30.5</v>
      </c>
      <c r="KY47" s="721">
        <v>0.57499999999999996</v>
      </c>
      <c r="KZ47" s="721">
        <v>64.97</v>
      </c>
      <c r="LA47" s="721">
        <v>32.625</v>
      </c>
      <c r="LB47" s="721">
        <v>0.57499999999999996</v>
      </c>
      <c r="LC47" s="721">
        <v>64.97</v>
      </c>
      <c r="LD47" s="721">
        <v>36.375</v>
      </c>
      <c r="LE47" s="721">
        <v>0.57499999999999996</v>
      </c>
      <c r="LF47" s="721">
        <v>64.97</v>
      </c>
      <c r="LG47" s="721">
        <v>39.125</v>
      </c>
      <c r="LH47" s="721">
        <v>0.56000000000000005</v>
      </c>
      <c r="LI47" s="721">
        <v>64.97</v>
      </c>
      <c r="LJ47" s="721">
        <v>41</v>
      </c>
      <c r="LK47" s="721">
        <v>0.56000000000000005</v>
      </c>
      <c r="LL47" s="721">
        <v>64.97</v>
      </c>
      <c r="LM47" s="721">
        <v>41.75</v>
      </c>
      <c r="LN47" s="721">
        <v>0.56000000000000005</v>
      </c>
      <c r="LO47" s="721">
        <v>64.97</v>
      </c>
      <c r="LP47" s="721">
        <v>41.375</v>
      </c>
      <c r="LQ47" s="721">
        <v>0.54</v>
      </c>
      <c r="LR47" s="721">
        <v>64.97</v>
      </c>
      <c r="LS47" s="721">
        <v>38.5</v>
      </c>
      <c r="LT47" s="721">
        <v>0.54</v>
      </c>
      <c r="LU47" s="721">
        <v>64.97</v>
      </c>
      <c r="LV47" s="721">
        <v>35.880000000000003</v>
      </c>
      <c r="LW47" s="721">
        <v>0.54</v>
      </c>
      <c r="LX47" s="721">
        <v>64.97</v>
      </c>
      <c r="LY47" s="721">
        <v>32.75</v>
      </c>
      <c r="LZ47" s="721">
        <v>0.52</v>
      </c>
      <c r="MA47" s="721">
        <v>64.97</v>
      </c>
      <c r="MB47" s="721">
        <v>30.25</v>
      </c>
      <c r="MC47" s="721">
        <v>0.52</v>
      </c>
      <c r="MD47" s="721">
        <v>64.917000000000002</v>
      </c>
      <c r="ME47" s="721">
        <v>32.130000000000003</v>
      </c>
      <c r="MF47" s="721">
        <v>0.52</v>
      </c>
      <c r="MG47" s="721">
        <v>64.899000000000001</v>
      </c>
      <c r="MH47" s="721">
        <v>31.25</v>
      </c>
      <c r="MI47" s="721">
        <v>0.52</v>
      </c>
      <c r="MJ47" s="721">
        <v>64.864000000000004</v>
      </c>
      <c r="MK47" s="721">
        <v>28</v>
      </c>
      <c r="ML47" s="721">
        <v>0.51</v>
      </c>
      <c r="MM47" s="721">
        <v>64.757000000000005</v>
      </c>
      <c r="MN47" s="721">
        <v>27</v>
      </c>
      <c r="MO47" s="721">
        <v>0.51</v>
      </c>
      <c r="MP47" s="721">
        <v>63.817999999999998</v>
      </c>
      <c r="MQ47" s="721">
        <v>24.88</v>
      </c>
    </row>
    <row r="48" spans="1:355">
      <c r="A48" s="633" t="s">
        <v>624</v>
      </c>
      <c r="B48" s="728" t="s">
        <v>625</v>
      </c>
      <c r="C48" s="885">
        <v>321.41608600000001</v>
      </c>
      <c r="D48" s="885">
        <v>78.209999999999994</v>
      </c>
      <c r="E48" s="887">
        <v>0.5675</v>
      </c>
      <c r="F48" s="828">
        <v>324.03716900000001</v>
      </c>
      <c r="G48" s="828">
        <v>85.07</v>
      </c>
      <c r="H48" s="828">
        <v>0.53500000000000003</v>
      </c>
      <c r="I48" s="828">
        <v>319.66499800000003</v>
      </c>
      <c r="J48" s="828">
        <v>85.47</v>
      </c>
      <c r="K48" s="828">
        <v>0.53500000000000003</v>
      </c>
      <c r="L48" s="828">
        <v>317.624593</v>
      </c>
      <c r="M48" s="829">
        <v>75.760000000000005</v>
      </c>
      <c r="N48" s="828">
        <v>0.53500000000000003</v>
      </c>
      <c r="O48" s="828">
        <v>317.37036899999998</v>
      </c>
      <c r="P48" s="828">
        <v>70.95</v>
      </c>
      <c r="Q48" s="839">
        <v>0.53500000000000003</v>
      </c>
      <c r="R48" s="828">
        <v>317.36011000000002</v>
      </c>
      <c r="S48" s="828">
        <v>65.040000000000006</v>
      </c>
      <c r="T48" s="828">
        <v>0.505</v>
      </c>
      <c r="U48" s="828">
        <v>317.34459600000002</v>
      </c>
      <c r="V48" s="829">
        <v>61.44</v>
      </c>
      <c r="W48" s="828">
        <v>0.505</v>
      </c>
      <c r="X48" s="832">
        <v>317.39705199999997</v>
      </c>
      <c r="Y48" s="788">
        <v>58.61</v>
      </c>
      <c r="Z48" s="788">
        <v>0.505</v>
      </c>
      <c r="AA48" s="788">
        <v>317.39684199999999</v>
      </c>
      <c r="AB48" s="788">
        <v>58.92</v>
      </c>
      <c r="AC48" s="801">
        <v>0.505</v>
      </c>
      <c r="AD48" s="788">
        <v>317.39302900000001</v>
      </c>
      <c r="AE48" s="788">
        <v>63.18</v>
      </c>
      <c r="AF48" s="788">
        <v>0.47499999999999998</v>
      </c>
      <c r="AG48" s="788">
        <v>317.39136500000001</v>
      </c>
      <c r="AH48" s="788">
        <v>60.44</v>
      </c>
      <c r="AI48" s="788">
        <v>0.47499999999999998</v>
      </c>
      <c r="AJ48" s="788">
        <v>317.46315099999998</v>
      </c>
      <c r="AK48" s="788">
        <v>60.71</v>
      </c>
      <c r="AL48" s="788">
        <v>0.47499999999999998</v>
      </c>
      <c r="AM48" s="828">
        <v>317.65017999999998</v>
      </c>
      <c r="AN48" s="828">
        <v>58.78</v>
      </c>
      <c r="AO48" s="830">
        <v>0.47499999999999998</v>
      </c>
      <c r="AP48" s="788">
        <v>317.79783600000002</v>
      </c>
      <c r="AQ48" s="788">
        <v>55.23</v>
      </c>
      <c r="AR48" s="788">
        <v>0.44500000000000001</v>
      </c>
      <c r="AS48" s="723">
        <v>317.78549500000003</v>
      </c>
      <c r="AT48" s="722">
        <v>54.18</v>
      </c>
      <c r="AU48" s="723">
        <v>0.44500000000000001</v>
      </c>
      <c r="AV48" s="723">
        <v>317.51714099999998</v>
      </c>
      <c r="AW48" s="723">
        <v>59.9</v>
      </c>
      <c r="AX48" s="723">
        <v>0.44500000000000001</v>
      </c>
      <c r="AY48" s="723">
        <v>317.33688100000001</v>
      </c>
      <c r="AZ48" s="723">
        <v>58.34</v>
      </c>
      <c r="BA48" s="753">
        <v>0.44500000000000001</v>
      </c>
      <c r="BB48" s="723">
        <v>317.45221199999997</v>
      </c>
      <c r="BC48" s="723">
        <v>51.07</v>
      </c>
      <c r="BD48" s="723">
        <v>0.41749999999999998</v>
      </c>
      <c r="BE48" s="723">
        <v>317.61316599999998</v>
      </c>
      <c r="BF48" s="723">
        <v>50.62</v>
      </c>
      <c r="BG48" s="723">
        <v>0.41749999999999998</v>
      </c>
      <c r="BH48" s="723">
        <v>317.09084100000001</v>
      </c>
      <c r="BI48" s="723">
        <v>45.41</v>
      </c>
      <c r="BJ48" s="723">
        <v>0.41749999999999998</v>
      </c>
      <c r="BK48" s="728">
        <v>316.72127499999999</v>
      </c>
      <c r="BL48" s="728">
        <v>50.52</v>
      </c>
      <c r="BM48" s="754">
        <v>0.41749999999999998</v>
      </c>
      <c r="BN48" s="723">
        <v>316.34069099999999</v>
      </c>
      <c r="BO48" s="723">
        <v>53.52</v>
      </c>
      <c r="BP48" s="723">
        <v>0.39250000000000002</v>
      </c>
      <c r="BQ48" s="723">
        <v>315.95051000000001</v>
      </c>
      <c r="BR48" s="723">
        <v>44.3</v>
      </c>
      <c r="BS48" s="723">
        <v>0.39250000000000002</v>
      </c>
      <c r="BT48" s="723">
        <v>315.53451200000001</v>
      </c>
      <c r="BU48" s="723">
        <v>47.27</v>
      </c>
      <c r="BV48" s="723">
        <v>0.39250000000000002</v>
      </c>
      <c r="BW48" s="728">
        <v>315.31138700000002</v>
      </c>
      <c r="BX48" s="728">
        <v>45.5</v>
      </c>
      <c r="BY48" s="754">
        <v>0.39250000000000002</v>
      </c>
      <c r="BZ48" s="723">
        <v>315.29134599999998</v>
      </c>
      <c r="CA48" s="723">
        <v>42.39</v>
      </c>
      <c r="CB48" s="723">
        <v>0.36749999999999999</v>
      </c>
      <c r="CC48" s="723">
        <v>315.15413000000001</v>
      </c>
      <c r="CD48" s="723">
        <v>41.25</v>
      </c>
      <c r="CE48" s="723">
        <v>0.36749999999999999</v>
      </c>
      <c r="CF48" s="723">
        <v>315.12978199999998</v>
      </c>
      <c r="CG48" s="723">
        <v>42.02</v>
      </c>
      <c r="CH48" s="723">
        <v>0.36749999999999999</v>
      </c>
      <c r="CI48" s="728">
        <v>277.20981899999998</v>
      </c>
      <c r="CJ48" s="728">
        <v>43.46</v>
      </c>
      <c r="CK48" s="754">
        <v>0.36749999999999999</v>
      </c>
      <c r="CL48" s="723">
        <v>314.80644100000001</v>
      </c>
      <c r="CM48" s="723">
        <v>39.08</v>
      </c>
      <c r="CN48" s="723">
        <v>0.34300000000000003</v>
      </c>
      <c r="CO48" s="722">
        <v>301.047753</v>
      </c>
      <c r="CP48" s="722">
        <v>38.229999999999997</v>
      </c>
      <c r="CQ48" s="722">
        <v>0.34300000000000003</v>
      </c>
      <c r="CR48" s="723">
        <v>178.05571599999999</v>
      </c>
      <c r="CS48" s="723">
        <v>38.81</v>
      </c>
      <c r="CT48" s="757">
        <v>0.34300000000000003</v>
      </c>
      <c r="CU48" s="728">
        <v>177.410167</v>
      </c>
      <c r="CV48" s="728">
        <v>37.119999999999997</v>
      </c>
      <c r="CW48" s="754">
        <v>0.29380000000000001</v>
      </c>
      <c r="CX48" s="722">
        <v>177.497862</v>
      </c>
      <c r="CY48" s="723">
        <v>36.07</v>
      </c>
      <c r="CZ48" s="723">
        <v>0.27500000000000002</v>
      </c>
      <c r="DA48" s="723">
        <v>177.347374</v>
      </c>
      <c r="DB48" s="723">
        <v>33.659999999999997</v>
      </c>
      <c r="DC48" s="722">
        <v>0.27500000000000002</v>
      </c>
      <c r="DD48" s="723">
        <v>177.18820700000001</v>
      </c>
      <c r="DE48" s="723">
        <v>35.17</v>
      </c>
      <c r="DF48" s="723">
        <v>0.27500000000000002</v>
      </c>
      <c r="DG48" s="723">
        <v>176.870678</v>
      </c>
      <c r="DH48" s="723">
        <v>34.6</v>
      </c>
      <c r="DI48" s="753">
        <v>0.27500000000000002</v>
      </c>
      <c r="DJ48" s="723">
        <v>176.752714</v>
      </c>
      <c r="DK48" s="723">
        <v>31.88</v>
      </c>
      <c r="DL48" s="723">
        <v>0.25629999999999997</v>
      </c>
      <c r="DM48" s="723">
        <v>176.571189</v>
      </c>
      <c r="DN48" s="723">
        <v>29.57</v>
      </c>
      <c r="DO48" s="723">
        <v>0.25629999999999997</v>
      </c>
      <c r="DP48" s="723">
        <v>176.349762</v>
      </c>
      <c r="DQ48" s="723">
        <v>25.48</v>
      </c>
      <c r="DR48" s="723">
        <v>0.25629999999999997</v>
      </c>
      <c r="DS48" s="723">
        <v>175.979567</v>
      </c>
      <c r="DT48" s="725">
        <v>27.64</v>
      </c>
      <c r="DU48" s="723">
        <v>0.25629999999999997</v>
      </c>
      <c r="DV48" s="723">
        <v>175.35877600000001</v>
      </c>
      <c r="DW48" s="723">
        <v>25.79</v>
      </c>
      <c r="DX48" s="723">
        <v>0.23749999999999999</v>
      </c>
      <c r="DY48" s="723">
        <v>175.17593600000001</v>
      </c>
      <c r="DZ48" s="723">
        <v>23.74</v>
      </c>
      <c r="EA48" s="723">
        <v>0.23749999999999999</v>
      </c>
      <c r="EB48" s="723">
        <v>162.34049999999999</v>
      </c>
      <c r="EC48" s="723">
        <v>22.31</v>
      </c>
      <c r="ED48" s="723">
        <v>0.23749999999999999</v>
      </c>
      <c r="EE48" s="723">
        <v>155.76</v>
      </c>
      <c r="EF48" s="723">
        <v>21.59</v>
      </c>
      <c r="EG48" s="723">
        <v>0.23749999999999999</v>
      </c>
      <c r="EH48" s="723">
        <v>155.607201</v>
      </c>
      <c r="EI48" s="723">
        <v>24.06</v>
      </c>
      <c r="EJ48" s="723">
        <v>0.21249999999999999</v>
      </c>
      <c r="EK48" s="723">
        <v>155.47649200000001</v>
      </c>
      <c r="EL48" s="723">
        <v>25.65</v>
      </c>
      <c r="EM48" s="723">
        <v>0.21249999999999999</v>
      </c>
      <c r="EN48" s="723">
        <v>155.28611100000001</v>
      </c>
      <c r="EO48" s="723">
        <v>25.53</v>
      </c>
      <c r="EP48" s="757">
        <v>0.21249999999999999</v>
      </c>
      <c r="EQ48" s="723">
        <v>154.759727</v>
      </c>
      <c r="ER48" s="723">
        <v>24.54</v>
      </c>
      <c r="ES48" s="723">
        <v>0.2</v>
      </c>
      <c r="ET48" s="722">
        <v>154.93092999999999</v>
      </c>
      <c r="EU48" s="722">
        <v>31.31</v>
      </c>
      <c r="EV48" s="722">
        <v>0.2</v>
      </c>
      <c r="EW48" s="723">
        <v>154.72967600000001</v>
      </c>
      <c r="EX48" s="723">
        <v>28.57</v>
      </c>
      <c r="EY48" s="723">
        <v>0.2</v>
      </c>
      <c r="EZ48" s="723">
        <v>154.34947299999999</v>
      </c>
      <c r="FA48" s="723">
        <v>28.36</v>
      </c>
      <c r="FB48" s="723">
        <v>0.2</v>
      </c>
      <c r="FC48" s="723">
        <v>153.767527</v>
      </c>
      <c r="FD48" s="741">
        <v>32.770000000000003</v>
      </c>
      <c r="FE48" s="723">
        <v>0.1875</v>
      </c>
      <c r="FF48" s="727">
        <v>153.88347999999999</v>
      </c>
      <c r="FG48" s="727">
        <v>28.16</v>
      </c>
      <c r="FH48" s="727">
        <v>0.1875</v>
      </c>
      <c r="FI48" s="727">
        <v>153.62870899999999</v>
      </c>
      <c r="FJ48" s="727">
        <v>23.27</v>
      </c>
      <c r="FK48" s="727">
        <v>0.1875</v>
      </c>
      <c r="FL48" s="727">
        <v>153.44264000000001</v>
      </c>
      <c r="FM48" s="727">
        <v>20.67</v>
      </c>
      <c r="FN48" s="749">
        <v>0.1875</v>
      </c>
      <c r="FO48" s="727">
        <v>137.79925700000001</v>
      </c>
      <c r="FP48" s="727">
        <v>19.53</v>
      </c>
      <c r="FQ48" s="727">
        <v>0.17499999999999999</v>
      </c>
      <c r="FR48" s="727">
        <v>129.95740799999999</v>
      </c>
      <c r="FS48" s="742">
        <v>19.690000000000001</v>
      </c>
      <c r="FT48" s="626">
        <f>0.7/4</f>
        <v>0.17499999999999999</v>
      </c>
      <c r="FU48" s="727">
        <v>129.520644</v>
      </c>
      <c r="FV48" s="727">
        <v>19.95</v>
      </c>
      <c r="FW48" s="727">
        <v>0.17499999999999999</v>
      </c>
      <c r="FX48" s="727">
        <v>129.278505</v>
      </c>
      <c r="FY48" s="727">
        <v>20.86</v>
      </c>
      <c r="FZ48" s="727">
        <v>0.17499999999999999</v>
      </c>
      <c r="GA48" s="727">
        <v>128.27981399999999</v>
      </c>
      <c r="GB48" s="727">
        <v>19.27</v>
      </c>
      <c r="GC48" s="727">
        <v>0.16250000000000001</v>
      </c>
      <c r="GD48" s="750">
        <v>128.27981399999999</v>
      </c>
      <c r="GE48" s="741">
        <v>18.850000000000001</v>
      </c>
      <c r="GF48" s="751">
        <v>0.16250000000000001</v>
      </c>
      <c r="GG48" s="750">
        <v>128.033513</v>
      </c>
      <c r="GH48" s="727">
        <v>19.39</v>
      </c>
      <c r="GI48" s="727">
        <v>0.16250000000000001</v>
      </c>
      <c r="GJ48" s="727">
        <v>127.879766</v>
      </c>
      <c r="GK48" s="727">
        <v>19.47</v>
      </c>
      <c r="GL48" s="727">
        <v>0.16250000000000001</v>
      </c>
      <c r="GM48" s="752">
        <v>127.16800000000001</v>
      </c>
      <c r="GN48" s="727">
        <v>18.649999999999999</v>
      </c>
      <c r="GO48" s="727">
        <v>0.15</v>
      </c>
      <c r="GP48" s="727">
        <v>127.16768999999999</v>
      </c>
      <c r="GQ48" s="727">
        <v>20.170000000000002</v>
      </c>
      <c r="GR48" s="727">
        <v>0.15</v>
      </c>
      <c r="GS48" s="727">
        <v>126.747117</v>
      </c>
      <c r="GT48" s="727">
        <v>17.920000000000002</v>
      </c>
      <c r="GU48" s="727">
        <v>0.15</v>
      </c>
      <c r="GV48" s="727">
        <v>127.013678</v>
      </c>
      <c r="GW48" s="727">
        <v>16.739999999999998</v>
      </c>
      <c r="GX48" s="727">
        <v>0.15</v>
      </c>
      <c r="GY48" s="727">
        <v>128.17901499999999</v>
      </c>
      <c r="GZ48" s="727">
        <v>13.92</v>
      </c>
      <c r="HA48" s="727">
        <v>0.13750000000000001</v>
      </c>
      <c r="HB48" s="727">
        <v>129.34472400000001</v>
      </c>
      <c r="HC48" s="727">
        <v>15.17</v>
      </c>
      <c r="HD48" s="727">
        <v>0.13750000000000001</v>
      </c>
      <c r="HE48" s="727">
        <v>129.67779300000001</v>
      </c>
      <c r="HF48" s="727">
        <v>16.899999999999999</v>
      </c>
      <c r="HG48" s="727">
        <v>0.13750000000000001</v>
      </c>
      <c r="HH48" s="727">
        <v>129.50400500000001</v>
      </c>
      <c r="HI48" s="727">
        <v>18.809999999999999</v>
      </c>
      <c r="HJ48" s="727">
        <v>0.13750000000000001</v>
      </c>
      <c r="HK48" s="727">
        <v>131.381924</v>
      </c>
      <c r="HL48" s="727">
        <v>19.87</v>
      </c>
      <c r="HM48" s="727">
        <v>0.125</v>
      </c>
      <c r="HN48" s="727">
        <v>133.541</v>
      </c>
      <c r="HO48" s="727">
        <v>17.63</v>
      </c>
      <c r="HP48" s="727">
        <v>0.125</v>
      </c>
      <c r="HQ48" s="727">
        <v>133.90899999999999</v>
      </c>
      <c r="HR48" s="727">
        <v>18.73</v>
      </c>
      <c r="HS48" s="727">
        <v>0.125</v>
      </c>
      <c r="HT48" s="727">
        <v>144</v>
      </c>
      <c r="HU48" s="727">
        <v>20.75</v>
      </c>
      <c r="HV48" s="727">
        <v>0.1</v>
      </c>
      <c r="HW48" s="727">
        <v>143.6</v>
      </c>
      <c r="HX48" s="727">
        <v>17.38</v>
      </c>
      <c r="HY48" s="727">
        <v>0.1</v>
      </c>
      <c r="HZ48" s="727">
        <v>143.6</v>
      </c>
      <c r="IA48" s="727">
        <v>24.25</v>
      </c>
      <c r="IB48" s="727">
        <v>0.1</v>
      </c>
      <c r="IC48" s="727">
        <v>143.284493</v>
      </c>
      <c r="ID48" s="727">
        <v>21.6875</v>
      </c>
      <c r="IE48" s="727">
        <v>0.1</v>
      </c>
      <c r="IF48" s="727">
        <v>131.9</v>
      </c>
      <c r="IG48" s="727">
        <v>21.75</v>
      </c>
      <c r="IH48" s="727">
        <v>0.1</v>
      </c>
      <c r="II48" s="727">
        <v>131.6</v>
      </c>
      <c r="IJ48" s="722">
        <v>21.5</v>
      </c>
      <c r="IK48" s="722">
        <v>0.1</v>
      </c>
      <c r="IL48" s="722">
        <v>131.4</v>
      </c>
      <c r="IM48" s="727">
        <v>20.5625</v>
      </c>
      <c r="IN48" s="722">
        <v>2.5000000000000001E-2</v>
      </c>
      <c r="IO48" s="722">
        <v>131.317892</v>
      </c>
      <c r="IP48" s="727">
        <v>18.375</v>
      </c>
      <c r="IQ48" s="722">
        <v>0</v>
      </c>
      <c r="IR48" s="721">
        <v>130.6</v>
      </c>
      <c r="IS48" s="721">
        <v>17.875</v>
      </c>
      <c r="IT48" s="721">
        <v>0</v>
      </c>
      <c r="IU48" s="721">
        <v>130.6</v>
      </c>
      <c r="IV48" s="721">
        <v>13.875</v>
      </c>
      <c r="IW48" s="721">
        <v>0</v>
      </c>
      <c r="IX48" s="721">
        <v>130.6</v>
      </c>
      <c r="IY48" s="721">
        <v>16</v>
      </c>
      <c r="IZ48" s="721">
        <v>0</v>
      </c>
      <c r="JA48" s="721">
        <v>130.30000000000001</v>
      </c>
      <c r="JB48" s="721">
        <v>16.75</v>
      </c>
      <c r="JC48" s="721">
        <v>0</v>
      </c>
      <c r="JD48" s="721">
        <v>130.30000000000001</v>
      </c>
      <c r="JE48" s="721">
        <v>16.937999999999999</v>
      </c>
      <c r="JF48" s="721">
        <v>0</v>
      </c>
      <c r="JG48" s="721">
        <v>129.91</v>
      </c>
      <c r="JH48" s="721">
        <v>14.3125</v>
      </c>
      <c r="JI48" s="721">
        <v>0</v>
      </c>
      <c r="JJ48" s="721">
        <v>129.91300000000001</v>
      </c>
      <c r="JK48" s="721">
        <v>11.8125</v>
      </c>
      <c r="JL48" s="721">
        <v>0</v>
      </c>
      <c r="JM48" s="721">
        <v>128.62700000000001</v>
      </c>
      <c r="JN48" s="721">
        <v>9.6875</v>
      </c>
      <c r="JO48" s="721">
        <v>0</v>
      </c>
      <c r="JP48" s="721">
        <v>128.62700000000001</v>
      </c>
      <c r="JQ48" s="721">
        <v>9.5</v>
      </c>
      <c r="JR48" s="721">
        <v>0</v>
      </c>
      <c r="JS48" s="721">
        <v>128.08600000000001</v>
      </c>
      <c r="JT48" s="721">
        <v>7.875</v>
      </c>
      <c r="JU48" s="721">
        <v>0.25</v>
      </c>
      <c r="JV48" s="721">
        <v>128.08600000000001</v>
      </c>
      <c r="JW48" s="721">
        <v>13.125</v>
      </c>
      <c r="JX48" s="721">
        <v>0.25</v>
      </c>
      <c r="JY48" s="721">
        <v>126.41200000000001</v>
      </c>
      <c r="JZ48" s="721">
        <v>12.375</v>
      </c>
      <c r="KA48" s="721">
        <v>0.25</v>
      </c>
      <c r="KB48" s="721">
        <v>126.41200000000001</v>
      </c>
      <c r="KC48" s="721">
        <v>13.375</v>
      </c>
      <c r="KD48" s="721">
        <v>0.44</v>
      </c>
      <c r="KE48" s="721">
        <v>126.41200000000001</v>
      </c>
      <c r="KF48" s="721">
        <v>19.75</v>
      </c>
      <c r="KG48" s="721">
        <v>0.44</v>
      </c>
      <c r="KH48" s="721">
        <v>126.41200000000001</v>
      </c>
      <c r="KI48" s="721">
        <v>24.25</v>
      </c>
      <c r="KJ48" s="721">
        <v>0.44</v>
      </c>
      <c r="KK48" s="721">
        <v>134.119</v>
      </c>
      <c r="KL48" s="721">
        <v>24.375</v>
      </c>
      <c r="KM48" s="721">
        <v>0.44</v>
      </c>
      <c r="KN48" s="721">
        <v>134.119</v>
      </c>
      <c r="KO48" s="721">
        <v>22.5</v>
      </c>
      <c r="KP48" s="721">
        <v>0.44</v>
      </c>
      <c r="KQ48" s="721">
        <v>134.119</v>
      </c>
      <c r="KR48" s="721">
        <v>21.25</v>
      </c>
      <c r="KS48" s="721">
        <v>0.44</v>
      </c>
      <c r="KT48" s="721">
        <v>134.119</v>
      </c>
      <c r="KU48" s="721">
        <v>21.625</v>
      </c>
      <c r="KV48" s="721">
        <v>0.44</v>
      </c>
      <c r="KW48" s="721">
        <v>134.119</v>
      </c>
      <c r="KX48" s="721">
        <v>22</v>
      </c>
      <c r="KY48" s="721">
        <v>0.44</v>
      </c>
      <c r="KZ48" s="721">
        <v>134.119</v>
      </c>
      <c r="LA48" s="721">
        <v>21.75</v>
      </c>
      <c r="LB48" s="721">
        <v>0.44</v>
      </c>
      <c r="LC48" s="721">
        <v>134.119</v>
      </c>
      <c r="LD48" s="721">
        <v>23.625</v>
      </c>
      <c r="LE48" s="721">
        <v>0.44</v>
      </c>
      <c r="LF48" s="721">
        <v>134.119</v>
      </c>
      <c r="LG48" s="721">
        <v>23.75</v>
      </c>
      <c r="LH48" s="721">
        <v>0.44</v>
      </c>
      <c r="LI48" s="721">
        <v>134.119</v>
      </c>
      <c r="LJ48" s="721">
        <v>26.375</v>
      </c>
      <c r="LK48" s="721">
        <v>0.44</v>
      </c>
      <c r="LL48" s="721">
        <v>133.995</v>
      </c>
      <c r="LM48" s="721">
        <v>26.875</v>
      </c>
      <c r="LN48" s="721">
        <v>0.44</v>
      </c>
      <c r="LO48" s="721">
        <v>133.92400000000001</v>
      </c>
      <c r="LP48" s="721">
        <v>27.625</v>
      </c>
      <c r="LQ48" s="721">
        <v>0.44</v>
      </c>
      <c r="LR48" s="721">
        <v>129.25299999999999</v>
      </c>
      <c r="LS48" s="721">
        <v>26.5</v>
      </c>
      <c r="LT48" s="721">
        <v>0.44</v>
      </c>
      <c r="LU48" s="721">
        <v>129.25299999999999</v>
      </c>
      <c r="LV48" s="721">
        <v>26.38</v>
      </c>
      <c r="LW48" s="721">
        <v>0.44</v>
      </c>
      <c r="LX48" s="721">
        <v>126.986</v>
      </c>
      <c r="LY48" s="721">
        <v>23.88</v>
      </c>
      <c r="LZ48" s="721">
        <v>0.44</v>
      </c>
      <c r="MA48" s="721">
        <v>120.764</v>
      </c>
      <c r="MB48" s="721">
        <v>23.63</v>
      </c>
      <c r="MC48" s="721">
        <v>0.44</v>
      </c>
      <c r="MD48" s="721">
        <v>111.45399999999999</v>
      </c>
      <c r="ME48" s="721">
        <v>23.63</v>
      </c>
      <c r="MF48" s="721">
        <v>0.44</v>
      </c>
      <c r="MG48" s="721">
        <v>110.562</v>
      </c>
      <c r="MH48" s="721">
        <v>22.25</v>
      </c>
      <c r="MI48" s="721">
        <v>0.44</v>
      </c>
      <c r="MJ48" s="721">
        <v>110.30200000000001</v>
      </c>
      <c r="MK48" s="721">
        <v>20.63</v>
      </c>
      <c r="ML48" s="721">
        <v>0.44</v>
      </c>
      <c r="MM48" s="721">
        <v>110.054</v>
      </c>
      <c r="MN48" s="721">
        <v>20.25</v>
      </c>
      <c r="MO48" s="721">
        <v>0.44</v>
      </c>
      <c r="MP48" s="721">
        <v>109.004</v>
      </c>
      <c r="MQ48" s="721">
        <v>20</v>
      </c>
    </row>
    <row r="49" spans="1:355">
      <c r="A49" s="633" t="s">
        <v>14</v>
      </c>
      <c r="B49" s="726" t="s">
        <v>136</v>
      </c>
      <c r="C49" s="885">
        <v>535</v>
      </c>
      <c r="D49" s="885">
        <v>40.07</v>
      </c>
      <c r="E49" s="885">
        <v>0.39</v>
      </c>
      <c r="F49" s="828">
        <v>538</v>
      </c>
      <c r="G49" s="828">
        <v>48.6</v>
      </c>
      <c r="H49" s="828">
        <v>0.39</v>
      </c>
      <c r="I49" s="828">
        <v>532</v>
      </c>
      <c r="J49" s="828">
        <v>48.23</v>
      </c>
      <c r="K49" s="828">
        <v>0.38</v>
      </c>
      <c r="L49" s="828">
        <v>530</v>
      </c>
      <c r="M49" s="829">
        <v>42.81</v>
      </c>
      <c r="N49" s="828">
        <v>0.38</v>
      </c>
      <c r="O49" s="828">
        <v>492</v>
      </c>
      <c r="P49" s="828">
        <v>41.61</v>
      </c>
      <c r="Q49" s="828">
        <v>0.38</v>
      </c>
      <c r="R49" s="828">
        <v>503</v>
      </c>
      <c r="S49" s="828">
        <v>37.549999999999997</v>
      </c>
      <c r="T49" s="839">
        <v>0.38</v>
      </c>
      <c r="U49" s="828">
        <v>477</v>
      </c>
      <c r="V49" s="829">
        <v>37.17</v>
      </c>
      <c r="W49" s="828">
        <v>0.36</v>
      </c>
      <c r="X49" s="832">
        <v>476</v>
      </c>
      <c r="Y49" s="788">
        <v>35.909999999999997</v>
      </c>
      <c r="Z49" s="788">
        <v>0.36</v>
      </c>
      <c r="AA49" s="788">
        <v>445</v>
      </c>
      <c r="AB49" s="788">
        <v>34.01</v>
      </c>
      <c r="AC49" s="788">
        <v>0.36</v>
      </c>
      <c r="AD49" s="788">
        <v>444</v>
      </c>
      <c r="AE49" s="788">
        <v>30.62</v>
      </c>
      <c r="AF49" s="788">
        <v>0.36</v>
      </c>
      <c r="AG49" s="788">
        <v>444</v>
      </c>
      <c r="AH49" s="788">
        <v>30.83</v>
      </c>
      <c r="AI49" s="788">
        <v>0.36</v>
      </c>
      <c r="AJ49" s="788">
        <v>443</v>
      </c>
      <c r="AK49" s="788">
        <v>29.16</v>
      </c>
      <c r="AL49" s="788">
        <v>0.36</v>
      </c>
      <c r="AM49" s="828">
        <v>426</v>
      </c>
      <c r="AN49" s="828">
        <v>31.82</v>
      </c>
      <c r="AO49" s="828">
        <v>0.36</v>
      </c>
      <c r="AP49" s="788">
        <v>425</v>
      </c>
      <c r="AQ49" s="788">
        <v>30.97</v>
      </c>
      <c r="AR49" s="788">
        <v>0.36</v>
      </c>
      <c r="AS49" s="727">
        <v>425</v>
      </c>
      <c r="AT49" s="727">
        <v>33.08</v>
      </c>
      <c r="AU49" s="727">
        <v>0.36</v>
      </c>
      <c r="AV49" s="727">
        <v>424</v>
      </c>
      <c r="AW49" s="727">
        <v>34.909999999999997</v>
      </c>
      <c r="AX49" s="727">
        <v>0.36</v>
      </c>
      <c r="AY49" s="727">
        <v>422</v>
      </c>
      <c r="AZ49" s="727">
        <v>35.97</v>
      </c>
      <c r="BA49" s="727">
        <v>0.36</v>
      </c>
      <c r="BB49" s="727">
        <v>423</v>
      </c>
      <c r="BC49" s="727">
        <v>31.73</v>
      </c>
      <c r="BD49" s="727">
        <v>0.36</v>
      </c>
      <c r="BE49" s="727">
        <v>422</v>
      </c>
      <c r="BF49" s="727">
        <v>31.31</v>
      </c>
      <c r="BG49" s="727">
        <v>0.36</v>
      </c>
      <c r="BH49" s="727">
        <v>421</v>
      </c>
      <c r="BI49" s="727">
        <v>32.549999999999997</v>
      </c>
      <c r="BJ49" s="727">
        <v>0.36</v>
      </c>
      <c r="BK49" s="726">
        <v>421</v>
      </c>
      <c r="BL49" s="726">
        <v>35.06</v>
      </c>
      <c r="BM49" s="726">
        <v>0.36</v>
      </c>
      <c r="BN49" s="727">
        <v>420</v>
      </c>
      <c r="BO49" s="727">
        <v>38.99</v>
      </c>
      <c r="BP49" s="727">
        <v>0.36</v>
      </c>
      <c r="BQ49" s="727">
        <v>420</v>
      </c>
      <c r="BR49" s="727">
        <v>33.57</v>
      </c>
      <c r="BS49" s="727">
        <v>0.36</v>
      </c>
      <c r="BT49" s="727">
        <v>419</v>
      </c>
      <c r="BU49" s="727">
        <v>34.72</v>
      </c>
      <c r="BV49" s="727">
        <v>0.36</v>
      </c>
      <c r="BW49" s="726">
        <v>418</v>
      </c>
      <c r="BX49" s="726">
        <v>34.03</v>
      </c>
      <c r="BY49" s="763">
        <v>0.36</v>
      </c>
      <c r="BZ49" s="727">
        <v>418</v>
      </c>
      <c r="CA49" s="727">
        <v>32.979999999999997</v>
      </c>
      <c r="CB49" s="727">
        <v>0.55000000000000004</v>
      </c>
      <c r="CC49" s="727">
        <v>418</v>
      </c>
      <c r="CD49" s="727">
        <v>36.450000000000003</v>
      </c>
      <c r="CE49" s="727">
        <v>0.55000000000000004</v>
      </c>
      <c r="CF49" s="727">
        <v>418</v>
      </c>
      <c r="CG49" s="727">
        <v>37.340000000000003</v>
      </c>
      <c r="CH49" s="727">
        <v>0.55000000000000004</v>
      </c>
      <c r="CI49" s="726">
        <v>418</v>
      </c>
      <c r="CJ49" s="726">
        <v>42.2</v>
      </c>
      <c r="CK49" s="726">
        <v>0.55000000000000004</v>
      </c>
      <c r="CL49" s="727">
        <v>417</v>
      </c>
      <c r="CM49" s="727">
        <v>41.76</v>
      </c>
      <c r="CN49" s="727">
        <v>0.55000000000000004</v>
      </c>
      <c r="CO49" s="727">
        <v>417</v>
      </c>
      <c r="CP49" s="727">
        <v>44.1</v>
      </c>
      <c r="CQ49" s="727">
        <v>0.55000000000000004</v>
      </c>
      <c r="CR49" s="727">
        <v>418</v>
      </c>
      <c r="CS49" s="727">
        <v>49.19</v>
      </c>
      <c r="CT49" s="727">
        <v>0.55000000000000004</v>
      </c>
      <c r="CU49" s="726">
        <v>399</v>
      </c>
      <c r="CV49" s="726">
        <v>45.59</v>
      </c>
      <c r="CW49" s="726">
        <v>0.55000000000000004</v>
      </c>
      <c r="CX49" s="727">
        <v>418</v>
      </c>
      <c r="CY49" s="727">
        <v>44.3</v>
      </c>
      <c r="CZ49" s="727">
        <v>0.55000000000000004</v>
      </c>
      <c r="DA49" s="727">
        <v>418</v>
      </c>
      <c r="DB49" s="727">
        <v>44.91</v>
      </c>
      <c r="DC49" s="727">
        <v>0.55000000000000004</v>
      </c>
      <c r="DD49" s="727">
        <v>342</v>
      </c>
      <c r="DE49" s="727">
        <v>44.15</v>
      </c>
      <c r="DF49" s="727">
        <v>0.55000000000000004</v>
      </c>
      <c r="DG49" s="727">
        <v>304</v>
      </c>
      <c r="DH49" s="727">
        <v>37.090000000000003</v>
      </c>
      <c r="DI49" s="727">
        <v>0.55000000000000004</v>
      </c>
      <c r="DJ49" s="727">
        <v>304</v>
      </c>
      <c r="DK49" s="727">
        <v>37.020000000000003</v>
      </c>
      <c r="DL49" s="727">
        <v>0.55000000000000004</v>
      </c>
      <c r="DM49" s="727">
        <v>304</v>
      </c>
      <c r="DN49" s="727">
        <v>38.54</v>
      </c>
      <c r="DO49" s="727">
        <v>0.55000000000000004</v>
      </c>
      <c r="DP49" s="727">
        <v>304</v>
      </c>
      <c r="DQ49" s="727">
        <v>35.229999999999997</v>
      </c>
      <c r="DR49" s="727">
        <v>0.55000000000000004</v>
      </c>
      <c r="DS49" s="727">
        <v>304</v>
      </c>
      <c r="DT49" s="748">
        <v>39.090000000000003</v>
      </c>
      <c r="DU49" s="727">
        <v>0.55000000000000004</v>
      </c>
      <c r="DV49" s="727">
        <v>304</v>
      </c>
      <c r="DW49" s="727">
        <v>46.45</v>
      </c>
      <c r="DX49" s="727">
        <v>0.55000000000000004</v>
      </c>
      <c r="DY49" s="727">
        <v>304</v>
      </c>
      <c r="DZ49" s="727">
        <v>45.72</v>
      </c>
      <c r="EA49" s="727">
        <v>0.55000000000000004</v>
      </c>
      <c r="EB49" s="727">
        <v>304</v>
      </c>
      <c r="EC49" s="727">
        <v>38.75</v>
      </c>
      <c r="ED49" s="727">
        <v>0.55000000000000004</v>
      </c>
      <c r="EE49" s="727">
        <v>304</v>
      </c>
      <c r="EF49" s="727">
        <v>38.6</v>
      </c>
      <c r="EG49" s="727">
        <v>0.55000000000000004</v>
      </c>
      <c r="EH49" s="727">
        <v>304</v>
      </c>
      <c r="EI49" s="727">
        <v>48.58</v>
      </c>
      <c r="EJ49" s="727">
        <v>0.55000000000000004</v>
      </c>
      <c r="EK49" s="727">
        <v>304</v>
      </c>
      <c r="EL49" s="727">
        <v>66.989999999999995</v>
      </c>
      <c r="EM49" s="727">
        <v>0.55000000000000004</v>
      </c>
      <c r="EN49" s="727">
        <v>304</v>
      </c>
      <c r="EO49" s="727">
        <v>82.33</v>
      </c>
      <c r="EP49" s="727">
        <v>0.55000000000000004</v>
      </c>
      <c r="EQ49" s="727">
        <v>306</v>
      </c>
      <c r="ER49" s="727">
        <v>68.62</v>
      </c>
      <c r="ES49" s="727">
        <v>0.55000000000000004</v>
      </c>
      <c r="ET49" s="727">
        <v>304</v>
      </c>
      <c r="EU49" s="727">
        <v>72.34</v>
      </c>
      <c r="EV49" s="727">
        <v>0.55000000000000004</v>
      </c>
      <c r="EW49" s="727">
        <v>304</v>
      </c>
      <c r="EX49" s="727">
        <v>63.34</v>
      </c>
      <c r="EY49" s="727">
        <v>0.5</v>
      </c>
      <c r="EZ49" s="727">
        <v>314</v>
      </c>
      <c r="FA49" s="727">
        <v>64.73</v>
      </c>
      <c r="FB49" s="727">
        <v>0.5</v>
      </c>
      <c r="FC49" s="723">
        <v>324</v>
      </c>
      <c r="FD49" s="741">
        <v>66.239999999999995</v>
      </c>
      <c r="FE49" s="723">
        <v>0.5</v>
      </c>
      <c r="FF49" s="727">
        <v>322</v>
      </c>
      <c r="FG49" s="727">
        <v>60.3</v>
      </c>
      <c r="FH49" s="749">
        <v>0.5</v>
      </c>
      <c r="FI49" s="727">
        <v>328</v>
      </c>
      <c r="FJ49" s="727">
        <v>55.86</v>
      </c>
      <c r="FK49" s="727">
        <v>0.45</v>
      </c>
      <c r="FL49" s="727">
        <v>329</v>
      </c>
      <c r="FM49" s="727">
        <v>54.21</v>
      </c>
      <c r="FN49" s="727">
        <v>0.45</v>
      </c>
      <c r="FO49" s="727">
        <v>328</v>
      </c>
      <c r="FP49" s="727">
        <v>48.9</v>
      </c>
      <c r="FQ49" s="727">
        <v>0.45</v>
      </c>
      <c r="FR49" s="727">
        <v>328.11900000000003</v>
      </c>
      <c r="FS49" s="742">
        <v>48.99</v>
      </c>
      <c r="FT49" s="626">
        <f>1.8/4</f>
        <v>0.45</v>
      </c>
      <c r="FU49" s="727">
        <v>328.06299999999999</v>
      </c>
      <c r="FV49" s="727">
        <v>52.12</v>
      </c>
      <c r="FW49" s="727">
        <v>0.43</v>
      </c>
      <c r="FX49" s="727">
        <v>327.90800000000002</v>
      </c>
      <c r="FY49" s="727">
        <v>48.11</v>
      </c>
      <c r="FZ49" s="727">
        <v>0.41249999999999998</v>
      </c>
      <c r="GA49" s="727">
        <v>327.49900000000002</v>
      </c>
      <c r="GB49" s="727">
        <v>41.95</v>
      </c>
      <c r="GC49" s="727">
        <v>0.41249999999999998</v>
      </c>
      <c r="GD49" s="750">
        <v>327.49900000000002</v>
      </c>
      <c r="GE49" s="741">
        <v>39.51</v>
      </c>
      <c r="GF49" s="751">
        <v>0.41249999999999998</v>
      </c>
      <c r="GG49" s="750">
        <v>327.28399999999999</v>
      </c>
      <c r="GH49" s="727">
        <v>41.08</v>
      </c>
      <c r="GI49" s="727">
        <v>0.375</v>
      </c>
      <c r="GJ49" s="727">
        <v>327.05700000000002</v>
      </c>
      <c r="GK49" s="727">
        <v>37.409999999999997</v>
      </c>
      <c r="GL49" s="727">
        <v>0.375</v>
      </c>
      <c r="GM49" s="727">
        <v>326.85599999999999</v>
      </c>
      <c r="GN49" s="727">
        <v>39.08</v>
      </c>
      <c r="GO49" s="727">
        <v>0.375</v>
      </c>
      <c r="GP49" s="727">
        <v>299.42200000000003</v>
      </c>
      <c r="GQ49" s="727">
        <v>35.200000000000003</v>
      </c>
      <c r="GR49" s="727">
        <v>0.375</v>
      </c>
      <c r="GS49" s="727">
        <v>194.166</v>
      </c>
      <c r="GT49" s="727">
        <v>31.9</v>
      </c>
      <c r="GU49" s="727">
        <v>0.375</v>
      </c>
      <c r="GV49" s="727">
        <v>293.88600000000002</v>
      </c>
      <c r="GW49" s="727">
        <v>38.450000000000003</v>
      </c>
      <c r="GX49" s="727">
        <v>0.375</v>
      </c>
      <c r="GY49" s="727">
        <v>297.60000000000002</v>
      </c>
      <c r="GZ49" s="727">
        <v>31.5</v>
      </c>
      <c r="HA49" s="727">
        <v>0.375</v>
      </c>
      <c r="HB49" s="727">
        <v>293.32799999999997</v>
      </c>
      <c r="HC49" s="727">
        <v>32.97</v>
      </c>
      <c r="HD49" s="727">
        <v>0.375</v>
      </c>
      <c r="HE49" s="727">
        <v>293.08</v>
      </c>
      <c r="HF49" s="727">
        <v>29.89</v>
      </c>
      <c r="HG49" s="727">
        <v>0.375</v>
      </c>
      <c r="HH49" s="727">
        <v>292.791</v>
      </c>
      <c r="HI49" s="727">
        <v>33.380000000000003</v>
      </c>
      <c r="HJ49" s="727">
        <v>0.375</v>
      </c>
      <c r="HK49" s="727">
        <v>264.43</v>
      </c>
      <c r="HL49" s="727">
        <v>34.58</v>
      </c>
      <c r="HM49" s="727">
        <v>0.375</v>
      </c>
      <c r="HN49" s="727">
        <v>218.59399999999999</v>
      </c>
      <c r="HO49" s="727">
        <v>34.979999999999997</v>
      </c>
      <c r="HP49" s="727">
        <v>0.375</v>
      </c>
      <c r="HQ49" s="727">
        <v>218.37200000000001</v>
      </c>
      <c r="HR49" s="727">
        <v>35.950000000000003</v>
      </c>
      <c r="HS49" s="727">
        <v>0.375</v>
      </c>
      <c r="HT49" s="727">
        <v>224</v>
      </c>
      <c r="HU49" s="727">
        <v>32.159999999999997</v>
      </c>
      <c r="HV49" s="727">
        <v>0.375</v>
      </c>
      <c r="HW49" s="727">
        <v>219.529</v>
      </c>
      <c r="HX49" s="727">
        <v>27.92</v>
      </c>
      <c r="HY49" s="727">
        <v>0.375</v>
      </c>
      <c r="HZ49" s="727">
        <v>221.846</v>
      </c>
      <c r="IA49" s="727">
        <v>31.5625</v>
      </c>
      <c r="IB49" s="727">
        <v>0.375</v>
      </c>
      <c r="IC49" s="727">
        <v>223.542</v>
      </c>
      <c r="ID49" s="727">
        <v>26.9375</v>
      </c>
      <c r="IE49" s="727">
        <v>0.375</v>
      </c>
      <c r="IF49" s="727">
        <v>224.85900000000001</v>
      </c>
      <c r="IG49" s="727">
        <v>23.375</v>
      </c>
      <c r="IH49" s="727">
        <v>0.375</v>
      </c>
      <c r="II49" s="727">
        <v>225.971</v>
      </c>
      <c r="IJ49" s="722">
        <v>20.625</v>
      </c>
      <c r="IK49" s="722">
        <v>0.375</v>
      </c>
      <c r="IL49" s="722">
        <v>226.43199999999999</v>
      </c>
      <c r="IM49" s="727">
        <v>22.6875</v>
      </c>
      <c r="IN49" s="722">
        <v>0.375</v>
      </c>
      <c r="IO49" s="722">
        <v>227.36699999999999</v>
      </c>
      <c r="IP49" s="727">
        <v>25.3125</v>
      </c>
      <c r="IQ49" s="722">
        <v>0.375</v>
      </c>
      <c r="IR49" s="721">
        <v>226.37</v>
      </c>
      <c r="IS49" s="721">
        <v>31</v>
      </c>
      <c r="IT49" s="721">
        <v>0.375</v>
      </c>
      <c r="IU49" s="721">
        <v>229.48</v>
      </c>
      <c r="IV49" s="721">
        <v>28</v>
      </c>
      <c r="IW49" s="721">
        <v>0.375</v>
      </c>
      <c r="IX49" s="721">
        <v>229.48</v>
      </c>
      <c r="IY49" s="721">
        <v>32.563000000000002</v>
      </c>
      <c r="IZ49" s="721">
        <v>0.375</v>
      </c>
      <c r="JA49" s="721">
        <v>222.41</v>
      </c>
      <c r="JB49" s="721">
        <v>31.062999999999999</v>
      </c>
      <c r="JC49" s="721">
        <v>0.375</v>
      </c>
      <c r="JD49" s="721">
        <v>222.41</v>
      </c>
      <c r="JE49" s="721">
        <v>30.75</v>
      </c>
      <c r="JF49" s="721">
        <v>0.375</v>
      </c>
      <c r="JG49" s="721">
        <v>230.3</v>
      </c>
      <c r="JH49" s="721">
        <v>30.8125</v>
      </c>
      <c r="JI49" s="721">
        <v>0.375</v>
      </c>
      <c r="JJ49" s="721">
        <v>230.3</v>
      </c>
      <c r="JK49" s="721">
        <v>29</v>
      </c>
      <c r="JL49" s="721">
        <v>0.375</v>
      </c>
      <c r="JM49" s="721">
        <v>144.345</v>
      </c>
      <c r="JN49" s="721">
        <v>23.4375</v>
      </c>
      <c r="JO49" s="721">
        <v>0.375</v>
      </c>
      <c r="JP49" s="721">
        <v>144.345</v>
      </c>
      <c r="JQ49" s="721">
        <v>21.75</v>
      </c>
      <c r="JR49" s="721">
        <v>0.375</v>
      </c>
      <c r="JS49" s="721">
        <v>144.143</v>
      </c>
      <c r="JT49" s="721">
        <v>21</v>
      </c>
      <c r="JU49" s="721">
        <v>0.375</v>
      </c>
      <c r="JV49" s="721">
        <v>144.143</v>
      </c>
      <c r="JW49" s="721">
        <v>22.75</v>
      </c>
      <c r="JX49" s="721">
        <v>0.375</v>
      </c>
      <c r="JY49" s="721">
        <v>143.75</v>
      </c>
      <c r="JZ49" s="721">
        <v>19.375</v>
      </c>
      <c r="KA49" s="721">
        <v>0.375</v>
      </c>
      <c r="KB49" s="721">
        <v>143.75</v>
      </c>
      <c r="KC49" s="721">
        <v>21.875</v>
      </c>
      <c r="KD49" s="721">
        <v>0.375</v>
      </c>
      <c r="KE49" s="721">
        <v>143.75</v>
      </c>
      <c r="KF49" s="721">
        <v>22.625</v>
      </c>
      <c r="KG49" s="721">
        <v>0.375</v>
      </c>
      <c r="KH49" s="721">
        <v>143.75</v>
      </c>
      <c r="KI49" s="721">
        <v>23.5</v>
      </c>
      <c r="KJ49" s="721">
        <v>0.375</v>
      </c>
      <c r="KK49" s="721">
        <v>143.09700000000001</v>
      </c>
      <c r="KL49" s="721">
        <v>22.75</v>
      </c>
      <c r="KM49" s="721">
        <v>0.375</v>
      </c>
      <c r="KN49" s="721">
        <v>143.09700000000001</v>
      </c>
      <c r="KO49" s="721">
        <v>22.625</v>
      </c>
      <c r="KP49" s="721">
        <v>0.375</v>
      </c>
      <c r="KQ49" s="721">
        <v>143.09700000000001</v>
      </c>
      <c r="KR49" s="721">
        <v>20</v>
      </c>
      <c r="KS49" s="721">
        <v>0.375</v>
      </c>
      <c r="KT49" s="721">
        <v>143.09700000000001</v>
      </c>
      <c r="KU49" s="721">
        <v>18.5</v>
      </c>
      <c r="KV49" s="721">
        <v>0.375</v>
      </c>
      <c r="KW49" s="721">
        <v>143.09700000000001</v>
      </c>
      <c r="KX49" s="721">
        <v>19</v>
      </c>
      <c r="KY49" s="721">
        <v>0.375</v>
      </c>
      <c r="KZ49" s="721">
        <v>143.09700000000001</v>
      </c>
      <c r="LA49" s="721">
        <v>17.875</v>
      </c>
      <c r="LB49" s="721">
        <v>0.375</v>
      </c>
      <c r="LC49" s="721">
        <v>152.56899999999999</v>
      </c>
      <c r="LD49" s="721">
        <v>19</v>
      </c>
      <c r="LE49" s="721">
        <v>0.375</v>
      </c>
      <c r="LF49" s="721">
        <v>152.56899999999999</v>
      </c>
      <c r="LG49" s="721">
        <v>22.75</v>
      </c>
      <c r="LH49" s="721">
        <v>0.375</v>
      </c>
      <c r="LI49" s="721">
        <v>152.56899999999999</v>
      </c>
      <c r="LJ49" s="721">
        <v>25.25</v>
      </c>
      <c r="LK49" s="721">
        <v>0.375</v>
      </c>
      <c r="LL49" s="721">
        <v>152.56899999999999</v>
      </c>
      <c r="LM49" s="721">
        <v>24.625</v>
      </c>
      <c r="LN49" s="721">
        <v>0.375</v>
      </c>
      <c r="LO49" s="721">
        <v>152.56899999999999</v>
      </c>
      <c r="LP49" s="721">
        <v>24.75</v>
      </c>
      <c r="LQ49" s="721">
        <v>0.375</v>
      </c>
      <c r="LR49" s="721">
        <v>152.56899999999999</v>
      </c>
      <c r="LS49" s="721">
        <v>23.13</v>
      </c>
      <c r="LT49" s="721">
        <v>0.38</v>
      </c>
      <c r="LU49" s="721">
        <v>152.56899999999999</v>
      </c>
      <c r="LV49" s="721">
        <v>22.38</v>
      </c>
      <c r="LW49" s="721">
        <v>0.38</v>
      </c>
      <c r="LX49" s="721">
        <v>152.56899999999999</v>
      </c>
      <c r="LY49" s="721">
        <v>20.88</v>
      </c>
      <c r="LZ49" s="721">
        <v>0.38</v>
      </c>
      <c r="MA49" s="721">
        <v>152.56899999999999</v>
      </c>
      <c r="MB49" s="721">
        <v>19.38</v>
      </c>
      <c r="MC49" s="721">
        <v>0.38</v>
      </c>
      <c r="MD49" s="721">
        <v>152.56899999999999</v>
      </c>
      <c r="ME49" s="721">
        <v>20.5</v>
      </c>
      <c r="MF49" s="721">
        <v>0.38</v>
      </c>
      <c r="MG49" s="721">
        <v>152.56899999999999</v>
      </c>
      <c r="MH49" s="721">
        <v>19.63</v>
      </c>
      <c r="MI49" s="721">
        <v>0.38</v>
      </c>
      <c r="MJ49" s="721">
        <v>152.56899999999999</v>
      </c>
      <c r="MK49" s="721">
        <v>18.25</v>
      </c>
      <c r="ML49" s="721">
        <v>0.38</v>
      </c>
      <c r="MM49" s="721">
        <v>152.56899999999999</v>
      </c>
      <c r="MN49" s="721">
        <v>18.75</v>
      </c>
      <c r="MO49" s="721">
        <v>0.38</v>
      </c>
      <c r="MP49" s="721">
        <v>152.56899999999999</v>
      </c>
      <c r="MQ49" s="721">
        <v>17.13</v>
      </c>
    </row>
    <row r="50" spans="1:355">
      <c r="A50" s="633" t="s">
        <v>35</v>
      </c>
      <c r="B50" s="726" t="s">
        <v>137</v>
      </c>
      <c r="C50" s="885">
        <v>200.1</v>
      </c>
      <c r="D50" s="885">
        <v>30.73</v>
      </c>
      <c r="E50" s="885">
        <v>0.38750000000000001</v>
      </c>
      <c r="F50" s="828">
        <v>200.2</v>
      </c>
      <c r="G50" s="828">
        <v>44.47</v>
      </c>
      <c r="H50" s="828">
        <v>0.38750000000000001</v>
      </c>
      <c r="I50" s="828">
        <v>200.2</v>
      </c>
      <c r="J50" s="828">
        <v>45.38</v>
      </c>
      <c r="K50" s="839">
        <v>0.38750000000000001</v>
      </c>
      <c r="L50" s="828">
        <v>199.9</v>
      </c>
      <c r="M50" s="829">
        <v>42.56</v>
      </c>
      <c r="N50" s="828">
        <v>0.36499999999999999</v>
      </c>
      <c r="O50" s="828">
        <v>199.7</v>
      </c>
      <c r="P50" s="828">
        <v>43.12</v>
      </c>
      <c r="Q50" s="828">
        <v>0.36499999999999999</v>
      </c>
      <c r="R50" s="828">
        <v>199.7</v>
      </c>
      <c r="S50" s="828">
        <v>39.19</v>
      </c>
      <c r="T50" s="828">
        <v>0.36499999999999999</v>
      </c>
      <c r="U50" s="828">
        <v>199.7</v>
      </c>
      <c r="V50" s="829">
        <v>36.32</v>
      </c>
      <c r="W50" s="828">
        <v>0.36499999999999999</v>
      </c>
      <c r="X50" s="832">
        <v>199.7</v>
      </c>
      <c r="Y50" s="788">
        <v>35.21</v>
      </c>
      <c r="Z50" s="788">
        <v>0.33250000000000002</v>
      </c>
      <c r="AA50" s="788">
        <v>199.7</v>
      </c>
      <c r="AB50" s="788">
        <v>32.770000000000003</v>
      </c>
      <c r="AC50" s="788">
        <v>0.33250000000000002</v>
      </c>
      <c r="AD50" s="788">
        <v>199.7</v>
      </c>
      <c r="AE50" s="788">
        <v>32.909999999999997</v>
      </c>
      <c r="AF50" s="788">
        <v>0.33250000000000002</v>
      </c>
      <c r="AG50" s="788">
        <v>199.7</v>
      </c>
      <c r="AH50" s="788">
        <v>36.03</v>
      </c>
      <c r="AI50" s="801">
        <v>0.33250000000000002</v>
      </c>
      <c r="AJ50" s="788">
        <v>199.7</v>
      </c>
      <c r="AK50" s="788">
        <v>34.79</v>
      </c>
      <c r="AL50" s="788">
        <v>0.30249999999999999</v>
      </c>
      <c r="AM50" s="828">
        <v>199.7</v>
      </c>
      <c r="AN50" s="828">
        <v>34.979999999999997</v>
      </c>
      <c r="AO50" s="828">
        <v>0.30249999999999999</v>
      </c>
      <c r="AP50" s="788">
        <v>199.7</v>
      </c>
      <c r="AQ50" s="788">
        <v>33.450000000000003</v>
      </c>
      <c r="AR50" s="788">
        <v>0.30249999999999999</v>
      </c>
      <c r="AS50" s="727">
        <v>199.7</v>
      </c>
      <c r="AT50" s="727">
        <v>31.62</v>
      </c>
      <c r="AU50" s="747">
        <v>0.30249999999999999</v>
      </c>
      <c r="AV50" s="727">
        <v>199.7</v>
      </c>
      <c r="AW50" s="727">
        <v>32.75</v>
      </c>
      <c r="AX50" s="727">
        <v>0.27500000000000002</v>
      </c>
      <c r="AY50" s="727">
        <v>199.6</v>
      </c>
      <c r="AZ50" s="727">
        <v>28.63</v>
      </c>
      <c r="BA50" s="727">
        <v>0.27500000000000002</v>
      </c>
      <c r="BB50" s="727">
        <v>199.7</v>
      </c>
      <c r="BC50" s="727">
        <v>26.29</v>
      </c>
      <c r="BD50" s="727">
        <v>0.27500000000000002</v>
      </c>
      <c r="BE50" s="727">
        <v>199.6</v>
      </c>
      <c r="BF50" s="727">
        <v>27.36</v>
      </c>
      <c r="BG50" s="746">
        <v>0.27500000000000002</v>
      </c>
      <c r="BH50" s="727">
        <v>199.5</v>
      </c>
      <c r="BI50" s="727">
        <v>28.57</v>
      </c>
      <c r="BJ50" s="727">
        <v>0.25</v>
      </c>
      <c r="BK50" s="726">
        <v>199.4</v>
      </c>
      <c r="BL50" s="726">
        <v>31.61</v>
      </c>
      <c r="BM50" s="726">
        <v>0.25</v>
      </c>
      <c r="BN50" s="727">
        <v>199.3</v>
      </c>
      <c r="BO50" s="727">
        <v>35.479999999999997</v>
      </c>
      <c r="BP50" s="727">
        <v>0.25</v>
      </c>
      <c r="BQ50" s="727">
        <v>199.2</v>
      </c>
      <c r="BR50" s="727">
        <v>37.11</v>
      </c>
      <c r="BS50" s="727">
        <v>0.25</v>
      </c>
      <c r="BT50" s="727">
        <v>198.8</v>
      </c>
      <c r="BU50" s="727">
        <v>39.08</v>
      </c>
      <c r="BV50" s="727">
        <v>0.22500000000000001</v>
      </c>
      <c r="BW50" s="726">
        <v>198.2</v>
      </c>
      <c r="BX50" s="726">
        <v>36.76</v>
      </c>
      <c r="BY50" s="726">
        <v>0.22500000000000001</v>
      </c>
      <c r="BZ50" s="727">
        <v>198.4</v>
      </c>
      <c r="CA50" s="727">
        <v>33.9</v>
      </c>
      <c r="CB50" s="746">
        <v>0.22500000000000001</v>
      </c>
      <c r="CC50" s="730">
        <v>198.3</v>
      </c>
      <c r="CD50" s="730">
        <v>36.090000000000003</v>
      </c>
      <c r="CE50" s="730">
        <v>0.20874999999999999</v>
      </c>
      <c r="CF50" s="730">
        <f>98.9*2</f>
        <v>197.8</v>
      </c>
      <c r="CG50" s="730">
        <f>68.2/2</f>
        <v>34.1</v>
      </c>
      <c r="CH50" s="730">
        <f>0.4175/2</f>
        <v>0.20874999999999999</v>
      </c>
      <c r="CI50" s="726">
        <f>98.6*2</f>
        <v>197.2</v>
      </c>
      <c r="CJ50" s="726">
        <f>69.98/2</f>
        <v>34.99</v>
      </c>
      <c r="CK50" s="726">
        <f>0.4175/2</f>
        <v>0.20874999999999999</v>
      </c>
      <c r="CL50" s="727">
        <f>98.7*2</f>
        <v>197.4</v>
      </c>
      <c r="CM50" s="727">
        <f>56.31/2</f>
        <v>28.155000000000001</v>
      </c>
      <c r="CN50" s="746">
        <f>0.4175/2</f>
        <v>0.20874999999999999</v>
      </c>
      <c r="CO50" s="727">
        <f>98.6*2</f>
        <v>197.2</v>
      </c>
      <c r="CP50" s="727">
        <f>55.46/2</f>
        <v>27.73</v>
      </c>
      <c r="CQ50" s="727">
        <f>0.3925/2</f>
        <v>0.19625000000000001</v>
      </c>
      <c r="CR50" s="727">
        <f>98.3*2</f>
        <v>196.6</v>
      </c>
      <c r="CS50" s="727">
        <f>51.79/2</f>
        <v>25.895</v>
      </c>
      <c r="CT50" s="727">
        <f>0.3925/2</f>
        <v>0.19625000000000001</v>
      </c>
      <c r="CU50" s="726">
        <f>97.9*2</f>
        <v>195.8</v>
      </c>
      <c r="CV50" s="726">
        <f>53.5/2</f>
        <v>26.75</v>
      </c>
      <c r="CW50" s="726">
        <f>0.3925/2</f>
        <v>0.19625000000000001</v>
      </c>
      <c r="CX50" s="727">
        <f>98*2</f>
        <v>196</v>
      </c>
      <c r="CY50" s="727">
        <f>56.71/2</f>
        <v>28.355</v>
      </c>
      <c r="CZ50" s="727">
        <f>0.3925/2</f>
        <v>0.19625000000000001</v>
      </c>
      <c r="DA50" s="727">
        <f>98*2</f>
        <v>196</v>
      </c>
      <c r="DB50" s="727">
        <f>47.82/2</f>
        <v>23.91</v>
      </c>
      <c r="DC50" s="727">
        <f>0.375/2</f>
        <v>0.1875</v>
      </c>
      <c r="DD50" s="727">
        <f>97.7*2</f>
        <v>195.4</v>
      </c>
      <c r="DE50" s="727">
        <f>50.32/2</f>
        <v>25.16</v>
      </c>
      <c r="DF50" s="727">
        <f>0.375/2</f>
        <v>0.1875</v>
      </c>
      <c r="DG50" s="727">
        <f>97.3*2</f>
        <v>194.6</v>
      </c>
      <c r="DH50" s="727">
        <f>50.56/2</f>
        <v>25.28</v>
      </c>
      <c r="DI50" s="727">
        <f>0.375/2</f>
        <v>0.1875</v>
      </c>
      <c r="DJ50" s="727">
        <f>97.4*2</f>
        <v>194.8</v>
      </c>
      <c r="DK50" s="727">
        <f>45.54/2</f>
        <v>22.77</v>
      </c>
      <c r="DL50" s="747">
        <f>0.375/2</f>
        <v>0.1875</v>
      </c>
      <c r="DM50" s="727">
        <f>97.3*2</f>
        <v>194.6</v>
      </c>
      <c r="DN50" s="727">
        <f>39.87/2</f>
        <v>19.934999999999999</v>
      </c>
      <c r="DO50" s="727">
        <f>0.3625/2</f>
        <v>0.18124999999999999</v>
      </c>
      <c r="DP50" s="727">
        <f>97.1*2</f>
        <v>194.2</v>
      </c>
      <c r="DQ50" s="727">
        <f>36.56/2</f>
        <v>18.28</v>
      </c>
      <c r="DR50" s="727">
        <f>0.3625/2</f>
        <v>0.18124999999999999</v>
      </c>
      <c r="DS50" s="727">
        <f>96.9*2</f>
        <v>193.8</v>
      </c>
      <c r="DT50" s="748">
        <f>38.94/2</f>
        <v>19.47</v>
      </c>
      <c r="DU50" s="727">
        <f>0.3625/2</f>
        <v>0.18124999999999999</v>
      </c>
      <c r="DV50" s="727">
        <f>96.7*2</f>
        <v>193.4</v>
      </c>
      <c r="DW50" s="727">
        <f>36.89/2</f>
        <v>18.445</v>
      </c>
      <c r="DX50" s="727">
        <f>0.3625/2</f>
        <v>0.18124999999999999</v>
      </c>
      <c r="DY50" s="727">
        <f>96.5*2</f>
        <v>193</v>
      </c>
      <c r="DZ50" s="727">
        <f>33.08/2</f>
        <v>16.54</v>
      </c>
      <c r="EA50" s="727">
        <f>0.355/2</f>
        <v>0.17749999999999999</v>
      </c>
      <c r="EB50" s="727">
        <f>94.7*2</f>
        <v>189.4</v>
      </c>
      <c r="EC50" s="727">
        <f>28.32/2</f>
        <v>14.16</v>
      </c>
      <c r="ED50" s="727">
        <f>0.355/2</f>
        <v>0.17749999999999999</v>
      </c>
      <c r="EE50" s="727">
        <f>93*2</f>
        <v>186</v>
      </c>
      <c r="EF50" s="727">
        <f>23.82/2</f>
        <v>11.91</v>
      </c>
      <c r="EG50" s="727">
        <f>0.355/2</f>
        <v>0.17749999999999999</v>
      </c>
      <c r="EH50" s="727">
        <f>92.6*2</f>
        <v>185.2</v>
      </c>
      <c r="EI50" s="727">
        <f>25.78/2</f>
        <v>12.89</v>
      </c>
      <c r="EJ50" s="727">
        <f>0.355/2</f>
        <v>0.17749999999999999</v>
      </c>
      <c r="EK50" s="727">
        <f>92.1*2</f>
        <v>184.2</v>
      </c>
      <c r="EL50" s="727">
        <v>30.88</v>
      </c>
      <c r="EM50" s="727">
        <v>0.34749999999999998</v>
      </c>
      <c r="EN50" s="727">
        <f>91.9*2</f>
        <v>183.8</v>
      </c>
      <c r="EO50" s="727">
        <v>31.71</v>
      </c>
      <c r="EP50" s="727">
        <v>0.34749999999999998</v>
      </c>
      <c r="EQ50" s="727">
        <v>91.7</v>
      </c>
      <c r="ER50" s="727">
        <v>31.17</v>
      </c>
      <c r="ES50" s="727">
        <v>0.34749999999999998</v>
      </c>
      <c r="ET50" s="727">
        <v>91.8</v>
      </c>
      <c r="EU50" s="727">
        <v>36.29</v>
      </c>
      <c r="EV50" s="727">
        <v>0.34749999999999998</v>
      </c>
      <c r="EW50" s="727">
        <v>91.8</v>
      </c>
      <c r="EX50" s="727">
        <v>33.1</v>
      </c>
      <c r="EY50" s="727">
        <v>0.34</v>
      </c>
      <c r="EZ50" s="727">
        <v>91.5</v>
      </c>
      <c r="FA50" s="727">
        <v>36.65</v>
      </c>
      <c r="FB50" s="727">
        <v>0.34</v>
      </c>
      <c r="FC50" s="723">
        <v>91</v>
      </c>
      <c r="FD50" s="741">
        <v>38.799999999999997</v>
      </c>
      <c r="FE50" s="723">
        <v>0.34</v>
      </c>
      <c r="FF50" s="727">
        <v>91.1</v>
      </c>
      <c r="FG50" s="727">
        <v>40</v>
      </c>
      <c r="FH50" s="749">
        <v>0.34</v>
      </c>
      <c r="FI50" s="727">
        <v>90.9</v>
      </c>
      <c r="FJ50" s="727">
        <v>36.11</v>
      </c>
      <c r="FK50" s="727">
        <v>0.33250000000000002</v>
      </c>
      <c r="FL50" s="727">
        <v>90.6</v>
      </c>
      <c r="FM50" s="727">
        <v>35.03</v>
      </c>
      <c r="FN50" s="727">
        <v>0.33250000000000002</v>
      </c>
      <c r="FO50" s="727">
        <v>90.6</v>
      </c>
      <c r="FP50" s="727">
        <v>29</v>
      </c>
      <c r="FQ50" s="727">
        <v>0.33250000000000002</v>
      </c>
      <c r="FR50" s="727">
        <v>90.4</v>
      </c>
      <c r="FS50" s="742">
        <v>26.79</v>
      </c>
      <c r="FT50" s="626">
        <f>1.33/4</f>
        <v>0.33250000000000002</v>
      </c>
      <c r="FU50" s="727">
        <v>90.2</v>
      </c>
      <c r="FV50" s="727">
        <v>28.1</v>
      </c>
      <c r="FW50" s="727">
        <v>0.33250000000000002</v>
      </c>
      <c r="FX50" s="727">
        <v>90</v>
      </c>
      <c r="FY50" s="727">
        <v>28.94</v>
      </c>
      <c r="FZ50" s="727">
        <v>0.33250000000000002</v>
      </c>
      <c r="GA50" s="727">
        <v>87.8</v>
      </c>
      <c r="GB50" s="727">
        <v>26.95</v>
      </c>
      <c r="GC50" s="727">
        <v>0.33250000000000002</v>
      </c>
      <c r="GD50" s="750">
        <v>87.8</v>
      </c>
      <c r="GE50" s="741">
        <v>26.51</v>
      </c>
      <c r="GF50" s="764">
        <v>0.33250000000000002</v>
      </c>
      <c r="GG50" s="750">
        <v>87.6</v>
      </c>
      <c r="GH50" s="727">
        <v>25.23</v>
      </c>
      <c r="GI50" s="727">
        <v>0.33250000000000002</v>
      </c>
      <c r="GJ50" s="727">
        <v>87.5</v>
      </c>
      <c r="GK50" s="727">
        <v>25.47</v>
      </c>
      <c r="GL50" s="727">
        <v>0.33250000000000002</v>
      </c>
      <c r="GM50" s="727">
        <v>86.9</v>
      </c>
      <c r="GN50" s="727">
        <v>26.44</v>
      </c>
      <c r="GO50" s="727">
        <v>0.33250000000000002</v>
      </c>
      <c r="GP50" s="727">
        <v>82.4</v>
      </c>
      <c r="GQ50" s="727">
        <v>24.19</v>
      </c>
      <c r="GR50" s="727">
        <v>0.33250000000000002</v>
      </c>
      <c r="GS50" s="727">
        <v>79.2</v>
      </c>
      <c r="GT50" s="727">
        <v>22.59</v>
      </c>
      <c r="GU50" s="727">
        <v>0.33250000000000002</v>
      </c>
      <c r="GV50" s="727">
        <v>78.7</v>
      </c>
      <c r="GW50" s="727">
        <v>21.37</v>
      </c>
      <c r="GX50" s="727">
        <v>0.33250000000000002</v>
      </c>
      <c r="GY50" s="727">
        <v>78.400000000000006</v>
      </c>
      <c r="GZ50" s="727">
        <v>17.97</v>
      </c>
      <c r="HA50" s="727">
        <v>0.33250000000000002</v>
      </c>
      <c r="HB50" s="727">
        <v>78.099999999999994</v>
      </c>
      <c r="HC50" s="727">
        <v>17.600000000000001</v>
      </c>
      <c r="HD50" s="727">
        <v>0.33250000000000002</v>
      </c>
      <c r="HE50" s="727">
        <v>78</v>
      </c>
      <c r="HF50" s="727">
        <v>16.87</v>
      </c>
      <c r="HG50" s="727">
        <v>0.33250000000000002</v>
      </c>
      <c r="HH50" s="727">
        <v>77.992000000000004</v>
      </c>
      <c r="HI50" s="727">
        <v>22.86</v>
      </c>
      <c r="HJ50" s="727">
        <v>0.33250000000000002</v>
      </c>
      <c r="HK50" s="727">
        <v>77.947000000000003</v>
      </c>
      <c r="HL50" s="727">
        <v>23.97</v>
      </c>
      <c r="HM50" s="727">
        <v>0.33250000000000002</v>
      </c>
      <c r="HN50" s="727">
        <v>77.923000000000002</v>
      </c>
      <c r="HO50" s="727">
        <v>23.08</v>
      </c>
      <c r="HP50" s="727">
        <v>0.33250000000000002</v>
      </c>
      <c r="HQ50" s="727">
        <v>77.921999999999997</v>
      </c>
      <c r="HR50" s="727">
        <v>21.87</v>
      </c>
      <c r="HS50" s="727">
        <v>0.33250000000000002</v>
      </c>
      <c r="HT50" s="727">
        <v>77.921999999999997</v>
      </c>
      <c r="HU50" s="727">
        <v>22.61</v>
      </c>
      <c r="HV50" s="727">
        <v>0.33250000000000002</v>
      </c>
      <c r="HW50" s="727">
        <v>77.864000000000004</v>
      </c>
      <c r="HX50" s="727">
        <v>22.99</v>
      </c>
      <c r="HY50" s="727">
        <v>0.33250000000000002</v>
      </c>
      <c r="HZ50" s="727">
        <v>77.863</v>
      </c>
      <c r="IA50" s="727">
        <v>24.4375</v>
      </c>
      <c r="IB50" s="727">
        <v>0.33250000000000002</v>
      </c>
      <c r="IC50" s="727">
        <v>77.863</v>
      </c>
      <c r="ID50" s="727">
        <v>21.3125</v>
      </c>
      <c r="IE50" s="727">
        <v>0.33250000000000002</v>
      </c>
      <c r="IF50" s="727">
        <v>77.863</v>
      </c>
      <c r="IG50" s="727">
        <v>18.5</v>
      </c>
      <c r="IH50" s="727">
        <v>0.33250000000000002</v>
      </c>
      <c r="II50" s="727">
        <v>77.802000000000007</v>
      </c>
      <c r="IJ50" s="722">
        <v>19.1875</v>
      </c>
      <c r="IK50" s="722">
        <v>0.33250000000000002</v>
      </c>
      <c r="IL50" s="722">
        <v>77.801000000000002</v>
      </c>
      <c r="IM50" s="727">
        <v>19</v>
      </c>
      <c r="IN50" s="722">
        <v>0.33250000000000002</v>
      </c>
      <c r="IO50" s="722">
        <v>77.801000000000002</v>
      </c>
      <c r="IP50" s="727">
        <v>22.25</v>
      </c>
      <c r="IQ50" s="722">
        <v>0.33250000000000002</v>
      </c>
      <c r="IR50" s="721">
        <v>80.77</v>
      </c>
      <c r="IS50" s="721">
        <v>23.75</v>
      </c>
      <c r="IT50" s="721">
        <v>0.33250000000000002</v>
      </c>
      <c r="IU50" s="721">
        <v>80.77</v>
      </c>
      <c r="IV50" s="721">
        <v>22.5625</v>
      </c>
      <c r="IW50" s="721">
        <v>0.33250000000000002</v>
      </c>
      <c r="IX50" s="721">
        <v>80.77</v>
      </c>
      <c r="IY50" s="721">
        <v>29</v>
      </c>
      <c r="IZ50" s="721">
        <v>0.33300000000000002</v>
      </c>
      <c r="JA50" s="721">
        <v>80.77</v>
      </c>
      <c r="JB50" s="721">
        <v>28.875</v>
      </c>
      <c r="JC50" s="721">
        <v>0.33300000000000002</v>
      </c>
      <c r="JD50" s="721">
        <v>80.77</v>
      </c>
      <c r="JE50" s="721">
        <v>27</v>
      </c>
      <c r="JF50" s="721">
        <v>0.33300000000000002</v>
      </c>
      <c r="JG50" s="721">
        <v>80.739999999999995</v>
      </c>
      <c r="JH50" s="721">
        <v>28.9375</v>
      </c>
      <c r="JI50" s="721">
        <v>0.33300000000000002</v>
      </c>
      <c r="JJ50" s="721">
        <v>80.744</v>
      </c>
      <c r="JK50" s="721">
        <v>27.343800000000002</v>
      </c>
      <c r="JL50" s="721">
        <v>0.33250000000000002</v>
      </c>
      <c r="JM50" s="721">
        <v>80.748000000000005</v>
      </c>
      <c r="JN50" s="721">
        <v>23.593800000000002</v>
      </c>
      <c r="JO50" s="721">
        <v>0.33250000000000002</v>
      </c>
      <c r="JP50" s="721">
        <v>80.748000000000005</v>
      </c>
      <c r="JQ50" s="721">
        <v>22.75</v>
      </c>
      <c r="JR50" s="721">
        <v>0.33250000000000002</v>
      </c>
      <c r="JS50" s="721">
        <v>80.736000000000004</v>
      </c>
      <c r="JT50" s="721">
        <v>20.937999999999999</v>
      </c>
      <c r="JU50" s="721">
        <v>0.33250000000000002</v>
      </c>
      <c r="JV50" s="721">
        <v>80.674000000000007</v>
      </c>
      <c r="JW50" s="721">
        <v>20.875</v>
      </c>
      <c r="JX50" s="721">
        <v>0.33250000000000002</v>
      </c>
      <c r="JY50" s="721">
        <v>80.674000000000007</v>
      </c>
      <c r="JZ50" s="721">
        <v>20</v>
      </c>
      <c r="KA50" s="721">
        <v>0.33250000000000002</v>
      </c>
      <c r="KB50" s="721">
        <v>80.674000000000007</v>
      </c>
      <c r="KC50" s="721">
        <v>19.812999999999999</v>
      </c>
      <c r="KD50" s="721">
        <v>0.33250000000000002</v>
      </c>
      <c r="KE50" s="721">
        <v>80.674000000000007</v>
      </c>
      <c r="KF50" s="721">
        <v>19.937999999999999</v>
      </c>
      <c r="KG50" s="721">
        <v>0.33250000000000002</v>
      </c>
      <c r="KH50" s="721">
        <v>80.674000000000007</v>
      </c>
      <c r="KI50" s="721">
        <v>21.5</v>
      </c>
      <c r="KJ50" s="721">
        <v>0.33250000000000002</v>
      </c>
      <c r="KK50" s="721">
        <v>80.674000000000007</v>
      </c>
      <c r="KL50" s="721">
        <v>18.812999999999999</v>
      </c>
      <c r="KM50" s="721">
        <v>0.33250000000000002</v>
      </c>
      <c r="KN50" s="721">
        <v>80.674000000000007</v>
      </c>
      <c r="KO50" s="721">
        <v>17.562999999999999</v>
      </c>
      <c r="KP50" s="721">
        <v>0.33250000000000002</v>
      </c>
      <c r="KQ50" s="721">
        <v>80.674000000000007</v>
      </c>
      <c r="KR50" s="721">
        <v>17.125</v>
      </c>
      <c r="KS50" s="721">
        <v>0.33250000000000002</v>
      </c>
      <c r="KT50" s="721">
        <v>80.674000000000007</v>
      </c>
      <c r="KU50" s="721">
        <v>16.5625</v>
      </c>
      <c r="KV50" s="721">
        <v>0.33250000000000002</v>
      </c>
      <c r="KW50" s="721">
        <v>80.674000000000007</v>
      </c>
      <c r="KX50" s="721">
        <v>16.6875</v>
      </c>
      <c r="KY50" s="721">
        <v>0.33250000000000002</v>
      </c>
      <c r="KZ50" s="721">
        <v>80.674000000000007</v>
      </c>
      <c r="LA50" s="721">
        <v>15.1875</v>
      </c>
      <c r="LB50" s="721">
        <v>0.33250000000000002</v>
      </c>
      <c r="LC50" s="721">
        <v>80.656000000000006</v>
      </c>
      <c r="LD50" s="721">
        <v>17.3125</v>
      </c>
      <c r="LE50" s="721">
        <v>0.33250000000000002</v>
      </c>
      <c r="LF50" s="721">
        <v>80.656000000000006</v>
      </c>
      <c r="LG50" s="721">
        <v>18.5</v>
      </c>
      <c r="LH50" s="721">
        <v>0.33250000000000002</v>
      </c>
      <c r="LI50" s="721">
        <v>80.656000000000006</v>
      </c>
      <c r="LJ50" s="721">
        <v>19.0625</v>
      </c>
      <c r="LK50" s="721">
        <v>0.33250000000000002</v>
      </c>
      <c r="LL50" s="721">
        <v>80.656000000000006</v>
      </c>
      <c r="LM50" s="721">
        <v>18.375</v>
      </c>
      <c r="LN50" s="721">
        <v>0.33250000000000002</v>
      </c>
      <c r="LO50" s="721">
        <v>80.656000000000006</v>
      </c>
      <c r="LP50" s="721">
        <v>17.6875</v>
      </c>
      <c r="LQ50" s="721">
        <v>0.33250000000000002</v>
      </c>
      <c r="LR50" s="721">
        <v>80.62</v>
      </c>
      <c r="LS50" s="721">
        <v>17.059999999999999</v>
      </c>
      <c r="LT50" s="721">
        <v>0.33</v>
      </c>
      <c r="LU50" s="721">
        <v>80.62</v>
      </c>
      <c r="LV50" s="721">
        <v>17.309999999999999</v>
      </c>
      <c r="LW50" s="721">
        <v>0.33</v>
      </c>
      <c r="LX50" s="721">
        <v>80.62</v>
      </c>
      <c r="LY50" s="721">
        <v>16.63</v>
      </c>
      <c r="LZ50" s="721">
        <v>0.33</v>
      </c>
      <c r="MA50" s="721">
        <v>80.62</v>
      </c>
      <c r="MB50" s="721">
        <v>18.940000000000001</v>
      </c>
      <c r="MC50" s="721">
        <v>0.33</v>
      </c>
      <c r="MD50" s="721">
        <v>80.596000000000004</v>
      </c>
      <c r="ME50" s="721">
        <v>22</v>
      </c>
      <c r="MF50" s="721">
        <v>0.32</v>
      </c>
      <c r="MG50" s="721">
        <v>80.596000000000004</v>
      </c>
      <c r="MH50" s="721">
        <v>20.94</v>
      </c>
      <c r="MI50" s="721">
        <v>0.32</v>
      </c>
      <c r="MJ50" s="721">
        <v>80.596000000000004</v>
      </c>
      <c r="MK50" s="721">
        <v>18.88</v>
      </c>
      <c r="ML50" s="721">
        <v>0.32</v>
      </c>
      <c r="MM50" s="721">
        <v>80.596000000000004</v>
      </c>
      <c r="MN50" s="721">
        <v>19.809999999999999</v>
      </c>
      <c r="MO50" s="721">
        <v>0.32</v>
      </c>
      <c r="MP50" s="721">
        <v>80.81</v>
      </c>
      <c r="MQ50" s="721">
        <v>19.5</v>
      </c>
    </row>
    <row r="51" spans="1:355">
      <c r="A51" s="633" t="s">
        <v>48</v>
      </c>
      <c r="B51" s="726" t="s">
        <v>138</v>
      </c>
      <c r="C51" s="885">
        <v>39.720846999999999</v>
      </c>
      <c r="D51" s="885">
        <v>44.46</v>
      </c>
      <c r="E51" s="887">
        <v>0.37</v>
      </c>
      <c r="F51" s="828">
        <v>39.714672</v>
      </c>
      <c r="G51" s="828">
        <v>51.29</v>
      </c>
      <c r="H51" s="828">
        <v>0.35</v>
      </c>
      <c r="I51" s="828">
        <v>39.712035999999998</v>
      </c>
      <c r="J51" s="828">
        <v>53.75</v>
      </c>
      <c r="K51" s="828">
        <v>0.35</v>
      </c>
      <c r="L51" s="828">
        <v>39.657321000000003</v>
      </c>
      <c r="M51" s="829">
        <v>52.81</v>
      </c>
      <c r="N51" s="828">
        <v>0.35</v>
      </c>
      <c r="O51" s="828">
        <v>39.599944000000001</v>
      </c>
      <c r="P51" s="828">
        <v>49.82</v>
      </c>
      <c r="Q51" s="828">
        <v>0.35</v>
      </c>
      <c r="R51" s="828">
        <v>39.621524000000001</v>
      </c>
      <c r="S51" s="828">
        <v>49.64</v>
      </c>
      <c r="T51" s="828">
        <v>0.33500000000000002</v>
      </c>
      <c r="U51" s="828">
        <v>39.605716999999999</v>
      </c>
      <c r="V51" s="829">
        <v>47.9</v>
      </c>
      <c r="W51" s="828">
        <v>0.33500000000000002</v>
      </c>
      <c r="X51" s="832">
        <v>39.550874</v>
      </c>
      <c r="Y51" s="788">
        <v>47.6</v>
      </c>
      <c r="Z51" s="788">
        <v>0.33500000000000002</v>
      </c>
      <c r="AA51" s="788">
        <v>39.507795999999999</v>
      </c>
      <c r="AB51" s="788">
        <v>43.35</v>
      </c>
      <c r="AC51" s="801">
        <v>0.33500000000000002</v>
      </c>
      <c r="AD51" s="788">
        <v>39.507581000000002</v>
      </c>
      <c r="AE51" s="788">
        <v>44.45</v>
      </c>
      <c r="AF51" s="788">
        <v>0.32</v>
      </c>
      <c r="AG51" s="788">
        <v>39.462865000000001</v>
      </c>
      <c r="AH51" s="788">
        <v>43.35</v>
      </c>
      <c r="AI51" s="788">
        <v>0.32</v>
      </c>
      <c r="AJ51" s="788">
        <v>39.350802000000002</v>
      </c>
      <c r="AK51" s="788">
        <v>39.6</v>
      </c>
      <c r="AL51" s="788">
        <v>0.32</v>
      </c>
      <c r="AM51" s="828">
        <v>38.546458999999999</v>
      </c>
      <c r="AN51" s="828">
        <v>37.9</v>
      </c>
      <c r="AO51" s="830">
        <v>0.32</v>
      </c>
      <c r="AP51" s="788">
        <v>38.832659</v>
      </c>
      <c r="AQ51" s="788">
        <v>40.799999999999997</v>
      </c>
      <c r="AR51" s="788">
        <v>0.3125</v>
      </c>
      <c r="AS51" s="727">
        <v>38.179371000000003</v>
      </c>
      <c r="AT51" s="727">
        <v>34.590000000000003</v>
      </c>
      <c r="AU51" s="727">
        <v>0.3125</v>
      </c>
      <c r="AV51" s="727">
        <v>37.936942999999999</v>
      </c>
      <c r="AW51" s="727">
        <v>33.49</v>
      </c>
      <c r="AX51" s="727">
        <v>0.3125</v>
      </c>
      <c r="AY51" s="727">
        <v>37.494985999999997</v>
      </c>
      <c r="AZ51" s="727">
        <v>29.62</v>
      </c>
      <c r="BA51" s="747">
        <v>0.3125</v>
      </c>
      <c r="BB51" s="727">
        <v>37.575412999999998</v>
      </c>
      <c r="BC51" s="727">
        <v>26.63</v>
      </c>
      <c r="BD51" s="727">
        <v>0.3075</v>
      </c>
      <c r="BE51" s="727">
        <v>37.433318</v>
      </c>
      <c r="BF51" s="727">
        <v>26.06</v>
      </c>
      <c r="BG51" s="727">
        <v>0.3075</v>
      </c>
      <c r="BH51" s="727">
        <v>37.243118000000003</v>
      </c>
      <c r="BI51" s="727">
        <v>26.6</v>
      </c>
      <c r="BJ51" s="727">
        <v>0.3075</v>
      </c>
      <c r="BK51" s="726">
        <v>36.811087999999998</v>
      </c>
      <c r="BL51" s="726">
        <v>32.17</v>
      </c>
      <c r="BM51" s="761">
        <v>0.3075</v>
      </c>
      <c r="BN51" s="727">
        <v>36.596395999999999</v>
      </c>
      <c r="BO51" s="727">
        <v>30.96</v>
      </c>
      <c r="BP51" s="727">
        <v>0.30249999999999999</v>
      </c>
      <c r="BQ51" s="727">
        <v>36.409753000000002</v>
      </c>
      <c r="BR51" s="727">
        <v>26.67</v>
      </c>
      <c r="BS51" s="727">
        <v>0.30249999999999999</v>
      </c>
      <c r="BT51" s="727">
        <v>36.240349999999999</v>
      </c>
      <c r="BU51" s="727">
        <v>30.29</v>
      </c>
      <c r="BV51" s="727">
        <v>0.30249999999999999</v>
      </c>
      <c r="BW51" s="726">
        <v>36.151364000000001</v>
      </c>
      <c r="BX51" s="726">
        <v>30.79</v>
      </c>
      <c r="BY51" s="761">
        <v>0.30249999999999999</v>
      </c>
      <c r="BZ51" s="727">
        <v>36.179507000000001</v>
      </c>
      <c r="CA51" s="727">
        <v>29.27</v>
      </c>
      <c r="CB51" s="727">
        <v>0.29749999999999999</v>
      </c>
      <c r="CC51" s="727">
        <v>36.170352999999999</v>
      </c>
      <c r="CD51" s="727">
        <v>27.6</v>
      </c>
      <c r="CE51" s="727">
        <v>0.29749999999999999</v>
      </c>
      <c r="CF51" s="727">
        <v>36.075130999999999</v>
      </c>
      <c r="CG51" s="727">
        <v>28.4</v>
      </c>
      <c r="CH51" s="727">
        <v>0.29749999999999999</v>
      </c>
      <c r="CI51" s="726">
        <v>36.047984</v>
      </c>
      <c r="CJ51" s="726">
        <v>31.14</v>
      </c>
      <c r="CK51" s="726">
        <v>0.29749999999999999</v>
      </c>
      <c r="CL51" s="727">
        <v>36.061022000000001</v>
      </c>
      <c r="CM51" s="727">
        <v>25</v>
      </c>
      <c r="CN51" s="727">
        <v>0.29749999999999999</v>
      </c>
      <c r="CO51" s="727">
        <v>36.031447</v>
      </c>
      <c r="CP51" s="727">
        <v>23.86</v>
      </c>
      <c r="CQ51" s="727">
        <v>0.29749999999999999</v>
      </c>
      <c r="CR51" s="727">
        <v>35.995179</v>
      </c>
      <c r="CS51" s="727">
        <v>22.86</v>
      </c>
      <c r="CT51" s="727">
        <v>0.29749999999999999</v>
      </c>
      <c r="CU51" s="726">
        <v>35.922154999999997</v>
      </c>
      <c r="CV51" s="726">
        <v>21.7</v>
      </c>
      <c r="CW51" s="726">
        <v>0.29749999999999999</v>
      </c>
      <c r="CX51" s="727">
        <v>35.933002999999999</v>
      </c>
      <c r="CY51" s="727">
        <v>22.02</v>
      </c>
      <c r="CZ51" s="727">
        <v>0.29749999999999999</v>
      </c>
      <c r="DA51" s="727">
        <v>35.926124000000002</v>
      </c>
      <c r="DB51" s="727">
        <v>18.3</v>
      </c>
      <c r="DC51" s="727">
        <v>0.29749999999999999</v>
      </c>
      <c r="DD51" s="727">
        <v>35.876852999999997</v>
      </c>
      <c r="DE51" s="727">
        <v>21.1</v>
      </c>
      <c r="DF51" s="727">
        <v>0.29749999999999999</v>
      </c>
      <c r="DG51" s="727">
        <v>35.807966999999998</v>
      </c>
      <c r="DH51" s="727">
        <v>22.73</v>
      </c>
      <c r="DI51" s="727">
        <v>0.29749999999999999</v>
      </c>
      <c r="DJ51" s="727">
        <v>35.806452999999998</v>
      </c>
      <c r="DK51" s="727">
        <v>22.54</v>
      </c>
      <c r="DL51" s="727">
        <v>0.29749999999999999</v>
      </c>
      <c r="DM51" s="727">
        <v>35.799230999999999</v>
      </c>
      <c r="DN51" s="727">
        <v>20.39</v>
      </c>
      <c r="DO51" s="727">
        <v>0.29749999999999999</v>
      </c>
      <c r="DP51" s="727">
        <v>35.720571</v>
      </c>
      <c r="DQ51" s="727">
        <v>19.329999999999998</v>
      </c>
      <c r="DR51" s="727">
        <v>0.29749999999999999</v>
      </c>
      <c r="DS51" s="727">
        <v>35.610706999999998</v>
      </c>
      <c r="DT51" s="748">
        <v>21.96</v>
      </c>
      <c r="DU51" s="727">
        <v>0.29749999999999999</v>
      </c>
      <c r="DV51" s="727">
        <v>35.528190000000002</v>
      </c>
      <c r="DW51" s="727">
        <v>24.82</v>
      </c>
      <c r="DX51" s="727">
        <v>0.29749999999999999</v>
      </c>
      <c r="DY51" s="727">
        <v>35.388753999999999</v>
      </c>
      <c r="DZ51" s="727">
        <v>23.93</v>
      </c>
      <c r="EA51" s="727">
        <v>0.29749999999999999</v>
      </c>
      <c r="EB51" s="727">
        <v>35.3247</v>
      </c>
      <c r="EC51" s="727">
        <v>21.84</v>
      </c>
      <c r="ED51" s="727">
        <v>0.29749999999999999</v>
      </c>
      <c r="EE51" s="727">
        <v>35.31</v>
      </c>
      <c r="EF51" s="727">
        <v>22.05</v>
      </c>
      <c r="EG51" s="727">
        <v>0.29749999999999999</v>
      </c>
      <c r="EH51" s="727">
        <v>30.513577999999999</v>
      </c>
      <c r="EI51" s="727">
        <v>23.33</v>
      </c>
      <c r="EJ51" s="727">
        <v>0.29749999999999999</v>
      </c>
      <c r="EK51" s="727">
        <v>29.993483999999999</v>
      </c>
      <c r="EL51" s="727">
        <v>30.73</v>
      </c>
      <c r="EM51" s="727">
        <v>0.29749999999999999</v>
      </c>
      <c r="EN51" s="727">
        <v>29.818079000000001</v>
      </c>
      <c r="EO51" s="727">
        <v>38.83</v>
      </c>
      <c r="EP51" s="727">
        <v>0.29749999999999999</v>
      </c>
      <c r="EQ51" s="727">
        <v>29.681236999999999</v>
      </c>
      <c r="ER51" s="727">
        <v>35.39</v>
      </c>
      <c r="ES51" s="727">
        <v>0.29749999999999999</v>
      </c>
      <c r="ET51" s="727">
        <v>29.7456</v>
      </c>
      <c r="EU51" s="727">
        <v>34.6</v>
      </c>
      <c r="EV51" s="727">
        <v>0.29249999999999998</v>
      </c>
      <c r="EW51" s="727">
        <v>29.685745000000001</v>
      </c>
      <c r="EX51" s="727">
        <v>35.65</v>
      </c>
      <c r="EY51" s="727">
        <v>0.29249999999999998</v>
      </c>
      <c r="EZ51" s="727">
        <v>29.503252</v>
      </c>
      <c r="FA51" s="727">
        <v>32.07</v>
      </c>
      <c r="FB51" s="727">
        <v>0.29249999999999998</v>
      </c>
      <c r="FC51" s="723">
        <v>29.394033</v>
      </c>
      <c r="FD51" s="741">
        <v>34.24</v>
      </c>
      <c r="FE51" s="723">
        <v>0.29249999999999998</v>
      </c>
      <c r="FF51" s="727">
        <v>29.412526</v>
      </c>
      <c r="FG51" s="727">
        <v>31.16</v>
      </c>
      <c r="FH51" s="727">
        <v>0.28749999999999998</v>
      </c>
      <c r="FI51" s="727">
        <v>29.392963000000002</v>
      </c>
      <c r="FJ51" s="727">
        <v>29.24</v>
      </c>
      <c r="FK51" s="727">
        <v>0.28749999999999998</v>
      </c>
      <c r="FL51" s="727">
        <v>29.325986</v>
      </c>
      <c r="FM51" s="727">
        <v>27.33</v>
      </c>
      <c r="FN51" s="727">
        <v>0.28749999999999998</v>
      </c>
      <c r="FO51" s="727">
        <v>29.360609</v>
      </c>
      <c r="FP51" s="727">
        <v>28.69</v>
      </c>
      <c r="FQ51" s="727">
        <v>0.28749999999999998</v>
      </c>
      <c r="FR51" s="727">
        <v>29.245640000000002</v>
      </c>
      <c r="FS51" s="742">
        <v>28.98</v>
      </c>
      <c r="FT51" s="626">
        <f>1.12/4</f>
        <v>0.28000000000000003</v>
      </c>
      <c r="FU51" s="727">
        <v>29.15814</v>
      </c>
      <c r="FV51" s="727">
        <v>30.94</v>
      </c>
      <c r="FW51" s="727">
        <v>0.28000000000000003</v>
      </c>
      <c r="FX51" s="727">
        <v>29.126096</v>
      </c>
      <c r="FY51" s="727">
        <v>27.33</v>
      </c>
      <c r="FZ51" s="727">
        <v>0.28000000000000003</v>
      </c>
      <c r="GA51" s="727">
        <v>26.010252000000001</v>
      </c>
      <c r="GB51" s="727">
        <v>25.04</v>
      </c>
      <c r="GC51" s="727">
        <v>0.28000000000000003</v>
      </c>
      <c r="GD51" s="750">
        <v>26.010252000000001</v>
      </c>
      <c r="GE51" s="741">
        <v>25.53</v>
      </c>
      <c r="GF51" s="751">
        <v>0.27500000000000002</v>
      </c>
      <c r="GG51" s="750">
        <v>25.891439999999999</v>
      </c>
      <c r="GH51" s="727">
        <v>25.5</v>
      </c>
      <c r="GI51" s="727">
        <v>0.27500000000000002</v>
      </c>
      <c r="GJ51" s="727">
        <v>25.793040999999999</v>
      </c>
      <c r="GK51" s="727">
        <v>26.86</v>
      </c>
      <c r="GL51" s="727">
        <v>0.27500000000000002</v>
      </c>
      <c r="GM51" s="727">
        <v>25.719369</v>
      </c>
      <c r="GN51" s="727">
        <v>26.42</v>
      </c>
      <c r="GO51" s="727">
        <v>0.27500000000000002</v>
      </c>
      <c r="GP51" s="727">
        <v>25.708199</v>
      </c>
      <c r="GQ51" s="727">
        <v>26.73</v>
      </c>
      <c r="GR51" s="727">
        <v>0.27</v>
      </c>
      <c r="GS51" s="727">
        <v>25.672593200000001</v>
      </c>
      <c r="GT51" s="727">
        <v>26.06</v>
      </c>
      <c r="GU51" s="727">
        <v>0.27</v>
      </c>
      <c r="GV51" s="727">
        <v>25.592361</v>
      </c>
      <c r="GW51" s="727">
        <v>26.97</v>
      </c>
      <c r="GX51" s="727">
        <v>0.27</v>
      </c>
      <c r="GY51" s="727">
        <v>25.589413</v>
      </c>
      <c r="GZ51" s="727">
        <v>25.9</v>
      </c>
      <c r="HA51" s="727">
        <v>0.27</v>
      </c>
      <c r="HB51" s="727">
        <v>25.327521999999998</v>
      </c>
      <c r="HC51" s="727">
        <v>26.9</v>
      </c>
      <c r="HD51" s="727">
        <v>0.26500000000000001</v>
      </c>
      <c r="HE51" s="727">
        <v>25.117325000000001</v>
      </c>
      <c r="HF51" s="727">
        <v>26.34</v>
      </c>
      <c r="HG51" s="727">
        <v>0.26500000000000001</v>
      </c>
      <c r="HH51" s="727">
        <v>24.667956</v>
      </c>
      <c r="HI51" s="727">
        <v>31.52</v>
      </c>
      <c r="HJ51" s="727">
        <v>0.26500000000000001</v>
      </c>
      <c r="HK51" s="727">
        <v>24.633036000000001</v>
      </c>
      <c r="HL51" s="727">
        <v>30.88</v>
      </c>
      <c r="HM51" s="727">
        <v>0.26500000000000001</v>
      </c>
      <c r="HN51" s="727">
        <v>24.606000000000002</v>
      </c>
      <c r="HO51" s="727">
        <v>29.14</v>
      </c>
      <c r="HP51" s="727">
        <v>0.26</v>
      </c>
      <c r="HQ51" s="727">
        <v>24.315000000000001</v>
      </c>
      <c r="HR51" s="727">
        <v>28.35</v>
      </c>
      <c r="HS51" s="727">
        <v>0.26</v>
      </c>
      <c r="HT51" s="727">
        <v>24.306438</v>
      </c>
      <c r="HU51" s="727">
        <v>27.75</v>
      </c>
      <c r="HV51" s="727">
        <v>0.26</v>
      </c>
      <c r="HW51" s="727">
        <v>23.851790000000001</v>
      </c>
      <c r="HX51" s="727">
        <v>28.5</v>
      </c>
      <c r="HY51" s="727">
        <v>0.26</v>
      </c>
      <c r="HZ51" s="727">
        <v>23.849974</v>
      </c>
      <c r="IA51" s="727">
        <v>27.75</v>
      </c>
      <c r="IB51" s="727">
        <v>0.255</v>
      </c>
      <c r="IC51" s="727">
        <v>23.849974</v>
      </c>
      <c r="ID51" s="727">
        <v>23.125</v>
      </c>
      <c r="IE51" s="727">
        <v>0.255</v>
      </c>
      <c r="IF51" s="727">
        <v>23.849974</v>
      </c>
      <c r="IG51" s="727">
        <v>21</v>
      </c>
      <c r="IH51" s="727">
        <v>0.255</v>
      </c>
      <c r="II51" s="727">
        <v>23.850514</v>
      </c>
      <c r="IJ51" s="722">
        <v>19.9375</v>
      </c>
      <c r="IK51" s="722">
        <v>0.255</v>
      </c>
      <c r="IL51" s="722">
        <v>23.849799999999998</v>
      </c>
      <c r="IM51" s="727">
        <v>18.75</v>
      </c>
      <c r="IN51" s="722">
        <v>0.2475</v>
      </c>
      <c r="IO51" s="722">
        <v>23.845199999999998</v>
      </c>
      <c r="IP51" s="727">
        <v>21.25</v>
      </c>
      <c r="IQ51" s="722">
        <v>0.2475</v>
      </c>
      <c r="IR51" s="721">
        <v>23.6</v>
      </c>
      <c r="IS51" s="721">
        <v>19.28125</v>
      </c>
      <c r="IT51" s="721">
        <v>0.2475</v>
      </c>
      <c r="IU51" s="721">
        <v>23.64</v>
      </c>
      <c r="IV51" s="721">
        <v>19.9375</v>
      </c>
      <c r="IW51" s="721">
        <v>0.24</v>
      </c>
      <c r="IX51" s="721">
        <v>23.64</v>
      </c>
      <c r="IY51" s="721">
        <v>19.9375</v>
      </c>
      <c r="IZ51" s="721">
        <v>0.24</v>
      </c>
      <c r="JA51" s="721">
        <v>23.48</v>
      </c>
      <c r="JB51" s="721">
        <v>18.625</v>
      </c>
      <c r="JC51" s="721">
        <v>0.24</v>
      </c>
      <c r="JD51" s="721">
        <v>23.48</v>
      </c>
      <c r="JE51" s="721">
        <v>18.531500000000001</v>
      </c>
      <c r="JF51" s="721">
        <v>0.24</v>
      </c>
      <c r="JG51" s="721">
        <v>23.32</v>
      </c>
      <c r="JH51" s="721">
        <v>18.8125</v>
      </c>
      <c r="JI51" s="721">
        <v>0.23250000000000001</v>
      </c>
      <c r="JJ51" s="721">
        <v>23.32</v>
      </c>
      <c r="JK51" s="721">
        <v>18.9375</v>
      </c>
      <c r="JL51" s="721">
        <v>0.23250000000000001</v>
      </c>
      <c r="JM51" s="721">
        <v>22.82</v>
      </c>
      <c r="JN51" s="721">
        <v>16.9375</v>
      </c>
      <c r="JO51" s="721">
        <v>0.23250000000000001</v>
      </c>
      <c r="JP51" s="721">
        <v>22.82</v>
      </c>
      <c r="JQ51" s="721">
        <v>16.5</v>
      </c>
      <c r="JR51" s="721">
        <v>0.23250000000000001</v>
      </c>
      <c r="JS51" s="721">
        <v>22.36</v>
      </c>
      <c r="JT51" s="721">
        <v>16.875</v>
      </c>
      <c r="JU51" s="721">
        <v>0.23250000000000001</v>
      </c>
      <c r="JV51" s="721">
        <v>22.36</v>
      </c>
      <c r="JW51" s="721">
        <v>16.0625</v>
      </c>
      <c r="JX51" s="721">
        <v>0.22500000000000001</v>
      </c>
      <c r="JY51" s="721">
        <v>22.36</v>
      </c>
      <c r="JZ51" s="721">
        <v>16.75</v>
      </c>
      <c r="KA51" s="721">
        <v>0.22500000000000001</v>
      </c>
      <c r="KB51" s="721">
        <v>22.36</v>
      </c>
      <c r="KC51" s="721">
        <v>16.25</v>
      </c>
      <c r="KD51" s="721">
        <v>0.22500000000000001</v>
      </c>
      <c r="KE51" s="721">
        <v>22.36</v>
      </c>
      <c r="KF51" s="721">
        <v>19.125</v>
      </c>
      <c r="KG51" s="721">
        <v>0.22500000000000001</v>
      </c>
      <c r="KH51" s="721">
        <v>22.36</v>
      </c>
      <c r="KI51" s="721">
        <v>17.875</v>
      </c>
      <c r="KJ51" s="721">
        <v>0.22</v>
      </c>
      <c r="KK51" s="721">
        <v>22.36</v>
      </c>
      <c r="KL51" s="721">
        <v>17.125</v>
      </c>
      <c r="KM51" s="721">
        <v>0.22</v>
      </c>
      <c r="KN51" s="721">
        <v>22.36</v>
      </c>
      <c r="KO51" s="721">
        <v>16.875</v>
      </c>
      <c r="KP51" s="721">
        <v>0.22</v>
      </c>
      <c r="KQ51" s="721">
        <v>22.36</v>
      </c>
      <c r="KR51" s="721">
        <v>17.25</v>
      </c>
      <c r="KS51" s="721">
        <v>0.22</v>
      </c>
      <c r="KT51" s="721">
        <v>22.36</v>
      </c>
      <c r="KU51" s="721">
        <v>16.25</v>
      </c>
      <c r="KV51" s="721">
        <v>0.215</v>
      </c>
      <c r="KW51" s="721">
        <v>22.36</v>
      </c>
      <c r="KX51" s="721">
        <v>17</v>
      </c>
      <c r="KY51" s="721">
        <v>0.215</v>
      </c>
      <c r="KZ51" s="721">
        <v>22.36</v>
      </c>
      <c r="LA51" s="721">
        <v>15.875</v>
      </c>
      <c r="LB51" s="721">
        <v>0.215</v>
      </c>
      <c r="LC51" s="721">
        <v>22.36</v>
      </c>
      <c r="LD51" s="721">
        <v>15.75</v>
      </c>
      <c r="LE51" s="721">
        <v>0.215</v>
      </c>
      <c r="LF51" s="721">
        <v>22.36</v>
      </c>
      <c r="LG51" s="721">
        <v>16.625</v>
      </c>
      <c r="LH51" s="721">
        <v>0.21</v>
      </c>
      <c r="LI51" s="721">
        <v>22.36</v>
      </c>
      <c r="LJ51" s="721">
        <v>16.625</v>
      </c>
      <c r="LK51" s="721">
        <v>0.21</v>
      </c>
      <c r="LL51" s="721">
        <v>22.36</v>
      </c>
      <c r="LM51" s="721">
        <v>16.875</v>
      </c>
      <c r="LN51" s="721">
        <v>0.21</v>
      </c>
      <c r="LO51" s="721">
        <v>22.36</v>
      </c>
      <c r="LP51" s="721">
        <v>19.375</v>
      </c>
      <c r="LQ51" s="721">
        <v>0.21</v>
      </c>
      <c r="LR51" s="721">
        <v>22.37</v>
      </c>
      <c r="LS51" s="721">
        <v>16.625</v>
      </c>
      <c r="LT51" s="721">
        <v>0.20499999999999999</v>
      </c>
      <c r="LU51" s="721">
        <v>22.37</v>
      </c>
      <c r="LV51" s="721">
        <v>16.75</v>
      </c>
      <c r="LW51" s="721">
        <v>0.20499999999999999</v>
      </c>
      <c r="LX51" s="721">
        <v>22.37</v>
      </c>
      <c r="LY51" s="721">
        <v>17.25</v>
      </c>
      <c r="LZ51" s="721">
        <v>0.20499999999999999</v>
      </c>
      <c r="MA51" s="721">
        <v>22.37</v>
      </c>
      <c r="MB51" s="721">
        <v>16.875</v>
      </c>
      <c r="MC51" s="721">
        <v>0.20499999999999999</v>
      </c>
      <c r="MD51" s="721">
        <v>22.391999999999999</v>
      </c>
      <c r="ME51" s="721">
        <v>15.25</v>
      </c>
      <c r="MF51" s="721">
        <v>0.2</v>
      </c>
      <c r="MG51" s="721">
        <v>22.398</v>
      </c>
      <c r="MH51" s="721">
        <v>15.875</v>
      </c>
      <c r="MI51" s="721">
        <v>0.2</v>
      </c>
      <c r="MJ51" s="721">
        <v>22.411999999999999</v>
      </c>
      <c r="MK51" s="721">
        <v>12.875</v>
      </c>
      <c r="ML51" s="721">
        <v>0.2</v>
      </c>
      <c r="MM51" s="721">
        <v>22.42</v>
      </c>
      <c r="MN51" s="721">
        <v>13.69</v>
      </c>
      <c r="MO51" s="721">
        <v>0.2</v>
      </c>
      <c r="MP51" s="721">
        <v>22.91</v>
      </c>
      <c r="MQ51" s="721">
        <v>12.625</v>
      </c>
    </row>
    <row r="52" spans="1:355">
      <c r="B52" s="723" t="s">
        <v>268</v>
      </c>
      <c r="C52" s="886"/>
      <c r="D52" s="886"/>
      <c r="E52" s="886"/>
      <c r="F52" s="788"/>
      <c r="G52" s="788"/>
      <c r="H52" s="788"/>
      <c r="I52" s="788"/>
      <c r="J52" s="788"/>
      <c r="K52" s="788"/>
      <c r="L52" s="828"/>
      <c r="M52" s="829"/>
      <c r="N52" s="828"/>
      <c r="O52" s="828"/>
      <c r="P52" s="828"/>
      <c r="Q52" s="828"/>
      <c r="R52" s="828"/>
      <c r="S52" s="828"/>
      <c r="T52" s="828"/>
      <c r="U52" s="788"/>
      <c r="V52" s="827"/>
      <c r="W52" s="788"/>
      <c r="X52" s="832"/>
      <c r="Y52" s="788"/>
      <c r="Z52" s="788"/>
      <c r="AA52" s="788"/>
      <c r="AB52" s="788"/>
      <c r="AC52" s="788"/>
      <c r="AJ52" s="788"/>
      <c r="AK52" s="788"/>
      <c r="AL52" s="788"/>
      <c r="AM52" s="828"/>
      <c r="AN52" s="828"/>
      <c r="AO52" s="828"/>
      <c r="AP52" s="788"/>
      <c r="AQ52" s="788"/>
      <c r="AR52" s="788"/>
      <c r="AV52" s="723"/>
      <c r="AW52" s="723"/>
      <c r="AX52" s="723"/>
      <c r="AY52" s="723"/>
      <c r="AZ52" s="723"/>
      <c r="BA52" s="723"/>
      <c r="BB52" s="723"/>
      <c r="BC52" s="723"/>
      <c r="BD52" s="723"/>
      <c r="BE52" s="723"/>
      <c r="BF52" s="723"/>
      <c r="BG52" s="723"/>
      <c r="BH52" s="723"/>
      <c r="BI52" s="723"/>
      <c r="BJ52" s="723"/>
      <c r="BK52" s="723"/>
      <c r="BL52" s="723"/>
      <c r="BM52" s="723"/>
      <c r="BN52" s="723"/>
      <c r="BO52" s="723"/>
      <c r="BP52" s="723"/>
      <c r="BQ52" s="723"/>
      <c r="BR52" s="723"/>
      <c r="BS52" s="723"/>
      <c r="BT52" s="723"/>
      <c r="BU52" s="723"/>
      <c r="BV52" s="723"/>
      <c r="BW52" s="728"/>
      <c r="BX52" s="728"/>
      <c r="BY52" s="728"/>
      <c r="BZ52" s="723"/>
      <c r="CA52" s="723"/>
      <c r="CB52" s="723"/>
      <c r="CC52" s="723"/>
      <c r="CD52" s="723"/>
      <c r="CE52" s="723"/>
      <c r="CF52" s="723"/>
      <c r="CG52" s="723"/>
      <c r="CH52" s="723"/>
      <c r="CI52" s="723"/>
      <c r="CJ52" s="723"/>
      <c r="CK52" s="723"/>
      <c r="CL52" s="723"/>
      <c r="CM52" s="723"/>
      <c r="CN52" s="723"/>
      <c r="CO52" s="723"/>
      <c r="CP52" s="723"/>
      <c r="CQ52" s="723"/>
      <c r="CR52" s="723"/>
      <c r="CS52" s="723"/>
      <c r="CT52" s="723"/>
      <c r="CU52" s="723"/>
      <c r="CV52" s="723"/>
      <c r="CW52" s="723"/>
      <c r="CX52" s="722"/>
      <c r="CY52" s="723"/>
      <c r="CZ52" s="723"/>
      <c r="DA52" s="723"/>
      <c r="DB52" s="723"/>
      <c r="DC52" s="735"/>
      <c r="DD52" s="723"/>
      <c r="DE52" s="723"/>
      <c r="DF52" s="723"/>
      <c r="DG52" s="723"/>
      <c r="DH52" s="723"/>
      <c r="DI52" s="723"/>
      <c r="DJ52" s="723"/>
      <c r="DK52" s="723"/>
      <c r="DL52" s="723"/>
      <c r="DM52" s="723"/>
      <c r="DN52" s="723"/>
      <c r="DO52" s="723"/>
      <c r="DP52" s="723"/>
      <c r="DQ52" s="723"/>
      <c r="DR52" s="723"/>
      <c r="DS52" s="723"/>
      <c r="DT52" s="725"/>
      <c r="DU52" s="723"/>
      <c r="DV52" s="723"/>
      <c r="DW52" s="723"/>
      <c r="DX52" s="723"/>
      <c r="DY52" s="723"/>
      <c r="DZ52" s="723"/>
      <c r="EA52" s="723"/>
      <c r="EB52" s="723"/>
      <c r="EC52" s="723"/>
      <c r="ED52" s="723"/>
      <c r="EE52" s="723"/>
      <c r="EF52" s="723"/>
      <c r="EG52" s="723"/>
      <c r="EH52" s="723"/>
      <c r="EI52" s="723"/>
      <c r="EJ52" s="723"/>
      <c r="EK52" s="723"/>
      <c r="EL52" s="723"/>
      <c r="EM52" s="723"/>
      <c r="EN52" s="723"/>
      <c r="EO52" s="723"/>
      <c r="EP52" s="723"/>
      <c r="EQ52" s="723"/>
      <c r="ER52" s="723"/>
      <c r="ES52" s="723"/>
      <c r="ET52" s="722"/>
      <c r="EU52" s="722"/>
      <c r="EV52" s="722"/>
      <c r="EW52" s="723"/>
      <c r="EX52" s="723"/>
      <c r="EY52" s="723"/>
      <c r="EZ52" s="723"/>
      <c r="FA52" s="723"/>
      <c r="FB52" s="723"/>
      <c r="FC52" s="723"/>
      <c r="FD52" s="741"/>
      <c r="FE52" s="723"/>
      <c r="FF52" s="727"/>
      <c r="FG52" s="727"/>
      <c r="FH52" s="727"/>
      <c r="FI52" s="727"/>
      <c r="FJ52" s="727"/>
      <c r="FK52" s="727"/>
      <c r="FL52" s="727"/>
      <c r="FM52" s="727"/>
      <c r="FN52" s="727"/>
      <c r="FO52" s="727"/>
      <c r="FP52" s="727"/>
      <c r="FQ52" s="727"/>
      <c r="FR52" s="727"/>
      <c r="FS52" s="742"/>
      <c r="FT52" s="626"/>
      <c r="FU52" s="727"/>
      <c r="FV52" s="727"/>
      <c r="FW52" s="727"/>
      <c r="FX52" s="727"/>
      <c r="FY52" s="727"/>
      <c r="FZ52" s="727"/>
      <c r="GA52" s="727"/>
      <c r="GB52" s="727"/>
      <c r="GC52" s="727"/>
      <c r="GD52" s="750"/>
      <c r="GE52" s="741"/>
      <c r="GF52" s="751"/>
      <c r="GG52" s="750"/>
      <c r="GH52" s="727"/>
      <c r="GI52" s="727"/>
      <c r="GJ52" s="727"/>
      <c r="GK52" s="727"/>
      <c r="GL52" s="727"/>
      <c r="GM52" s="727"/>
      <c r="GN52" s="727"/>
      <c r="GO52" s="727"/>
      <c r="GP52" s="727"/>
      <c r="GQ52" s="727"/>
      <c r="GR52" s="727"/>
      <c r="GS52" s="727"/>
      <c r="GT52" s="727"/>
      <c r="GU52" s="752"/>
      <c r="GV52" s="727"/>
      <c r="GW52" s="727"/>
      <c r="GX52" s="727"/>
      <c r="GY52" s="727"/>
      <c r="GZ52" s="727"/>
      <c r="HA52" s="727"/>
      <c r="HB52" s="727"/>
      <c r="HC52" s="727"/>
      <c r="HD52" s="727"/>
      <c r="HE52" s="727"/>
      <c r="HF52" s="727"/>
      <c r="HG52" s="727"/>
      <c r="HH52" s="727"/>
      <c r="HI52" s="727"/>
      <c r="HJ52" s="727"/>
      <c r="HK52" s="727"/>
      <c r="HL52" s="727"/>
      <c r="HM52" s="727"/>
      <c r="HN52" s="727"/>
      <c r="HO52" s="752"/>
      <c r="HP52" s="752"/>
      <c r="HQ52" s="727"/>
      <c r="HR52" s="727"/>
      <c r="HS52" s="727"/>
      <c r="HT52" s="727"/>
      <c r="HU52" s="727"/>
      <c r="HV52" s="727"/>
      <c r="HW52" s="727"/>
      <c r="HX52" s="727"/>
      <c r="HY52" s="727"/>
      <c r="HZ52" s="727"/>
      <c r="IA52" s="727"/>
      <c r="IB52" s="727"/>
      <c r="IC52" s="727"/>
      <c r="ID52" s="727"/>
      <c r="IE52" s="727"/>
      <c r="IF52" s="727"/>
      <c r="IG52" s="727"/>
      <c r="IH52" s="727"/>
      <c r="II52" s="727"/>
      <c r="IJ52" s="722"/>
      <c r="IK52" s="722"/>
      <c r="IL52" s="722"/>
      <c r="IM52" s="727"/>
      <c r="IN52" s="722"/>
      <c r="IO52" s="722"/>
      <c r="IP52" s="727"/>
      <c r="IQ52" s="722"/>
      <c r="IR52" s="721"/>
      <c r="IS52" s="721"/>
      <c r="IT52" s="721"/>
      <c r="IU52" s="721"/>
      <c r="IV52" s="721"/>
      <c r="IW52" s="721"/>
      <c r="IX52" s="721"/>
      <c r="IY52" s="721"/>
      <c r="IZ52" s="721"/>
      <c r="JA52" s="721"/>
      <c r="JB52" s="721"/>
      <c r="JC52" s="721"/>
      <c r="JD52" s="721"/>
      <c r="JE52" s="721"/>
      <c r="JF52" s="721"/>
      <c r="JG52" s="721"/>
      <c r="JH52" s="721"/>
      <c r="JI52" s="721"/>
      <c r="JJ52" s="721"/>
      <c r="JK52" s="721"/>
      <c r="JL52" s="721"/>
      <c r="JM52" s="721"/>
      <c r="JN52" s="721"/>
      <c r="JO52" s="721"/>
      <c r="JP52" s="721"/>
      <c r="JQ52" s="721"/>
      <c r="JR52" s="721"/>
      <c r="JS52" s="721"/>
      <c r="JT52" s="721"/>
      <c r="JU52" s="721"/>
      <c r="JV52" s="721"/>
      <c r="JW52" s="721"/>
      <c r="JX52" s="721"/>
      <c r="JY52" s="721"/>
      <c r="JZ52" s="721"/>
      <c r="KA52" s="721"/>
      <c r="KB52" s="721"/>
      <c r="KC52" s="721"/>
      <c r="KD52" s="721"/>
      <c r="KE52" s="721"/>
      <c r="KF52" s="721"/>
      <c r="KG52" s="721"/>
      <c r="KH52" s="721"/>
      <c r="KI52" s="721"/>
      <c r="KJ52" s="721"/>
      <c r="KK52" s="721"/>
      <c r="KL52" s="721"/>
      <c r="KM52" s="721"/>
      <c r="KN52" s="721"/>
      <c r="KO52" s="721"/>
      <c r="KP52" s="721"/>
      <c r="KQ52" s="721"/>
      <c r="KR52" s="721"/>
      <c r="KS52" s="721"/>
      <c r="KT52" s="721"/>
      <c r="KU52" s="721"/>
      <c r="KV52" s="721"/>
      <c r="KW52" s="721">
        <v>56.195999999999998</v>
      </c>
      <c r="KX52" s="721">
        <v>22.375</v>
      </c>
      <c r="KY52" s="721">
        <v>0.31</v>
      </c>
      <c r="KZ52" s="721">
        <v>56.195999999999998</v>
      </c>
      <c r="LA52" s="721">
        <v>21.125</v>
      </c>
      <c r="LB52" s="721">
        <v>0.31</v>
      </c>
      <c r="LC52" s="721">
        <v>55.661000000000001</v>
      </c>
      <c r="LD52" s="721">
        <v>23.375</v>
      </c>
      <c r="LE52" s="721">
        <v>0.31</v>
      </c>
      <c r="LF52" s="721">
        <v>55.661000000000001</v>
      </c>
      <c r="LG52" s="721">
        <v>26.5</v>
      </c>
      <c r="LH52" s="721">
        <v>0.28000000000000003</v>
      </c>
      <c r="LI52" s="721">
        <v>55.661000000000001</v>
      </c>
      <c r="LJ52" s="721">
        <v>26</v>
      </c>
      <c r="LK52" s="721">
        <v>0.28000000000000003</v>
      </c>
      <c r="LL52" s="721">
        <v>55.566000000000003</v>
      </c>
      <c r="LM52" s="721">
        <v>23.875</v>
      </c>
      <c r="LN52" s="721">
        <v>0.28000000000000003</v>
      </c>
      <c r="LO52" s="721">
        <v>55.415999999999997</v>
      </c>
      <c r="LP52" s="721">
        <v>23.875</v>
      </c>
      <c r="LQ52" s="721">
        <v>0.28000000000000003</v>
      </c>
      <c r="LR52" s="721">
        <v>54.945999999999998</v>
      </c>
      <c r="LS52" s="721">
        <v>20</v>
      </c>
      <c r="LT52" s="721">
        <v>0.27</v>
      </c>
      <c r="LU52" s="721">
        <v>54.945999999999998</v>
      </c>
      <c r="LV52" s="721">
        <v>19</v>
      </c>
      <c r="LW52" s="721">
        <v>0.25</v>
      </c>
      <c r="LX52" s="721">
        <v>54.863</v>
      </c>
      <c r="LY52" s="721">
        <v>16.88</v>
      </c>
      <c r="LZ52" s="721">
        <v>0.25</v>
      </c>
      <c r="MA52" s="721">
        <v>54.804000000000002</v>
      </c>
      <c r="MB52" s="721">
        <v>15.75</v>
      </c>
      <c r="MC52" s="721">
        <v>0.25</v>
      </c>
      <c r="MD52" s="721">
        <v>54.597000000000001</v>
      </c>
      <c r="ME52" s="721">
        <v>17.5</v>
      </c>
      <c r="MF52" s="721">
        <v>0.25</v>
      </c>
      <c r="MG52" s="721">
        <v>54.564</v>
      </c>
      <c r="MH52" s="721">
        <v>17.88</v>
      </c>
      <c r="MI52" s="721">
        <v>0.22</v>
      </c>
      <c r="MJ52" s="721">
        <v>54.530999999999999</v>
      </c>
      <c r="MK52" s="721">
        <v>15.75</v>
      </c>
      <c r="ML52" s="721">
        <v>0.22</v>
      </c>
      <c r="MM52" s="721">
        <v>54.494999999999997</v>
      </c>
      <c r="MN52" s="721">
        <v>17.88</v>
      </c>
      <c r="MO52" s="721">
        <v>0.22</v>
      </c>
      <c r="MP52" s="721">
        <v>54.322000000000003</v>
      </c>
      <c r="MQ52" s="721">
        <v>16.75</v>
      </c>
    </row>
    <row r="53" spans="1:355">
      <c r="A53" s="633" t="s">
        <v>74</v>
      </c>
      <c r="B53" s="728" t="s">
        <v>139</v>
      </c>
      <c r="C53" s="885">
        <v>728.51199999999994</v>
      </c>
      <c r="D53" s="885">
        <v>24.68</v>
      </c>
      <c r="E53" s="887">
        <v>0.41499999999999998</v>
      </c>
      <c r="F53" s="828">
        <v>722.25900000000001</v>
      </c>
      <c r="G53" s="828">
        <v>35.880000000000003</v>
      </c>
      <c r="H53" s="828">
        <v>0.41249999999999998</v>
      </c>
      <c r="I53" s="828">
        <v>721.78499999999997</v>
      </c>
      <c r="J53" s="828">
        <v>31.49</v>
      </c>
      <c r="K53" s="828">
        <v>0.41249999999999998</v>
      </c>
      <c r="L53" s="828">
        <v>721.02300000000002</v>
      </c>
      <c r="M53" s="829">
        <v>31.01</v>
      </c>
      <c r="N53" s="828">
        <v>0.41249999999999998</v>
      </c>
      <c r="O53" s="828">
        <v>704.43899999999996</v>
      </c>
      <c r="P53" s="828">
        <v>31.74</v>
      </c>
      <c r="Q53" s="839">
        <v>0.41249999999999998</v>
      </c>
      <c r="R53" s="828">
        <v>703.73</v>
      </c>
      <c r="S53" s="828">
        <v>28.33</v>
      </c>
      <c r="T53" s="828">
        <v>0.41</v>
      </c>
      <c r="U53" s="828">
        <v>699.00599999999997</v>
      </c>
      <c r="V53" s="829">
        <v>29.26</v>
      </c>
      <c r="W53" s="828">
        <v>0.41</v>
      </c>
      <c r="X53" s="832">
        <v>694.51400000000001</v>
      </c>
      <c r="Y53" s="788">
        <v>28.55</v>
      </c>
      <c r="Z53" s="788">
        <v>0.41</v>
      </c>
      <c r="AA53" s="788">
        <v>689.56299999999999</v>
      </c>
      <c r="AB53" s="788">
        <v>28.29</v>
      </c>
      <c r="AC53" s="801">
        <v>0.41</v>
      </c>
      <c r="AD53" s="788">
        <v>686.56299999999999</v>
      </c>
      <c r="AE53" s="788">
        <v>30.95</v>
      </c>
      <c r="AF53" s="788">
        <v>0.39500000000000002</v>
      </c>
      <c r="AG53" s="788">
        <v>683.84100000000001</v>
      </c>
      <c r="AH53" s="788">
        <v>37.950000000000003</v>
      </c>
      <c r="AI53" s="788">
        <v>0.39500000000000002</v>
      </c>
      <c r="AJ53" s="788">
        <v>680.88199999999995</v>
      </c>
      <c r="AK53" s="788">
        <v>38.659999999999997</v>
      </c>
      <c r="AL53" s="788">
        <v>0.39500000000000002</v>
      </c>
      <c r="AM53" s="828">
        <v>677.59199999999998</v>
      </c>
      <c r="AN53" s="828">
        <v>37.39</v>
      </c>
      <c r="AO53" s="830">
        <v>0.39500000000000002</v>
      </c>
      <c r="AP53" s="788">
        <v>678.11400000000003</v>
      </c>
      <c r="AQ53" s="788">
        <v>34.049999999999997</v>
      </c>
      <c r="AR53" s="788">
        <v>0.38</v>
      </c>
      <c r="AS53" s="723">
        <v>677.14499999999998</v>
      </c>
      <c r="AT53" s="723">
        <v>34.57</v>
      </c>
      <c r="AU53" s="723">
        <v>0.38</v>
      </c>
      <c r="AV53" s="723">
        <v>675.44100000000003</v>
      </c>
      <c r="AW53" s="723">
        <v>37.75</v>
      </c>
      <c r="AX53" s="723">
        <v>0.38</v>
      </c>
      <c r="AY53" s="723">
        <v>669.81399999999996</v>
      </c>
      <c r="AZ53" s="723">
        <v>38.07</v>
      </c>
      <c r="BA53" s="753">
        <v>0.38</v>
      </c>
      <c r="BB53" s="723">
        <v>670.76300000000003</v>
      </c>
      <c r="BC53" s="723">
        <v>34.130000000000003</v>
      </c>
      <c r="BD53" s="723">
        <v>0.3775</v>
      </c>
      <c r="BE53" s="723">
        <v>668.41499999999996</v>
      </c>
      <c r="BF53" s="723">
        <v>32.89</v>
      </c>
      <c r="BG53" s="757">
        <v>0.3775</v>
      </c>
      <c r="BH53" s="723">
        <v>666.97400000000005</v>
      </c>
      <c r="BI53" s="723">
        <v>29.47</v>
      </c>
      <c r="BJ53" s="723">
        <v>0.3725</v>
      </c>
      <c r="BK53" s="728">
        <v>665.20500000000004</v>
      </c>
      <c r="BL53" s="728">
        <v>33.659999999999997</v>
      </c>
      <c r="BM53" s="728">
        <v>0.3725</v>
      </c>
      <c r="BN53" s="723">
        <v>664.43200000000002</v>
      </c>
      <c r="BO53" s="723">
        <v>36.33</v>
      </c>
      <c r="BP53" s="723">
        <v>0.3725</v>
      </c>
      <c r="BQ53" s="723">
        <v>653.13199999999995</v>
      </c>
      <c r="BR53" s="723">
        <v>32.840000000000003</v>
      </c>
      <c r="BS53" s="723">
        <v>0.3725</v>
      </c>
      <c r="BT53" s="723">
        <v>630.74900000000002</v>
      </c>
      <c r="BU53" s="723">
        <v>35.53</v>
      </c>
      <c r="BV53" s="723">
        <v>0.3725</v>
      </c>
      <c r="BW53" s="728">
        <v>608.98299999999995</v>
      </c>
      <c r="BX53" s="728">
        <v>33.14</v>
      </c>
      <c r="BY53" s="754">
        <v>0.3725</v>
      </c>
      <c r="BZ53" s="723">
        <v>631.04600000000005</v>
      </c>
      <c r="CA53" s="723">
        <v>30.09</v>
      </c>
      <c r="CB53" s="723">
        <v>0.36749999999999999</v>
      </c>
      <c r="CC53" s="723">
        <v>589.83399999999995</v>
      </c>
      <c r="CD53" s="723">
        <v>30.38</v>
      </c>
      <c r="CE53" s="723">
        <v>0.36749999999999999</v>
      </c>
      <c r="CF53" s="723">
        <v>582.65</v>
      </c>
      <c r="CG53" s="723">
        <v>30.26</v>
      </c>
      <c r="CH53" s="723">
        <v>0.36749999999999999</v>
      </c>
      <c r="CI53" s="728">
        <v>580.27599999999995</v>
      </c>
      <c r="CJ53" s="728">
        <v>31.31</v>
      </c>
      <c r="CK53" s="754">
        <v>0.36749999999999999</v>
      </c>
      <c r="CL53" s="723">
        <v>580.58500000000004</v>
      </c>
      <c r="CM53" s="723">
        <v>28.63</v>
      </c>
      <c r="CN53" s="723">
        <v>0.36</v>
      </c>
      <c r="CO53" s="723">
        <v>579.88099999999997</v>
      </c>
      <c r="CP53" s="723">
        <v>29.05</v>
      </c>
      <c r="CQ53" s="723">
        <v>0.36</v>
      </c>
      <c r="CR53" s="723">
        <v>579.04100000000005</v>
      </c>
      <c r="CS53" s="723">
        <v>27.79</v>
      </c>
      <c r="CT53" s="723">
        <v>0.36</v>
      </c>
      <c r="CU53" s="728">
        <v>550.39499999999998</v>
      </c>
      <c r="CV53" s="728">
        <v>28.26</v>
      </c>
      <c r="CW53" s="754">
        <v>0.36</v>
      </c>
      <c r="CX53" s="722">
        <v>577.59500000000003</v>
      </c>
      <c r="CY53" s="723">
        <v>29.42</v>
      </c>
      <c r="CZ53" s="723">
        <v>0.35</v>
      </c>
      <c r="DA53" s="723">
        <v>561.65200000000004</v>
      </c>
      <c r="DB53" s="723">
        <v>28.54</v>
      </c>
      <c r="DC53" s="722">
        <v>0.35</v>
      </c>
      <c r="DD53" s="723">
        <v>484.13799999999998</v>
      </c>
      <c r="DE53" s="723">
        <v>27.83</v>
      </c>
      <c r="DF53" s="723">
        <v>0.35</v>
      </c>
      <c r="DG53" s="723">
        <v>483.14499999999998</v>
      </c>
      <c r="DH53" s="723">
        <v>25.3</v>
      </c>
      <c r="DI53" s="723">
        <v>0.35</v>
      </c>
      <c r="DJ53" s="723">
        <v>482.55200000000002</v>
      </c>
      <c r="DK53" s="723">
        <v>26.32</v>
      </c>
      <c r="DL53" s="723">
        <v>0.35</v>
      </c>
      <c r="DM53" s="723">
        <v>381.89600000000002</v>
      </c>
      <c r="DN53" s="723">
        <v>27.23</v>
      </c>
      <c r="DO53" s="723">
        <v>0.35</v>
      </c>
      <c r="DP53" s="723">
        <v>377.71699999999998</v>
      </c>
      <c r="DQ53" s="723">
        <v>24.95</v>
      </c>
      <c r="DR53" s="723">
        <v>0.35</v>
      </c>
      <c r="DS53" s="723">
        <v>376.91</v>
      </c>
      <c r="DT53" s="725">
        <v>27.71</v>
      </c>
      <c r="DU53" s="723">
        <v>0.35</v>
      </c>
      <c r="DV53" s="723">
        <v>376.38400000000001</v>
      </c>
      <c r="DW53" s="723">
        <v>32.31</v>
      </c>
      <c r="DX53" s="723">
        <v>0.34499999999999997</v>
      </c>
      <c r="DY53" s="723">
        <v>375.88099999999997</v>
      </c>
      <c r="DZ53" s="723">
        <v>30.34</v>
      </c>
      <c r="EA53" s="723">
        <v>0.34499999999999997</v>
      </c>
      <c r="EB53" s="723">
        <v>375.11200000000002</v>
      </c>
      <c r="EC53" s="723">
        <v>32.96</v>
      </c>
      <c r="ED53" s="723">
        <v>0.34499999999999997</v>
      </c>
      <c r="EE53" s="723">
        <v>374.39</v>
      </c>
      <c r="EF53" s="723">
        <v>28.71</v>
      </c>
      <c r="EG53" s="723">
        <v>0.34499999999999997</v>
      </c>
      <c r="EH53" s="723">
        <v>374.291</v>
      </c>
      <c r="EI53" s="723">
        <v>30.69</v>
      </c>
      <c r="EJ53" s="723">
        <v>0.33500000000000002</v>
      </c>
      <c r="EK53" s="723">
        <v>373.15800000000002</v>
      </c>
      <c r="EL53" s="723">
        <v>37.020000000000003</v>
      </c>
      <c r="EM53" s="723">
        <v>0.33500000000000002</v>
      </c>
      <c r="EN53" s="723">
        <v>372.78199999999998</v>
      </c>
      <c r="EO53" s="723">
        <v>52.27</v>
      </c>
      <c r="EP53" s="723">
        <v>0.33500000000000002</v>
      </c>
      <c r="EQ53" s="723">
        <v>380.56299999999999</v>
      </c>
      <c r="ER53" s="723">
        <v>45.92</v>
      </c>
      <c r="ES53" s="723">
        <v>0.33500000000000002</v>
      </c>
      <c r="ET53" s="722">
        <v>379.89600000000002</v>
      </c>
      <c r="EU53" s="722">
        <v>52.09</v>
      </c>
      <c r="EV53" s="722">
        <v>0.30499999999999999</v>
      </c>
      <c r="EW53" s="723">
        <v>385.3</v>
      </c>
      <c r="EX53" s="723">
        <v>46.3</v>
      </c>
      <c r="EY53" s="723">
        <v>0.30499999999999999</v>
      </c>
      <c r="EZ53" s="723">
        <v>384.79300000000001</v>
      </c>
      <c r="FA53" s="723">
        <v>46.79</v>
      </c>
      <c r="FB53" s="723">
        <v>0.30499999999999999</v>
      </c>
      <c r="FC53" s="723">
        <v>380.75400000000002</v>
      </c>
      <c r="FD53" s="741">
        <v>40.9</v>
      </c>
      <c r="FE53" s="723">
        <v>0.30499999999999999</v>
      </c>
      <c r="FF53" s="727">
        <v>380.80599999999998</v>
      </c>
      <c r="FG53" s="727">
        <v>35.840000000000003</v>
      </c>
      <c r="FH53" s="727">
        <v>0.27500000000000002</v>
      </c>
      <c r="FI53" s="727">
        <v>380.14100000000002</v>
      </c>
      <c r="FJ53" s="727">
        <v>32.9</v>
      </c>
      <c r="FK53" s="727">
        <v>0.27500000000000002</v>
      </c>
      <c r="FL53" s="727">
        <v>379.83800000000002</v>
      </c>
      <c r="FM53" s="727">
        <v>32.299999999999997</v>
      </c>
      <c r="FN53" s="727">
        <v>0.27500000000000002</v>
      </c>
      <c r="FO53" s="727">
        <v>379.72300000000001</v>
      </c>
      <c r="FP53" s="727">
        <v>29.4</v>
      </c>
      <c r="FQ53" s="727">
        <v>0.27500000000000002</v>
      </c>
      <c r="FR53" s="727">
        <v>379.66</v>
      </c>
      <c r="FS53" s="742">
        <v>29.4</v>
      </c>
      <c r="FT53" s="626">
        <f>1/4</f>
        <v>0.25</v>
      </c>
      <c r="FU53" s="727">
        <v>379.25200000000001</v>
      </c>
      <c r="FV53" s="727">
        <v>32.33</v>
      </c>
      <c r="FW53" s="727">
        <v>0.25</v>
      </c>
      <c r="FX53" s="727">
        <v>378.12</v>
      </c>
      <c r="FY53" s="727">
        <v>26.69</v>
      </c>
      <c r="FZ53" s="727">
        <v>0.23</v>
      </c>
      <c r="GA53" s="727">
        <v>377.17</v>
      </c>
      <c r="GB53" s="727">
        <v>27</v>
      </c>
      <c r="GC53" s="727">
        <v>0.23</v>
      </c>
      <c r="GD53" s="750">
        <v>378</v>
      </c>
      <c r="GE53" s="741">
        <v>26.64</v>
      </c>
      <c r="GF53" s="751">
        <v>0.20499999999999999</v>
      </c>
      <c r="GG53" s="750">
        <v>366</v>
      </c>
      <c r="GH53" s="727">
        <v>23.59</v>
      </c>
      <c r="GI53" s="727">
        <v>0.20499999999999999</v>
      </c>
      <c r="GJ53" s="727">
        <v>354.3</v>
      </c>
      <c r="GK53" s="727">
        <v>22.95</v>
      </c>
      <c r="GL53" s="727">
        <v>0.20499999999999999</v>
      </c>
      <c r="GM53" s="727">
        <v>353.7</v>
      </c>
      <c r="GN53" s="727">
        <v>22.8</v>
      </c>
      <c r="GO53" s="727">
        <v>0.20499999999999999</v>
      </c>
      <c r="GP53" s="727">
        <v>352.79</v>
      </c>
      <c r="GQ53" s="727">
        <v>21.88</v>
      </c>
      <c r="GR53" s="727">
        <v>0.1925</v>
      </c>
      <c r="GS53" s="727">
        <v>343.78</v>
      </c>
      <c r="GT53" s="727">
        <v>20.48</v>
      </c>
      <c r="GU53" s="727">
        <v>0.1925</v>
      </c>
      <c r="GV53" s="727">
        <v>333.01</v>
      </c>
      <c r="GW53" s="727">
        <v>21.5</v>
      </c>
      <c r="GX53" s="727">
        <v>0.1925</v>
      </c>
      <c r="GY53" s="727">
        <v>329.48</v>
      </c>
      <c r="GZ53" s="727">
        <v>17.809999999999999</v>
      </c>
      <c r="HA53" s="727">
        <v>0.1925</v>
      </c>
      <c r="HB53" s="727">
        <v>303.13</v>
      </c>
      <c r="HC53" s="727">
        <v>17.34</v>
      </c>
      <c r="HD53" s="727">
        <v>0.18</v>
      </c>
      <c r="HE53" s="727">
        <v>294.3</v>
      </c>
      <c r="HF53" s="727">
        <v>16.27</v>
      </c>
      <c r="HG53" s="727">
        <v>0.18</v>
      </c>
      <c r="HH53" s="727">
        <v>293.51</v>
      </c>
      <c r="HI53" s="727">
        <v>16.54</v>
      </c>
      <c r="HJ53" s="727">
        <v>0.18</v>
      </c>
      <c r="HK53" s="727">
        <v>292.97000000000003</v>
      </c>
      <c r="HL53" s="727">
        <v>19.809999999999999</v>
      </c>
      <c r="HM53" s="727">
        <v>0.18</v>
      </c>
      <c r="HN53" s="727">
        <v>292.48</v>
      </c>
      <c r="HO53" s="727">
        <v>17.43</v>
      </c>
      <c r="HP53" s="727">
        <v>0.13250000000000001</v>
      </c>
      <c r="HQ53" s="727">
        <v>291.8</v>
      </c>
      <c r="HR53" s="727">
        <v>16.3</v>
      </c>
      <c r="HS53" s="727">
        <v>0.13250000000000001</v>
      </c>
      <c r="HT53" s="727">
        <v>290.63</v>
      </c>
      <c r="HU53" s="727">
        <v>27.5</v>
      </c>
      <c r="HV53" s="727">
        <v>0.13250000000000001</v>
      </c>
      <c r="HW53" s="727">
        <v>289.81</v>
      </c>
      <c r="HX53" s="727">
        <v>21.98</v>
      </c>
      <c r="HY53" s="727">
        <v>0.13250000000000001</v>
      </c>
      <c r="HZ53" s="727">
        <v>289.16000000000003</v>
      </c>
      <c r="IA53" s="727">
        <v>22.59</v>
      </c>
      <c r="IB53" s="727">
        <v>0.13250000000000001</v>
      </c>
      <c r="IC53" s="727">
        <v>288.27</v>
      </c>
      <c r="ID53" s="727">
        <v>20.88</v>
      </c>
      <c r="IE53" s="727">
        <v>0.13250000000000001</v>
      </c>
      <c r="IF53" s="727">
        <v>287.39</v>
      </c>
      <c r="IG53" s="727">
        <v>10.97</v>
      </c>
      <c r="IH53" s="727">
        <v>0.13250000000000001</v>
      </c>
      <c r="II53" s="727">
        <v>287.39</v>
      </c>
      <c r="IJ53" s="722">
        <v>10.47</v>
      </c>
      <c r="IK53" s="722">
        <v>0.13250000000000001</v>
      </c>
      <c r="IL53" s="722">
        <v>315.39999999999998</v>
      </c>
      <c r="IM53" s="727">
        <v>11.44</v>
      </c>
      <c r="IN53" s="722">
        <v>0.125</v>
      </c>
      <c r="IO53" s="722">
        <v>315.39</v>
      </c>
      <c r="IP53" s="727">
        <v>13.53</v>
      </c>
      <c r="IQ53" s="722">
        <v>0.125</v>
      </c>
      <c r="IR53" s="721">
        <v>333.3</v>
      </c>
      <c r="IS53" s="721">
        <v>15.38</v>
      </c>
      <c r="IT53" s="721">
        <v>0.125</v>
      </c>
      <c r="IU53" s="721">
        <v>333.3</v>
      </c>
      <c r="IV53" s="721">
        <v>12.38</v>
      </c>
      <c r="IW53" s="721">
        <v>0.125</v>
      </c>
      <c r="IX53" s="721">
        <v>166.65</v>
      </c>
      <c r="IY53" s="721">
        <v>13.94</v>
      </c>
      <c r="IZ53" s="721">
        <v>0.125</v>
      </c>
      <c r="JA53" s="721">
        <v>166.73</v>
      </c>
      <c r="JB53" s="721">
        <v>25.875</v>
      </c>
      <c r="JC53" s="721">
        <v>0.125</v>
      </c>
      <c r="JD53" s="721">
        <v>166.73</v>
      </c>
      <c r="JE53" s="721">
        <v>22.687999999999999</v>
      </c>
      <c r="JF53" s="721">
        <v>0.41799999999999998</v>
      </c>
      <c r="JG53" s="721">
        <v>164.96</v>
      </c>
      <c r="JH53" s="721">
        <v>23.425000000000001</v>
      </c>
      <c r="JI53" s="721">
        <v>0.41799999999999998</v>
      </c>
      <c r="JJ53" s="721">
        <v>164.96100000000001</v>
      </c>
      <c r="JK53" s="721">
        <v>23.9375</v>
      </c>
      <c r="JL53" s="721">
        <v>0.41799999999999998</v>
      </c>
      <c r="JM53" s="721">
        <v>163.19200000000001</v>
      </c>
      <c r="JN53" s="721">
        <v>21.875</v>
      </c>
      <c r="JO53" s="721">
        <v>0.41799999999999998</v>
      </c>
      <c r="JP53" s="721">
        <v>163.19200000000001</v>
      </c>
      <c r="JQ53" s="721">
        <v>19.937999999999999</v>
      </c>
      <c r="JR53" s="721">
        <v>0.41799999999999998</v>
      </c>
      <c r="JS53" s="721">
        <v>161.36000000000001</v>
      </c>
      <c r="JT53" s="721">
        <v>20.25</v>
      </c>
      <c r="JU53" s="721">
        <v>0.41799999999999998</v>
      </c>
      <c r="JV53" s="721">
        <v>161.36000000000001</v>
      </c>
      <c r="JW53" s="721">
        <v>23</v>
      </c>
      <c r="JX53" s="721">
        <v>0.41749999999999998</v>
      </c>
      <c r="JY53" s="721">
        <v>158.131</v>
      </c>
      <c r="JZ53" s="721">
        <v>21.875</v>
      </c>
      <c r="KA53" s="721">
        <v>0.41749999999999998</v>
      </c>
      <c r="KB53" s="721">
        <v>158.131</v>
      </c>
      <c r="KC53" s="721">
        <v>23.625</v>
      </c>
      <c r="KD53" s="721">
        <v>0.41749999999999998</v>
      </c>
      <c r="KE53" s="721">
        <v>158.131</v>
      </c>
      <c r="KF53" s="721">
        <v>24.375</v>
      </c>
      <c r="KG53" s="721">
        <v>0.41749999999999998</v>
      </c>
      <c r="KH53" s="721">
        <v>158.131</v>
      </c>
      <c r="KI53" s="721">
        <v>25</v>
      </c>
      <c r="KJ53" s="721">
        <v>0.41749999999999998</v>
      </c>
      <c r="KK53" s="721">
        <v>156.16300000000001</v>
      </c>
      <c r="KL53" s="721">
        <v>23.375</v>
      </c>
      <c r="KM53" s="721">
        <v>0.41749999999999998</v>
      </c>
      <c r="KN53" s="721">
        <v>156.16300000000001</v>
      </c>
      <c r="KO53" s="721">
        <v>19.5</v>
      </c>
      <c r="KP53" s="721">
        <v>0.41749999999999998</v>
      </c>
      <c r="KQ53" s="721">
        <v>156.16300000000001</v>
      </c>
      <c r="KR53" s="721">
        <v>19.625</v>
      </c>
      <c r="KS53" s="721">
        <v>0.41749999999999998</v>
      </c>
      <c r="KT53" s="721">
        <v>152.21</v>
      </c>
      <c r="KU53" s="721">
        <v>19</v>
      </c>
      <c r="KV53" s="721">
        <v>0.41749999999999998</v>
      </c>
      <c r="KW53" s="721">
        <v>152.21</v>
      </c>
      <c r="KX53" s="721">
        <v>20</v>
      </c>
      <c r="KY53" s="721">
        <v>0.41749999999999998</v>
      </c>
      <c r="KZ53" s="721">
        <v>152.21</v>
      </c>
      <c r="LA53" s="721">
        <v>19.625</v>
      </c>
      <c r="LB53" s="721">
        <v>0.41749999999999998</v>
      </c>
      <c r="LC53" s="721">
        <v>151.88499999999999</v>
      </c>
      <c r="LD53" s="721">
        <v>23</v>
      </c>
      <c r="LE53" s="721">
        <v>0.41749999999999998</v>
      </c>
      <c r="LF53" s="721">
        <v>151.88499999999999</v>
      </c>
      <c r="LG53" s="721">
        <v>27</v>
      </c>
      <c r="LH53" s="721">
        <v>0.41249999999999998</v>
      </c>
      <c r="LI53" s="721">
        <v>151.88499999999999</v>
      </c>
      <c r="LJ53" s="721">
        <v>30.25</v>
      </c>
      <c r="LK53" s="721">
        <v>0.41199999999999998</v>
      </c>
      <c r="LL53" s="721">
        <v>151.88499999999999</v>
      </c>
      <c r="LM53" s="721">
        <v>29.375</v>
      </c>
      <c r="LN53" s="721">
        <v>0.41199999999999998</v>
      </c>
      <c r="LO53" s="721">
        <v>151.88499999999999</v>
      </c>
      <c r="LP53" s="721">
        <v>29.875</v>
      </c>
      <c r="LQ53" s="721">
        <v>0.41199999999999998</v>
      </c>
      <c r="LR53" s="721">
        <v>151.65899999999999</v>
      </c>
      <c r="LS53" s="721">
        <v>27.25</v>
      </c>
      <c r="LT53" s="721">
        <v>0.4</v>
      </c>
      <c r="LU53" s="721">
        <v>151.65899999999999</v>
      </c>
      <c r="LV53" s="721">
        <v>27.5</v>
      </c>
      <c r="LW53" s="721">
        <v>0.4</v>
      </c>
      <c r="LX53" s="721">
        <v>151.65899999999999</v>
      </c>
      <c r="LY53" s="721">
        <v>25.88</v>
      </c>
      <c r="LZ53" s="721">
        <v>0.4</v>
      </c>
      <c r="MA53" s="721">
        <v>151.65799999999999</v>
      </c>
      <c r="MB53" s="721">
        <v>24.19</v>
      </c>
      <c r="MC53" s="721">
        <v>0.39</v>
      </c>
      <c r="MD53" s="721">
        <v>151.38200000000001</v>
      </c>
      <c r="ME53" s="721">
        <v>26.31</v>
      </c>
      <c r="MF53" s="721">
        <v>0.39</v>
      </c>
      <c r="MG53" s="721">
        <v>151.346</v>
      </c>
      <c r="MH53" s="721">
        <v>24</v>
      </c>
      <c r="MI53" s="721">
        <v>0.39</v>
      </c>
      <c r="MJ53" s="721">
        <v>151.33000000000001</v>
      </c>
      <c r="MK53" s="721">
        <v>21.81</v>
      </c>
      <c r="ML53" s="721">
        <v>0.39</v>
      </c>
      <c r="MM53" s="721">
        <v>151.31200000000001</v>
      </c>
      <c r="MN53" s="721">
        <v>22.38</v>
      </c>
      <c r="MO53" s="721">
        <v>0.37</v>
      </c>
      <c r="MP53" s="721">
        <v>150.92400000000001</v>
      </c>
      <c r="MQ53" s="721">
        <v>21.88</v>
      </c>
    </row>
    <row r="54" spans="1:355">
      <c r="A54" s="633" t="s">
        <v>30</v>
      </c>
      <c r="B54" s="726" t="s">
        <v>140</v>
      </c>
      <c r="C54" s="885">
        <v>112.442818</v>
      </c>
      <c r="D54" s="885">
        <v>75.790000000000006</v>
      </c>
      <c r="E54" s="885">
        <v>0.78249999999999997</v>
      </c>
      <c r="F54" s="828">
        <v>112.46299999999999</v>
      </c>
      <c r="G54" s="828">
        <v>89.93</v>
      </c>
      <c r="H54" s="828">
        <v>0.78249999999999997</v>
      </c>
      <c r="I54" s="828">
        <v>112.337</v>
      </c>
      <c r="J54" s="828">
        <v>97.07</v>
      </c>
      <c r="K54" s="828">
        <v>0.73750000000000004</v>
      </c>
      <c r="L54" s="828">
        <v>112.337</v>
      </c>
      <c r="M54" s="829">
        <v>94.09</v>
      </c>
      <c r="N54" s="828">
        <v>0.73750000000000004</v>
      </c>
      <c r="O54" s="828">
        <v>112.129017</v>
      </c>
      <c r="P54" s="828">
        <v>95.58</v>
      </c>
      <c r="Q54" s="828">
        <v>0.73750000000000004</v>
      </c>
      <c r="R54" s="828">
        <v>112.148</v>
      </c>
      <c r="S54" s="828">
        <v>85.2</v>
      </c>
      <c r="T54" s="839">
        <v>0.73750000000000004</v>
      </c>
      <c r="U54" s="828">
        <v>112.11499999999999</v>
      </c>
      <c r="V54" s="829">
        <v>79.180000000000007</v>
      </c>
      <c r="W54" s="828">
        <v>0.69499999999999995</v>
      </c>
      <c r="X54" s="832">
        <v>112.017</v>
      </c>
      <c r="Y54" s="788">
        <v>80.56</v>
      </c>
      <c r="Z54" s="788">
        <v>0.69499999999999995</v>
      </c>
      <c r="AA54" s="788">
        <v>111.943</v>
      </c>
      <c r="AB54" s="788">
        <v>79.8</v>
      </c>
      <c r="AC54" s="788">
        <v>0.69499999999999995</v>
      </c>
      <c r="AD54" s="788">
        <v>111.83499999999999</v>
      </c>
      <c r="AE54" s="788">
        <v>85.18</v>
      </c>
      <c r="AF54" s="801">
        <v>0.69499999999999995</v>
      </c>
      <c r="AG54" s="788">
        <v>111.797</v>
      </c>
      <c r="AH54" s="788">
        <v>84.56</v>
      </c>
      <c r="AI54" s="788">
        <v>0.65500000000000003</v>
      </c>
      <c r="AJ54" s="788">
        <v>111.72799999999999</v>
      </c>
      <c r="AK54" s="788">
        <v>85.16</v>
      </c>
      <c r="AL54" s="788">
        <v>0.65500000000000003</v>
      </c>
      <c r="AM54" s="828">
        <v>111.40872899999999</v>
      </c>
      <c r="AN54" s="828">
        <v>83.38</v>
      </c>
      <c r="AO54" s="828">
        <v>0.65500000000000003</v>
      </c>
      <c r="AP54" s="788">
        <v>111.416</v>
      </c>
      <c r="AQ54" s="788">
        <v>78.03</v>
      </c>
      <c r="AR54" s="795">
        <v>0.65500000000000003</v>
      </c>
      <c r="AS54" s="727">
        <v>111.36799999999999</v>
      </c>
      <c r="AT54" s="727">
        <v>75.989999999999995</v>
      </c>
      <c r="AU54" s="727">
        <v>0.625</v>
      </c>
      <c r="AV54" s="727">
        <v>111.29600000000001</v>
      </c>
      <c r="AW54" s="727">
        <v>81.06</v>
      </c>
      <c r="AX54" s="727">
        <v>0.625</v>
      </c>
      <c r="AY54" s="727">
        <v>111.025944</v>
      </c>
      <c r="AZ54" s="727">
        <v>75.069999999999993</v>
      </c>
      <c r="BA54" s="727">
        <v>0.625</v>
      </c>
      <c r="BB54" s="727">
        <v>111.036</v>
      </c>
      <c r="BC54" s="727">
        <v>64.48</v>
      </c>
      <c r="BD54" s="727">
        <v>0.625</v>
      </c>
      <c r="BE54" s="727">
        <v>110.986</v>
      </c>
      <c r="BF54" s="727">
        <v>64.14</v>
      </c>
      <c r="BG54" s="727">
        <v>0.59499999999999997</v>
      </c>
      <c r="BH54" s="727">
        <v>110.916</v>
      </c>
      <c r="BI54" s="727">
        <v>56.89</v>
      </c>
      <c r="BJ54" s="727">
        <v>0.59499999999999997</v>
      </c>
      <c r="BK54" s="726">
        <v>110.765</v>
      </c>
      <c r="BL54" s="726">
        <v>63.75</v>
      </c>
      <c r="BM54" s="726">
        <v>0.59499999999999997</v>
      </c>
      <c r="BN54" s="727">
        <v>110.68600000000001</v>
      </c>
      <c r="BO54" s="727">
        <v>68.31</v>
      </c>
      <c r="BP54" s="746">
        <v>0.59499999999999997</v>
      </c>
      <c r="BQ54" s="727">
        <v>110.565</v>
      </c>
      <c r="BR54" s="727">
        <v>54.64</v>
      </c>
      <c r="BS54" s="727">
        <v>0.5675</v>
      </c>
      <c r="BT54" s="727">
        <v>110.25700000000001</v>
      </c>
      <c r="BU54" s="727">
        <v>57.84</v>
      </c>
      <c r="BV54" s="727">
        <v>0.5675</v>
      </c>
      <c r="BW54" s="726">
        <v>109.98416</v>
      </c>
      <c r="BX54" s="726">
        <v>54.66</v>
      </c>
      <c r="BY54" s="726">
        <v>0.5675</v>
      </c>
      <c r="BZ54" s="727">
        <v>110.009</v>
      </c>
      <c r="CA54" s="727">
        <v>52.92</v>
      </c>
      <c r="CB54" s="746">
        <v>0.5675</v>
      </c>
      <c r="CC54" s="727">
        <v>109.962</v>
      </c>
      <c r="CD54" s="727">
        <v>54.74</v>
      </c>
      <c r="CE54" s="727">
        <v>0.54500000000000004</v>
      </c>
      <c r="CF54" s="727">
        <v>109.83199999999999</v>
      </c>
      <c r="CG54" s="727">
        <v>55.47</v>
      </c>
      <c r="CH54" s="727">
        <v>0.54500000000000004</v>
      </c>
      <c r="CI54" s="726">
        <v>109.510296</v>
      </c>
      <c r="CJ54" s="726">
        <v>57.89</v>
      </c>
      <c r="CK54" s="726">
        <v>0.54500000000000004</v>
      </c>
      <c r="CL54" s="727">
        <v>109.55500000000001</v>
      </c>
      <c r="CM54" s="727">
        <v>50.98</v>
      </c>
      <c r="CN54" s="746">
        <v>0.54500000000000004</v>
      </c>
      <c r="CO54" s="727">
        <v>109.491</v>
      </c>
      <c r="CP54" s="727">
        <v>52.8</v>
      </c>
      <c r="CQ54" s="727">
        <v>0.52500000000000002</v>
      </c>
      <c r="CR54" s="727">
        <v>109.29900000000001</v>
      </c>
      <c r="CS54" s="727">
        <v>51.704999999999998</v>
      </c>
      <c r="CT54" s="727">
        <v>0.52500000000000002</v>
      </c>
      <c r="CU54" s="726">
        <v>109.05284</v>
      </c>
      <c r="CV54" s="726">
        <v>47.9</v>
      </c>
      <c r="CW54" s="726">
        <v>0.52500000000000002</v>
      </c>
      <c r="CX54" s="727">
        <v>109.128</v>
      </c>
      <c r="CY54" s="727">
        <v>48.18</v>
      </c>
      <c r="CZ54" s="727">
        <v>0.52500000000000002</v>
      </c>
      <c r="DA54" s="727">
        <v>109.044</v>
      </c>
      <c r="DB54" s="727">
        <v>42.94</v>
      </c>
      <c r="DC54" s="727">
        <v>0.52500000000000002</v>
      </c>
      <c r="DD54" s="727">
        <v>108.83199999999999</v>
      </c>
      <c r="DE54" s="727">
        <v>44.58</v>
      </c>
      <c r="DF54" s="727">
        <v>0.52500000000000002</v>
      </c>
      <c r="DG54" s="727">
        <v>108.73</v>
      </c>
      <c r="DH54" s="727">
        <v>42.79</v>
      </c>
      <c r="DI54" s="727">
        <v>0.52500000000000002</v>
      </c>
      <c r="DJ54" s="727">
        <v>108.63200000000001</v>
      </c>
      <c r="DK54" s="727">
        <v>41.45</v>
      </c>
      <c r="DL54" s="727">
        <v>0.52500000000000002</v>
      </c>
      <c r="DM54" s="727">
        <v>107.355</v>
      </c>
      <c r="DN54" s="727">
        <v>41.31</v>
      </c>
      <c r="DO54" s="727">
        <v>0.52500000000000002</v>
      </c>
      <c r="DP54" s="727">
        <v>101.474</v>
      </c>
      <c r="DQ54" s="727">
        <v>36.36</v>
      </c>
      <c r="DR54" s="727">
        <v>0.52500000000000002</v>
      </c>
      <c r="DS54" s="727">
        <v>101.32</v>
      </c>
      <c r="DT54" s="748">
        <v>37.729999999999997</v>
      </c>
      <c r="DU54" s="727">
        <v>0.52500000000000002</v>
      </c>
      <c r="DV54" s="727">
        <v>101.223</v>
      </c>
      <c r="DW54" s="727">
        <v>36.58</v>
      </c>
      <c r="DX54" s="727">
        <v>0.52500000000000002</v>
      </c>
      <c r="DY54" s="727">
        <v>101.10899999999999</v>
      </c>
      <c r="DZ54" s="727">
        <v>32.82</v>
      </c>
      <c r="EA54" s="727">
        <v>0.52500000000000002</v>
      </c>
      <c r="EB54" s="727">
        <v>100.986</v>
      </c>
      <c r="EC54" s="727">
        <v>30.15</v>
      </c>
      <c r="ED54" s="727">
        <v>0.52500000000000002</v>
      </c>
      <c r="EE54" s="727">
        <v>100.84</v>
      </c>
      <c r="EF54" s="727">
        <v>26.56</v>
      </c>
      <c r="EG54" s="727">
        <v>0.52500000000000002</v>
      </c>
      <c r="EH54" s="727">
        <v>100.75</v>
      </c>
      <c r="EI54" s="727">
        <v>32.130000000000003</v>
      </c>
      <c r="EJ54" s="727">
        <v>0.52500000000000002</v>
      </c>
      <c r="EK54" s="727">
        <v>100.65300000000001</v>
      </c>
      <c r="EL54" s="727">
        <v>34.409999999999997</v>
      </c>
      <c r="EM54" s="727">
        <v>0.52500000000000002</v>
      </c>
      <c r="EN54" s="727">
        <v>100.521</v>
      </c>
      <c r="EO54" s="727">
        <v>30.77</v>
      </c>
      <c r="EP54" s="727">
        <v>0.52500000000000002</v>
      </c>
      <c r="EQ54" s="727">
        <v>100.255807</v>
      </c>
      <c r="ER54" s="727">
        <v>35.08</v>
      </c>
      <c r="ES54" s="727">
        <v>0.52500000000000002</v>
      </c>
      <c r="ET54" s="727">
        <v>100.324</v>
      </c>
      <c r="EU54" s="727">
        <v>42.41</v>
      </c>
      <c r="EV54" s="727">
        <v>0.52500000000000002</v>
      </c>
      <c r="EW54" s="727">
        <v>100.229</v>
      </c>
      <c r="EX54" s="727">
        <v>39.51</v>
      </c>
      <c r="EY54" s="727">
        <v>0.52500000000000002</v>
      </c>
      <c r="EZ54" s="727">
        <v>100.045</v>
      </c>
      <c r="FA54" s="727">
        <v>39.85</v>
      </c>
      <c r="FB54" s="727">
        <v>0.52500000000000002</v>
      </c>
      <c r="FC54" s="723">
        <v>99.417007999999996</v>
      </c>
      <c r="FD54" s="741">
        <v>48.25</v>
      </c>
      <c r="FE54" s="723">
        <v>0.52500000000000002</v>
      </c>
      <c r="FF54" s="727">
        <v>99.491</v>
      </c>
      <c r="FG54" s="727">
        <v>50.69</v>
      </c>
      <c r="FH54" s="749">
        <v>0.52500000000000002</v>
      </c>
      <c r="FI54" s="727">
        <v>99.221000000000004</v>
      </c>
      <c r="FJ54" s="727">
        <v>45.05</v>
      </c>
      <c r="FK54" s="727">
        <v>0.5</v>
      </c>
      <c r="FL54" s="727">
        <v>99.114999999999995</v>
      </c>
      <c r="FM54" s="727">
        <v>39.909999999999997</v>
      </c>
      <c r="FN54" s="727">
        <v>0.5</v>
      </c>
      <c r="FO54" s="727">
        <v>98.981999999999999</v>
      </c>
      <c r="FP54" s="727">
        <v>39.1</v>
      </c>
      <c r="FQ54" s="727">
        <v>0.5</v>
      </c>
      <c r="FR54" s="727">
        <v>98.697000000000003</v>
      </c>
      <c r="FS54" s="742">
        <v>41.35</v>
      </c>
      <c r="FT54" s="626">
        <f>2/4</f>
        <v>0.5</v>
      </c>
      <c r="FU54" s="727">
        <v>96.191999999999993</v>
      </c>
      <c r="FV54" s="727">
        <v>44.08</v>
      </c>
      <c r="FW54" s="727">
        <v>0.47499999999999998</v>
      </c>
      <c r="FX54" s="727">
        <v>91.962000000000003</v>
      </c>
      <c r="FY54" s="727">
        <v>44.45</v>
      </c>
      <c r="FZ54" s="727">
        <v>0.47499999999999998</v>
      </c>
      <c r="GA54" s="727">
        <v>91.356999999999999</v>
      </c>
      <c r="GB54" s="727">
        <v>42.51</v>
      </c>
      <c r="GC54" s="727">
        <v>0.47499999999999998</v>
      </c>
      <c r="GD54" s="750">
        <v>91.356999999999999</v>
      </c>
      <c r="GE54" s="741">
        <v>44.41</v>
      </c>
      <c r="GF54" s="751">
        <v>0.47499999999999998</v>
      </c>
      <c r="GG54" s="750">
        <v>91.314999999999998</v>
      </c>
      <c r="GH54" s="727">
        <v>41.5</v>
      </c>
      <c r="GI54" s="727">
        <v>0.45</v>
      </c>
      <c r="GJ54" s="727">
        <v>91.293999999999997</v>
      </c>
      <c r="GK54" s="727">
        <v>40.39</v>
      </c>
      <c r="GL54" s="727">
        <v>0.45</v>
      </c>
      <c r="GM54" s="727">
        <v>91.272999999999996</v>
      </c>
      <c r="GN54" s="727">
        <v>39.35</v>
      </c>
      <c r="GO54" s="727">
        <v>0.45</v>
      </c>
      <c r="GP54" s="727">
        <v>91.271000000000001</v>
      </c>
      <c r="GQ54" s="727">
        <v>40.020000000000003</v>
      </c>
      <c r="GR54" s="727">
        <v>0.45</v>
      </c>
      <c r="GS54" s="727">
        <v>91.257999999999996</v>
      </c>
      <c r="GT54" s="727">
        <v>35.5</v>
      </c>
      <c r="GU54" s="727">
        <v>0.42499999999999999</v>
      </c>
      <c r="GV54" s="727">
        <v>91.256</v>
      </c>
      <c r="GW54" s="727">
        <v>37.450000000000003</v>
      </c>
      <c r="GX54" s="727">
        <v>0.42499999999999999</v>
      </c>
      <c r="GY54" s="727">
        <v>85.302000000000007</v>
      </c>
      <c r="GZ54" s="727">
        <v>33.24</v>
      </c>
      <c r="HA54" s="727">
        <v>0.42499999999999999</v>
      </c>
      <c r="HB54" s="727">
        <v>84.768000000000001</v>
      </c>
      <c r="HC54" s="727">
        <v>34.090000000000003</v>
      </c>
      <c r="HD54" s="727">
        <v>0.42499999999999999</v>
      </c>
      <c r="HE54" s="727">
        <v>84.793999999999997</v>
      </c>
      <c r="HF54" s="727">
        <v>27.76</v>
      </c>
      <c r="HG54" s="727">
        <v>0.4</v>
      </c>
      <c r="HH54" s="727">
        <v>84.734999999999999</v>
      </c>
      <c r="HI54" s="727">
        <v>39.5</v>
      </c>
      <c r="HJ54" s="727">
        <v>0.4</v>
      </c>
      <c r="HK54" s="727">
        <v>84.679000000000002</v>
      </c>
      <c r="HL54" s="727">
        <v>45.35</v>
      </c>
      <c r="HM54" s="727">
        <v>0.4</v>
      </c>
      <c r="HN54" s="727">
        <v>84.721000000000004</v>
      </c>
      <c r="HO54" s="727">
        <v>41.85</v>
      </c>
      <c r="HP54" s="727">
        <v>0.4</v>
      </c>
      <c r="HQ54" s="727">
        <v>84.744</v>
      </c>
      <c r="HR54" s="727">
        <v>39.700000000000003</v>
      </c>
      <c r="HS54" s="727">
        <v>0.375</v>
      </c>
      <c r="HT54" s="727">
        <v>84.727000000000004</v>
      </c>
      <c r="HU54" s="727">
        <v>47.4</v>
      </c>
      <c r="HV54" s="727">
        <v>0.375</v>
      </c>
      <c r="HW54" s="727">
        <v>84.727000000000004</v>
      </c>
      <c r="HX54" s="727">
        <v>45.87</v>
      </c>
      <c r="HY54" s="727">
        <v>0.375</v>
      </c>
      <c r="HZ54" s="727">
        <v>84.745000000000005</v>
      </c>
      <c r="IA54" s="727">
        <v>47.625</v>
      </c>
      <c r="IB54" s="727">
        <v>0.375</v>
      </c>
      <c r="IC54" s="727">
        <v>84.73</v>
      </c>
      <c r="ID54" s="727">
        <v>50.875</v>
      </c>
      <c r="IE54" s="727">
        <v>0.35</v>
      </c>
      <c r="IF54" s="727">
        <v>84.727999999999994</v>
      </c>
      <c r="IG54" s="727">
        <v>33.875</v>
      </c>
      <c r="IH54" s="727">
        <v>0.35</v>
      </c>
      <c r="II54" s="727">
        <v>84.722999999999999</v>
      </c>
      <c r="IJ54" s="722">
        <v>28.1875</v>
      </c>
      <c r="IK54" s="722">
        <v>0.35</v>
      </c>
      <c r="IL54" s="722">
        <v>84.758516</v>
      </c>
      <c r="IM54" s="727">
        <v>30.5625</v>
      </c>
      <c r="IN54" s="722">
        <v>0.35</v>
      </c>
      <c r="IO54" s="722">
        <v>84.716175000000007</v>
      </c>
      <c r="IP54" s="727">
        <v>36.375</v>
      </c>
      <c r="IQ54" s="722">
        <v>0.32500000000000001</v>
      </c>
      <c r="IR54" s="721">
        <v>84.77</v>
      </c>
      <c r="IS54" s="721">
        <v>40.25</v>
      </c>
      <c r="IT54" s="721">
        <v>0.32500000000000001</v>
      </c>
      <c r="IU54" s="721">
        <v>84.77</v>
      </c>
      <c r="IV54" s="721">
        <v>36.375</v>
      </c>
      <c r="IW54" s="721">
        <v>0.32500000000000001</v>
      </c>
      <c r="IX54" s="721">
        <v>84.77</v>
      </c>
      <c r="IY54" s="721">
        <v>42.375</v>
      </c>
      <c r="IZ54" s="721">
        <v>0.32500000000000001</v>
      </c>
      <c r="JA54" s="721">
        <v>84.79</v>
      </c>
      <c r="JB54" s="721">
        <v>44.813000000000002</v>
      </c>
      <c r="JC54" s="721">
        <v>0.3</v>
      </c>
      <c r="JD54" s="721">
        <v>84.79</v>
      </c>
      <c r="JE54" s="721">
        <v>45</v>
      </c>
      <c r="JF54" s="721">
        <v>0.3</v>
      </c>
      <c r="JG54" s="721">
        <v>84.75</v>
      </c>
      <c r="JH54" s="721">
        <v>44.424999999999997</v>
      </c>
      <c r="JI54" s="721">
        <v>0.3</v>
      </c>
      <c r="JJ54" s="721">
        <v>84.748000000000005</v>
      </c>
      <c r="JK54" s="721">
        <v>42.375</v>
      </c>
      <c r="JL54" s="721">
        <v>0.3</v>
      </c>
      <c r="JM54" s="721">
        <v>87.418000000000006</v>
      </c>
      <c r="JN54" s="721">
        <v>33.625</v>
      </c>
      <c r="JO54" s="721">
        <v>0.27500000000000002</v>
      </c>
      <c r="JP54" s="721">
        <v>87.418000000000006</v>
      </c>
      <c r="JQ54" s="721">
        <v>30.062999999999999</v>
      </c>
      <c r="JR54" s="721">
        <v>0.27500000000000002</v>
      </c>
      <c r="JS54" s="721">
        <v>87.415000000000006</v>
      </c>
      <c r="JT54" s="721">
        <v>30.125</v>
      </c>
      <c r="JU54" s="721">
        <v>0.27500000000000002</v>
      </c>
      <c r="JV54" s="721">
        <v>87.415000000000006</v>
      </c>
      <c r="JW54" s="721">
        <v>31.75</v>
      </c>
      <c r="JX54" s="721">
        <v>0.27500000000000002</v>
      </c>
      <c r="JY54" s="721">
        <v>87.415000000000006</v>
      </c>
      <c r="JZ54" s="721">
        <v>29.625</v>
      </c>
      <c r="KA54" s="721">
        <v>0.25</v>
      </c>
      <c r="KB54" s="721">
        <v>87.415000000000006</v>
      </c>
      <c r="KC54" s="721">
        <v>30.375</v>
      </c>
      <c r="KD54" s="721">
        <v>0.25</v>
      </c>
      <c r="KE54" s="721">
        <v>87.415000000000006</v>
      </c>
      <c r="KF54" s="721">
        <v>28.875</v>
      </c>
      <c r="KG54" s="721">
        <v>0.25</v>
      </c>
      <c r="KH54" s="721">
        <v>87.415000000000006</v>
      </c>
      <c r="KI54" s="721">
        <v>28.75</v>
      </c>
      <c r="KJ54" s="721">
        <v>0.25</v>
      </c>
      <c r="KK54" s="721">
        <v>87.272000000000006</v>
      </c>
      <c r="KL54" s="721">
        <v>26.25</v>
      </c>
      <c r="KM54" s="721">
        <v>0.22500000000000001</v>
      </c>
      <c r="KN54" s="721">
        <v>87.272000000000006</v>
      </c>
      <c r="KO54" s="721">
        <v>24.5</v>
      </c>
      <c r="KP54" s="721">
        <v>0.22500000000000001</v>
      </c>
      <c r="KQ54" s="721">
        <v>87.272000000000006</v>
      </c>
      <c r="KR54" s="721">
        <v>20.875</v>
      </c>
      <c r="KS54" s="721">
        <v>0.22500000000000001</v>
      </c>
      <c r="KT54" s="721">
        <v>87.272000000000006</v>
      </c>
      <c r="KU54" s="721">
        <v>19.625</v>
      </c>
      <c r="KV54" s="721">
        <v>0.22500000000000001</v>
      </c>
      <c r="KW54" s="721">
        <v>87.272000000000006</v>
      </c>
      <c r="KX54" s="721">
        <v>17.875</v>
      </c>
      <c r="KY54" s="721">
        <v>0.2</v>
      </c>
      <c r="KZ54" s="721">
        <v>87.272000000000006</v>
      </c>
      <c r="LA54" s="721">
        <v>16.375</v>
      </c>
      <c r="LB54" s="721">
        <v>0.2</v>
      </c>
      <c r="LC54" s="721">
        <v>87.272000000000006</v>
      </c>
      <c r="LD54" s="721">
        <v>20</v>
      </c>
      <c r="LE54" s="721">
        <v>0.2</v>
      </c>
      <c r="LF54" s="721">
        <v>87.272000000000006</v>
      </c>
      <c r="LG54" s="721">
        <v>22.375</v>
      </c>
      <c r="LH54" s="721">
        <v>0.2</v>
      </c>
      <c r="LI54" s="721">
        <v>87.272000000000006</v>
      </c>
      <c r="LJ54" s="721">
        <v>24.375</v>
      </c>
      <c r="LK54" s="721">
        <v>0</v>
      </c>
      <c r="LL54" s="721">
        <v>87.192999999999998</v>
      </c>
      <c r="LM54" s="721">
        <v>23.125</v>
      </c>
      <c r="LN54" s="721">
        <v>0</v>
      </c>
      <c r="LO54" s="721">
        <v>87.16</v>
      </c>
      <c r="LP54" s="721">
        <v>21.625</v>
      </c>
      <c r="LQ54" s="721">
        <v>0</v>
      </c>
      <c r="LR54" s="721">
        <v>87.037999999999997</v>
      </c>
      <c r="LS54" s="721">
        <v>20.38</v>
      </c>
      <c r="LT54" s="721">
        <v>0</v>
      </c>
      <c r="LU54" s="721">
        <v>87.037999999999997</v>
      </c>
      <c r="LV54" s="721">
        <v>19.38</v>
      </c>
      <c r="LW54" s="721">
        <v>0</v>
      </c>
      <c r="LX54" s="721">
        <v>87.031000000000006</v>
      </c>
      <c r="LY54" s="721">
        <v>18.13</v>
      </c>
      <c r="LZ54" s="721">
        <v>0</v>
      </c>
      <c r="MA54" s="721">
        <v>87.02</v>
      </c>
      <c r="MB54" s="721">
        <v>17.63</v>
      </c>
      <c r="MC54" s="721">
        <v>0</v>
      </c>
      <c r="MD54" s="721">
        <v>86.936999999999998</v>
      </c>
      <c r="ME54" s="721">
        <v>17.38</v>
      </c>
      <c r="MF54" s="721">
        <v>0</v>
      </c>
      <c r="MG54" s="721">
        <v>86.930999999999997</v>
      </c>
      <c r="MH54" s="721">
        <v>13.13</v>
      </c>
      <c r="MI54" s="721">
        <v>0</v>
      </c>
      <c r="MJ54" s="721">
        <v>86.918999999999997</v>
      </c>
      <c r="MK54" s="721">
        <v>9.8800000000000008</v>
      </c>
      <c r="ML54" s="721">
        <v>0</v>
      </c>
      <c r="MM54" s="721">
        <v>86.879000000000005</v>
      </c>
      <c r="MN54" s="721">
        <v>10.75</v>
      </c>
      <c r="MO54" s="721">
        <v>0</v>
      </c>
      <c r="MP54" s="721">
        <v>86.77</v>
      </c>
      <c r="MQ54" s="721">
        <v>10</v>
      </c>
    </row>
    <row r="55" spans="1:355">
      <c r="B55" s="723" t="s">
        <v>269</v>
      </c>
      <c r="C55" s="886"/>
      <c r="D55" s="886"/>
      <c r="E55" s="886"/>
      <c r="F55" s="788"/>
      <c r="G55" s="788"/>
      <c r="H55" s="788"/>
      <c r="I55" s="788"/>
      <c r="J55" s="788"/>
      <c r="K55" s="788"/>
      <c r="L55" s="828"/>
      <c r="M55" s="829"/>
      <c r="N55" s="828"/>
      <c r="O55" s="828"/>
      <c r="P55" s="828"/>
      <c r="Q55" s="828"/>
      <c r="R55" s="828"/>
      <c r="S55" s="828"/>
      <c r="T55" s="828"/>
      <c r="U55" s="788"/>
      <c r="V55" s="827"/>
      <c r="W55" s="788"/>
      <c r="X55" s="832"/>
      <c r="Y55" s="788"/>
      <c r="Z55" s="788"/>
      <c r="AA55" s="788"/>
      <c r="AB55" s="788"/>
      <c r="AC55" s="788"/>
      <c r="AJ55" s="788"/>
      <c r="AK55" s="788"/>
      <c r="AL55" s="788"/>
      <c r="AM55" s="828"/>
      <c r="AN55" s="828"/>
      <c r="AO55" s="828"/>
      <c r="AP55" s="788"/>
      <c r="AQ55" s="788"/>
      <c r="AR55" s="788"/>
      <c r="AV55" s="723"/>
      <c r="AW55" s="723"/>
      <c r="AX55" s="723"/>
      <c r="AY55" s="723"/>
      <c r="AZ55" s="723"/>
      <c r="BA55" s="723"/>
      <c r="BB55" s="723"/>
      <c r="BC55" s="723"/>
      <c r="BD55" s="723"/>
      <c r="BE55" s="723"/>
      <c r="BF55" s="723"/>
      <c r="BG55" s="723"/>
      <c r="BH55" s="723"/>
      <c r="BI55" s="723"/>
      <c r="BJ55" s="723"/>
      <c r="BK55" s="723"/>
      <c r="BL55" s="723"/>
      <c r="BM55" s="723"/>
      <c r="BN55" s="723"/>
      <c r="BO55" s="723"/>
      <c r="BP55" s="723"/>
      <c r="BQ55" s="723"/>
      <c r="BR55" s="723"/>
      <c r="BS55" s="723"/>
      <c r="BT55" s="723"/>
      <c r="BU55" s="723"/>
      <c r="BV55" s="723"/>
      <c r="BW55" s="728"/>
      <c r="BX55" s="728"/>
      <c r="BY55" s="728"/>
      <c r="BZ55" s="723"/>
      <c r="CA55" s="723"/>
      <c r="CB55" s="723"/>
      <c r="CC55" s="723"/>
      <c r="CD55" s="723"/>
      <c r="CE55" s="723"/>
      <c r="CF55" s="723"/>
      <c r="CG55" s="723"/>
      <c r="CH55" s="723"/>
      <c r="CI55" s="723"/>
      <c r="CJ55" s="723"/>
      <c r="CK55" s="723"/>
      <c r="CL55" s="723"/>
      <c r="CM55" s="723"/>
      <c r="CN55" s="723"/>
      <c r="CO55" s="723"/>
      <c r="CP55" s="723"/>
      <c r="CQ55" s="723"/>
      <c r="CR55" s="723"/>
      <c r="CS55" s="723"/>
      <c r="CT55" s="723"/>
      <c r="CU55" s="723"/>
      <c r="CV55" s="723"/>
      <c r="CW55" s="723"/>
      <c r="CX55" s="722"/>
      <c r="CY55" s="723"/>
      <c r="CZ55" s="723"/>
      <c r="DA55" s="723"/>
      <c r="DB55" s="723"/>
      <c r="DC55" s="735"/>
      <c r="DD55" s="723"/>
      <c r="DE55" s="723"/>
      <c r="DF55" s="723"/>
      <c r="DG55" s="723"/>
      <c r="DH55" s="723"/>
      <c r="DI55" s="723"/>
      <c r="DJ55" s="723"/>
      <c r="DK55" s="723"/>
      <c r="DL55" s="723"/>
      <c r="DM55" s="723"/>
      <c r="DN55" s="723"/>
      <c r="DO55" s="723"/>
      <c r="DP55" s="723"/>
      <c r="DQ55" s="723"/>
      <c r="DR55" s="723"/>
      <c r="DS55" s="723"/>
      <c r="DT55" s="725"/>
      <c r="DU55" s="723"/>
      <c r="DV55" s="723"/>
      <c r="DW55" s="723"/>
      <c r="DX55" s="723"/>
      <c r="DY55" s="723"/>
      <c r="DZ55" s="723"/>
      <c r="EA55" s="723"/>
      <c r="EB55" s="723"/>
      <c r="EC55" s="723"/>
      <c r="ED55" s="723"/>
      <c r="EE55" s="723"/>
      <c r="EF55" s="723"/>
      <c r="EG55" s="723"/>
      <c r="EH55" s="723"/>
      <c r="EI55" s="723"/>
      <c r="EJ55" s="723"/>
      <c r="EK55" s="723"/>
      <c r="EL55" s="723"/>
      <c r="EM55" s="723"/>
      <c r="EN55" s="723"/>
      <c r="EO55" s="723"/>
      <c r="EP55" s="723"/>
      <c r="EQ55" s="723"/>
      <c r="ER55" s="723"/>
      <c r="ES55" s="723"/>
      <c r="ET55" s="722"/>
      <c r="EU55" s="722"/>
      <c r="EV55" s="722"/>
      <c r="EW55" s="723"/>
      <c r="EX55" s="723"/>
      <c r="EY55" s="723"/>
      <c r="EZ55" s="723"/>
      <c r="FA55" s="723"/>
      <c r="FB55" s="723"/>
      <c r="FC55" s="723"/>
      <c r="FD55" s="741"/>
      <c r="FE55" s="723"/>
      <c r="FF55" s="727"/>
      <c r="FG55" s="727"/>
      <c r="FH55" s="727"/>
      <c r="FI55" s="727"/>
      <c r="FJ55" s="727"/>
      <c r="FK55" s="727"/>
      <c r="FL55" s="727"/>
      <c r="FM55" s="727"/>
      <c r="FN55" s="727"/>
      <c r="FO55" s="727"/>
      <c r="FP55" s="727"/>
      <c r="FQ55" s="727"/>
      <c r="FR55" s="727"/>
      <c r="FS55" s="742"/>
      <c r="FT55" s="626"/>
      <c r="FU55" s="727"/>
      <c r="FV55" s="727"/>
      <c r="FW55" s="727"/>
      <c r="FX55" s="727"/>
      <c r="FY55" s="727"/>
      <c r="FZ55" s="727"/>
      <c r="GA55" s="727"/>
      <c r="GB55" s="727"/>
      <c r="GC55" s="727"/>
      <c r="GD55" s="750"/>
      <c r="GE55" s="741"/>
      <c r="GF55" s="751"/>
      <c r="GG55" s="750"/>
      <c r="GH55" s="727"/>
      <c r="GI55" s="727"/>
      <c r="GJ55" s="727"/>
      <c r="GK55" s="727"/>
      <c r="GL55" s="727"/>
      <c r="GM55" s="727"/>
      <c r="GN55" s="727"/>
      <c r="GO55" s="727"/>
      <c r="GP55" s="727"/>
      <c r="GQ55" s="727"/>
      <c r="GR55" s="727"/>
      <c r="GS55" s="727"/>
      <c r="GT55" s="727"/>
      <c r="GU55" s="752"/>
      <c r="GV55" s="727"/>
      <c r="GW55" s="727"/>
      <c r="GX55" s="727"/>
      <c r="GY55" s="727"/>
      <c r="GZ55" s="727"/>
      <c r="HA55" s="727"/>
      <c r="HB55" s="727"/>
      <c r="HC55" s="727"/>
      <c r="HD55" s="727"/>
      <c r="HE55" s="727"/>
      <c r="HF55" s="727"/>
      <c r="HG55" s="727"/>
      <c r="HH55" s="727"/>
      <c r="HI55" s="727"/>
      <c r="HJ55" s="727"/>
      <c r="HK55" s="727"/>
      <c r="HL55" s="727"/>
      <c r="HM55" s="727"/>
      <c r="HN55" s="727"/>
      <c r="HO55" s="752"/>
      <c r="HP55" s="752"/>
      <c r="HQ55" s="727"/>
      <c r="HR55" s="727"/>
      <c r="HS55" s="727"/>
      <c r="HT55" s="727"/>
      <c r="HU55" s="727"/>
      <c r="HV55" s="727"/>
      <c r="HW55" s="727"/>
      <c r="HX55" s="727"/>
      <c r="HY55" s="727"/>
      <c r="HZ55" s="727"/>
      <c r="IA55" s="727"/>
      <c r="IB55" s="727"/>
      <c r="IC55" s="727"/>
      <c r="ID55" s="727"/>
      <c r="IE55" s="727"/>
      <c r="IF55" s="727"/>
      <c r="IG55" s="727"/>
      <c r="IH55" s="727"/>
      <c r="II55" s="727"/>
      <c r="IJ55" s="722"/>
      <c r="IK55" s="722"/>
      <c r="IL55" s="722"/>
      <c r="IM55" s="727"/>
      <c r="IN55" s="722"/>
      <c r="IO55" s="722"/>
      <c r="IP55" s="727"/>
      <c r="IQ55" s="722"/>
      <c r="IR55" s="721">
        <v>358</v>
      </c>
      <c r="IS55" s="721">
        <v>64.25</v>
      </c>
      <c r="IT55" s="721">
        <v>0.25</v>
      </c>
      <c r="IU55" s="721">
        <v>299.5</v>
      </c>
      <c r="IV55" s="721">
        <v>64.25</v>
      </c>
      <c r="IW55" s="721">
        <v>0.25</v>
      </c>
      <c r="IX55" s="721">
        <v>299.5</v>
      </c>
      <c r="IY55" s="721">
        <v>57.063000000000002</v>
      </c>
      <c r="IZ55" s="721">
        <v>0.25</v>
      </c>
      <c r="JA55" s="721">
        <v>299.5</v>
      </c>
      <c r="JB55" s="721">
        <v>53.5</v>
      </c>
      <c r="JC55" s="721">
        <v>0.23799999999999999</v>
      </c>
      <c r="JD55" s="721"/>
      <c r="JE55" s="721"/>
      <c r="JF55" s="721"/>
      <c r="JG55" s="721">
        <v>299.5</v>
      </c>
      <c r="JH55" s="721">
        <v>46.375</v>
      </c>
      <c r="JI55" s="721">
        <v>0.23799999999999999</v>
      </c>
      <c r="JJ55" s="721">
        <v>299.49700000000001</v>
      </c>
      <c r="JK55" s="721">
        <v>41.5625</v>
      </c>
      <c r="JL55" s="721">
        <v>0.23799999999999999</v>
      </c>
      <c r="JM55" s="721">
        <v>299.49700000000001</v>
      </c>
      <c r="JN55" s="721">
        <v>38.5</v>
      </c>
      <c r="JO55" s="721">
        <v>0.22500000000000001</v>
      </c>
      <c r="JP55" s="721">
        <v>51.375</v>
      </c>
      <c r="JQ55" s="721">
        <v>39.938000000000002</v>
      </c>
      <c r="JR55" s="721">
        <v>0.32</v>
      </c>
      <c r="JS55" s="721">
        <v>51.158000000000001</v>
      </c>
      <c r="JT55" s="721">
        <v>34.875</v>
      </c>
      <c r="JU55" s="721">
        <v>0.32</v>
      </c>
      <c r="JV55" s="721">
        <v>51.158000000000001</v>
      </c>
      <c r="JW55" s="721">
        <v>42</v>
      </c>
      <c r="JX55" s="721">
        <v>0.32</v>
      </c>
      <c r="JY55" s="721">
        <v>50.591000000000001</v>
      </c>
      <c r="JZ55" s="721">
        <v>38.375</v>
      </c>
      <c r="KA55" s="721">
        <v>0.32</v>
      </c>
      <c r="KB55" s="721">
        <v>50.591000000000001</v>
      </c>
      <c r="KC55" s="721">
        <v>30.875</v>
      </c>
      <c r="KD55" s="721">
        <v>0.32</v>
      </c>
      <c r="KE55" s="721">
        <v>50.591000000000001</v>
      </c>
      <c r="KF55" s="721">
        <v>30.75</v>
      </c>
      <c r="KG55" s="721">
        <v>0.32</v>
      </c>
      <c r="KH55" s="721">
        <v>50.591000000000001</v>
      </c>
      <c r="KI55" s="721">
        <v>29.125</v>
      </c>
      <c r="KJ55" s="721">
        <v>0.3</v>
      </c>
      <c r="KK55" s="721">
        <v>50.591000000000001</v>
      </c>
      <c r="KL55" s="721">
        <v>25.625</v>
      </c>
      <c r="KM55" s="721">
        <v>0.3</v>
      </c>
      <c r="KN55" s="721">
        <v>50.591000000000001</v>
      </c>
      <c r="KO55" s="721">
        <v>22.375</v>
      </c>
      <c r="KP55" s="721">
        <v>0.3</v>
      </c>
      <c r="KQ55" s="721">
        <v>50.591000000000001</v>
      </c>
      <c r="KR55" s="721">
        <v>20.875</v>
      </c>
      <c r="KS55" s="721">
        <v>0.3</v>
      </c>
      <c r="KT55" s="721">
        <v>50.145000000000003</v>
      </c>
      <c r="KU55" s="721">
        <v>19.25</v>
      </c>
      <c r="KV55" s="721">
        <v>0.3</v>
      </c>
      <c r="KW55" s="721">
        <v>50.145000000000003</v>
      </c>
      <c r="KX55" s="721">
        <v>16.875</v>
      </c>
      <c r="KY55" s="721">
        <v>0.3</v>
      </c>
      <c r="KZ55" s="721">
        <v>50.145000000000003</v>
      </c>
      <c r="LA55" s="721">
        <v>17</v>
      </c>
      <c r="LB55" s="721">
        <v>0.3</v>
      </c>
      <c r="LC55" s="721">
        <v>47.459000000000003</v>
      </c>
      <c r="LD55" s="721">
        <v>17.5</v>
      </c>
      <c r="LE55" s="721">
        <v>0.3</v>
      </c>
      <c r="LF55" s="721">
        <v>47.459000000000003</v>
      </c>
      <c r="LG55" s="721">
        <v>20.5</v>
      </c>
      <c r="LH55" s="721">
        <v>0.3</v>
      </c>
      <c r="LI55" s="721">
        <v>47.459000000000003</v>
      </c>
      <c r="LJ55" s="721">
        <v>22.25</v>
      </c>
      <c r="LK55" s="721">
        <v>0.3</v>
      </c>
      <c r="LL55" s="721">
        <v>47.353999999999999</v>
      </c>
      <c r="LM55" s="721">
        <v>22.125</v>
      </c>
      <c r="LN55" s="721">
        <v>0.3</v>
      </c>
      <c r="LO55" s="721">
        <v>47.244</v>
      </c>
      <c r="LP55" s="721">
        <v>21</v>
      </c>
      <c r="LQ55" s="721">
        <v>0.3</v>
      </c>
      <c r="LR55" s="721">
        <v>46.819000000000003</v>
      </c>
      <c r="LS55" s="721">
        <v>18.38</v>
      </c>
      <c r="LT55" s="721">
        <v>0.3</v>
      </c>
      <c r="LU55" s="721">
        <v>46.819000000000003</v>
      </c>
      <c r="LV55" s="721">
        <v>19</v>
      </c>
      <c r="LW55" s="721">
        <v>0.3</v>
      </c>
      <c r="LX55" s="721">
        <v>46.744999999999997</v>
      </c>
      <c r="LY55" s="721">
        <v>16.13</v>
      </c>
      <c r="LZ55" s="721">
        <v>0.3</v>
      </c>
      <c r="MA55" s="721">
        <v>46.671999999999997</v>
      </c>
      <c r="MB55" s="721">
        <v>15.13</v>
      </c>
      <c r="MC55" s="721">
        <v>0.3</v>
      </c>
      <c r="MD55" s="721">
        <v>46.332999999999998</v>
      </c>
      <c r="ME55" s="721">
        <v>15.88</v>
      </c>
      <c r="MF55" s="721">
        <v>0.3</v>
      </c>
      <c r="MG55" s="721">
        <v>46.27</v>
      </c>
      <c r="MH55" s="721">
        <v>17</v>
      </c>
      <c r="MI55" s="721">
        <v>0.3</v>
      </c>
      <c r="MJ55" s="721">
        <v>46.209000000000003</v>
      </c>
      <c r="MK55" s="721">
        <v>17.5</v>
      </c>
      <c r="ML55" s="721">
        <v>0.3</v>
      </c>
      <c r="MM55" s="721">
        <v>46.149000000000001</v>
      </c>
      <c r="MN55" s="721">
        <v>18.25</v>
      </c>
      <c r="MO55" s="721">
        <v>0.3</v>
      </c>
      <c r="MP55" s="721">
        <v>46.133000000000003</v>
      </c>
      <c r="MQ55" s="721">
        <v>18</v>
      </c>
    </row>
    <row r="56" spans="1:355">
      <c r="A56" s="633" t="s">
        <v>29</v>
      </c>
      <c r="B56" s="727" t="s">
        <v>141</v>
      </c>
      <c r="C56" s="886"/>
      <c r="D56" s="886"/>
      <c r="E56" s="886"/>
      <c r="F56" s="788"/>
      <c r="G56" s="788"/>
      <c r="H56" s="788"/>
      <c r="I56" s="788"/>
      <c r="J56" s="788"/>
      <c r="K56" s="788"/>
      <c r="L56" s="828"/>
      <c r="M56" s="829"/>
      <c r="N56" s="828"/>
      <c r="O56" s="828"/>
      <c r="P56" s="828"/>
      <c r="Q56" s="828"/>
      <c r="R56" s="828"/>
      <c r="S56" s="828"/>
      <c r="T56" s="828"/>
      <c r="U56" s="788"/>
      <c r="V56" s="827"/>
      <c r="W56" s="788"/>
      <c r="X56" s="832"/>
      <c r="Y56" s="788"/>
      <c r="Z56" s="788"/>
      <c r="AA56" s="788"/>
      <c r="AB56" s="788"/>
      <c r="AC56" s="788"/>
      <c r="AJ56" s="788"/>
      <c r="AK56" s="788"/>
      <c r="AL56" s="788"/>
      <c r="AM56" s="828"/>
      <c r="AN56" s="828"/>
      <c r="AO56" s="828"/>
      <c r="AP56" s="789"/>
      <c r="AQ56" s="789"/>
      <c r="AR56" s="789"/>
      <c r="AS56" s="730"/>
      <c r="AT56" s="730"/>
      <c r="AU56" s="730"/>
      <c r="AV56" s="730"/>
      <c r="AW56" s="730"/>
      <c r="AX56" s="730"/>
      <c r="AY56" s="727"/>
      <c r="AZ56" s="727"/>
      <c r="BA56" s="727"/>
      <c r="BB56" s="727">
        <v>254</v>
      </c>
      <c r="BC56" s="727">
        <v>26.01</v>
      </c>
      <c r="BD56" s="727">
        <v>0.27</v>
      </c>
      <c r="BE56" s="727">
        <v>253</v>
      </c>
      <c r="BF56" s="727">
        <v>24.22</v>
      </c>
      <c r="BG56" s="727">
        <v>0.27</v>
      </c>
      <c r="BH56" s="727">
        <v>253</v>
      </c>
      <c r="BI56" s="727">
        <v>26.94</v>
      </c>
      <c r="BJ56" s="727">
        <v>0.27</v>
      </c>
      <c r="BK56" s="726">
        <v>252</v>
      </c>
      <c r="BL56" s="726">
        <v>26.83</v>
      </c>
      <c r="BM56" s="726">
        <v>0.27</v>
      </c>
      <c r="BN56" s="727">
        <v>252</v>
      </c>
      <c r="BO56" s="727">
        <v>26.93</v>
      </c>
      <c r="BP56" s="727">
        <v>0.27</v>
      </c>
      <c r="BQ56" s="727">
        <v>251</v>
      </c>
      <c r="BR56" s="727">
        <v>26.76</v>
      </c>
      <c r="BS56" s="727">
        <v>0.27</v>
      </c>
      <c r="BT56" s="727">
        <v>251</v>
      </c>
      <c r="BU56" s="727">
        <v>27.48</v>
      </c>
      <c r="BV56" s="727">
        <v>0.27</v>
      </c>
      <c r="BW56" s="726">
        <v>246</v>
      </c>
      <c r="BX56" s="726">
        <v>20.48</v>
      </c>
      <c r="BY56" s="726">
        <v>0.27</v>
      </c>
      <c r="BZ56" s="727">
        <v>249</v>
      </c>
      <c r="CA56" s="727">
        <v>19.13</v>
      </c>
      <c r="CB56" s="727">
        <v>0.27</v>
      </c>
      <c r="CC56" s="727">
        <v>249</v>
      </c>
      <c r="CD56" s="727">
        <v>18.46</v>
      </c>
      <c r="CE56" s="727">
        <v>0.27</v>
      </c>
      <c r="CF56" s="727">
        <v>237</v>
      </c>
      <c r="CG56" s="727">
        <v>20.16</v>
      </c>
      <c r="CH56" s="727">
        <v>0.27</v>
      </c>
      <c r="CI56" s="726">
        <v>229</v>
      </c>
      <c r="CJ56" s="726">
        <v>21.4</v>
      </c>
      <c r="CK56" s="726">
        <v>0.27</v>
      </c>
      <c r="CL56" s="727">
        <v>229</v>
      </c>
      <c r="CM56" s="727">
        <v>19.61</v>
      </c>
      <c r="CN56" s="727">
        <v>0.27</v>
      </c>
      <c r="CO56" s="727">
        <v>228</v>
      </c>
      <c r="CP56" s="727">
        <v>18.899999999999999</v>
      </c>
      <c r="CQ56" s="727">
        <v>0.27</v>
      </c>
      <c r="CR56" s="727">
        <v>228</v>
      </c>
      <c r="CS56" s="727">
        <v>19.57</v>
      </c>
      <c r="CT56" s="727">
        <v>0.27</v>
      </c>
      <c r="CU56" s="726">
        <v>226</v>
      </c>
      <c r="CV56" s="726">
        <v>18.89</v>
      </c>
      <c r="CW56" s="726">
        <v>0.27</v>
      </c>
      <c r="CX56" s="727">
        <v>226</v>
      </c>
      <c r="CY56" s="727">
        <v>20.3</v>
      </c>
      <c r="CZ56" s="727">
        <v>0.27</v>
      </c>
      <c r="DA56" s="727">
        <v>226</v>
      </c>
      <c r="DB56" s="727">
        <v>18.920000000000002</v>
      </c>
      <c r="DC56" s="727">
        <v>0.27</v>
      </c>
      <c r="DD56" s="727">
        <v>225</v>
      </c>
      <c r="DE56" s="727">
        <v>19.63</v>
      </c>
      <c r="DF56" s="727">
        <v>0.27</v>
      </c>
      <c r="DG56" s="727">
        <v>225</v>
      </c>
      <c r="DH56" s="727">
        <v>18.66</v>
      </c>
      <c r="DI56" s="727">
        <v>0.27</v>
      </c>
      <c r="DJ56" s="727">
        <v>224</v>
      </c>
      <c r="DK56" s="727">
        <v>18.25</v>
      </c>
      <c r="DL56" s="727">
        <v>0.27</v>
      </c>
      <c r="DM56" s="727">
        <v>223</v>
      </c>
      <c r="DN56" s="727">
        <v>18.600000000000001</v>
      </c>
      <c r="DO56" s="727">
        <v>0.27</v>
      </c>
      <c r="DP56" s="727">
        <v>222</v>
      </c>
      <c r="DQ56" s="727">
        <v>15.68</v>
      </c>
      <c r="DR56" s="727">
        <v>0.27</v>
      </c>
      <c r="DS56" s="727">
        <v>224</v>
      </c>
      <c r="DT56" s="748">
        <v>17.149999999999999</v>
      </c>
      <c r="DU56" s="727">
        <v>0.27</v>
      </c>
      <c r="DV56" s="727">
        <v>221</v>
      </c>
      <c r="DW56" s="727">
        <v>16.850000000000001</v>
      </c>
      <c r="DX56" s="727">
        <v>0.27</v>
      </c>
      <c r="DY56" s="727">
        <v>220</v>
      </c>
      <c r="DZ56" s="727">
        <v>14.88</v>
      </c>
      <c r="EA56" s="727">
        <v>0.27</v>
      </c>
      <c r="EB56" s="727">
        <v>219.1371</v>
      </c>
      <c r="EC56" s="727">
        <v>13.44</v>
      </c>
      <c r="ED56" s="727">
        <v>0.27</v>
      </c>
      <c r="EE56" s="727">
        <v>212.7</v>
      </c>
      <c r="EF56" s="727">
        <v>12.48</v>
      </c>
      <c r="EG56" s="727">
        <v>0.27</v>
      </c>
      <c r="EH56" s="727">
        <v>201.5</v>
      </c>
      <c r="EI56" s="727">
        <v>17.760000000000002</v>
      </c>
      <c r="EJ56" s="727">
        <v>0.27</v>
      </c>
      <c r="EK56" s="727">
        <v>201.4</v>
      </c>
      <c r="EL56" s="727">
        <v>22.91</v>
      </c>
      <c r="EM56" s="727">
        <v>0.27</v>
      </c>
      <c r="EN56" s="727">
        <v>200.7</v>
      </c>
      <c r="EO56" s="727">
        <v>25.65</v>
      </c>
      <c r="EP56" s="727">
        <v>0.27</v>
      </c>
      <c r="EQ56" s="727">
        <v>193.9</v>
      </c>
      <c r="ER56" s="727">
        <v>24.72</v>
      </c>
      <c r="ES56" s="727">
        <v>0.27</v>
      </c>
      <c r="ET56" s="727">
        <v>193.3</v>
      </c>
      <c r="EU56" s="727">
        <v>29.33</v>
      </c>
      <c r="EV56" s="727">
        <v>0.26</v>
      </c>
      <c r="EW56" s="727">
        <v>193.2</v>
      </c>
      <c r="EX56" s="727">
        <v>27.08</v>
      </c>
      <c r="EY56" s="727">
        <v>0.26</v>
      </c>
      <c r="EZ56" s="727">
        <v>192.5</v>
      </c>
      <c r="FA56" s="727">
        <v>28.2</v>
      </c>
      <c r="FB56" s="727">
        <v>0.26</v>
      </c>
      <c r="FC56" s="723">
        <v>190.7</v>
      </c>
      <c r="FD56" s="741">
        <v>29.02</v>
      </c>
      <c r="FE56" s="723">
        <v>0.26</v>
      </c>
      <c r="FF56" s="727">
        <v>190.7</v>
      </c>
      <c r="FG56" s="727">
        <v>26.01</v>
      </c>
      <c r="FH56" s="727">
        <v>0.26</v>
      </c>
      <c r="FI56" s="727">
        <v>190.3</v>
      </c>
      <c r="FJ56" s="727">
        <v>24.17</v>
      </c>
      <c r="FK56" s="727">
        <v>0.26</v>
      </c>
      <c r="FL56" s="727">
        <v>189.9</v>
      </c>
      <c r="FM56" s="727">
        <v>23.58</v>
      </c>
      <c r="FN56" s="727">
        <v>0.26</v>
      </c>
      <c r="FO56" s="727">
        <v>189.52699999999999</v>
      </c>
      <c r="FP56" s="727">
        <v>22.79</v>
      </c>
      <c r="FQ56" s="727">
        <v>0.26</v>
      </c>
      <c r="FR56" s="727">
        <v>189.2</v>
      </c>
      <c r="FS56" s="742">
        <v>22.37</v>
      </c>
      <c r="FT56" s="626">
        <f>1/4</f>
        <v>0.25</v>
      </c>
      <c r="FU56" s="727">
        <v>188.81288799999999</v>
      </c>
      <c r="FV56" s="727">
        <v>23.27</v>
      </c>
      <c r="FW56" s="727">
        <v>0.25</v>
      </c>
      <c r="FX56" s="727">
        <v>188.4</v>
      </c>
      <c r="FY56" s="727">
        <v>23.94</v>
      </c>
      <c r="FZ56" s="727">
        <v>0.25</v>
      </c>
      <c r="GA56" s="727">
        <v>175.2</v>
      </c>
      <c r="GB56" s="727">
        <v>20.99</v>
      </c>
      <c r="GC56" s="727">
        <v>0.25</v>
      </c>
      <c r="GD56" s="750">
        <v>175.2</v>
      </c>
      <c r="GE56" s="741">
        <v>21.32</v>
      </c>
      <c r="GF56" s="751">
        <v>0.25</v>
      </c>
      <c r="GG56" s="750">
        <v>172.2</v>
      </c>
      <c r="GH56" s="727">
        <v>19.899999999999999</v>
      </c>
      <c r="GI56" s="727">
        <v>0.25</v>
      </c>
      <c r="GJ56" s="727">
        <v>171.80199999999999</v>
      </c>
      <c r="GK56" s="727">
        <v>18.28</v>
      </c>
      <c r="GL56" s="727">
        <v>0.25</v>
      </c>
      <c r="GM56" s="727">
        <v>171</v>
      </c>
      <c r="GN56" s="727">
        <v>20.440000000000001</v>
      </c>
      <c r="GO56" s="727">
        <v>0.25</v>
      </c>
      <c r="GP56" s="727">
        <v>171</v>
      </c>
      <c r="GQ56" s="727">
        <v>19.54</v>
      </c>
      <c r="GR56" s="727">
        <v>0.25</v>
      </c>
      <c r="GS56" s="727">
        <v>170.48099999999999</v>
      </c>
      <c r="GT56" s="727">
        <v>17.28</v>
      </c>
      <c r="GU56" s="727">
        <v>0.25</v>
      </c>
      <c r="GV56" s="727">
        <v>170.02799999999999</v>
      </c>
      <c r="GW56" s="727">
        <v>19.16</v>
      </c>
      <c r="GX56" s="727">
        <v>0.25</v>
      </c>
      <c r="GY56" s="727">
        <v>164.85400000000001</v>
      </c>
      <c r="GZ56" s="727">
        <v>17.399999999999999</v>
      </c>
      <c r="HA56" s="727">
        <v>0.25</v>
      </c>
      <c r="HB56" s="727">
        <v>144.43600000000001</v>
      </c>
      <c r="HC56" s="727">
        <v>19.39</v>
      </c>
      <c r="HD56" s="727">
        <v>0.25</v>
      </c>
      <c r="HE56" s="727">
        <v>107.1</v>
      </c>
      <c r="HF56" s="727">
        <v>19.95</v>
      </c>
      <c r="HG56" s="727">
        <v>0.25</v>
      </c>
      <c r="HH56" s="727">
        <v>107.1</v>
      </c>
      <c r="HI56" s="727">
        <v>21.48</v>
      </c>
      <c r="HJ56" s="727">
        <v>0.25</v>
      </c>
      <c r="HK56" s="727">
        <v>107.375</v>
      </c>
      <c r="HL56" s="727">
        <v>23.35</v>
      </c>
      <c r="HM56" s="727">
        <v>0.25</v>
      </c>
      <c r="HN56" s="727">
        <v>107.9</v>
      </c>
      <c r="HO56" s="727">
        <v>22.57</v>
      </c>
      <c r="HP56" s="727">
        <v>0.25</v>
      </c>
      <c r="HQ56" s="727">
        <v>108.3</v>
      </c>
      <c r="HR56" s="727">
        <v>21.96</v>
      </c>
      <c r="HS56" s="727">
        <v>0.25</v>
      </c>
      <c r="HT56" s="727">
        <v>110.5</v>
      </c>
      <c r="HU56" s="727">
        <v>20.92</v>
      </c>
      <c r="HV56" s="727">
        <v>0.25</v>
      </c>
      <c r="HW56" s="727">
        <v>110.85899999999999</v>
      </c>
      <c r="HX56" s="727">
        <v>23.38</v>
      </c>
      <c r="HY56" s="727">
        <v>0.41499999999999998</v>
      </c>
      <c r="HZ56" s="727">
        <v>111.994</v>
      </c>
      <c r="IA56" s="727">
        <v>24.71</v>
      </c>
      <c r="IB56" s="727">
        <v>0.41499999999999998</v>
      </c>
      <c r="IC56" s="727">
        <v>118.38500000000001</v>
      </c>
      <c r="ID56" s="727">
        <v>25.1875</v>
      </c>
      <c r="IE56" s="727">
        <v>0.41499999999999998</v>
      </c>
      <c r="IF56" s="727">
        <v>118.5</v>
      </c>
      <c r="IG56" s="727">
        <v>25</v>
      </c>
      <c r="IH56" s="727">
        <v>0.41499999999999998</v>
      </c>
      <c r="II56" s="727">
        <v>118.53100000000001</v>
      </c>
      <c r="IJ56" s="722">
        <v>22.625</v>
      </c>
      <c r="IK56" s="722">
        <v>0.41499999999999998</v>
      </c>
      <c r="IL56" s="722">
        <v>118.529</v>
      </c>
      <c r="IM56" s="727">
        <v>22.9375</v>
      </c>
      <c r="IN56" s="722">
        <v>0.41499999999999998</v>
      </c>
      <c r="IO56" s="722">
        <v>118.52800000000001</v>
      </c>
      <c r="IP56" s="727">
        <v>25.4375</v>
      </c>
      <c r="IQ56" s="722">
        <v>0.41499999999999998</v>
      </c>
      <c r="IR56" s="721">
        <v>118.5</v>
      </c>
      <c r="IS56" s="721">
        <v>29.4375</v>
      </c>
      <c r="IT56" s="721">
        <v>0.41499999999999998</v>
      </c>
      <c r="IU56" s="721">
        <v>118.52</v>
      </c>
      <c r="IV56" s="721">
        <v>23.1875</v>
      </c>
      <c r="IW56" s="721">
        <v>0.41499999999999998</v>
      </c>
      <c r="IX56" s="721">
        <v>118.52</v>
      </c>
      <c r="IY56" s="721">
        <v>26.312999999999999</v>
      </c>
      <c r="IZ56" s="721">
        <v>0.41499999999999998</v>
      </c>
      <c r="JA56" s="721">
        <v>118.51</v>
      </c>
      <c r="JB56" s="721">
        <v>26.5</v>
      </c>
      <c r="JC56" s="721">
        <v>0.41499999999999998</v>
      </c>
      <c r="JD56" s="721">
        <v>118.51</v>
      </c>
      <c r="JE56" s="721">
        <v>25.062999999999999</v>
      </c>
      <c r="JF56" s="721">
        <v>0.41499999999999998</v>
      </c>
      <c r="JG56" s="721">
        <v>118.5</v>
      </c>
      <c r="JH56" s="721">
        <v>25.0625</v>
      </c>
      <c r="JI56" s="721">
        <v>0.41499999999999998</v>
      </c>
      <c r="JJ56" s="721">
        <v>118.501</v>
      </c>
      <c r="JK56" s="721">
        <v>25.8125</v>
      </c>
      <c r="JL56" s="721">
        <v>0.41499999999999998</v>
      </c>
      <c r="JM56" s="721">
        <v>118.499</v>
      </c>
      <c r="JN56" s="721">
        <v>22.75</v>
      </c>
      <c r="JO56" s="721">
        <v>0.41499999999999998</v>
      </c>
      <c r="JP56" s="721">
        <v>118.499</v>
      </c>
      <c r="JQ56" s="721">
        <v>23.125</v>
      </c>
      <c r="JR56" s="721">
        <v>0.41499999999999998</v>
      </c>
      <c r="JS56" s="721">
        <v>118.499</v>
      </c>
      <c r="JT56" s="721">
        <v>24.5</v>
      </c>
      <c r="JU56" s="721">
        <v>0.41499999999999998</v>
      </c>
      <c r="JV56" s="721">
        <v>118.249</v>
      </c>
      <c r="JW56" s="721">
        <v>25.75</v>
      </c>
      <c r="JX56" s="721">
        <v>0.41499999999999998</v>
      </c>
      <c r="JY56" s="721">
        <v>118.249</v>
      </c>
      <c r="JZ56" s="721">
        <v>25.5</v>
      </c>
      <c r="KA56" s="721">
        <v>0.41499999999999998</v>
      </c>
      <c r="KB56" s="721">
        <v>118.249</v>
      </c>
      <c r="KC56" s="721">
        <v>26.5</v>
      </c>
      <c r="KD56" s="721">
        <v>0.41499999999999998</v>
      </c>
      <c r="KE56" s="721">
        <v>118.249</v>
      </c>
      <c r="KF56" s="721">
        <v>26.125</v>
      </c>
      <c r="KG56" s="721">
        <v>0.41499999999999998</v>
      </c>
      <c r="KH56" s="721">
        <v>118.249</v>
      </c>
      <c r="KI56" s="721">
        <v>26.125</v>
      </c>
      <c r="KJ56" s="721">
        <v>0.41499999999999998</v>
      </c>
      <c r="KK56" s="721">
        <v>118.249</v>
      </c>
      <c r="KL56" s="721">
        <v>24.25</v>
      </c>
      <c r="KM56" s="721">
        <v>0.41499999999999998</v>
      </c>
      <c r="KN56" s="721">
        <v>118.249</v>
      </c>
      <c r="KO56" s="721">
        <v>21.5</v>
      </c>
      <c r="KP56" s="721">
        <v>0.41499999999999998</v>
      </c>
      <c r="KQ56" s="721">
        <v>118.249</v>
      </c>
      <c r="KR56" s="721">
        <v>18.875</v>
      </c>
      <c r="KS56" s="721">
        <v>0.41499999999999998</v>
      </c>
      <c r="KT56" s="721">
        <v>117.249</v>
      </c>
      <c r="KU56" s="721">
        <v>18.375</v>
      </c>
      <c r="KV56" s="721">
        <v>0.41499999999999998</v>
      </c>
      <c r="KW56" s="721">
        <v>117.249</v>
      </c>
      <c r="KX56" s="721">
        <v>19.25</v>
      </c>
      <c r="KY56" s="721">
        <v>0.41749999999999998</v>
      </c>
      <c r="KZ56" s="721">
        <v>117.249</v>
      </c>
      <c r="LA56" s="721">
        <v>19</v>
      </c>
      <c r="LB56" s="721">
        <v>0.41499999999999998</v>
      </c>
      <c r="LC56" s="721">
        <v>115.898</v>
      </c>
      <c r="LD56" s="721">
        <v>22</v>
      </c>
      <c r="LE56" s="721">
        <v>0.41499999999999998</v>
      </c>
      <c r="LF56" s="721">
        <v>115.898</v>
      </c>
      <c r="LG56" s="721">
        <v>26.75</v>
      </c>
      <c r="LH56" s="721">
        <v>0.41</v>
      </c>
      <c r="LI56" s="721">
        <v>115.898</v>
      </c>
      <c r="LJ56" s="721">
        <v>28.625</v>
      </c>
      <c r="LK56" s="721">
        <v>0.41</v>
      </c>
      <c r="LL56" s="721">
        <v>114.926</v>
      </c>
      <c r="LM56" s="721">
        <v>27.125</v>
      </c>
      <c r="LN56" s="721">
        <v>0.41</v>
      </c>
      <c r="LO56" s="721">
        <v>114.402</v>
      </c>
      <c r="LP56" s="721">
        <v>26</v>
      </c>
      <c r="LQ56" s="721">
        <v>0.41</v>
      </c>
      <c r="LR56" s="721">
        <v>111.90900000000001</v>
      </c>
      <c r="LS56" s="721">
        <v>23.88</v>
      </c>
      <c r="LT56" s="721">
        <v>0.4</v>
      </c>
      <c r="LU56" s="721">
        <v>111.90900000000001</v>
      </c>
      <c r="LV56" s="721">
        <v>26.5</v>
      </c>
      <c r="LW56" s="721">
        <v>0.4</v>
      </c>
      <c r="LX56" s="721">
        <v>111.465</v>
      </c>
      <c r="LY56" s="721">
        <v>25.25</v>
      </c>
      <c r="LZ56" s="721">
        <v>0.4</v>
      </c>
      <c r="MA56" s="721">
        <v>111.193</v>
      </c>
      <c r="MB56" s="721">
        <v>23.25</v>
      </c>
      <c r="MC56" s="721">
        <v>0.4</v>
      </c>
      <c r="MD56" s="721">
        <v>105.911</v>
      </c>
      <c r="ME56" s="721">
        <v>25</v>
      </c>
      <c r="MF56" s="721">
        <v>0.39</v>
      </c>
      <c r="MG56" s="721">
        <v>104.70699999999999</v>
      </c>
      <c r="MH56" s="721">
        <v>22.75</v>
      </c>
      <c r="MI56" s="721">
        <v>0.39</v>
      </c>
      <c r="MJ56" s="721">
        <v>103.607</v>
      </c>
      <c r="MK56" s="721">
        <v>20.5</v>
      </c>
      <c r="ML56" s="721">
        <v>0.39</v>
      </c>
      <c r="MM56" s="721">
        <v>101.997</v>
      </c>
      <c r="MN56" s="721">
        <v>21.38</v>
      </c>
      <c r="MO56" s="721">
        <v>0.39</v>
      </c>
      <c r="MP56" s="721">
        <v>98.620999999999995</v>
      </c>
      <c r="MQ56" s="721">
        <v>20.5</v>
      </c>
    </row>
    <row r="57" spans="1:355">
      <c r="B57" s="727" t="s">
        <v>270</v>
      </c>
      <c r="C57" s="886"/>
      <c r="D57" s="886"/>
      <c r="E57" s="886"/>
      <c r="F57" s="788"/>
      <c r="G57" s="788"/>
      <c r="H57" s="788"/>
      <c r="I57" s="788"/>
      <c r="J57" s="788"/>
      <c r="K57" s="788"/>
      <c r="L57" s="828"/>
      <c r="M57" s="829"/>
      <c r="N57" s="828"/>
      <c r="O57" s="828"/>
      <c r="P57" s="828"/>
      <c r="Q57" s="828"/>
      <c r="R57" s="828"/>
      <c r="S57" s="828"/>
      <c r="T57" s="828"/>
      <c r="U57" s="788"/>
      <c r="V57" s="827"/>
      <c r="W57" s="788"/>
      <c r="X57" s="832"/>
      <c r="Y57" s="788"/>
      <c r="Z57" s="788"/>
      <c r="AA57" s="788"/>
      <c r="AB57" s="788"/>
      <c r="AC57" s="788"/>
      <c r="AJ57" s="788"/>
      <c r="AK57" s="788"/>
      <c r="AL57" s="788"/>
      <c r="AM57" s="828"/>
      <c r="AN57" s="828"/>
      <c r="AO57" s="828"/>
      <c r="AP57" s="788"/>
      <c r="AQ57" s="788"/>
      <c r="AR57" s="788"/>
      <c r="AS57" s="727"/>
      <c r="AT57" s="727"/>
      <c r="AU57" s="727"/>
      <c r="AV57" s="727"/>
      <c r="AW57" s="727"/>
      <c r="AX57" s="727"/>
      <c r="AY57" s="727"/>
      <c r="AZ57" s="727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7"/>
      <c r="BL57" s="727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6"/>
      <c r="BX57" s="726"/>
      <c r="BY57" s="726"/>
      <c r="BZ57" s="727"/>
      <c r="CA57" s="727"/>
      <c r="CB57" s="727"/>
      <c r="CC57" s="727"/>
      <c r="CD57" s="727"/>
      <c r="CE57" s="727"/>
      <c r="CF57" s="727"/>
      <c r="CG57" s="727"/>
      <c r="CH57" s="727"/>
      <c r="CI57" s="727"/>
      <c r="CJ57" s="727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7"/>
      <c r="CV57" s="727"/>
      <c r="CW57" s="727"/>
      <c r="CX57" s="727"/>
      <c r="CY57" s="727"/>
      <c r="CZ57" s="727"/>
      <c r="DA57" s="727"/>
      <c r="DB57" s="727"/>
      <c r="DC57" s="752"/>
      <c r="DD57" s="727"/>
      <c r="DE57" s="727"/>
      <c r="DF57" s="727"/>
      <c r="DG57" s="727"/>
      <c r="DH57" s="727"/>
      <c r="DI57" s="727"/>
      <c r="DJ57" s="727"/>
      <c r="DK57" s="727"/>
      <c r="DL57" s="727"/>
      <c r="DM57" s="727"/>
      <c r="DN57" s="727"/>
      <c r="DO57" s="727"/>
      <c r="DP57" s="727"/>
      <c r="DQ57" s="727"/>
      <c r="DR57" s="727"/>
      <c r="DS57" s="727"/>
      <c r="DT57" s="748"/>
      <c r="DU57" s="727"/>
      <c r="DV57" s="727"/>
      <c r="DW57" s="727"/>
      <c r="DX57" s="727"/>
      <c r="DY57" s="727"/>
      <c r="DZ57" s="727"/>
      <c r="EA57" s="727"/>
      <c r="EB57" s="727"/>
      <c r="EC57" s="727"/>
      <c r="ED57" s="727"/>
      <c r="EE57" s="727"/>
      <c r="EF57" s="727"/>
      <c r="EG57" s="727"/>
      <c r="EH57" s="727">
        <v>129.447</v>
      </c>
      <c r="EI57" s="727">
        <v>27.27</v>
      </c>
      <c r="EJ57" s="727">
        <v>0.25</v>
      </c>
      <c r="EK57" s="727">
        <v>129.417</v>
      </c>
      <c r="EL57" s="727">
        <v>26.7</v>
      </c>
      <c r="EM57" s="727">
        <v>0.25</v>
      </c>
      <c r="EN57" s="727">
        <v>129.428</v>
      </c>
      <c r="EO57" s="727">
        <v>23.99</v>
      </c>
      <c r="EP57" s="727">
        <v>0.25</v>
      </c>
      <c r="EQ57" s="727">
        <v>117.673</v>
      </c>
      <c r="ER57" s="727">
        <v>25.87</v>
      </c>
      <c r="ES57" s="727">
        <v>0.25</v>
      </c>
      <c r="ET57" s="727">
        <v>116.821</v>
      </c>
      <c r="EU57" s="727">
        <v>27.43</v>
      </c>
      <c r="EV57" s="727">
        <v>0.25</v>
      </c>
      <c r="EW57" s="727">
        <v>116.65900000000001</v>
      </c>
      <c r="EX57" s="727">
        <v>24.47</v>
      </c>
      <c r="EY57" s="727">
        <v>0.25</v>
      </c>
      <c r="EZ57" s="727">
        <v>116.479</v>
      </c>
      <c r="FA57" s="727">
        <v>24.18</v>
      </c>
      <c r="FB57" s="727">
        <v>0.25</v>
      </c>
      <c r="FC57" s="723">
        <v>115.999</v>
      </c>
      <c r="FD57" s="741">
        <v>25.68</v>
      </c>
      <c r="FE57" s="723">
        <v>0.25</v>
      </c>
      <c r="FF57" s="727">
        <v>116.101</v>
      </c>
      <c r="FG57" s="727">
        <v>25.36</v>
      </c>
      <c r="FH57" s="727">
        <v>0.25</v>
      </c>
      <c r="FI57" s="727">
        <v>115.907</v>
      </c>
      <c r="FJ57" s="727">
        <v>22.73</v>
      </c>
      <c r="FK57" s="727">
        <v>0.25</v>
      </c>
      <c r="FL57" s="727">
        <v>115.72499999999999</v>
      </c>
      <c r="FM57" s="727">
        <v>21.48</v>
      </c>
      <c r="FN57" s="727">
        <v>0.25</v>
      </c>
      <c r="FO57" s="727">
        <v>108.06699999999999</v>
      </c>
      <c r="FP57" s="727">
        <v>21.18</v>
      </c>
      <c r="FQ57" s="727">
        <v>0.25</v>
      </c>
      <c r="FR57" s="727">
        <v>100.371</v>
      </c>
      <c r="FS57" s="742">
        <v>20.420000000000002</v>
      </c>
      <c r="FT57" s="626">
        <f>1/4</f>
        <v>0.25</v>
      </c>
      <c r="FU57" s="727">
        <v>100.157</v>
      </c>
      <c r="FV57" s="727">
        <v>23.48</v>
      </c>
      <c r="FW57" s="727">
        <v>0.25</v>
      </c>
      <c r="FX57" s="727">
        <v>99.953000000000003</v>
      </c>
      <c r="FY57" s="727">
        <v>23.38</v>
      </c>
      <c r="FZ57" s="727">
        <v>0.25</v>
      </c>
      <c r="GA57" s="727">
        <v>99.58</v>
      </c>
      <c r="GB57" s="727">
        <v>22.04</v>
      </c>
      <c r="GC57" s="727">
        <v>0.25</v>
      </c>
      <c r="GD57" s="750">
        <v>99.58</v>
      </c>
      <c r="GE57" s="741">
        <v>24.7</v>
      </c>
      <c r="GF57" s="751">
        <v>0.25</v>
      </c>
      <c r="GG57" s="750">
        <v>99.370999999999995</v>
      </c>
      <c r="GH57" s="727">
        <v>22.7</v>
      </c>
      <c r="GI57" s="727">
        <v>0.25</v>
      </c>
      <c r="GJ57" s="727">
        <v>99.168999999999997</v>
      </c>
      <c r="GK57" s="727">
        <v>21.91</v>
      </c>
      <c r="GL57" s="727">
        <v>0.25</v>
      </c>
      <c r="GM57" s="727">
        <v>96.668999999999997</v>
      </c>
      <c r="GN57" s="727">
        <v>22.37</v>
      </c>
      <c r="GO57" s="727">
        <v>0.25</v>
      </c>
      <c r="GP57" s="727">
        <v>94.125</v>
      </c>
      <c r="GQ57" s="727">
        <v>23.77</v>
      </c>
      <c r="GR57" s="727">
        <v>0.25</v>
      </c>
      <c r="GS57" s="727">
        <v>93.927999999999997</v>
      </c>
      <c r="GT57" s="727">
        <v>22.43</v>
      </c>
      <c r="GU57" s="727">
        <v>0.25</v>
      </c>
      <c r="GV57" s="727">
        <v>93.74</v>
      </c>
      <c r="GW57" s="727">
        <v>23.87</v>
      </c>
      <c r="GX57" s="727">
        <v>0.25</v>
      </c>
      <c r="GY57" s="727">
        <v>90.664000000000001</v>
      </c>
      <c r="GZ57" s="727">
        <v>21.31</v>
      </c>
      <c r="HA57" s="727">
        <v>0.25</v>
      </c>
      <c r="HB57" s="727">
        <v>87.617999999999995</v>
      </c>
      <c r="HC57" s="727">
        <v>22.05</v>
      </c>
      <c r="HD57" s="727">
        <v>0.25</v>
      </c>
      <c r="HE57" s="727">
        <v>87.447999999999993</v>
      </c>
      <c r="HF57" s="727">
        <v>20.41</v>
      </c>
      <c r="HG57" s="727">
        <v>0.25</v>
      </c>
      <c r="HH57" s="727">
        <v>87.3</v>
      </c>
      <c r="HI57" s="727">
        <v>20.65</v>
      </c>
      <c r="HJ57" s="727">
        <v>0.25</v>
      </c>
      <c r="HK57" s="727">
        <v>86.863</v>
      </c>
      <c r="HL57" s="727">
        <v>20.79</v>
      </c>
      <c r="HM57" s="727">
        <v>0.46</v>
      </c>
      <c r="HN57" s="727">
        <v>86.570999999999998</v>
      </c>
      <c r="HO57" s="727">
        <v>21.89</v>
      </c>
      <c r="HP57" s="727">
        <v>0.46</v>
      </c>
      <c r="HQ57" s="727">
        <v>86.302999999999997</v>
      </c>
      <c r="HR57" s="727">
        <v>21.49</v>
      </c>
      <c r="HS57" s="727">
        <v>0.46</v>
      </c>
      <c r="HT57" s="727">
        <v>86.036000000000001</v>
      </c>
      <c r="HU57" s="727">
        <v>26.2</v>
      </c>
      <c r="HV57" s="727">
        <v>0.46</v>
      </c>
      <c r="HW57" s="727">
        <v>85.771000000000001</v>
      </c>
      <c r="HX57" s="727">
        <v>22.88</v>
      </c>
      <c r="HY57" s="727">
        <v>0.46</v>
      </c>
      <c r="HZ57" s="727">
        <v>85.501999999999995</v>
      </c>
      <c r="IA57" s="727">
        <v>27.8125</v>
      </c>
      <c r="IB57" s="727">
        <v>0.46</v>
      </c>
      <c r="IC57" s="727">
        <v>85.295000000000002</v>
      </c>
      <c r="ID57" s="727">
        <v>25.375</v>
      </c>
      <c r="IE57" s="727">
        <v>0.46</v>
      </c>
      <c r="IF57" s="727">
        <v>85.073999999999998</v>
      </c>
      <c r="IG57" s="727">
        <v>21.5</v>
      </c>
      <c r="IH57" s="727">
        <v>0.46</v>
      </c>
      <c r="II57" s="727">
        <v>84.73</v>
      </c>
      <c r="IJ57" s="722">
        <v>22.1875</v>
      </c>
      <c r="IK57" s="722">
        <v>0.46</v>
      </c>
      <c r="IL57" s="722">
        <v>84.6</v>
      </c>
      <c r="IM57" s="727">
        <v>19.375</v>
      </c>
      <c r="IN57" s="722">
        <v>0.46</v>
      </c>
      <c r="IO57" s="722">
        <v>84.6</v>
      </c>
      <c r="IP57" s="727">
        <v>22.4375</v>
      </c>
      <c r="IQ57" s="722">
        <v>0.46</v>
      </c>
      <c r="IR57" s="721">
        <v>84.56</v>
      </c>
      <c r="IS57" s="721">
        <v>24</v>
      </c>
      <c r="IT57" s="721">
        <v>0.46</v>
      </c>
      <c r="IU57" s="721">
        <v>84.56</v>
      </c>
      <c r="IV57" s="721">
        <v>23.0625</v>
      </c>
      <c r="IW57" s="721">
        <v>0.46</v>
      </c>
      <c r="IX57" s="721">
        <v>84.56</v>
      </c>
      <c r="IY57" s="721">
        <v>27.875</v>
      </c>
      <c r="IZ57" s="721">
        <v>0.46</v>
      </c>
      <c r="JA57" s="721">
        <v>84.56</v>
      </c>
      <c r="JB57" s="721">
        <v>27.75</v>
      </c>
      <c r="JC57" s="721">
        <v>0.46</v>
      </c>
      <c r="JD57" s="721">
        <v>84.56</v>
      </c>
      <c r="JE57" s="721">
        <v>26.812999999999999</v>
      </c>
      <c r="JF57" s="721">
        <v>0.46</v>
      </c>
      <c r="JG57" s="721">
        <v>84.56</v>
      </c>
      <c r="JH57" s="721">
        <v>28.1875</v>
      </c>
      <c r="JI57" s="721">
        <v>0.46</v>
      </c>
      <c r="JJ57" s="721">
        <v>84.561000000000007</v>
      </c>
      <c r="JK57" s="721">
        <v>30.1875</v>
      </c>
      <c r="JL57" s="721">
        <v>0.46</v>
      </c>
      <c r="JM57" s="721">
        <v>63.628999999999998</v>
      </c>
      <c r="JN57" s="721">
        <v>26.75</v>
      </c>
      <c r="JO57" s="721">
        <v>0.46</v>
      </c>
      <c r="JP57" s="721">
        <v>63.628999999999998</v>
      </c>
      <c r="JQ57" s="721">
        <v>26.5</v>
      </c>
      <c r="JR57" s="721">
        <v>0.46</v>
      </c>
      <c r="JS57" s="721">
        <v>63.628999999999998</v>
      </c>
      <c r="JT57" s="721">
        <v>25.25</v>
      </c>
      <c r="JU57" s="721">
        <v>0.46</v>
      </c>
      <c r="JV57" s="721">
        <v>63.628999999999998</v>
      </c>
      <c r="JW57" s="721">
        <v>24</v>
      </c>
      <c r="JX57" s="721">
        <v>0.46</v>
      </c>
      <c r="JY57" s="721">
        <v>63.628999999999998</v>
      </c>
      <c r="JZ57" s="721">
        <v>22.5</v>
      </c>
      <c r="KA57" s="721">
        <v>0.46</v>
      </c>
      <c r="KB57" s="721">
        <v>63.628999999999998</v>
      </c>
      <c r="KC57" s="721">
        <v>24.25</v>
      </c>
      <c r="KD57" s="721">
        <v>0.46</v>
      </c>
      <c r="KE57" s="721">
        <v>63.628999999999998</v>
      </c>
      <c r="KF57" s="721">
        <v>25.5</v>
      </c>
      <c r="KG57" s="721">
        <v>0.46</v>
      </c>
      <c r="KH57" s="721">
        <v>63.628999999999998</v>
      </c>
      <c r="KI57" s="721">
        <v>23.25</v>
      </c>
      <c r="KJ57" s="721">
        <v>0.46</v>
      </c>
      <c r="KK57" s="721">
        <v>63.628999999999998</v>
      </c>
      <c r="KL57" s="721">
        <v>23.25</v>
      </c>
      <c r="KM57" s="721">
        <v>0.46</v>
      </c>
      <c r="KN57" s="721">
        <v>63.628999999999998</v>
      </c>
      <c r="KO57" s="721">
        <v>22.875</v>
      </c>
      <c r="KP57" s="721">
        <v>0.46</v>
      </c>
      <c r="KQ57" s="721">
        <v>63.628999999999998</v>
      </c>
      <c r="KR57" s="721">
        <v>21</v>
      </c>
      <c r="KS57" s="721">
        <v>0.46</v>
      </c>
      <c r="KT57" s="721">
        <v>63.628999999999998</v>
      </c>
      <c r="KU57" s="721">
        <v>20.125</v>
      </c>
      <c r="KV57" s="721">
        <v>0.46</v>
      </c>
      <c r="KW57" s="721">
        <v>63.628999999999998</v>
      </c>
      <c r="KX57" s="721">
        <v>19.625</v>
      </c>
      <c r="KY57" s="721">
        <v>0.46</v>
      </c>
      <c r="KZ57" s="721">
        <v>63.628999999999998</v>
      </c>
      <c r="LA57" s="721">
        <v>18.75</v>
      </c>
      <c r="LB57" s="721">
        <v>0.46</v>
      </c>
      <c r="LC57" s="721">
        <v>62.094999999999999</v>
      </c>
      <c r="LD57" s="721">
        <v>22.625</v>
      </c>
      <c r="LE57" s="721">
        <v>0.46</v>
      </c>
      <c r="LF57" s="721">
        <v>62.094999999999999</v>
      </c>
      <c r="LG57" s="721">
        <v>24.875</v>
      </c>
      <c r="LH57" s="721">
        <v>0.46</v>
      </c>
      <c r="LI57" s="721">
        <v>62.094999999999999</v>
      </c>
      <c r="LJ57" s="721">
        <v>26.25</v>
      </c>
      <c r="LK57" s="721">
        <v>0.46</v>
      </c>
      <c r="LL57" s="721">
        <v>59.137999999999998</v>
      </c>
      <c r="LM57" s="721">
        <v>28.125</v>
      </c>
      <c r="LN57" s="721">
        <v>0.46</v>
      </c>
      <c r="LO57" s="721">
        <v>58.765999999999998</v>
      </c>
      <c r="LP57" s="721">
        <v>28.375</v>
      </c>
      <c r="LQ57" s="721">
        <v>0.45</v>
      </c>
      <c r="LR57" s="721">
        <v>55.621000000000002</v>
      </c>
      <c r="LS57" s="721">
        <v>27.13</v>
      </c>
      <c r="LT57" s="721">
        <v>0.45</v>
      </c>
      <c r="LU57" s="721">
        <v>55.621000000000002</v>
      </c>
      <c r="LV57" s="721">
        <v>26.75</v>
      </c>
      <c r="LW57" s="721">
        <v>0.45</v>
      </c>
      <c r="LX57" s="721">
        <v>55.561999999999998</v>
      </c>
      <c r="LY57" s="721">
        <v>25.88</v>
      </c>
      <c r="LZ57" s="721">
        <v>0.45</v>
      </c>
      <c r="MA57" s="721">
        <v>55.561999999999998</v>
      </c>
      <c r="MB57" s="721">
        <v>24.75</v>
      </c>
      <c r="MC57" s="721">
        <v>0.44</v>
      </c>
      <c r="MD57" s="721">
        <v>55.561999999999998</v>
      </c>
      <c r="ME57" s="721">
        <v>26.88</v>
      </c>
      <c r="MF57" s="721">
        <v>0.44</v>
      </c>
      <c r="MG57" s="721">
        <v>55.561999999999998</v>
      </c>
      <c r="MH57" s="721">
        <v>25.25</v>
      </c>
      <c r="MI57" s="721">
        <v>0.44</v>
      </c>
      <c r="MJ57" s="721">
        <v>55.561999999999998</v>
      </c>
      <c r="MK57" s="721">
        <v>22.5</v>
      </c>
      <c r="ML57" s="721">
        <v>0.44</v>
      </c>
      <c r="MM57" s="721">
        <v>55.561999999999998</v>
      </c>
      <c r="MN57" s="721">
        <v>21.88</v>
      </c>
      <c r="MO57" s="721">
        <v>0.44</v>
      </c>
      <c r="MP57" s="721">
        <v>55.561999999999998</v>
      </c>
      <c r="MQ57" s="721">
        <v>20.38</v>
      </c>
    </row>
    <row r="58" spans="1:355">
      <c r="A58" s="633" t="s">
        <v>16</v>
      </c>
      <c r="B58" s="732" t="s">
        <v>142</v>
      </c>
      <c r="C58" s="885">
        <v>340</v>
      </c>
      <c r="D58" s="885">
        <v>54.79</v>
      </c>
      <c r="E58" s="885">
        <v>0.63749999999999996</v>
      </c>
      <c r="F58" s="828">
        <v>347</v>
      </c>
      <c r="G58" s="828">
        <v>75.41</v>
      </c>
      <c r="H58" s="828">
        <v>0.63749999999999996</v>
      </c>
      <c r="I58" s="828">
        <v>326</v>
      </c>
      <c r="J58" s="828">
        <v>75.42</v>
      </c>
      <c r="K58" s="828">
        <v>0.61250000000000004</v>
      </c>
      <c r="L58" s="828">
        <v>326</v>
      </c>
      <c r="M58" s="829">
        <v>67.41</v>
      </c>
      <c r="N58" s="828">
        <v>0.61250000000000004</v>
      </c>
      <c r="O58" s="828">
        <v>326</v>
      </c>
      <c r="P58" s="828">
        <v>61.92</v>
      </c>
      <c r="Q58" s="828">
        <v>0.61250000000000004</v>
      </c>
      <c r="R58" s="828">
        <v>326</v>
      </c>
      <c r="S58" s="828">
        <v>56.77</v>
      </c>
      <c r="T58" s="839">
        <v>0.61250000000000004</v>
      </c>
      <c r="U58" s="828">
        <v>326</v>
      </c>
      <c r="V58" s="829">
        <v>67.680000000000007</v>
      </c>
      <c r="W58" s="828">
        <v>0.60499999999999998</v>
      </c>
      <c r="X58" s="832">
        <v>326</v>
      </c>
      <c r="Y58" s="788">
        <v>63.27</v>
      </c>
      <c r="Z58" s="788">
        <v>0.60499999999999998</v>
      </c>
      <c r="AA58" s="788">
        <v>326</v>
      </c>
      <c r="AB58" s="788">
        <v>63.66</v>
      </c>
      <c r="AC58" s="788">
        <v>0.60499999999999998</v>
      </c>
      <c r="AD58" s="788">
        <v>326</v>
      </c>
      <c r="AE58" s="788">
        <v>63.24</v>
      </c>
      <c r="AF58" s="801">
        <v>0.60499999999999998</v>
      </c>
      <c r="AG58" s="788">
        <v>326</v>
      </c>
      <c r="AH58" s="788">
        <v>77.17</v>
      </c>
      <c r="AI58" s="788">
        <v>0.54249999999999998</v>
      </c>
      <c r="AJ58" s="788">
        <v>326</v>
      </c>
      <c r="AK58" s="788">
        <v>78.19</v>
      </c>
      <c r="AL58" s="788">
        <v>0.54249999999999998</v>
      </c>
      <c r="AM58" s="828">
        <v>326</v>
      </c>
      <c r="AN58" s="828">
        <v>79.61</v>
      </c>
      <c r="AO58" s="828">
        <v>0.54249999999999998</v>
      </c>
      <c r="AP58" s="788">
        <v>326</v>
      </c>
      <c r="AQ58" s="788">
        <v>71.989999999999995</v>
      </c>
      <c r="AR58" s="795">
        <v>0.54249999999999998</v>
      </c>
      <c r="AS58" s="723">
        <v>326</v>
      </c>
      <c r="AT58" s="723">
        <v>72.25</v>
      </c>
      <c r="AU58" s="723">
        <v>0.48</v>
      </c>
      <c r="AV58" s="723">
        <v>326</v>
      </c>
      <c r="AW58" s="723">
        <v>77.67</v>
      </c>
      <c r="AX58" s="723">
        <v>0.48</v>
      </c>
      <c r="AY58" s="723">
        <v>326</v>
      </c>
      <c r="AZ58" s="723">
        <v>71.89</v>
      </c>
      <c r="BA58" s="723">
        <v>0.48</v>
      </c>
      <c r="BB58" s="723">
        <v>326</v>
      </c>
      <c r="BC58" s="723">
        <v>59.21</v>
      </c>
      <c r="BD58" s="723">
        <v>0.48</v>
      </c>
      <c r="BE58" s="723">
        <v>326</v>
      </c>
      <c r="BF58" s="723">
        <v>63.07</v>
      </c>
      <c r="BG58" s="723">
        <v>0.41749999999999998</v>
      </c>
      <c r="BH58" s="723">
        <v>326</v>
      </c>
      <c r="BI58" s="723">
        <v>55.58</v>
      </c>
      <c r="BJ58" s="723">
        <v>0.41749999999999998</v>
      </c>
      <c r="BK58" s="728">
        <v>326</v>
      </c>
      <c r="BL58" s="728">
        <v>62.47</v>
      </c>
      <c r="BM58" s="728">
        <v>0.41749999999999998</v>
      </c>
      <c r="BN58" s="723">
        <v>326</v>
      </c>
      <c r="BO58" s="723">
        <v>65.48</v>
      </c>
      <c r="BP58" s="757">
        <v>0.41749999999999998</v>
      </c>
      <c r="BQ58" s="723">
        <v>326</v>
      </c>
      <c r="BR58" s="723">
        <v>55.92</v>
      </c>
      <c r="BS58" s="723">
        <v>0.35499999999999998</v>
      </c>
      <c r="BT58" s="723">
        <v>326</v>
      </c>
      <c r="BU58" s="723">
        <v>58.11</v>
      </c>
      <c r="BV58" s="723">
        <v>0.35499999999999998</v>
      </c>
      <c r="BW58" s="728">
        <v>326</v>
      </c>
      <c r="BX58" s="728">
        <v>56.61</v>
      </c>
      <c r="BY58" s="728">
        <v>0.35499999999999998</v>
      </c>
      <c r="BZ58" s="723">
        <v>326</v>
      </c>
      <c r="CA58" s="723">
        <v>46.3</v>
      </c>
      <c r="CB58" s="757">
        <v>0.35499999999999998</v>
      </c>
      <c r="CC58" s="723">
        <v>326</v>
      </c>
      <c r="CD58" s="723">
        <v>46.06</v>
      </c>
      <c r="CE58" s="723">
        <v>0.33750000000000002</v>
      </c>
      <c r="CF58" s="723">
        <v>326</v>
      </c>
      <c r="CG58" s="723">
        <v>48.16</v>
      </c>
      <c r="CH58" s="723">
        <v>0.33750000000000002</v>
      </c>
      <c r="CI58" s="728">
        <v>326</v>
      </c>
      <c r="CJ58" s="728">
        <v>50.32</v>
      </c>
      <c r="CK58" s="728">
        <v>0.33750000000000002</v>
      </c>
      <c r="CL58" s="723">
        <v>326</v>
      </c>
      <c r="CM58" s="723">
        <v>45.19</v>
      </c>
      <c r="CN58" s="757">
        <v>0.33750000000000002</v>
      </c>
      <c r="CO58" s="723">
        <v>326</v>
      </c>
      <c r="CP58" s="723">
        <v>45.69</v>
      </c>
      <c r="CQ58" s="723">
        <v>0.32500000000000001</v>
      </c>
      <c r="CR58" s="723">
        <v>326</v>
      </c>
      <c r="CS58" s="723">
        <v>46.2</v>
      </c>
      <c r="CT58" s="723">
        <v>0.32500000000000001</v>
      </c>
      <c r="CU58" s="728">
        <v>326</v>
      </c>
      <c r="CV58" s="728">
        <v>42.51</v>
      </c>
      <c r="CW58" s="728">
        <v>0.32500000000000001</v>
      </c>
      <c r="CX58" s="722">
        <v>326</v>
      </c>
      <c r="CY58" s="723">
        <v>41.4</v>
      </c>
      <c r="CZ58" s="723">
        <v>0.32500000000000001</v>
      </c>
      <c r="DA58" s="723">
        <v>326</v>
      </c>
      <c r="DB58" s="723">
        <v>38.25</v>
      </c>
      <c r="DC58" s="722">
        <v>0.32</v>
      </c>
      <c r="DD58" s="723">
        <v>326</v>
      </c>
      <c r="DE58" s="723">
        <v>38.75</v>
      </c>
      <c r="DF58" s="723">
        <v>0.32</v>
      </c>
      <c r="DG58" s="723">
        <v>326</v>
      </c>
      <c r="DH58" s="723">
        <v>36.56</v>
      </c>
      <c r="DI58" s="723">
        <v>0.32</v>
      </c>
      <c r="DJ58" s="723">
        <v>326</v>
      </c>
      <c r="DK58" s="723">
        <v>38.6</v>
      </c>
      <c r="DL58" s="753">
        <v>0.32</v>
      </c>
      <c r="DM58" s="723">
        <v>326</v>
      </c>
      <c r="DN58" s="723">
        <v>34.39</v>
      </c>
      <c r="DO58" s="723">
        <v>0.315</v>
      </c>
      <c r="DP58" s="723">
        <v>326</v>
      </c>
      <c r="DQ58" s="723">
        <v>31.72</v>
      </c>
      <c r="DR58" s="723">
        <v>0.315</v>
      </c>
      <c r="DS58" s="723">
        <v>326</v>
      </c>
      <c r="DT58" s="725">
        <v>34.17</v>
      </c>
      <c r="DU58" s="723">
        <v>0.315</v>
      </c>
      <c r="DV58" s="723">
        <v>326</v>
      </c>
      <c r="DW58" s="723">
        <v>34.78</v>
      </c>
      <c r="DX58" s="723">
        <v>0.315</v>
      </c>
      <c r="DY58" s="723">
        <v>326</v>
      </c>
      <c r="DZ58" s="723">
        <v>33.58</v>
      </c>
      <c r="EA58" s="723">
        <v>0.31</v>
      </c>
      <c r="EB58" s="723">
        <v>326</v>
      </c>
      <c r="EC58" s="723">
        <v>31.46</v>
      </c>
      <c r="ED58" s="723">
        <v>0.31</v>
      </c>
      <c r="EE58" s="723">
        <v>326</v>
      </c>
      <c r="EF58" s="723">
        <v>28.81</v>
      </c>
      <c r="EG58" s="723">
        <v>0.31</v>
      </c>
      <c r="EH58" s="723">
        <v>326</v>
      </c>
      <c r="EI58" s="723">
        <v>32.119999999999997</v>
      </c>
      <c r="EJ58" s="723">
        <v>0.31</v>
      </c>
      <c r="EK58" s="723">
        <v>326</v>
      </c>
      <c r="EL58" s="723">
        <v>39.9</v>
      </c>
      <c r="EM58" s="723">
        <v>0.30499999999999999</v>
      </c>
      <c r="EN58" s="723">
        <v>326</v>
      </c>
      <c r="EO58" s="723">
        <v>51.38</v>
      </c>
      <c r="EP58" s="723">
        <v>0.30499999999999999</v>
      </c>
      <c r="EQ58" s="723">
        <v>325.81099999999998</v>
      </c>
      <c r="ER58" s="723">
        <v>49.02</v>
      </c>
      <c r="ES58" s="723">
        <v>0.30499999999999999</v>
      </c>
      <c r="ET58" s="722">
        <v>326</v>
      </c>
      <c r="EU58" s="722">
        <v>53.37</v>
      </c>
      <c r="EV58" s="722">
        <v>0.30499999999999999</v>
      </c>
      <c r="EW58" s="723">
        <v>326</v>
      </c>
      <c r="EX58" s="723">
        <v>55.45</v>
      </c>
      <c r="EY58" s="723">
        <v>0.28999999999999998</v>
      </c>
      <c r="EZ58" s="723">
        <v>326</v>
      </c>
      <c r="FA58" s="723">
        <v>56.12</v>
      </c>
      <c r="FB58" s="723">
        <v>0.28999999999999998</v>
      </c>
      <c r="FC58" s="723">
        <v>325.81099999999998</v>
      </c>
      <c r="FD58" s="741">
        <v>49.13</v>
      </c>
      <c r="FE58" s="723">
        <v>0.28999999999999998</v>
      </c>
      <c r="FF58" s="727">
        <v>326</v>
      </c>
      <c r="FG58" s="727">
        <v>45.48</v>
      </c>
      <c r="FH58" s="749">
        <v>0.28999999999999998</v>
      </c>
      <c r="FI58" s="727">
        <v>326</v>
      </c>
      <c r="FJ58" s="727">
        <v>41.64</v>
      </c>
      <c r="FK58" s="727">
        <v>0.27</v>
      </c>
      <c r="FL58" s="727">
        <v>326</v>
      </c>
      <c r="FM58" s="727">
        <v>39</v>
      </c>
      <c r="FN58" s="727">
        <v>0.27</v>
      </c>
      <c r="FO58" s="727">
        <v>326</v>
      </c>
      <c r="FP58" s="727">
        <v>41.18</v>
      </c>
      <c r="FQ58" s="727">
        <v>0.27</v>
      </c>
      <c r="FR58" s="727">
        <v>325.81099999999998</v>
      </c>
      <c r="FS58" s="742">
        <v>43.61</v>
      </c>
      <c r="FT58" s="626">
        <v>0.27</v>
      </c>
      <c r="FU58" s="727">
        <v>326</v>
      </c>
      <c r="FV58" s="727">
        <v>47.28</v>
      </c>
      <c r="FW58" s="727">
        <v>0.25</v>
      </c>
      <c r="FX58" s="727">
        <v>326</v>
      </c>
      <c r="FY58" s="727">
        <v>40.549999999999997</v>
      </c>
      <c r="FZ58" s="727">
        <v>0.25</v>
      </c>
      <c r="GA58" s="727">
        <v>326</v>
      </c>
      <c r="GB58" s="727">
        <v>34.72</v>
      </c>
      <c r="GC58" s="727">
        <v>0.25</v>
      </c>
      <c r="GD58" s="750">
        <v>326</v>
      </c>
      <c r="GE58" s="741">
        <v>32.03</v>
      </c>
      <c r="GF58" s="751">
        <v>0.25</v>
      </c>
      <c r="GG58" s="750">
        <v>326</v>
      </c>
      <c r="GH58" s="727">
        <v>26.51</v>
      </c>
      <c r="GI58" s="727">
        <v>0.2</v>
      </c>
      <c r="GJ58" s="727">
        <v>326</v>
      </c>
      <c r="GK58" s="727">
        <v>25.57</v>
      </c>
      <c r="GL58" s="727">
        <v>0.2</v>
      </c>
      <c r="GM58" s="727">
        <v>326</v>
      </c>
      <c r="GN58" s="727">
        <v>24.29</v>
      </c>
      <c r="GO58" s="727">
        <v>0.2</v>
      </c>
      <c r="GP58" s="727">
        <v>326</v>
      </c>
      <c r="GQ58" s="727">
        <v>21.93</v>
      </c>
      <c r="GR58" s="727">
        <v>0.2</v>
      </c>
      <c r="GS58" s="727">
        <v>326</v>
      </c>
      <c r="GT58" s="727">
        <v>19.100000000000001</v>
      </c>
      <c r="GU58" s="727">
        <v>0</v>
      </c>
      <c r="GV58" s="727">
        <v>326</v>
      </c>
      <c r="GW58" s="727">
        <v>16.43</v>
      </c>
      <c r="GX58" s="727">
        <v>0</v>
      </c>
      <c r="GY58" s="727">
        <v>326</v>
      </c>
      <c r="GZ58" s="727">
        <v>13.69</v>
      </c>
      <c r="HA58" s="727">
        <v>0</v>
      </c>
      <c r="HB58" s="727">
        <v>326</v>
      </c>
      <c r="HC58" s="727">
        <v>11.85</v>
      </c>
      <c r="HD58" s="727">
        <v>0</v>
      </c>
      <c r="HE58" s="727">
        <v>326</v>
      </c>
      <c r="HF58" s="727">
        <v>10</v>
      </c>
      <c r="HG58" s="727">
        <v>0</v>
      </c>
      <c r="HH58" s="727">
        <v>326</v>
      </c>
      <c r="HI58" s="727">
        <v>17</v>
      </c>
      <c r="HJ58" s="727">
        <v>0</v>
      </c>
      <c r="HK58" s="727">
        <v>325.8</v>
      </c>
      <c r="HL58" s="727">
        <v>16.75</v>
      </c>
      <c r="HM58" s="727">
        <v>0</v>
      </c>
      <c r="HN58" s="727">
        <v>326</v>
      </c>
      <c r="HO58" s="727">
        <v>15.1</v>
      </c>
      <c r="HP58" s="727">
        <v>0</v>
      </c>
      <c r="HQ58" s="727">
        <v>326</v>
      </c>
      <c r="HR58" s="727">
        <v>13.16</v>
      </c>
      <c r="HS58" s="727">
        <v>0</v>
      </c>
      <c r="HT58" s="727">
        <v>325.8</v>
      </c>
      <c r="HU58" s="727">
        <v>11.15</v>
      </c>
      <c r="HV58" s="727">
        <v>0</v>
      </c>
      <c r="HW58" s="727">
        <v>325.8</v>
      </c>
      <c r="HX58" s="727">
        <v>12.64</v>
      </c>
      <c r="HY58" s="727">
        <v>0</v>
      </c>
      <c r="HZ58" s="727">
        <v>325.8</v>
      </c>
      <c r="IA58" s="727">
        <v>15.625</v>
      </c>
      <c r="IB58" s="727">
        <v>0</v>
      </c>
      <c r="IC58" s="727">
        <v>331.69499999999999</v>
      </c>
      <c r="ID58" s="727">
        <v>19.3125</v>
      </c>
      <c r="IE58" s="727">
        <v>0.28000000000000003</v>
      </c>
      <c r="IF58" s="727">
        <v>338.1</v>
      </c>
      <c r="IG58" s="727">
        <v>20.5</v>
      </c>
      <c r="IH58" s="727">
        <v>0.28000000000000003</v>
      </c>
      <c r="II58" s="727">
        <v>347.20699999999999</v>
      </c>
      <c r="IJ58" s="722">
        <v>16.5625</v>
      </c>
      <c r="IK58" s="722">
        <v>0.28000000000000003</v>
      </c>
      <c r="IL58" s="722">
        <v>347.2</v>
      </c>
      <c r="IM58" s="727">
        <v>26.1875</v>
      </c>
      <c r="IN58" s="722">
        <v>0.27</v>
      </c>
      <c r="IO58" s="722">
        <v>347.2</v>
      </c>
      <c r="IP58" s="727">
        <v>24.3125</v>
      </c>
      <c r="IQ58" s="722">
        <v>0.27</v>
      </c>
      <c r="IR58" s="721">
        <v>359</v>
      </c>
      <c r="IS58" s="721">
        <v>26.75</v>
      </c>
      <c r="IT58" s="721">
        <v>0.27</v>
      </c>
      <c r="IU58" s="721">
        <v>353.28</v>
      </c>
      <c r="IV58" s="721">
        <v>22.25</v>
      </c>
      <c r="IW58" s="721">
        <v>0.27</v>
      </c>
      <c r="IX58" s="721">
        <v>353.28</v>
      </c>
      <c r="IY58" s="721">
        <v>27.875</v>
      </c>
      <c r="IZ58" s="721">
        <v>0.26</v>
      </c>
      <c r="JA58" s="721">
        <v>370.28</v>
      </c>
      <c r="JB58" s="721">
        <v>25.687999999999999</v>
      </c>
      <c r="JC58" s="721">
        <v>0.26</v>
      </c>
      <c r="JD58" s="721">
        <v>370.28</v>
      </c>
      <c r="JE58" s="721">
        <v>29.562999999999999</v>
      </c>
      <c r="JF58" s="721">
        <v>0.26</v>
      </c>
      <c r="JG58" s="721">
        <v>394.08</v>
      </c>
      <c r="JH58" s="721">
        <v>29.375</v>
      </c>
      <c r="JI58" s="721">
        <v>0.26</v>
      </c>
      <c r="JJ58" s="721">
        <v>394.07600000000002</v>
      </c>
      <c r="JK58" s="721">
        <v>27.1875</v>
      </c>
      <c r="JL58" s="721">
        <v>0.25</v>
      </c>
      <c r="JM58" s="721">
        <v>419.66500000000002</v>
      </c>
      <c r="JN58" s="721">
        <v>25.25</v>
      </c>
      <c r="JO58" s="721">
        <v>0.25</v>
      </c>
      <c r="JP58" s="721">
        <v>419.66500000000002</v>
      </c>
      <c r="JQ58" s="721">
        <v>24.875</v>
      </c>
      <c r="JR58" s="721">
        <v>0.25</v>
      </c>
      <c r="JS58" s="721">
        <v>429.36599999999999</v>
      </c>
      <c r="JT58" s="721">
        <v>22.5</v>
      </c>
      <c r="JU58" s="721">
        <v>0.25</v>
      </c>
      <c r="JV58" s="721">
        <v>436.476</v>
      </c>
      <c r="JW58" s="721">
        <v>19.875</v>
      </c>
      <c r="JX58" s="721">
        <v>0.25</v>
      </c>
      <c r="JY58" s="721">
        <v>445.85500000000002</v>
      </c>
      <c r="JZ58" s="721">
        <v>17.875</v>
      </c>
      <c r="KA58" s="721">
        <v>0.25</v>
      </c>
      <c r="KB58" s="721">
        <v>445.85500000000002</v>
      </c>
      <c r="KC58" s="721">
        <v>17.625</v>
      </c>
      <c r="KD58" s="721">
        <v>0.25</v>
      </c>
      <c r="KE58" s="721">
        <v>445.85500000000002</v>
      </c>
      <c r="KF58" s="721">
        <v>17.125</v>
      </c>
      <c r="KG58" s="721">
        <v>0.25</v>
      </c>
      <c r="KH58" s="721">
        <v>445.85500000000002</v>
      </c>
      <c r="KI58" s="721">
        <v>17.625</v>
      </c>
      <c r="KJ58" s="721">
        <v>0.25</v>
      </c>
      <c r="KK58" s="721">
        <v>447.61900000000003</v>
      </c>
      <c r="KL58" s="721">
        <v>17.75</v>
      </c>
      <c r="KM58" s="721">
        <v>0.25</v>
      </c>
      <c r="KN58" s="721">
        <v>447.61900000000003</v>
      </c>
      <c r="KO58" s="721">
        <v>17.125</v>
      </c>
      <c r="KP58" s="721">
        <v>0.25</v>
      </c>
      <c r="KQ58" s="721">
        <v>447.61900000000003</v>
      </c>
      <c r="KR58" s="721">
        <v>15.625</v>
      </c>
      <c r="KS58" s="721">
        <v>0.25</v>
      </c>
      <c r="KT58" s="721">
        <v>447.79899999999998</v>
      </c>
      <c r="KU58" s="721">
        <v>14.625</v>
      </c>
      <c r="KV58" s="721">
        <v>0.25</v>
      </c>
      <c r="KW58" s="721">
        <v>447.79899999999998</v>
      </c>
      <c r="KX58" s="721">
        <v>12.875</v>
      </c>
      <c r="KY58" s="721">
        <v>0.25</v>
      </c>
      <c r="KZ58" s="721">
        <v>447.79899999999998</v>
      </c>
      <c r="LA58" s="721">
        <v>12.875</v>
      </c>
      <c r="LB58" s="721">
        <v>0.35499999999999998</v>
      </c>
      <c r="LC58" s="721">
        <v>447.755</v>
      </c>
      <c r="LD58" s="721">
        <v>16.5</v>
      </c>
      <c r="LE58" s="721">
        <v>0.35499999999999998</v>
      </c>
      <c r="LF58" s="721">
        <v>447.755</v>
      </c>
      <c r="LG58" s="721">
        <v>20</v>
      </c>
      <c r="LH58" s="721">
        <v>0.35499999999999998</v>
      </c>
      <c r="LI58" s="721">
        <v>447.755</v>
      </c>
      <c r="LJ58" s="721">
        <v>23.375</v>
      </c>
      <c r="LK58" s="721">
        <v>0.35499999999999998</v>
      </c>
      <c r="LL58" s="721">
        <v>447.73899999999998</v>
      </c>
      <c r="LM58" s="721">
        <v>24.25</v>
      </c>
      <c r="LN58" s="721">
        <v>0.35499999999999998</v>
      </c>
      <c r="LO58" s="721">
        <v>447.73599999999999</v>
      </c>
      <c r="LP58" s="721">
        <v>23.625</v>
      </c>
      <c r="LQ58" s="721">
        <v>0.35</v>
      </c>
      <c r="LR58" s="721">
        <v>444.94600000000003</v>
      </c>
      <c r="LS58" s="721">
        <v>22</v>
      </c>
      <c r="LT58" s="721">
        <v>0.35</v>
      </c>
      <c r="LU58" s="721">
        <v>444.94600000000003</v>
      </c>
      <c r="LV58" s="721">
        <v>22.63</v>
      </c>
      <c r="LW58" s="721">
        <v>0.35</v>
      </c>
      <c r="LX58" s="721">
        <v>443.57400000000001</v>
      </c>
      <c r="LY58" s="721">
        <v>22.13</v>
      </c>
      <c r="LZ58" s="721">
        <v>0.34</v>
      </c>
      <c r="MA58" s="721">
        <v>441.48200000000003</v>
      </c>
      <c r="MB58" s="721">
        <v>20.38</v>
      </c>
      <c r="MC58" s="721">
        <v>0.34</v>
      </c>
      <c r="MD58" s="721">
        <v>437.32</v>
      </c>
      <c r="ME58" s="721">
        <v>23.38</v>
      </c>
      <c r="MF58" s="721">
        <v>0.34</v>
      </c>
      <c r="MG58" s="721">
        <v>436.95</v>
      </c>
      <c r="MH58" s="721">
        <v>22.19</v>
      </c>
      <c r="MI58" s="721">
        <v>0.34</v>
      </c>
      <c r="MJ58" s="721">
        <v>436.95</v>
      </c>
      <c r="MK58" s="721">
        <v>19.440000000000001</v>
      </c>
      <c r="ML58" s="721">
        <v>0.33</v>
      </c>
      <c r="MM58" s="721">
        <v>436.95</v>
      </c>
      <c r="MN58" s="721">
        <v>19.88</v>
      </c>
      <c r="MO58" s="721">
        <v>0.33</v>
      </c>
      <c r="MP58" s="721">
        <v>436.94799999999998</v>
      </c>
      <c r="MQ58" s="721">
        <v>18.940000000000001</v>
      </c>
    </row>
    <row r="59" spans="1:355">
      <c r="A59" s="633" t="s">
        <v>13</v>
      </c>
      <c r="B59" s="732" t="s">
        <v>143</v>
      </c>
      <c r="C59" s="890">
        <v>1046.0229999999999</v>
      </c>
      <c r="D59" s="885">
        <v>54.14</v>
      </c>
      <c r="E59" s="885">
        <v>0.62</v>
      </c>
      <c r="F59" s="828">
        <v>1048</v>
      </c>
      <c r="G59" s="828">
        <v>63.7</v>
      </c>
      <c r="H59" s="828">
        <v>0.62</v>
      </c>
      <c r="I59" s="828">
        <v>1044</v>
      </c>
      <c r="J59" s="828">
        <v>61.77</v>
      </c>
      <c r="K59" s="828">
        <v>0.62</v>
      </c>
      <c r="L59" s="828">
        <v>1038</v>
      </c>
      <c r="M59" s="829">
        <v>55.28</v>
      </c>
      <c r="N59" s="839">
        <v>0.62</v>
      </c>
      <c r="O59" s="828">
        <v>1020.247</v>
      </c>
      <c r="P59" s="828">
        <v>51.68</v>
      </c>
      <c r="Q59" s="828">
        <v>0.6</v>
      </c>
      <c r="R59" s="828">
        <v>1023</v>
      </c>
      <c r="S59" s="828">
        <v>43.92</v>
      </c>
      <c r="T59" s="828">
        <v>0.6</v>
      </c>
      <c r="U59" s="828">
        <v>1014</v>
      </c>
      <c r="V59" s="829">
        <v>43.6</v>
      </c>
      <c r="W59" s="828">
        <v>0.6</v>
      </c>
      <c r="X59" s="832">
        <v>1011</v>
      </c>
      <c r="Y59" s="788">
        <v>46.31</v>
      </c>
      <c r="Z59" s="801">
        <v>0.6</v>
      </c>
      <c r="AA59" s="788">
        <v>1007.3440000000001</v>
      </c>
      <c r="AB59" s="788">
        <v>44.66</v>
      </c>
      <c r="AC59" s="788">
        <v>0.57999999999999996</v>
      </c>
      <c r="AD59" s="627">
        <v>1003</v>
      </c>
      <c r="AE59" s="788">
        <v>48.09</v>
      </c>
      <c r="AF59" s="788">
        <v>0.57999999999999996</v>
      </c>
      <c r="AG59" s="788">
        <v>998</v>
      </c>
      <c r="AH59" s="788">
        <v>49.14</v>
      </c>
      <c r="AI59" s="788">
        <v>0.57999999999999996</v>
      </c>
      <c r="AJ59" s="788">
        <v>993</v>
      </c>
      <c r="AK59" s="788">
        <v>47.88</v>
      </c>
      <c r="AL59" s="801">
        <v>0.57999999999999996</v>
      </c>
      <c r="AM59" s="828">
        <v>951.33199999999999</v>
      </c>
      <c r="AN59" s="828">
        <v>49.78</v>
      </c>
      <c r="AO59" s="828">
        <v>0.56000000000000005</v>
      </c>
      <c r="AP59" s="788">
        <v>968</v>
      </c>
      <c r="AQ59" s="788">
        <v>49.19</v>
      </c>
      <c r="AR59" s="788">
        <v>0.56000000000000005</v>
      </c>
      <c r="AS59" s="723">
        <v>934</v>
      </c>
      <c r="AT59" s="723">
        <v>51.3</v>
      </c>
      <c r="AU59" s="723">
        <v>0.56000000000000005</v>
      </c>
      <c r="AV59" s="723">
        <v>916</v>
      </c>
      <c r="AW59" s="723">
        <v>53.63</v>
      </c>
      <c r="AX59" s="753">
        <v>0.56000000000000005</v>
      </c>
      <c r="AY59" s="723">
        <v>910.024</v>
      </c>
      <c r="AZ59" s="723">
        <v>51.73</v>
      </c>
      <c r="BA59" s="723">
        <v>0.54249999999999998</v>
      </c>
      <c r="BB59" s="723">
        <v>910</v>
      </c>
      <c r="BC59" s="723">
        <v>46.79</v>
      </c>
      <c r="BD59" s="723">
        <v>0.54249999999999998</v>
      </c>
      <c r="BE59" s="723">
        <v>909</v>
      </c>
      <c r="BF59" s="723">
        <v>44.7</v>
      </c>
      <c r="BG59" s="723">
        <v>0.54249999999999998</v>
      </c>
      <c r="BH59" s="723">
        <v>910</v>
      </c>
      <c r="BI59" s="723">
        <v>41.9</v>
      </c>
      <c r="BJ59" s="757">
        <v>0.54249999999999998</v>
      </c>
      <c r="BK59" s="728">
        <v>906.77599999999995</v>
      </c>
      <c r="BL59" s="728">
        <v>44.28</v>
      </c>
      <c r="BM59" s="728">
        <v>0.52500000000000002</v>
      </c>
      <c r="BN59" s="723">
        <v>898</v>
      </c>
      <c r="BO59" s="723">
        <v>49.11</v>
      </c>
      <c r="BP59" s="723">
        <v>0.52500000000000002</v>
      </c>
      <c r="BQ59" s="723">
        <v>895</v>
      </c>
      <c r="BR59" s="723">
        <v>43.65</v>
      </c>
      <c r="BS59" s="723">
        <v>0.52500000000000002</v>
      </c>
      <c r="BT59" s="723">
        <v>890</v>
      </c>
      <c r="BU59" s="723">
        <v>45.38</v>
      </c>
      <c r="BV59" s="757">
        <v>0.52500000000000002</v>
      </c>
      <c r="BW59" s="728">
        <v>876.755</v>
      </c>
      <c r="BX59" s="728">
        <v>43.94</v>
      </c>
      <c r="BY59" s="728">
        <v>0.50749999999999995</v>
      </c>
      <c r="BZ59" s="723">
        <v>878</v>
      </c>
      <c r="CA59" s="723">
        <v>41.11</v>
      </c>
      <c r="CB59" s="723">
        <v>0.50749999999999995</v>
      </c>
      <c r="CC59" s="723">
        <v>874</v>
      </c>
      <c r="CD59" s="723">
        <v>41.18</v>
      </c>
      <c r="CE59" s="723">
        <v>0.50749999999999995</v>
      </c>
      <c r="CF59" s="723">
        <v>870</v>
      </c>
      <c r="CG59" s="723">
        <v>44.13</v>
      </c>
      <c r="CH59" s="757">
        <v>0.50749999999999995</v>
      </c>
      <c r="CI59" s="728">
        <v>871.38800000000003</v>
      </c>
      <c r="CJ59" s="728">
        <v>46.92</v>
      </c>
      <c r="CK59" s="728">
        <v>0.49</v>
      </c>
      <c r="CL59" s="723">
        <v>876</v>
      </c>
      <c r="CM59" s="723">
        <v>42.81</v>
      </c>
      <c r="CN59" s="723">
        <v>0.49</v>
      </c>
      <c r="CO59" s="723">
        <v>872</v>
      </c>
      <c r="CP59" s="723">
        <v>46.09</v>
      </c>
      <c r="CQ59" s="723">
        <v>0.49</v>
      </c>
      <c r="CR59" s="723">
        <v>868</v>
      </c>
      <c r="CS59" s="723">
        <v>46.24</v>
      </c>
      <c r="CT59" s="757">
        <v>0.49</v>
      </c>
      <c r="CU59" s="728">
        <v>856.89800000000002</v>
      </c>
      <c r="CV59" s="728">
        <v>44.93</v>
      </c>
      <c r="CW59" s="728">
        <v>0.47249999999999998</v>
      </c>
      <c r="CX59" s="722">
        <v>860</v>
      </c>
      <c r="CY59" s="723">
        <v>46.29</v>
      </c>
      <c r="CZ59" s="723">
        <v>0.47249999999999998</v>
      </c>
      <c r="DA59" s="723">
        <v>855</v>
      </c>
      <c r="DB59" s="723">
        <v>42.37</v>
      </c>
      <c r="DC59" s="722">
        <v>0.47249999999999998</v>
      </c>
      <c r="DD59" s="723">
        <v>848</v>
      </c>
      <c r="DE59" s="723">
        <v>40.380000000000003</v>
      </c>
      <c r="DF59" s="753">
        <v>0.47249999999999998</v>
      </c>
      <c r="DG59" s="723">
        <v>841.91499999999996</v>
      </c>
      <c r="DH59" s="723">
        <v>38.11</v>
      </c>
      <c r="DI59" s="723">
        <v>0.45500000000000002</v>
      </c>
      <c r="DJ59" s="723">
        <v>835.95299999999997</v>
      </c>
      <c r="DK59" s="723">
        <v>38.229999999999997</v>
      </c>
      <c r="DL59" s="723">
        <v>0.45500000000000002</v>
      </c>
      <c r="DM59" s="723">
        <v>828.36300000000006</v>
      </c>
      <c r="DN59" s="723">
        <v>37.24</v>
      </c>
      <c r="DO59" s="723">
        <v>0.45500000000000002</v>
      </c>
      <c r="DP59" s="723">
        <v>822.52599999999995</v>
      </c>
      <c r="DQ59" s="723">
        <v>33.28</v>
      </c>
      <c r="DR59" s="723">
        <v>0.45500000000000002</v>
      </c>
      <c r="DS59" s="723">
        <v>810.15499999999997</v>
      </c>
      <c r="DT59" s="725">
        <v>33.159999999999997</v>
      </c>
      <c r="DU59" s="723">
        <v>0.4375</v>
      </c>
      <c r="DV59" s="723">
        <v>798.41800000000001</v>
      </c>
      <c r="DW59" s="723">
        <v>33.32</v>
      </c>
      <c r="DX59" s="723">
        <v>0.4375</v>
      </c>
      <c r="DY59" s="723">
        <v>790.74800000000005</v>
      </c>
      <c r="DZ59" s="723">
        <v>31.67</v>
      </c>
      <c r="EA59" s="723">
        <v>0.4375</v>
      </c>
      <c r="EB59" s="723">
        <v>779.85799999999995</v>
      </c>
      <c r="EC59" s="723">
        <v>31.16</v>
      </c>
      <c r="ED59" s="723">
        <v>0.4375</v>
      </c>
      <c r="EE59" s="723">
        <v>776.26</v>
      </c>
      <c r="EF59" s="723">
        <v>30.62</v>
      </c>
      <c r="EG59" s="723">
        <v>0.42</v>
      </c>
      <c r="EH59" s="723">
        <v>772.62199999999996</v>
      </c>
      <c r="EI59" s="723">
        <v>37</v>
      </c>
      <c r="EJ59" s="723">
        <v>0.42</v>
      </c>
      <c r="EK59" s="723">
        <v>769.12199999999996</v>
      </c>
      <c r="EL59" s="723">
        <v>37.69</v>
      </c>
      <c r="EM59" s="723">
        <v>0.42</v>
      </c>
      <c r="EN59" s="723">
        <v>766.15</v>
      </c>
      <c r="EO59" s="723">
        <v>34.92</v>
      </c>
      <c r="EP59" s="757">
        <v>0.42</v>
      </c>
      <c r="EQ59" s="723">
        <v>756.35</v>
      </c>
      <c r="ER59" s="723">
        <v>35.61</v>
      </c>
      <c r="ES59" s="723">
        <v>0.40250000000000002</v>
      </c>
      <c r="ET59" s="722">
        <v>758.30799999999999</v>
      </c>
      <c r="EU59" s="722">
        <v>38.75</v>
      </c>
      <c r="EV59" s="722">
        <v>0.40250000000000002</v>
      </c>
      <c r="EW59" s="723">
        <v>755.13699999999994</v>
      </c>
      <c r="EX59" s="723">
        <v>36.28</v>
      </c>
      <c r="EY59" s="723">
        <v>0.40250000000000002</v>
      </c>
      <c r="EZ59" s="723">
        <v>750.25900000000001</v>
      </c>
      <c r="FA59" s="723">
        <v>34.29</v>
      </c>
      <c r="FB59" s="723">
        <v>0.40250000000000002</v>
      </c>
      <c r="FC59" s="723">
        <v>743.14599999999996</v>
      </c>
      <c r="FD59" s="741">
        <v>36.65</v>
      </c>
      <c r="FE59" s="723">
        <v>0.38750000000000001</v>
      </c>
      <c r="FF59" s="727">
        <v>742.88400000000001</v>
      </c>
      <c r="FG59" s="727">
        <v>36.86</v>
      </c>
      <c r="FH59" s="727">
        <v>0.38750000000000001</v>
      </c>
      <c r="FI59" s="727">
        <v>742.51499999999999</v>
      </c>
      <c r="FJ59" s="727">
        <v>34.46</v>
      </c>
      <c r="FK59" s="727">
        <v>0.38750000000000001</v>
      </c>
      <c r="FL59" s="727">
        <v>742.19500000000005</v>
      </c>
      <c r="FM59" s="727">
        <v>32.049999999999997</v>
      </c>
      <c r="FN59" s="749">
        <v>0.38750000000000001</v>
      </c>
      <c r="FO59" s="727">
        <v>742</v>
      </c>
      <c r="FP59" s="727">
        <v>32.770000000000003</v>
      </c>
      <c r="FQ59" s="727">
        <v>0.3725</v>
      </c>
      <c r="FR59" s="727">
        <v>743.21400000000006</v>
      </c>
      <c r="FS59" s="742">
        <v>34.53</v>
      </c>
      <c r="FT59" s="626">
        <f>1.49/4</f>
        <v>0.3725</v>
      </c>
      <c r="FU59" s="727">
        <v>746.82299999999998</v>
      </c>
      <c r="FV59" s="727">
        <v>35.76</v>
      </c>
      <c r="FW59" s="727">
        <v>0.3725</v>
      </c>
      <c r="FX59" s="727">
        <v>744.02499999999998</v>
      </c>
      <c r="FY59" s="727">
        <v>34.67</v>
      </c>
      <c r="FZ59" s="727">
        <v>0.3725</v>
      </c>
      <c r="GA59" s="727">
        <v>739.34500000000003</v>
      </c>
      <c r="GB59" s="727">
        <v>31.83</v>
      </c>
      <c r="GC59" s="727">
        <v>0.35749999999999998</v>
      </c>
      <c r="GD59" s="750">
        <v>739.34500000000003</v>
      </c>
      <c r="GE59" s="741">
        <v>33.520000000000003</v>
      </c>
      <c r="GF59" s="751">
        <v>0.35749999999999998</v>
      </c>
      <c r="GG59" s="750">
        <v>738.18499999999995</v>
      </c>
      <c r="GH59" s="727">
        <v>29.98</v>
      </c>
      <c r="GI59" s="727">
        <v>0.35749999999999998</v>
      </c>
      <c r="GJ59" s="727">
        <v>736.63800000000003</v>
      </c>
      <c r="GK59" s="727">
        <v>29.15</v>
      </c>
      <c r="GL59" s="727">
        <v>0.35</v>
      </c>
      <c r="GM59" s="727">
        <v>734.61400000000003</v>
      </c>
      <c r="GN59" s="727">
        <v>30.5</v>
      </c>
      <c r="GO59" s="727">
        <v>0.35</v>
      </c>
      <c r="GP59" s="727">
        <v>729.81600000000003</v>
      </c>
      <c r="GQ59" s="727">
        <v>30.25</v>
      </c>
      <c r="GR59" s="727">
        <v>0.35</v>
      </c>
      <c r="GS59" s="727">
        <v>724.62699999999995</v>
      </c>
      <c r="GT59" s="727">
        <v>29.35</v>
      </c>
      <c r="GU59" s="727">
        <v>0.35</v>
      </c>
      <c r="GV59" s="727">
        <v>718.94299999999998</v>
      </c>
      <c r="GW59" s="727">
        <v>31.16</v>
      </c>
      <c r="GX59" s="727">
        <v>0.34250000000000003</v>
      </c>
      <c r="GY59" s="727">
        <v>715</v>
      </c>
      <c r="GZ59" s="727">
        <v>28.44</v>
      </c>
      <c r="HA59" s="727">
        <v>0.34250000000000003</v>
      </c>
      <c r="HB59" s="727">
        <v>710.64700000000005</v>
      </c>
      <c r="HC59" s="727">
        <v>28.39</v>
      </c>
      <c r="HD59" s="727">
        <v>0.34250000000000003</v>
      </c>
      <c r="HE59" s="727">
        <v>706.18100000000004</v>
      </c>
      <c r="HF59" s="727">
        <v>28.78</v>
      </c>
      <c r="HG59" s="727">
        <v>0.34250000000000003</v>
      </c>
      <c r="HH59" s="727">
        <v>701.01199999999994</v>
      </c>
      <c r="HI59" s="727">
        <v>27.4</v>
      </c>
      <c r="HJ59" s="727">
        <v>0.33500000000000002</v>
      </c>
      <c r="HK59" s="727">
        <v>696</v>
      </c>
      <c r="HL59" s="727">
        <v>26.49</v>
      </c>
      <c r="HM59" s="727">
        <v>0.33500000000000002</v>
      </c>
      <c r="HN59" s="727">
        <v>691.68700000000001</v>
      </c>
      <c r="HO59" s="727">
        <v>25.35</v>
      </c>
      <c r="HP59" s="727">
        <v>0.33500000000000002</v>
      </c>
      <c r="HQ59" s="727">
        <v>686.702</v>
      </c>
      <c r="HR59" s="727">
        <v>23.98</v>
      </c>
      <c r="HS59" s="727">
        <v>0.33500000000000002</v>
      </c>
      <c r="HT59" s="727">
        <v>684</v>
      </c>
      <c r="HU59" s="727">
        <v>23.25</v>
      </c>
      <c r="HV59" s="727">
        <v>0.33500000000000002</v>
      </c>
      <c r="HW59" s="727">
        <v>909.71</v>
      </c>
      <c r="HX59" s="727">
        <v>25.10707</v>
      </c>
      <c r="HY59" s="727">
        <v>0.2397</v>
      </c>
      <c r="HZ59" s="727">
        <v>907.05</v>
      </c>
      <c r="IA59" s="727">
        <v>23.79</v>
      </c>
      <c r="IB59" s="727">
        <v>0.2397</v>
      </c>
      <c r="IC59" s="727">
        <v>906.63</v>
      </c>
      <c r="ID59" s="727">
        <v>23.25</v>
      </c>
      <c r="IE59" s="727">
        <v>0.2397</v>
      </c>
      <c r="IF59" s="727">
        <v>912.64</v>
      </c>
      <c r="IG59" s="727">
        <v>16.68</v>
      </c>
      <c r="IH59" s="727">
        <v>0.2397</v>
      </c>
      <c r="II59" s="727">
        <v>936.4</v>
      </c>
      <c r="IJ59" s="722">
        <v>15.56</v>
      </c>
      <c r="IK59" s="722">
        <v>0.2397</v>
      </c>
      <c r="IL59" s="722">
        <v>947.58</v>
      </c>
      <c r="IM59" s="727">
        <v>16.809999999999999</v>
      </c>
      <c r="IN59" s="722">
        <v>0.2397</v>
      </c>
      <c r="IO59" s="722">
        <v>969.2</v>
      </c>
      <c r="IP59" s="727">
        <v>18.420000000000002</v>
      </c>
      <c r="IQ59" s="722">
        <v>0.2397</v>
      </c>
      <c r="IR59" s="721">
        <v>974.05</v>
      </c>
      <c r="IS59" s="721">
        <v>18.96</v>
      </c>
      <c r="IT59" s="721">
        <v>0.2397</v>
      </c>
      <c r="IU59" s="721">
        <v>975.26</v>
      </c>
      <c r="IV59" s="721">
        <v>16.68</v>
      </c>
      <c r="IW59" s="721">
        <v>0.2397</v>
      </c>
      <c r="IX59" s="721">
        <v>975.26</v>
      </c>
      <c r="IY59" s="721">
        <v>20.79</v>
      </c>
      <c r="IZ59" s="721">
        <v>0.2397</v>
      </c>
      <c r="JA59" s="721">
        <v>971.41</v>
      </c>
      <c r="JB59" s="721">
        <v>21.06</v>
      </c>
      <c r="JC59" s="721">
        <v>0.2397</v>
      </c>
      <c r="JD59" s="721">
        <v>971.41</v>
      </c>
      <c r="JE59" s="721">
        <v>19.809999999999999</v>
      </c>
      <c r="JF59" s="721">
        <v>0.2397</v>
      </c>
      <c r="JG59" s="721">
        <v>960.38</v>
      </c>
      <c r="JH59" s="721">
        <v>19.809999999999999</v>
      </c>
      <c r="JI59" s="721">
        <v>0.23250000000000001</v>
      </c>
      <c r="JJ59" s="721">
        <v>960.38</v>
      </c>
      <c r="JK59" s="721">
        <v>18.510000000000002</v>
      </c>
      <c r="JL59" s="721">
        <v>0.23250000000000001</v>
      </c>
      <c r="JM59" s="721">
        <v>948.74</v>
      </c>
      <c r="JN59" s="721">
        <v>16.14</v>
      </c>
      <c r="JO59" s="721">
        <v>0.23250000000000001</v>
      </c>
      <c r="JP59" s="721">
        <v>948.74</v>
      </c>
      <c r="JQ59" s="721">
        <v>15.65</v>
      </c>
      <c r="JR59" s="721">
        <v>0.23250000000000001</v>
      </c>
      <c r="JS59" s="721">
        <v>941.5</v>
      </c>
      <c r="JT59" s="721">
        <v>15.12</v>
      </c>
      <c r="JU59" s="721">
        <v>0.23250000000000001</v>
      </c>
      <c r="JV59" s="721">
        <v>673.65099999999995</v>
      </c>
      <c r="JW59" s="721">
        <v>22.375</v>
      </c>
      <c r="JX59" s="721">
        <v>0.315</v>
      </c>
      <c r="JY59" s="721">
        <v>665.774</v>
      </c>
      <c r="JZ59" s="721">
        <v>22.5</v>
      </c>
      <c r="KA59" s="721">
        <v>0.315</v>
      </c>
      <c r="KB59" s="721">
        <v>665.774</v>
      </c>
      <c r="KC59" s="721">
        <v>24.625</v>
      </c>
      <c r="KD59" s="721">
        <v>0.315</v>
      </c>
      <c r="KE59" s="721">
        <v>665.774</v>
      </c>
      <c r="KF59" s="721">
        <v>23.875</v>
      </c>
      <c r="KG59" s="721">
        <v>0.315</v>
      </c>
      <c r="KH59" s="721">
        <v>665.774</v>
      </c>
      <c r="KI59" s="721">
        <v>24.625</v>
      </c>
      <c r="KJ59" s="721">
        <v>0.30499999999999999</v>
      </c>
      <c r="KK59" s="721">
        <v>643.6</v>
      </c>
      <c r="KL59" s="721">
        <v>23.5</v>
      </c>
      <c r="KM59" s="721">
        <v>0.30499999999999999</v>
      </c>
      <c r="KN59" s="721">
        <v>643.6</v>
      </c>
      <c r="KO59" s="721">
        <v>22.375</v>
      </c>
      <c r="KP59" s="721">
        <v>0.30499999999999999</v>
      </c>
      <c r="KQ59" s="721">
        <v>643.6</v>
      </c>
      <c r="KR59" s="721">
        <v>20.375</v>
      </c>
      <c r="KS59" s="721">
        <v>0.30499999999999999</v>
      </c>
      <c r="KT59" s="721">
        <v>643.6</v>
      </c>
      <c r="KU59" s="721">
        <v>20</v>
      </c>
      <c r="KV59" s="721">
        <v>0.29499999999999998</v>
      </c>
      <c r="KW59" s="721">
        <v>643.6</v>
      </c>
      <c r="KX59" s="721">
        <v>18.625</v>
      </c>
      <c r="KY59" s="721">
        <v>0.29499999999999998</v>
      </c>
      <c r="KZ59" s="721">
        <v>643.6</v>
      </c>
      <c r="LA59" s="721">
        <v>18.75</v>
      </c>
      <c r="LB59" s="721">
        <v>0.29499999999999998</v>
      </c>
      <c r="LC59" s="721">
        <v>638.82799999999997</v>
      </c>
      <c r="LD59" s="721">
        <v>19</v>
      </c>
      <c r="LE59" s="721">
        <v>0.29499999999999998</v>
      </c>
      <c r="LF59" s="721">
        <v>638.82799999999997</v>
      </c>
      <c r="LG59" s="721">
        <v>22.0625</v>
      </c>
      <c r="LH59" s="721">
        <v>0.28499999999999998</v>
      </c>
      <c r="LI59" s="721">
        <v>638.82799999999997</v>
      </c>
      <c r="LJ59" s="721">
        <v>22.5</v>
      </c>
      <c r="LK59" s="721">
        <v>0.28499999999999998</v>
      </c>
      <c r="LL59" s="721">
        <v>636.10799999999995</v>
      </c>
      <c r="LM59" s="721">
        <v>21.0625</v>
      </c>
      <c r="LN59" s="721">
        <v>0.28499999999999998</v>
      </c>
      <c r="LO59" s="721">
        <v>633.56600000000003</v>
      </c>
      <c r="LP59" s="721">
        <v>21.3125</v>
      </c>
      <c r="LQ59" s="721">
        <v>0.28499999999999998</v>
      </c>
      <c r="LR59" s="721">
        <v>631.48599999999999</v>
      </c>
      <c r="LS59" s="721">
        <v>19.25</v>
      </c>
      <c r="LT59" s="721">
        <v>0.28000000000000003</v>
      </c>
      <c r="LU59" s="721">
        <v>631.48599999999999</v>
      </c>
      <c r="LV59" s="721">
        <v>19</v>
      </c>
      <c r="LW59" s="721">
        <v>0.28000000000000003</v>
      </c>
      <c r="LX59" s="721">
        <v>631.30799999999999</v>
      </c>
      <c r="LY59" s="721">
        <v>17.440000000000001</v>
      </c>
      <c r="LZ59" s="721">
        <v>0.28000000000000003</v>
      </c>
      <c r="MA59" s="721">
        <v>631.30799999999999</v>
      </c>
      <c r="MB59" s="721">
        <v>15.94</v>
      </c>
      <c r="MC59" s="721">
        <v>0.28000000000000003</v>
      </c>
      <c r="MD59" s="721">
        <v>631.30799999999999</v>
      </c>
      <c r="ME59" s="721">
        <v>17.190000000000001</v>
      </c>
      <c r="MF59" s="721">
        <v>0.27</v>
      </c>
      <c r="MG59" s="721">
        <v>631.30799999999999</v>
      </c>
      <c r="MH59" s="721">
        <v>15.06</v>
      </c>
      <c r="MI59" s="721">
        <v>0.27</v>
      </c>
      <c r="MJ59" s="721">
        <v>631.30799999999999</v>
      </c>
      <c r="MK59" s="721">
        <v>13.75</v>
      </c>
      <c r="ML59" s="721">
        <v>0.27</v>
      </c>
      <c r="MM59" s="721">
        <v>631.30799999999999</v>
      </c>
      <c r="MN59" s="721">
        <v>14.31</v>
      </c>
      <c r="MO59" s="721">
        <v>0.27</v>
      </c>
      <c r="MP59" s="721">
        <v>631.30799999999999</v>
      </c>
      <c r="MQ59" s="721">
        <v>13.94</v>
      </c>
    </row>
    <row r="60" spans="1:355">
      <c r="B60" s="722" t="s">
        <v>271</v>
      </c>
      <c r="C60" s="886"/>
      <c r="D60" s="886"/>
      <c r="E60" s="886"/>
      <c r="F60" s="788"/>
      <c r="G60" s="788"/>
      <c r="H60" s="788"/>
      <c r="I60" s="788"/>
      <c r="J60" s="788"/>
      <c r="K60" s="788"/>
      <c r="L60" s="828"/>
      <c r="M60" s="829"/>
      <c r="N60" s="828"/>
      <c r="O60" s="828"/>
      <c r="P60" s="828"/>
      <c r="Q60" s="828"/>
      <c r="R60" s="828"/>
      <c r="S60" s="828"/>
      <c r="T60" s="828"/>
      <c r="U60" s="788"/>
      <c r="V60" s="827"/>
      <c r="W60" s="788"/>
      <c r="X60" s="832"/>
      <c r="Y60" s="788"/>
      <c r="Z60" s="788"/>
      <c r="AA60" s="788"/>
      <c r="AB60" s="788"/>
      <c r="AC60" s="788"/>
      <c r="AJ60" s="788"/>
      <c r="AK60" s="788"/>
      <c r="AL60" s="788"/>
      <c r="AM60" s="828"/>
      <c r="AN60" s="828"/>
      <c r="AO60" s="828"/>
      <c r="AP60" s="788"/>
      <c r="AQ60" s="788"/>
      <c r="AR60" s="788"/>
      <c r="AV60" s="723"/>
      <c r="AW60" s="723"/>
      <c r="AX60" s="723"/>
      <c r="AY60" s="723"/>
      <c r="AZ60" s="723"/>
      <c r="BA60" s="723"/>
      <c r="BB60" s="723"/>
      <c r="BC60" s="723"/>
      <c r="BD60" s="723"/>
      <c r="BE60" s="723"/>
      <c r="BF60" s="723"/>
      <c r="BG60" s="723"/>
      <c r="BH60" s="723"/>
      <c r="BI60" s="723"/>
      <c r="BJ60" s="723"/>
      <c r="BK60" s="723"/>
      <c r="BL60" s="723"/>
      <c r="BM60" s="723"/>
      <c r="BN60" s="723"/>
      <c r="BO60" s="723"/>
      <c r="BP60" s="723"/>
      <c r="BQ60" s="723"/>
      <c r="BR60" s="723"/>
      <c r="BS60" s="723"/>
      <c r="BT60" s="723"/>
      <c r="BU60" s="723"/>
      <c r="BV60" s="723"/>
      <c r="BW60" s="728"/>
      <c r="BX60" s="728"/>
      <c r="BY60" s="728"/>
      <c r="BZ60" s="723"/>
      <c r="CA60" s="723"/>
      <c r="CB60" s="723"/>
      <c r="CC60" s="723"/>
      <c r="CD60" s="723"/>
      <c r="CE60" s="723"/>
      <c r="CF60" s="723"/>
      <c r="CG60" s="723"/>
      <c r="CH60" s="723"/>
      <c r="CI60" s="723"/>
      <c r="CJ60" s="723"/>
      <c r="CK60" s="723"/>
      <c r="CL60" s="723"/>
      <c r="CM60" s="723"/>
      <c r="CN60" s="723"/>
      <c r="CO60" s="723"/>
      <c r="CP60" s="723"/>
      <c r="CQ60" s="723"/>
      <c r="CR60" s="723"/>
      <c r="CS60" s="723"/>
      <c r="CT60" s="723"/>
      <c r="CU60" s="723"/>
      <c r="CV60" s="723"/>
      <c r="CW60" s="723"/>
      <c r="CX60" s="722"/>
      <c r="CY60" s="723"/>
      <c r="CZ60" s="723"/>
      <c r="DA60" s="723"/>
      <c r="DB60" s="723"/>
      <c r="DC60" s="735"/>
      <c r="DD60" s="723"/>
      <c r="DE60" s="723"/>
      <c r="DF60" s="723"/>
      <c r="DG60" s="723"/>
      <c r="DH60" s="723"/>
      <c r="DI60" s="723"/>
      <c r="DJ60" s="723"/>
      <c r="DK60" s="723"/>
      <c r="DL60" s="723"/>
      <c r="DM60" s="723"/>
      <c r="DN60" s="723"/>
      <c r="DO60" s="723"/>
      <c r="DP60" s="723"/>
      <c r="DQ60" s="723"/>
      <c r="DR60" s="723"/>
      <c r="DS60" s="723"/>
      <c r="DT60" s="725"/>
      <c r="DU60" s="723"/>
      <c r="DV60" s="723"/>
      <c r="DW60" s="723"/>
      <c r="DX60" s="723"/>
      <c r="DY60" s="723"/>
      <c r="DZ60" s="723"/>
      <c r="EA60" s="723"/>
      <c r="EB60" s="723"/>
      <c r="EC60" s="723"/>
      <c r="ED60" s="723"/>
      <c r="EE60" s="723"/>
      <c r="EF60" s="723"/>
      <c r="EG60" s="723"/>
      <c r="EH60" s="723"/>
      <c r="EI60" s="723"/>
      <c r="EJ60" s="723"/>
      <c r="EK60" s="723"/>
      <c r="EL60" s="723"/>
      <c r="EM60" s="723"/>
      <c r="EN60" s="723"/>
      <c r="EO60" s="723"/>
      <c r="EP60" s="723"/>
      <c r="EQ60" s="723"/>
      <c r="ER60" s="723"/>
      <c r="ES60" s="723"/>
      <c r="ET60" s="722"/>
      <c r="EU60" s="722"/>
      <c r="EV60" s="722"/>
      <c r="EW60" s="723"/>
      <c r="EX60" s="723"/>
      <c r="EY60" s="723"/>
      <c r="EZ60" s="723"/>
      <c r="FA60" s="723"/>
      <c r="FB60" s="723"/>
      <c r="FC60" s="723"/>
      <c r="FD60" s="741"/>
      <c r="FE60" s="723"/>
      <c r="FF60" s="727"/>
      <c r="FG60" s="727"/>
      <c r="FH60" s="727"/>
      <c r="FI60" s="727"/>
      <c r="FJ60" s="727"/>
      <c r="FK60" s="727"/>
      <c r="FL60" s="727"/>
      <c r="FM60" s="727"/>
      <c r="FN60" s="727"/>
      <c r="FO60" s="727"/>
      <c r="FP60" s="727"/>
      <c r="FQ60" s="727"/>
      <c r="FR60" s="727"/>
      <c r="FS60" s="742"/>
      <c r="FT60" s="626"/>
      <c r="FU60" s="727"/>
      <c r="FV60" s="727"/>
      <c r="FW60" s="727"/>
      <c r="FX60" s="727"/>
      <c r="FY60" s="727"/>
      <c r="FZ60" s="727"/>
      <c r="GA60" s="727"/>
      <c r="GB60" s="727"/>
      <c r="GC60" s="727"/>
      <c r="GD60" s="750"/>
      <c r="GE60" s="741"/>
      <c r="GF60" s="751"/>
      <c r="GG60" s="750"/>
      <c r="GH60" s="727"/>
      <c r="GI60" s="727"/>
      <c r="GJ60" s="727"/>
      <c r="GK60" s="727"/>
      <c r="GL60" s="727"/>
      <c r="GM60" s="727"/>
      <c r="GN60" s="727"/>
      <c r="GO60" s="727"/>
      <c r="GP60" s="727"/>
      <c r="GQ60" s="727"/>
      <c r="GR60" s="727"/>
      <c r="GS60" s="727"/>
      <c r="GT60" s="727"/>
      <c r="GU60" s="752"/>
      <c r="GV60" s="727"/>
      <c r="GW60" s="727"/>
      <c r="GX60" s="727"/>
      <c r="GY60" s="727"/>
      <c r="GZ60" s="727"/>
      <c r="HA60" s="727"/>
      <c r="HB60" s="727"/>
      <c r="HC60" s="727"/>
      <c r="HD60" s="727"/>
      <c r="HE60" s="727"/>
      <c r="HF60" s="727"/>
      <c r="HG60" s="727"/>
      <c r="HH60" s="727"/>
      <c r="HI60" s="727"/>
      <c r="HJ60" s="727"/>
      <c r="HK60" s="727"/>
      <c r="HL60" s="727"/>
      <c r="HM60" s="727"/>
      <c r="HN60" s="727"/>
      <c r="HO60" s="752"/>
      <c r="HP60" s="752"/>
      <c r="HQ60" s="727"/>
      <c r="HR60" s="727"/>
      <c r="HS60" s="727"/>
      <c r="HT60" s="727"/>
      <c r="HU60" s="727"/>
      <c r="HV60" s="727"/>
      <c r="HW60" s="727"/>
      <c r="HX60" s="727"/>
      <c r="HY60" s="727"/>
      <c r="HZ60" s="727"/>
      <c r="IA60" s="727"/>
      <c r="IB60" s="727"/>
      <c r="IC60" s="727"/>
      <c r="ID60" s="727"/>
      <c r="IE60" s="727"/>
      <c r="IF60" s="727"/>
      <c r="IG60" s="727"/>
      <c r="IH60" s="727"/>
      <c r="II60" s="727"/>
      <c r="IJ60" s="722"/>
      <c r="IK60" s="722"/>
      <c r="IL60" s="722"/>
      <c r="IM60" s="727"/>
      <c r="IN60" s="722"/>
      <c r="IO60" s="722"/>
      <c r="IP60" s="727"/>
      <c r="IQ60" s="722"/>
      <c r="IR60" s="721"/>
      <c r="IS60" s="721"/>
      <c r="IT60" s="721"/>
      <c r="IU60" s="721"/>
      <c r="IV60" s="721"/>
      <c r="IW60" s="721"/>
      <c r="IX60" s="721"/>
      <c r="IY60" s="721"/>
      <c r="IZ60" s="721"/>
      <c r="JA60" s="721"/>
      <c r="JB60" s="721"/>
      <c r="JC60" s="721"/>
      <c r="JD60" s="721"/>
      <c r="JE60" s="721"/>
      <c r="JF60" s="721"/>
      <c r="JG60" s="721"/>
      <c r="JH60" s="721"/>
      <c r="JI60" s="721"/>
      <c r="JJ60" s="721"/>
      <c r="JK60" s="721"/>
      <c r="JL60" s="721"/>
      <c r="JM60" s="721"/>
      <c r="JN60" s="721"/>
      <c r="JO60" s="721"/>
      <c r="JP60" s="721">
        <v>40.917999999999999</v>
      </c>
      <c r="JQ60" s="721">
        <v>39.313000000000002</v>
      </c>
      <c r="JR60" s="721">
        <v>0.55000000000000004</v>
      </c>
      <c r="JS60" s="721">
        <v>40.917999999999999</v>
      </c>
      <c r="JT60" s="721">
        <v>35.875</v>
      </c>
      <c r="JU60" s="721">
        <v>0.55000000000000004</v>
      </c>
      <c r="JV60" s="721">
        <v>40.917999999999999</v>
      </c>
      <c r="JW60" s="721">
        <v>35.375</v>
      </c>
      <c r="JX60" s="721">
        <v>0.55000000000000004</v>
      </c>
      <c r="JY60" s="721">
        <v>40.917999999999999</v>
      </c>
      <c r="JZ60" s="721">
        <v>32.5</v>
      </c>
      <c r="KA60" s="721">
        <v>0.55000000000000004</v>
      </c>
      <c r="KB60" s="721">
        <v>40.917999999999999</v>
      </c>
      <c r="KC60" s="721">
        <v>32.625</v>
      </c>
      <c r="KD60" s="721">
        <v>0.55000000000000004</v>
      </c>
      <c r="KE60" s="721">
        <v>40.917999999999999</v>
      </c>
      <c r="KF60" s="721">
        <v>33.25</v>
      </c>
      <c r="KG60" s="721">
        <v>0.55000000000000004</v>
      </c>
      <c r="KH60" s="721">
        <v>40.917999999999999</v>
      </c>
      <c r="KI60" s="721">
        <v>32.75</v>
      </c>
      <c r="KJ60" s="721">
        <v>0.55000000000000004</v>
      </c>
      <c r="KK60" s="721">
        <v>40.917999999999999</v>
      </c>
      <c r="KL60" s="721">
        <v>32.625</v>
      </c>
      <c r="KM60" s="721">
        <v>0.55000000000000004</v>
      </c>
      <c r="KN60" s="721">
        <v>40.917999999999999</v>
      </c>
      <c r="KO60" s="721">
        <v>29.5</v>
      </c>
      <c r="KP60" s="721">
        <v>0.55000000000000004</v>
      </c>
      <c r="KQ60" s="721">
        <v>40.917999999999999</v>
      </c>
      <c r="KR60" s="721">
        <v>27.875</v>
      </c>
      <c r="KS60" s="721">
        <v>0.55000000000000004</v>
      </c>
      <c r="KT60" s="721">
        <v>40.917999999999999</v>
      </c>
      <c r="KU60" s="721">
        <v>26.5</v>
      </c>
      <c r="KV60" s="721">
        <v>0.55000000000000004</v>
      </c>
      <c r="KW60" s="721">
        <v>40.917999999999999</v>
      </c>
      <c r="KX60" s="721">
        <v>26.25</v>
      </c>
      <c r="KY60" s="721">
        <v>0.55000000000000004</v>
      </c>
      <c r="KZ60" s="721">
        <v>40.917999999999999</v>
      </c>
      <c r="LA60" s="721">
        <v>24.875</v>
      </c>
      <c r="LB60" s="721">
        <v>0.55000000000000004</v>
      </c>
      <c r="LC60" s="721">
        <v>40.917999999999999</v>
      </c>
      <c r="LD60" s="721">
        <v>28.25</v>
      </c>
      <c r="LE60" s="721">
        <v>0.55000000000000004</v>
      </c>
      <c r="LF60" s="721">
        <v>40.917999999999999</v>
      </c>
      <c r="LG60" s="721">
        <v>30.5</v>
      </c>
      <c r="LH60" s="721">
        <v>0.55000000000000004</v>
      </c>
      <c r="LI60" s="721">
        <v>40.917999999999999</v>
      </c>
      <c r="LJ60" s="721">
        <v>30.625</v>
      </c>
      <c r="LK60" s="721">
        <v>0.55000000000000004</v>
      </c>
      <c r="LL60" s="721">
        <v>40.917999999999999</v>
      </c>
      <c r="LM60" s="721">
        <v>32.125</v>
      </c>
      <c r="LN60" s="721">
        <v>0.55000000000000004</v>
      </c>
      <c r="LO60" s="721">
        <v>40.917999999999999</v>
      </c>
      <c r="LP60" s="721">
        <v>33.25</v>
      </c>
      <c r="LQ60" s="721">
        <v>0.55000000000000004</v>
      </c>
      <c r="LR60" s="721">
        <v>40.917999999999999</v>
      </c>
      <c r="LS60" s="721">
        <v>31.5</v>
      </c>
      <c r="LT60" s="721">
        <v>0.55000000000000004</v>
      </c>
      <c r="LU60" s="721">
        <v>40.917999999999999</v>
      </c>
      <c r="LV60" s="721">
        <v>32.630000000000003</v>
      </c>
      <c r="LW60" s="721">
        <v>0.55000000000000004</v>
      </c>
      <c r="LX60" s="721">
        <v>40.917999999999999</v>
      </c>
      <c r="LY60" s="721">
        <v>31</v>
      </c>
      <c r="LZ60" s="721">
        <v>0.55000000000000004</v>
      </c>
      <c r="MA60" s="721">
        <v>40.917999999999999</v>
      </c>
      <c r="MB60" s="721">
        <v>30.88</v>
      </c>
      <c r="MC60" s="721">
        <v>0.55000000000000004</v>
      </c>
      <c r="MD60" s="721">
        <v>40.917999999999999</v>
      </c>
      <c r="ME60" s="721">
        <v>32.25</v>
      </c>
      <c r="MF60" s="721">
        <v>0.55000000000000004</v>
      </c>
      <c r="MG60" s="721">
        <v>40.917999999999999</v>
      </c>
      <c r="MH60" s="721">
        <v>31.38</v>
      </c>
      <c r="MI60" s="721">
        <v>0.55000000000000004</v>
      </c>
      <c r="MJ60" s="721">
        <v>40.917999999999999</v>
      </c>
      <c r="MK60" s="721">
        <v>28.63</v>
      </c>
      <c r="ML60" s="721">
        <v>0.55000000000000004</v>
      </c>
      <c r="MM60" s="721">
        <v>40.917999999999999</v>
      </c>
      <c r="MN60" s="721">
        <v>28.5</v>
      </c>
      <c r="MO60" s="721">
        <v>0.55000000000000004</v>
      </c>
      <c r="MP60" s="721">
        <v>40.917999999999999</v>
      </c>
      <c r="MQ60" s="721">
        <v>28.25</v>
      </c>
    </row>
    <row r="61" spans="1:355">
      <c r="A61" s="633" t="s">
        <v>32</v>
      </c>
      <c r="B61" s="722" t="s">
        <v>144</v>
      </c>
      <c r="C61" s="886"/>
      <c r="D61" s="886"/>
      <c r="E61" s="886"/>
      <c r="F61" s="788"/>
      <c r="G61" s="788"/>
      <c r="H61" s="788"/>
      <c r="I61" s="788"/>
      <c r="J61" s="788"/>
      <c r="K61" s="788"/>
      <c r="L61" s="828"/>
      <c r="M61" s="829"/>
      <c r="N61" s="828"/>
      <c r="O61" s="828"/>
      <c r="P61" s="828"/>
      <c r="Q61" s="828"/>
      <c r="R61" s="828"/>
      <c r="S61" s="828"/>
      <c r="T61" s="828"/>
      <c r="U61" s="788"/>
      <c r="V61" s="827"/>
      <c r="W61" s="788"/>
      <c r="X61" s="832"/>
      <c r="Y61" s="788"/>
      <c r="Z61" s="788"/>
      <c r="AA61" s="788"/>
      <c r="AB61" s="788"/>
      <c r="AC61" s="788"/>
      <c r="AJ61" s="788"/>
      <c r="AK61" s="788"/>
      <c r="AL61" s="788"/>
      <c r="AM61" s="828"/>
      <c r="AN61" s="828"/>
      <c r="AO61" s="828"/>
      <c r="AP61" s="788"/>
      <c r="AQ61" s="788"/>
      <c r="AR61" s="788"/>
      <c r="AV61" s="723">
        <v>234</v>
      </c>
      <c r="AW61" s="723">
        <v>27.64</v>
      </c>
      <c r="AX61" s="723">
        <v>0.23</v>
      </c>
      <c r="AY61" s="723">
        <v>233.1</v>
      </c>
      <c r="AZ61" s="723">
        <v>27.53</v>
      </c>
      <c r="BA61" s="753">
        <v>0.23</v>
      </c>
      <c r="BB61" s="723">
        <v>233.2</v>
      </c>
      <c r="BC61" s="723">
        <v>26.65</v>
      </c>
      <c r="BD61" s="723">
        <v>0.22500000000000001</v>
      </c>
      <c r="BE61" s="723">
        <v>233</v>
      </c>
      <c r="BF61" s="723">
        <v>26.26</v>
      </c>
      <c r="BG61" s="723">
        <v>0.22500000000000001</v>
      </c>
      <c r="BH61" s="723">
        <v>232.8</v>
      </c>
      <c r="BI61" s="723">
        <v>17.66</v>
      </c>
      <c r="BJ61" s="723">
        <v>0.22500000000000001</v>
      </c>
      <c r="BK61" s="728">
        <v>232.5</v>
      </c>
      <c r="BL61" s="728">
        <v>19.399999999999999</v>
      </c>
      <c r="BM61" s="754">
        <v>0.22500000000000001</v>
      </c>
      <c r="BN61" s="723">
        <v>227.8</v>
      </c>
      <c r="BO61" s="723">
        <v>20.49</v>
      </c>
      <c r="BP61" s="723">
        <v>0.22</v>
      </c>
      <c r="BQ61" s="723">
        <v>215.4</v>
      </c>
      <c r="BR61" s="723">
        <v>17.38</v>
      </c>
      <c r="BS61" s="723">
        <v>0.22</v>
      </c>
      <c r="BT61" s="723">
        <v>215.2</v>
      </c>
      <c r="BU61" s="723">
        <v>18.48</v>
      </c>
      <c r="BV61" s="723">
        <v>0.22</v>
      </c>
      <c r="BW61" s="728">
        <v>215</v>
      </c>
      <c r="BX61" s="728">
        <v>17.149999999999999</v>
      </c>
      <c r="BY61" s="728">
        <v>0.22</v>
      </c>
      <c r="BZ61" s="723">
        <v>215.2</v>
      </c>
      <c r="CA61" s="723">
        <v>17.239999999999998</v>
      </c>
      <c r="CB61" s="723">
        <v>0.22</v>
      </c>
      <c r="CC61" s="723">
        <v>215</v>
      </c>
      <c r="CD61" s="723">
        <v>16.54</v>
      </c>
      <c r="CE61" s="723">
        <v>0.22</v>
      </c>
      <c r="CF61" s="723">
        <v>214.6</v>
      </c>
      <c r="CG61" s="723">
        <v>17.190000000000001</v>
      </c>
      <c r="CH61" s="723">
        <v>0.22</v>
      </c>
      <c r="CI61" s="728">
        <v>214.3</v>
      </c>
      <c r="CJ61" s="728">
        <v>17.82</v>
      </c>
      <c r="CK61" s="728">
        <v>0.22</v>
      </c>
      <c r="CL61" s="723">
        <v>214.5</v>
      </c>
      <c r="CM61" s="723">
        <v>16.760000000000002</v>
      </c>
      <c r="CN61" s="723">
        <v>0.22</v>
      </c>
      <c r="CO61" s="723">
        <v>214.3</v>
      </c>
      <c r="CP61" s="723">
        <v>17.739999999999998</v>
      </c>
      <c r="CQ61" s="723">
        <v>0.22</v>
      </c>
      <c r="CR61" s="723">
        <v>213.9</v>
      </c>
      <c r="CS61" s="723">
        <v>18.059999999999999</v>
      </c>
      <c r="CT61" s="723">
        <v>0.22</v>
      </c>
      <c r="CU61" s="728">
        <v>213.6</v>
      </c>
      <c r="CV61" s="728">
        <v>17.55</v>
      </c>
      <c r="CW61" s="754">
        <v>0.22</v>
      </c>
      <c r="CX61" s="722">
        <v>213.8</v>
      </c>
      <c r="CY61" s="723">
        <v>19.14</v>
      </c>
      <c r="CZ61" s="723">
        <v>0.215</v>
      </c>
      <c r="DA61" s="723">
        <v>213.6</v>
      </c>
      <c r="DB61" s="723">
        <v>17.13</v>
      </c>
      <c r="DC61" s="722">
        <v>0.215</v>
      </c>
      <c r="DD61" s="723">
        <v>213</v>
      </c>
      <c r="DE61" s="723">
        <v>18.88</v>
      </c>
      <c r="DF61" s="723">
        <v>0.215</v>
      </c>
      <c r="DG61" s="723">
        <v>212.9</v>
      </c>
      <c r="DH61" s="723">
        <v>18.760000000000002</v>
      </c>
      <c r="DI61" s="753">
        <v>0.215</v>
      </c>
      <c r="DJ61" s="723">
        <v>212.8</v>
      </c>
      <c r="DK61" s="723">
        <v>17.82</v>
      </c>
      <c r="DL61" s="723">
        <v>0.20499999999999999</v>
      </c>
      <c r="DM61" s="723">
        <v>212.5</v>
      </c>
      <c r="DN61" s="723">
        <v>17.32</v>
      </c>
      <c r="DO61" s="723">
        <v>0.20499999999999999</v>
      </c>
      <c r="DP61" s="723">
        <v>212.2</v>
      </c>
      <c r="DQ61" s="723">
        <v>15.07</v>
      </c>
      <c r="DR61" s="723">
        <v>0.20499999999999999</v>
      </c>
      <c r="DS61" s="723">
        <v>212.1</v>
      </c>
      <c r="DT61" s="725">
        <v>15.89</v>
      </c>
      <c r="DU61" s="723">
        <v>0.2</v>
      </c>
      <c r="DV61" s="723">
        <v>211.9</v>
      </c>
      <c r="DW61" s="723">
        <v>16.22</v>
      </c>
      <c r="DX61" s="723">
        <v>0.2</v>
      </c>
      <c r="DY61" s="723">
        <v>211.7</v>
      </c>
      <c r="DZ61" s="723">
        <v>14.08</v>
      </c>
      <c r="EA61" s="723">
        <v>0.2</v>
      </c>
      <c r="EB61" s="723">
        <v>211.4</v>
      </c>
      <c r="EC61" s="723">
        <v>11.93</v>
      </c>
      <c r="ED61" s="723">
        <v>0.2</v>
      </c>
      <c r="EE61" s="723">
        <v>211.3</v>
      </c>
      <c r="EF61" s="723">
        <v>11.15</v>
      </c>
      <c r="EG61" s="723">
        <v>0.2</v>
      </c>
      <c r="EH61" s="723">
        <v>211.2</v>
      </c>
      <c r="EI61" s="723">
        <v>12.35</v>
      </c>
      <c r="EJ61" s="723">
        <v>0.2</v>
      </c>
      <c r="EK61" s="723">
        <v>210.4</v>
      </c>
      <c r="EL61" s="723">
        <v>15.73</v>
      </c>
      <c r="EM61" s="723">
        <v>0.2</v>
      </c>
      <c r="EN61" s="723">
        <v>209.7</v>
      </c>
      <c r="EO61" s="723">
        <v>21.49</v>
      </c>
      <c r="EP61" s="757">
        <v>0.2</v>
      </c>
      <c r="EQ61" s="723">
        <v>209.1</v>
      </c>
      <c r="ER61" s="723">
        <v>15.95</v>
      </c>
      <c r="ES61" s="723">
        <v>0.19500000000000001</v>
      </c>
      <c r="ET61" s="722">
        <v>209.2</v>
      </c>
      <c r="EU61" s="722">
        <v>17.21</v>
      </c>
      <c r="EV61" s="722">
        <v>0.19500000000000001</v>
      </c>
      <c r="EW61" s="723">
        <v>208.9</v>
      </c>
      <c r="EX61" s="723">
        <v>16.43</v>
      </c>
      <c r="EY61" s="723">
        <v>0.19500000000000001</v>
      </c>
      <c r="EZ61" s="723">
        <v>208.6</v>
      </c>
      <c r="FA61" s="723">
        <v>17.18</v>
      </c>
      <c r="FB61" s="723">
        <v>0.19500000000000001</v>
      </c>
      <c r="FC61" s="723">
        <v>207.9</v>
      </c>
      <c r="FD61" s="741">
        <v>17.21</v>
      </c>
      <c r="FE61" s="723">
        <v>0.19</v>
      </c>
      <c r="FF61" s="727">
        <v>207.9</v>
      </c>
      <c r="FG61" s="727">
        <v>17.23</v>
      </c>
      <c r="FH61" s="727">
        <v>0.19</v>
      </c>
      <c r="FI61" s="727">
        <v>207.7</v>
      </c>
      <c r="FJ61" s="727">
        <v>15.65</v>
      </c>
      <c r="FK61" s="727">
        <v>0.19</v>
      </c>
      <c r="FL61" s="727">
        <v>207.5</v>
      </c>
      <c r="FM61" s="727">
        <v>14.94</v>
      </c>
      <c r="FN61" s="727">
        <v>0.19</v>
      </c>
      <c r="FO61" s="727">
        <v>207.35499999999999</v>
      </c>
      <c r="FP61" s="727">
        <v>16.12</v>
      </c>
      <c r="FQ61" s="727">
        <v>0.19</v>
      </c>
      <c r="FR61" s="727">
        <v>207.136</v>
      </c>
      <c r="FS61" s="742">
        <v>17.18</v>
      </c>
      <c r="FT61" s="626">
        <f>0.76/4</f>
        <v>0.19</v>
      </c>
      <c r="FU61" s="727">
        <v>206.67599999999999</v>
      </c>
      <c r="FV61" s="727">
        <v>18.02</v>
      </c>
      <c r="FW61" s="727">
        <v>0.19</v>
      </c>
      <c r="FX61" s="727">
        <v>205.06</v>
      </c>
      <c r="FY61" s="727">
        <v>18.91</v>
      </c>
      <c r="FZ61" s="727">
        <v>0.19</v>
      </c>
      <c r="GA61" s="727">
        <v>194.08099999999999</v>
      </c>
      <c r="GB61" s="727">
        <v>15.68</v>
      </c>
      <c r="GC61" s="727">
        <v>0.19</v>
      </c>
      <c r="GD61" s="750">
        <v>194.08099999999999</v>
      </c>
      <c r="GE61" s="741">
        <v>15.35</v>
      </c>
      <c r="GF61" s="751">
        <v>0.19</v>
      </c>
      <c r="GG61" s="750">
        <v>188.34899999999999</v>
      </c>
      <c r="GH61" s="727">
        <v>13.53</v>
      </c>
      <c r="GI61" s="727">
        <v>0.19</v>
      </c>
      <c r="GJ61" s="727">
        <v>187.99</v>
      </c>
      <c r="GK61" s="727">
        <v>11.99</v>
      </c>
      <c r="GL61" s="727">
        <v>0.19</v>
      </c>
      <c r="GM61" s="727">
        <v>187.82900000000001</v>
      </c>
      <c r="GN61" s="727">
        <v>14.63</v>
      </c>
      <c r="GO61" s="727">
        <v>0.19</v>
      </c>
      <c r="GP61" s="727">
        <v>179.46899999999999</v>
      </c>
      <c r="GQ61" s="727">
        <v>14.41</v>
      </c>
      <c r="GR61" s="727">
        <v>0.19</v>
      </c>
      <c r="GS61" s="727">
        <v>176.4</v>
      </c>
      <c r="GT61" s="727">
        <v>13.82</v>
      </c>
      <c r="GU61" s="727">
        <v>0.19</v>
      </c>
      <c r="GV61" s="727">
        <v>175.9</v>
      </c>
      <c r="GW61" s="727">
        <v>11.99</v>
      </c>
      <c r="GX61" s="727">
        <v>0.19</v>
      </c>
      <c r="GY61" s="727">
        <v>170.9</v>
      </c>
      <c r="GZ61" s="727">
        <v>10.63</v>
      </c>
      <c r="HA61" s="727">
        <v>0.35499999999999998</v>
      </c>
      <c r="HB61" s="727">
        <v>156.126</v>
      </c>
      <c r="HC61" s="727">
        <v>15.47</v>
      </c>
      <c r="HD61" s="727">
        <v>0.35499999999999998</v>
      </c>
      <c r="HE61" s="727">
        <v>144.19999999999999</v>
      </c>
      <c r="HF61" s="727">
        <v>15.88</v>
      </c>
      <c r="HG61" s="727">
        <v>0.35499999999999998</v>
      </c>
      <c r="HH61" s="727">
        <v>139.69999999999999</v>
      </c>
      <c r="HI61" s="727">
        <v>24.75</v>
      </c>
      <c r="HJ61" s="727">
        <v>0.35499999999999998</v>
      </c>
      <c r="HK61" s="727">
        <v>138.69999999999999</v>
      </c>
      <c r="HL61" s="727">
        <v>28.63</v>
      </c>
      <c r="HM61" s="727">
        <v>0.34499999999999997</v>
      </c>
      <c r="HN61" s="727">
        <v>136</v>
      </c>
      <c r="HO61" s="727">
        <v>26.24</v>
      </c>
      <c r="HP61" s="727">
        <v>0.34499999999999997</v>
      </c>
      <c r="HQ61" s="727">
        <v>135.69999999999999</v>
      </c>
      <c r="HR61" s="727">
        <v>27.1</v>
      </c>
      <c r="HS61" s="727">
        <v>0.34499999999999997</v>
      </c>
      <c r="HT61" s="727">
        <v>135.19999999999999</v>
      </c>
      <c r="HU61" s="727">
        <v>30.5</v>
      </c>
      <c r="HV61" s="727">
        <v>0.34499999999999997</v>
      </c>
      <c r="HW61" s="727">
        <v>126.1</v>
      </c>
      <c r="HX61" s="727">
        <v>29.96</v>
      </c>
      <c r="HY61" s="727">
        <v>0.33500000000000002</v>
      </c>
      <c r="HZ61" s="727">
        <v>125.9</v>
      </c>
      <c r="IA61" s="727">
        <v>32.375</v>
      </c>
      <c r="IB61" s="727">
        <v>0.33500000000000002</v>
      </c>
      <c r="IC61" s="727">
        <v>125.3</v>
      </c>
      <c r="ID61" s="727">
        <v>28.75</v>
      </c>
      <c r="IE61" s="727">
        <v>0.33500000000000002</v>
      </c>
      <c r="IF61" s="727">
        <v>126.2</v>
      </c>
      <c r="IG61" s="727">
        <v>20.0625</v>
      </c>
      <c r="IH61" s="727">
        <v>0.33500000000000002</v>
      </c>
      <c r="II61" s="727">
        <v>128.80000000000001</v>
      </c>
      <c r="IJ61" s="722">
        <v>19.4375</v>
      </c>
      <c r="IK61" s="722">
        <v>0.32500000000000001</v>
      </c>
      <c r="IL61" s="722">
        <v>131.9</v>
      </c>
      <c r="IM61" s="727">
        <v>18.5625</v>
      </c>
      <c r="IN61" s="722">
        <v>0.32500000000000001</v>
      </c>
      <c r="IO61" s="722">
        <v>132</v>
      </c>
      <c r="IP61" s="727">
        <v>21.125</v>
      </c>
      <c r="IQ61" s="722">
        <v>0.32500000000000001</v>
      </c>
      <c r="IR61" s="721">
        <v>131.69999999999999</v>
      </c>
      <c r="IS61" s="721">
        <v>22.75</v>
      </c>
      <c r="IT61" s="721">
        <v>0.32500000000000001</v>
      </c>
      <c r="IU61" s="721">
        <v>131.80000000000001</v>
      </c>
      <c r="IV61" s="721">
        <v>19.875</v>
      </c>
      <c r="IW61" s="721">
        <v>0.31</v>
      </c>
      <c r="IX61" s="721">
        <v>131.80000000000001</v>
      </c>
      <c r="IY61" s="721">
        <v>28.187999999999999</v>
      </c>
      <c r="IZ61" s="721">
        <v>0.31</v>
      </c>
      <c r="JA61" s="721">
        <v>131.6</v>
      </c>
      <c r="JB61" s="721">
        <v>28.562999999999999</v>
      </c>
      <c r="JC61" s="721">
        <v>0.31</v>
      </c>
      <c r="JD61" s="721">
        <v>131.6</v>
      </c>
      <c r="JE61" s="721">
        <v>26.812999999999999</v>
      </c>
      <c r="JF61" s="721">
        <v>0.31</v>
      </c>
      <c r="JG61" s="721">
        <v>130.80000000000001</v>
      </c>
      <c r="JH61" s="721">
        <v>28.25</v>
      </c>
      <c r="JI61" s="721">
        <v>0.29499999999999998</v>
      </c>
      <c r="JJ61" s="721">
        <v>130.80000000000001</v>
      </c>
      <c r="JK61" s="721">
        <v>28.125</v>
      </c>
      <c r="JL61" s="721">
        <v>0.29499999999999998</v>
      </c>
      <c r="JM61" s="721">
        <v>117.44499999999999</v>
      </c>
      <c r="JN61" s="721">
        <v>24.5</v>
      </c>
      <c r="JO61" s="721">
        <v>0.29499999999999998</v>
      </c>
      <c r="JP61" s="721">
        <v>117.44499999999999</v>
      </c>
      <c r="JQ61" s="721">
        <v>25.562999999999999</v>
      </c>
      <c r="JR61" s="721">
        <v>0.29499999999999998</v>
      </c>
      <c r="JS61" s="721">
        <v>117.44499999999999</v>
      </c>
      <c r="JT61" s="721">
        <v>24</v>
      </c>
      <c r="JU61" s="721">
        <v>0.28000000000000003</v>
      </c>
      <c r="JV61" s="721">
        <v>117.27800000000001</v>
      </c>
      <c r="JW61" s="721">
        <v>24.125</v>
      </c>
      <c r="JX61" s="721">
        <v>0.28000000000000003</v>
      </c>
      <c r="JY61" s="721">
        <v>116.26600000000001</v>
      </c>
      <c r="JZ61" s="721">
        <v>23.75</v>
      </c>
      <c r="KA61" s="721">
        <v>0.28000000000000003</v>
      </c>
      <c r="KB61" s="721">
        <v>116.26600000000001</v>
      </c>
      <c r="KC61" s="721">
        <v>25.25</v>
      </c>
      <c r="KD61" s="721">
        <v>0.28000000000000003</v>
      </c>
      <c r="KE61" s="721">
        <v>116.26600000000001</v>
      </c>
      <c r="KF61" s="721">
        <v>24.875</v>
      </c>
      <c r="KG61" s="721">
        <v>0.26500000000000001</v>
      </c>
      <c r="KH61" s="721">
        <v>116.26600000000001</v>
      </c>
      <c r="KI61" s="721">
        <v>25.625</v>
      </c>
      <c r="KJ61" s="721">
        <v>0.26500000000000001</v>
      </c>
      <c r="KK61" s="721">
        <v>116.26600000000001</v>
      </c>
      <c r="KL61" s="721">
        <v>23.5</v>
      </c>
      <c r="KM61" s="721">
        <v>0.26500000000000001</v>
      </c>
      <c r="KN61" s="721">
        <v>116.26600000000001</v>
      </c>
      <c r="KO61" s="721">
        <v>22</v>
      </c>
      <c r="KP61" s="721">
        <v>0.26500000000000001</v>
      </c>
      <c r="KQ61" s="721">
        <v>116.26600000000001</v>
      </c>
      <c r="KR61" s="721">
        <v>21</v>
      </c>
      <c r="KS61" s="721">
        <v>0.2525</v>
      </c>
      <c r="KT61" s="721">
        <v>115.44799999999999</v>
      </c>
      <c r="KU61" s="721">
        <v>20.25</v>
      </c>
      <c r="KV61" s="721">
        <v>0.2525</v>
      </c>
      <c r="KW61" s="721">
        <v>115.44799999999999</v>
      </c>
      <c r="KX61" s="721">
        <v>19.125</v>
      </c>
      <c r="KY61" s="721">
        <v>0.2525</v>
      </c>
      <c r="KZ61" s="721">
        <v>115.44799999999999</v>
      </c>
      <c r="LA61" s="721">
        <v>19.125</v>
      </c>
      <c r="LB61" s="721">
        <v>0.2525</v>
      </c>
      <c r="LC61" s="721">
        <v>115.44799999999999</v>
      </c>
      <c r="LD61" s="721">
        <v>19.5</v>
      </c>
      <c r="LE61" s="721">
        <v>0.2525</v>
      </c>
      <c r="LF61" s="721">
        <v>115.44799999999999</v>
      </c>
      <c r="LG61" s="721">
        <v>22.625</v>
      </c>
      <c r="LH61" s="721">
        <v>0.24</v>
      </c>
      <c r="LI61" s="721">
        <v>115.44799999999999</v>
      </c>
      <c r="LJ61" s="721">
        <v>25.5</v>
      </c>
      <c r="LK61" s="721">
        <v>0.24</v>
      </c>
      <c r="LL61" s="721">
        <v>115.282</v>
      </c>
      <c r="LM61" s="721">
        <v>23.625</v>
      </c>
      <c r="LN61" s="721">
        <v>0.24</v>
      </c>
      <c r="LO61" s="721">
        <v>115.05800000000001</v>
      </c>
      <c r="LP61" s="721">
        <v>23</v>
      </c>
      <c r="LQ61" s="721">
        <v>0.22750000000000001</v>
      </c>
      <c r="LR61" s="721">
        <v>114.51600000000001</v>
      </c>
      <c r="LS61" s="721">
        <v>20.81</v>
      </c>
      <c r="LT61" s="721">
        <v>0.23</v>
      </c>
      <c r="LU61" s="721">
        <v>114.51600000000001</v>
      </c>
      <c r="LV61" s="721">
        <v>20.63</v>
      </c>
      <c r="LW61" s="721">
        <v>0.23</v>
      </c>
      <c r="LX61" s="721">
        <v>114.414</v>
      </c>
      <c r="LY61" s="721">
        <v>19.559999999999999</v>
      </c>
      <c r="LZ61" s="721">
        <v>0.23</v>
      </c>
      <c r="MA61" s="721">
        <v>114.298</v>
      </c>
      <c r="MB61" s="721">
        <v>19.059999999999999</v>
      </c>
      <c r="MC61" s="721">
        <v>0.22</v>
      </c>
      <c r="MD61" s="721">
        <v>113.922</v>
      </c>
      <c r="ME61" s="721">
        <v>20.88</v>
      </c>
      <c r="MF61" s="721">
        <v>0.22</v>
      </c>
      <c r="MG61" s="721">
        <v>113.83799999999999</v>
      </c>
      <c r="MH61" s="721">
        <v>19</v>
      </c>
      <c r="MI61" s="721">
        <v>0.22</v>
      </c>
      <c r="MJ61" s="721">
        <v>113.768</v>
      </c>
      <c r="MK61" s="721">
        <v>17</v>
      </c>
      <c r="ML61" s="721">
        <v>0.22</v>
      </c>
      <c r="MM61" s="721">
        <v>113.714</v>
      </c>
      <c r="MN61" s="721">
        <v>16.690000000000001</v>
      </c>
      <c r="MO61" s="721">
        <v>0.2</v>
      </c>
      <c r="MP61" s="721">
        <v>113.664</v>
      </c>
      <c r="MQ61" s="721">
        <v>16.88</v>
      </c>
    </row>
    <row r="62" spans="1:355">
      <c r="B62" s="722" t="s">
        <v>272</v>
      </c>
      <c r="C62" s="886"/>
      <c r="D62" s="886"/>
      <c r="E62" s="886"/>
      <c r="F62" s="788"/>
      <c r="G62" s="788"/>
      <c r="H62" s="788"/>
      <c r="I62" s="788"/>
      <c r="J62" s="788"/>
      <c r="K62" s="788"/>
      <c r="L62" s="828"/>
      <c r="M62" s="829"/>
      <c r="N62" s="828"/>
      <c r="O62" s="828"/>
      <c r="P62" s="828"/>
      <c r="Q62" s="828"/>
      <c r="R62" s="828"/>
      <c r="S62" s="828"/>
      <c r="T62" s="828"/>
      <c r="U62" s="788"/>
      <c r="V62" s="827"/>
      <c r="W62" s="788"/>
      <c r="X62" s="832"/>
      <c r="Y62" s="788"/>
      <c r="Z62" s="788"/>
      <c r="AA62" s="788"/>
      <c r="AB62" s="788"/>
      <c r="AC62" s="788"/>
      <c r="AJ62" s="788"/>
      <c r="AK62" s="788"/>
      <c r="AL62" s="788"/>
      <c r="AM62" s="828"/>
      <c r="AN62" s="828"/>
      <c r="AO62" s="828"/>
      <c r="AP62" s="788"/>
      <c r="AQ62" s="788"/>
      <c r="AR62" s="788"/>
      <c r="AV62" s="723"/>
      <c r="AW62" s="723"/>
      <c r="AX62" s="723"/>
      <c r="AY62" s="723"/>
      <c r="AZ62" s="723"/>
      <c r="BA62" s="723"/>
      <c r="BB62" s="723"/>
      <c r="BC62" s="723"/>
      <c r="BD62" s="723"/>
      <c r="BE62" s="723"/>
      <c r="BF62" s="723"/>
      <c r="BG62" s="723"/>
      <c r="BH62" s="723"/>
      <c r="BI62" s="723"/>
      <c r="BJ62" s="723"/>
      <c r="BK62" s="723"/>
      <c r="BL62" s="723"/>
      <c r="BM62" s="723"/>
      <c r="BN62" s="723"/>
      <c r="BO62" s="723"/>
      <c r="BP62" s="723"/>
      <c r="BQ62" s="723"/>
      <c r="BR62" s="723"/>
      <c r="BS62" s="723"/>
      <c r="BT62" s="723"/>
      <c r="BU62" s="723"/>
      <c r="BV62" s="723"/>
      <c r="BW62" s="728"/>
      <c r="BX62" s="728"/>
      <c r="BY62" s="728"/>
      <c r="BZ62" s="723"/>
      <c r="CA62" s="723"/>
      <c r="CB62" s="723"/>
      <c r="CC62" s="723"/>
      <c r="CD62" s="723"/>
      <c r="CE62" s="723"/>
      <c r="CF62" s="723"/>
      <c r="CG62" s="723"/>
      <c r="CH62" s="723"/>
      <c r="CI62" s="723"/>
      <c r="CJ62" s="723"/>
      <c r="CK62" s="723"/>
      <c r="CL62" s="723"/>
      <c r="CM62" s="723"/>
      <c r="CN62" s="723"/>
      <c r="CO62" s="723"/>
      <c r="CP62" s="723"/>
      <c r="CQ62" s="723"/>
      <c r="CR62" s="723"/>
      <c r="CS62" s="723"/>
      <c r="CT62" s="723"/>
      <c r="CU62" s="723"/>
      <c r="CV62" s="723"/>
      <c r="CW62" s="723"/>
      <c r="CX62" s="722"/>
      <c r="CY62" s="723"/>
      <c r="CZ62" s="723"/>
      <c r="DA62" s="723"/>
      <c r="DB62" s="723"/>
      <c r="DC62" s="735"/>
      <c r="DD62" s="723"/>
      <c r="DE62" s="723"/>
      <c r="DF62" s="723"/>
      <c r="DG62" s="723"/>
      <c r="DH62" s="723"/>
      <c r="DI62" s="723"/>
      <c r="DJ62" s="723"/>
      <c r="DK62" s="723"/>
      <c r="DL62" s="723"/>
      <c r="DM62" s="723"/>
      <c r="DN62" s="723"/>
      <c r="DO62" s="723"/>
      <c r="DP62" s="723"/>
      <c r="DQ62" s="723"/>
      <c r="DR62" s="723"/>
      <c r="DS62" s="723"/>
      <c r="DT62" s="725"/>
      <c r="DU62" s="723"/>
      <c r="DV62" s="723"/>
      <c r="DW62" s="723"/>
      <c r="DX62" s="723"/>
      <c r="DY62" s="723"/>
      <c r="DZ62" s="723"/>
      <c r="EA62" s="723"/>
      <c r="EB62" s="723"/>
      <c r="EC62" s="723"/>
      <c r="ED62" s="723"/>
      <c r="EE62" s="723"/>
      <c r="EF62" s="723"/>
      <c r="EG62" s="723"/>
      <c r="EH62" s="723"/>
      <c r="EI62" s="723"/>
      <c r="EJ62" s="723"/>
      <c r="EK62" s="723"/>
      <c r="EL62" s="723"/>
      <c r="EM62" s="723"/>
      <c r="EN62" s="723"/>
      <c r="EO62" s="723"/>
      <c r="EP62" s="723"/>
      <c r="EQ62" s="723"/>
      <c r="ER62" s="723"/>
      <c r="ES62" s="723"/>
      <c r="ET62" s="722"/>
      <c r="EU62" s="722"/>
      <c r="EV62" s="722"/>
      <c r="EW62" s="723"/>
      <c r="EX62" s="723"/>
      <c r="EY62" s="723"/>
      <c r="EZ62" s="723"/>
      <c r="FA62" s="723"/>
      <c r="FB62" s="723"/>
      <c r="FC62" s="723"/>
      <c r="FD62" s="741"/>
      <c r="FE62" s="723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742"/>
      <c r="FT62" s="626"/>
      <c r="FU62" s="727"/>
      <c r="FV62" s="727"/>
      <c r="FW62" s="727"/>
      <c r="FX62" s="727"/>
      <c r="FY62" s="727"/>
      <c r="FZ62" s="727"/>
      <c r="GA62" s="727"/>
      <c r="GB62" s="727"/>
      <c r="GC62" s="727"/>
      <c r="GD62" s="750"/>
      <c r="GE62" s="741"/>
      <c r="GF62" s="751"/>
      <c r="GG62" s="750"/>
      <c r="GH62" s="727"/>
      <c r="GI62" s="727"/>
      <c r="GJ62" s="727"/>
      <c r="GK62" s="727"/>
      <c r="GL62" s="727"/>
      <c r="GM62" s="727"/>
      <c r="GN62" s="727"/>
      <c r="GO62" s="727"/>
      <c r="GP62" s="727"/>
      <c r="GQ62" s="727"/>
      <c r="GR62" s="727"/>
      <c r="GS62" s="727"/>
      <c r="GT62" s="727"/>
      <c r="GU62" s="752"/>
      <c r="GV62" s="727"/>
      <c r="GW62" s="727"/>
      <c r="GX62" s="727"/>
      <c r="GY62" s="727"/>
      <c r="GZ62" s="727"/>
      <c r="HA62" s="727"/>
      <c r="HB62" s="727"/>
      <c r="HC62" s="727"/>
      <c r="HD62" s="727"/>
      <c r="HE62" s="727"/>
      <c r="HF62" s="727"/>
      <c r="HG62" s="727"/>
      <c r="HH62" s="727"/>
      <c r="HI62" s="727"/>
      <c r="HJ62" s="727"/>
      <c r="HK62" s="727"/>
      <c r="HL62" s="727"/>
      <c r="HM62" s="727"/>
      <c r="HN62" s="727"/>
      <c r="HO62" s="752"/>
      <c r="HP62" s="752"/>
      <c r="HQ62" s="727"/>
      <c r="HR62" s="727"/>
      <c r="HS62" s="727"/>
      <c r="HT62" s="727"/>
      <c r="HU62" s="727"/>
      <c r="HV62" s="727"/>
      <c r="HW62" s="727"/>
      <c r="HX62" s="727"/>
      <c r="HY62" s="727"/>
      <c r="HZ62" s="727"/>
      <c r="IA62" s="727"/>
      <c r="IB62" s="727"/>
      <c r="IC62" s="727"/>
      <c r="ID62" s="727"/>
      <c r="IE62" s="727"/>
      <c r="IF62" s="727"/>
      <c r="IG62" s="727"/>
      <c r="IH62" s="727"/>
      <c r="II62" s="727">
        <v>13.417</v>
      </c>
      <c r="IJ62" s="722">
        <v>43.8125</v>
      </c>
      <c r="IK62" s="722">
        <v>0.28999999999999998</v>
      </c>
      <c r="IL62" s="722">
        <v>13.416</v>
      </c>
      <c r="IM62" s="727">
        <v>41.25</v>
      </c>
      <c r="IN62" s="722">
        <v>0.28999999999999998</v>
      </c>
      <c r="IO62" s="722">
        <v>13.398</v>
      </c>
      <c r="IP62" s="727">
        <v>38.9375</v>
      </c>
      <c r="IQ62" s="722">
        <v>0.28999999999999998</v>
      </c>
      <c r="IR62" s="721">
        <v>13.24</v>
      </c>
      <c r="IS62" s="721">
        <v>36.25</v>
      </c>
      <c r="IT62" s="721">
        <v>0.28999999999999998</v>
      </c>
      <c r="IU62" s="721">
        <v>13.26</v>
      </c>
      <c r="IV62" s="721">
        <v>28.75</v>
      </c>
      <c r="IW62" s="721">
        <v>0.28999999999999998</v>
      </c>
      <c r="IX62" s="721">
        <v>13.26</v>
      </c>
      <c r="IY62" s="721">
        <v>37.938000000000002</v>
      </c>
      <c r="IZ62" s="721">
        <v>0.28999999999999998</v>
      </c>
      <c r="JA62" s="721">
        <v>13.19</v>
      </c>
      <c r="JB62" s="721">
        <v>34.938000000000002</v>
      </c>
      <c r="JC62" s="721">
        <v>0.27</v>
      </c>
      <c r="JD62" s="721">
        <v>13.19</v>
      </c>
      <c r="JE62" s="721">
        <v>30.875</v>
      </c>
      <c r="JF62" s="721">
        <v>0.27</v>
      </c>
      <c r="JG62" s="721">
        <v>13.19</v>
      </c>
      <c r="JH62" s="721">
        <v>33.0625</v>
      </c>
      <c r="JI62" s="721">
        <v>0.27</v>
      </c>
      <c r="JJ62" s="721">
        <v>13.188000000000001</v>
      </c>
      <c r="JK62" s="721">
        <v>33.25</v>
      </c>
      <c r="JL62" s="721">
        <v>0.27</v>
      </c>
      <c r="JM62" s="721">
        <v>13.141</v>
      </c>
      <c r="JN62" s="721">
        <v>25.125</v>
      </c>
      <c r="JO62" s="721">
        <v>0.245</v>
      </c>
      <c r="JP62" s="721">
        <v>13.141</v>
      </c>
      <c r="JQ62" s="721">
        <v>23.187999999999999</v>
      </c>
      <c r="JR62" s="721">
        <v>0.245</v>
      </c>
      <c r="JS62" s="721">
        <v>11.08</v>
      </c>
      <c r="JT62" s="721">
        <v>21.375</v>
      </c>
      <c r="JU62" s="721">
        <v>0.245</v>
      </c>
      <c r="JV62" s="721">
        <v>11.08</v>
      </c>
      <c r="JW62" s="721">
        <v>27.375</v>
      </c>
      <c r="JX62" s="721">
        <v>0.245</v>
      </c>
      <c r="JY62" s="721">
        <v>10.877000000000001</v>
      </c>
      <c r="JZ62" s="721">
        <v>24.75</v>
      </c>
      <c r="KA62" s="721">
        <v>0.24</v>
      </c>
      <c r="KB62" s="721">
        <v>10.877000000000001</v>
      </c>
      <c r="KC62" s="721">
        <v>28.375</v>
      </c>
      <c r="KD62" s="721">
        <v>0.22</v>
      </c>
      <c r="KE62" s="721">
        <v>10.877000000000001</v>
      </c>
      <c r="KF62" s="721">
        <v>23.125</v>
      </c>
      <c r="KG62" s="721">
        <v>0.22</v>
      </c>
      <c r="KH62" s="721">
        <v>10.877000000000001</v>
      </c>
      <c r="KI62" s="721">
        <v>18.75</v>
      </c>
      <c r="KJ62" s="721">
        <v>0.22</v>
      </c>
      <c r="KK62" s="721">
        <v>10.877000000000001</v>
      </c>
      <c r="KL62" s="721">
        <v>17.75</v>
      </c>
      <c r="KM62" s="721">
        <v>0.2</v>
      </c>
      <c r="KN62" s="721">
        <v>10.877000000000001</v>
      </c>
      <c r="KO62" s="721">
        <v>16.125</v>
      </c>
      <c r="KP62" s="721">
        <v>0.2</v>
      </c>
      <c r="KQ62" s="721">
        <v>10.877000000000001</v>
      </c>
      <c r="KR62" s="721">
        <v>15</v>
      </c>
      <c r="KS62" s="721">
        <v>0.2</v>
      </c>
      <c r="KT62" s="721">
        <v>10.69</v>
      </c>
      <c r="KU62" s="721">
        <v>14.875</v>
      </c>
      <c r="KV62" s="721">
        <v>0.2</v>
      </c>
      <c r="KW62" s="721">
        <v>10.69</v>
      </c>
      <c r="KX62" s="721">
        <v>14.125</v>
      </c>
      <c r="KY62" s="721">
        <v>0.2</v>
      </c>
      <c r="KZ62" s="721">
        <v>10.69</v>
      </c>
      <c r="LA62" s="721">
        <v>15</v>
      </c>
      <c r="LB62" s="721">
        <v>0.40749999999999997</v>
      </c>
      <c r="LC62" s="721">
        <v>10.653</v>
      </c>
      <c r="LD62" s="721">
        <v>16.625</v>
      </c>
      <c r="LE62" s="721">
        <v>0.40749999999999997</v>
      </c>
      <c r="LF62" s="721">
        <v>10.653</v>
      </c>
      <c r="LG62" s="721">
        <v>16.5</v>
      </c>
      <c r="LH62" s="721">
        <v>0.40699999999999997</v>
      </c>
      <c r="LI62" s="721">
        <v>10.653</v>
      </c>
      <c r="LJ62" s="721">
        <v>17.5</v>
      </c>
      <c r="LK62" s="721">
        <v>0.40699999999999997</v>
      </c>
      <c r="LL62" s="721">
        <v>10.625999999999999</v>
      </c>
      <c r="LM62" s="721">
        <v>17.75</v>
      </c>
      <c r="LN62" s="721">
        <v>0.40699999999999997</v>
      </c>
      <c r="LO62" s="721">
        <v>10.603999999999999</v>
      </c>
      <c r="LP62" s="721">
        <v>19</v>
      </c>
      <c r="LQ62" s="721">
        <v>0.40699999999999997</v>
      </c>
      <c r="LR62" s="721">
        <v>8.4109999999999996</v>
      </c>
      <c r="LS62" s="721">
        <v>19</v>
      </c>
      <c r="LT62" s="721">
        <v>0.41</v>
      </c>
      <c r="LU62" s="721">
        <v>8.4109999999999996</v>
      </c>
      <c r="LV62" s="721">
        <v>18.13</v>
      </c>
      <c r="LW62" s="721">
        <v>0.41</v>
      </c>
      <c r="LX62" s="721">
        <v>8.3699999999999992</v>
      </c>
      <c r="LY62" s="721">
        <v>19</v>
      </c>
      <c r="LZ62" s="721">
        <v>0.41</v>
      </c>
      <c r="MA62" s="721">
        <v>8.3330000000000002</v>
      </c>
      <c r="MB62" s="721">
        <v>19.5</v>
      </c>
      <c r="MC62" s="721">
        <v>0.41</v>
      </c>
      <c r="MD62" s="721">
        <v>8.2750000000000004</v>
      </c>
      <c r="ME62" s="721">
        <v>19.25</v>
      </c>
      <c r="MF62" s="721">
        <v>0.41</v>
      </c>
      <c r="MG62" s="721">
        <v>8.2650000000000006</v>
      </c>
      <c r="MH62" s="721">
        <v>18</v>
      </c>
      <c r="MI62" s="721">
        <v>0.41</v>
      </c>
      <c r="MJ62" s="721">
        <v>8.2550000000000008</v>
      </c>
      <c r="MK62" s="721">
        <v>17.63</v>
      </c>
      <c r="ML62" s="721">
        <v>0.41</v>
      </c>
      <c r="MM62" s="721">
        <v>8.2439999999999998</v>
      </c>
      <c r="MN62" s="721">
        <v>20.13</v>
      </c>
      <c r="MO62" s="721">
        <v>0.41</v>
      </c>
      <c r="MP62" s="721">
        <v>8.2070000000000007</v>
      </c>
      <c r="MQ62" s="721">
        <v>19.63</v>
      </c>
    </row>
    <row r="63" spans="1:355">
      <c r="B63" s="727" t="s">
        <v>273</v>
      </c>
      <c r="C63" s="886"/>
      <c r="D63" s="886"/>
      <c r="E63" s="886"/>
      <c r="F63" s="788"/>
      <c r="G63" s="788"/>
      <c r="H63" s="788"/>
      <c r="I63" s="788"/>
      <c r="J63" s="788"/>
      <c r="K63" s="788"/>
      <c r="L63" s="828"/>
      <c r="M63" s="829"/>
      <c r="N63" s="828"/>
      <c r="O63" s="828"/>
      <c r="P63" s="828"/>
      <c r="Q63" s="828"/>
      <c r="R63" s="828"/>
      <c r="S63" s="828"/>
      <c r="T63" s="828"/>
      <c r="U63" s="788"/>
      <c r="V63" s="827"/>
      <c r="W63" s="788"/>
      <c r="X63" s="832"/>
      <c r="Y63" s="788"/>
      <c r="Z63" s="788"/>
      <c r="AA63" s="788"/>
      <c r="AB63" s="788"/>
      <c r="AC63" s="788"/>
      <c r="AJ63" s="788"/>
      <c r="AK63" s="788"/>
      <c r="AL63" s="788"/>
      <c r="AM63" s="828"/>
      <c r="AN63" s="828"/>
      <c r="AO63" s="828"/>
      <c r="AP63" s="788"/>
      <c r="AQ63" s="788"/>
      <c r="AR63" s="788"/>
      <c r="AS63" s="727"/>
      <c r="AT63" s="727"/>
      <c r="AU63" s="727"/>
      <c r="AV63" s="727"/>
      <c r="AW63" s="727"/>
      <c r="AX63" s="727"/>
      <c r="AY63" s="727"/>
      <c r="AZ63" s="727"/>
      <c r="BA63" s="727"/>
      <c r="BB63" s="727"/>
      <c r="BC63" s="727"/>
      <c r="BD63" s="727"/>
      <c r="BE63" s="727"/>
      <c r="BF63" s="727"/>
      <c r="BG63" s="727"/>
      <c r="BH63" s="727"/>
      <c r="BI63" s="727"/>
      <c r="BJ63" s="727"/>
      <c r="BK63" s="727"/>
      <c r="BL63" s="727"/>
      <c r="BM63" s="727"/>
      <c r="BN63" s="727"/>
      <c r="BO63" s="727"/>
      <c r="BP63" s="727"/>
      <c r="BQ63" s="727"/>
      <c r="BR63" s="727"/>
      <c r="BS63" s="727"/>
      <c r="BT63" s="727"/>
      <c r="BU63" s="727"/>
      <c r="BV63" s="727"/>
      <c r="BW63" s="726"/>
      <c r="BX63" s="726"/>
      <c r="BY63" s="726"/>
      <c r="BZ63" s="727"/>
      <c r="CA63" s="727"/>
      <c r="CB63" s="727"/>
      <c r="CC63" s="727"/>
      <c r="CD63" s="727"/>
      <c r="CE63" s="727"/>
      <c r="CF63" s="727"/>
      <c r="CG63" s="727"/>
      <c r="CH63" s="727"/>
      <c r="CI63" s="727"/>
      <c r="CJ63" s="727"/>
      <c r="CK63" s="727"/>
      <c r="CL63" s="727"/>
      <c r="CM63" s="727"/>
      <c r="CN63" s="727"/>
      <c r="CO63" s="727"/>
      <c r="CP63" s="727"/>
      <c r="CQ63" s="727"/>
      <c r="CR63" s="727"/>
      <c r="CS63" s="727"/>
      <c r="CT63" s="727"/>
      <c r="CU63" s="727"/>
      <c r="CV63" s="727"/>
      <c r="CW63" s="727"/>
      <c r="CX63" s="727"/>
      <c r="CY63" s="727"/>
      <c r="CZ63" s="727"/>
      <c r="DA63" s="727"/>
      <c r="DB63" s="727"/>
      <c r="DC63" s="752"/>
      <c r="DD63" s="727"/>
      <c r="DE63" s="727"/>
      <c r="DF63" s="727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48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>
        <v>458.8</v>
      </c>
      <c r="EX63" s="727">
        <v>68.47</v>
      </c>
      <c r="EY63" s="727">
        <v>0.4325</v>
      </c>
      <c r="EZ63" s="727">
        <v>457.7</v>
      </c>
      <c r="FA63" s="727">
        <v>67.3</v>
      </c>
      <c r="FB63" s="727">
        <v>0.4325</v>
      </c>
      <c r="FC63" s="723">
        <v>459.7</v>
      </c>
      <c r="FD63" s="741">
        <v>64.099999999999994</v>
      </c>
      <c r="FE63" s="723">
        <v>0.4325</v>
      </c>
      <c r="FF63" s="727">
        <v>459</v>
      </c>
      <c r="FG63" s="727">
        <v>54.21</v>
      </c>
      <c r="FH63" s="749">
        <v>0.4325</v>
      </c>
      <c r="FI63" s="727">
        <v>458</v>
      </c>
      <c r="FJ63" s="727">
        <v>62.52</v>
      </c>
      <c r="FK63" s="727">
        <v>0.41249999999999998</v>
      </c>
      <c r="FL63" s="727">
        <v>464</v>
      </c>
      <c r="FM63" s="727">
        <v>59.79</v>
      </c>
      <c r="FN63" s="727">
        <v>0.41249999999999998</v>
      </c>
      <c r="FO63" s="727">
        <v>474</v>
      </c>
      <c r="FP63" s="727">
        <v>44.76</v>
      </c>
      <c r="FQ63" s="727">
        <v>0.41249999999999998</v>
      </c>
      <c r="FR63" s="765">
        <v>478</v>
      </c>
      <c r="FS63" s="766">
        <v>50.19</v>
      </c>
      <c r="FT63" s="626">
        <f>1.65/4</f>
        <v>0.41249999999999998</v>
      </c>
      <c r="FU63" s="727">
        <v>476</v>
      </c>
      <c r="FV63" s="727">
        <v>56.44</v>
      </c>
      <c r="FW63" s="727">
        <v>0.28129999999999999</v>
      </c>
      <c r="FX63" s="727">
        <v>476</v>
      </c>
      <c r="FY63" s="727">
        <v>41.55</v>
      </c>
      <c r="FZ63" s="727">
        <v>0.28129999999999999</v>
      </c>
      <c r="GA63" s="727">
        <v>590</v>
      </c>
      <c r="GB63" s="727">
        <v>39.82</v>
      </c>
      <c r="GC63" s="727">
        <v>0.28129999999999999</v>
      </c>
      <c r="GD63" s="750">
        <v>590</v>
      </c>
      <c r="GE63" s="742">
        <v>32.28</v>
      </c>
      <c r="GF63" s="751">
        <v>0.28129999999999999</v>
      </c>
      <c r="GG63" s="750">
        <v>640</v>
      </c>
      <c r="GH63" s="727">
        <v>23.96</v>
      </c>
      <c r="GI63" s="727">
        <v>6.25E-2</v>
      </c>
      <c r="GJ63" s="727">
        <v>646</v>
      </c>
      <c r="GK63" s="727">
        <v>20.260000000000002</v>
      </c>
      <c r="GL63" s="727">
        <v>6.25E-2</v>
      </c>
      <c r="GM63" s="727">
        <v>646</v>
      </c>
      <c r="GN63" s="727">
        <v>14.33</v>
      </c>
      <c r="GO63" s="727">
        <v>6.25E-2</v>
      </c>
      <c r="GP63" s="727">
        <v>644</v>
      </c>
      <c r="GQ63" s="727">
        <v>11.86</v>
      </c>
      <c r="GR63" s="727">
        <v>6.25E-2</v>
      </c>
      <c r="GS63" s="727">
        <v>642</v>
      </c>
      <c r="GT63" s="727">
        <v>11.78</v>
      </c>
      <c r="GU63" s="727">
        <v>6.25E-2</v>
      </c>
      <c r="GV63" s="727">
        <v>642</v>
      </c>
      <c r="GW63" s="727">
        <v>11.23</v>
      </c>
      <c r="GX63" s="727">
        <v>6.25E-2</v>
      </c>
      <c r="GY63" s="727">
        <v>556</v>
      </c>
      <c r="GZ63" s="727">
        <v>8.93</v>
      </c>
      <c r="HA63" s="727">
        <v>6.25E-2</v>
      </c>
      <c r="HB63" s="727">
        <v>564</v>
      </c>
      <c r="HC63" s="727">
        <v>9.34</v>
      </c>
      <c r="HD63" s="727">
        <v>6.25E-2</v>
      </c>
      <c r="HE63" s="727">
        <v>538</v>
      </c>
      <c r="HF63" s="727">
        <v>20.86</v>
      </c>
      <c r="HG63" s="727">
        <v>0.3</v>
      </c>
      <c r="HH63" s="727">
        <v>530</v>
      </c>
      <c r="HI63" s="727">
        <v>25.78</v>
      </c>
      <c r="HJ63" s="727">
        <v>0.3</v>
      </c>
      <c r="HK63" s="727">
        <v>530</v>
      </c>
      <c r="HL63" s="727">
        <v>27.26</v>
      </c>
      <c r="HM63" s="727">
        <v>0.3</v>
      </c>
      <c r="HN63" s="727">
        <v>520</v>
      </c>
      <c r="HO63" s="727">
        <v>23.58</v>
      </c>
      <c r="HP63" s="727">
        <v>0.3</v>
      </c>
      <c r="HQ63" s="727">
        <v>512</v>
      </c>
      <c r="HR63" s="727">
        <v>23.16</v>
      </c>
      <c r="HS63" s="727">
        <v>0.3</v>
      </c>
      <c r="HT63" s="727">
        <v>516.20000000000005</v>
      </c>
      <c r="HU63" s="727">
        <v>24.1</v>
      </c>
      <c r="HV63" s="727">
        <v>0.3</v>
      </c>
      <c r="HW63" s="727">
        <v>516.20000000000005</v>
      </c>
      <c r="HX63" s="727">
        <v>20.66</v>
      </c>
      <c r="HY63" s="727">
        <v>0.3</v>
      </c>
      <c r="HZ63" s="727">
        <v>516.20000000000005</v>
      </c>
      <c r="IA63" s="727">
        <v>22.16</v>
      </c>
      <c r="IB63" s="727">
        <v>0.3</v>
      </c>
      <c r="IC63" s="727">
        <v>552</v>
      </c>
      <c r="ID63" s="727">
        <v>19.809999999999999</v>
      </c>
      <c r="IE63" s="727">
        <v>0.3</v>
      </c>
      <c r="IF63" s="727">
        <v>557.11199999999997</v>
      </c>
      <c r="IG63" s="727">
        <v>29.5</v>
      </c>
      <c r="IH63" s="727">
        <v>0.3</v>
      </c>
      <c r="II63" s="727">
        <v>552</v>
      </c>
      <c r="IJ63" s="722">
        <v>29.6875</v>
      </c>
      <c r="IK63" s="722">
        <v>0.3</v>
      </c>
      <c r="IL63" s="722">
        <v>552</v>
      </c>
      <c r="IM63" s="727">
        <v>35.5625</v>
      </c>
      <c r="IN63" s="722">
        <v>0.3</v>
      </c>
      <c r="IO63" s="722">
        <v>281.70400000000001</v>
      </c>
      <c r="IP63" s="727">
        <v>37.3125</v>
      </c>
      <c r="IQ63" s="722">
        <v>0.57499999999999996</v>
      </c>
      <c r="IR63" s="721">
        <v>265</v>
      </c>
      <c r="IS63" s="721">
        <v>41.4375</v>
      </c>
      <c r="IT63" s="721">
        <v>0.57499999999999996</v>
      </c>
      <c r="IU63" s="721">
        <v>281.39999999999998</v>
      </c>
      <c r="IV63" s="721">
        <v>42</v>
      </c>
      <c r="IW63" s="721">
        <v>0.57499999999999996</v>
      </c>
      <c r="IX63" s="721">
        <v>281.39999999999998</v>
      </c>
      <c r="IY63" s="721">
        <v>46.688000000000002</v>
      </c>
      <c r="IZ63" s="721">
        <v>0.57499999999999996</v>
      </c>
      <c r="JA63" s="721">
        <v>245.24</v>
      </c>
      <c r="JB63" s="721">
        <v>46.563000000000002</v>
      </c>
      <c r="JC63" s="721">
        <v>0.55000000000000004</v>
      </c>
      <c r="JD63" s="721">
        <v>245.24</v>
      </c>
      <c r="JE63" s="721">
        <v>41.625</v>
      </c>
      <c r="JF63" s="721">
        <v>0.55000000000000004</v>
      </c>
      <c r="JG63" s="721">
        <v>233.28</v>
      </c>
      <c r="JH63" s="721">
        <v>39.3125</v>
      </c>
      <c r="JI63" s="721">
        <v>0.55000000000000004</v>
      </c>
      <c r="JJ63" s="721">
        <v>233.28299999999999</v>
      </c>
      <c r="JK63" s="721">
        <v>41.5</v>
      </c>
      <c r="JL63" s="721">
        <v>0.55000000000000004</v>
      </c>
      <c r="JM63" s="721">
        <v>224.60300000000001</v>
      </c>
      <c r="JN63" s="721">
        <v>36</v>
      </c>
      <c r="JO63" s="721">
        <v>0.52500000000000002</v>
      </c>
      <c r="JP63" s="721">
        <v>224.60300000000001</v>
      </c>
      <c r="JQ63" s="721">
        <v>34.438000000000002</v>
      </c>
      <c r="JR63" s="721">
        <v>0.52500000000000002</v>
      </c>
      <c r="JS63" s="721">
        <v>224.60300000000001</v>
      </c>
      <c r="JT63" s="721">
        <v>34.25</v>
      </c>
      <c r="JU63" s="721">
        <v>0.52500000000000002</v>
      </c>
      <c r="JV63" s="721">
        <v>224.60300000000001</v>
      </c>
      <c r="JW63" s="721">
        <v>40.75</v>
      </c>
      <c r="JX63" s="721">
        <v>0.52500000000000002</v>
      </c>
      <c r="JY63" s="721">
        <v>225.84100000000001</v>
      </c>
      <c r="JZ63" s="721">
        <v>39.75</v>
      </c>
      <c r="KA63" s="721">
        <v>0.5</v>
      </c>
      <c r="KB63" s="721">
        <v>225.84100000000001</v>
      </c>
      <c r="KC63" s="721">
        <v>42.375</v>
      </c>
      <c r="KD63" s="721">
        <v>0.5</v>
      </c>
      <c r="KE63" s="721">
        <v>225.84100000000001</v>
      </c>
      <c r="KF63" s="721">
        <v>41.375</v>
      </c>
      <c r="KG63" s="721">
        <v>0.5</v>
      </c>
      <c r="KH63" s="721">
        <v>225.84100000000001</v>
      </c>
      <c r="KI63" s="721">
        <v>41</v>
      </c>
      <c r="KJ63" s="721">
        <v>0.5</v>
      </c>
      <c r="KK63" s="721">
        <v>225.84100000000001</v>
      </c>
      <c r="KL63" s="721">
        <v>34.875</v>
      </c>
      <c r="KM63" s="721">
        <v>0.77</v>
      </c>
      <c r="KN63" s="721">
        <v>225.84100000000001</v>
      </c>
      <c r="KO63" s="721">
        <v>34.375</v>
      </c>
      <c r="KP63" s="721">
        <v>0.77</v>
      </c>
      <c r="KQ63" s="721">
        <v>225.84100000000001</v>
      </c>
      <c r="KR63" s="721">
        <v>31.75</v>
      </c>
      <c r="KS63" s="721">
        <v>0.77</v>
      </c>
      <c r="KT63" s="721">
        <v>225.84100000000001</v>
      </c>
      <c r="KU63" s="721">
        <v>32</v>
      </c>
      <c r="KV63" s="721">
        <v>0.77</v>
      </c>
      <c r="KW63" s="721">
        <v>225.84100000000001</v>
      </c>
      <c r="KX63" s="721">
        <v>32.625</v>
      </c>
      <c r="KY63" s="721">
        <v>0.77</v>
      </c>
      <c r="KZ63" s="721">
        <v>225.84100000000001</v>
      </c>
      <c r="LA63" s="721">
        <v>31.25</v>
      </c>
      <c r="LB63" s="721">
        <v>0.77</v>
      </c>
      <c r="LC63" s="721">
        <v>222.90799999999999</v>
      </c>
      <c r="LD63" s="721">
        <v>37.375</v>
      </c>
      <c r="LE63" s="721">
        <v>0.77</v>
      </c>
      <c r="LF63" s="721">
        <v>222.90799999999999</v>
      </c>
      <c r="LG63" s="721">
        <v>43.125</v>
      </c>
      <c r="LH63" s="721">
        <v>0.77</v>
      </c>
      <c r="LI63" s="721">
        <v>222.90799999999999</v>
      </c>
      <c r="LJ63" s="721">
        <v>45.875</v>
      </c>
      <c r="LK63" s="721">
        <v>0.77</v>
      </c>
      <c r="LL63" s="721">
        <v>220.18700000000001</v>
      </c>
      <c r="LM63" s="721">
        <v>45.75</v>
      </c>
      <c r="LN63" s="721">
        <v>0.77</v>
      </c>
      <c r="LO63" s="721">
        <v>218.81100000000001</v>
      </c>
      <c r="LP63" s="721">
        <v>45.125</v>
      </c>
      <c r="LQ63" s="721">
        <v>0.77</v>
      </c>
      <c r="LR63" s="721">
        <v>214.02799999999999</v>
      </c>
      <c r="LS63" s="721">
        <v>42.5</v>
      </c>
      <c r="LT63" s="721">
        <v>0.76</v>
      </c>
      <c r="LU63" s="721">
        <v>214.02799999999999</v>
      </c>
      <c r="LV63" s="721">
        <v>42.13</v>
      </c>
      <c r="LW63" s="721">
        <v>0.76</v>
      </c>
      <c r="LX63" s="721">
        <v>213.16399999999999</v>
      </c>
      <c r="LY63" s="721">
        <v>39.130000000000003</v>
      </c>
      <c r="LZ63" s="721">
        <v>0.76</v>
      </c>
      <c r="MA63" s="721">
        <v>212.30699999999999</v>
      </c>
      <c r="MB63" s="721">
        <v>37.630000000000003</v>
      </c>
      <c r="MC63" s="721">
        <v>0.75</v>
      </c>
      <c r="MD63" s="721">
        <v>207.358</v>
      </c>
      <c r="ME63" s="721">
        <v>41.75</v>
      </c>
      <c r="MF63" s="721">
        <v>0.75</v>
      </c>
      <c r="MG63" s="721">
        <v>206.24700000000001</v>
      </c>
      <c r="MH63" s="721">
        <v>38.75</v>
      </c>
      <c r="MI63" s="721">
        <v>0.75</v>
      </c>
      <c r="MJ63" s="721">
        <v>204.85499999999999</v>
      </c>
      <c r="MK63" s="721">
        <v>34.75</v>
      </c>
      <c r="ML63" s="721">
        <v>0.75</v>
      </c>
      <c r="MM63" s="721">
        <v>202.53299999999999</v>
      </c>
      <c r="MN63" s="721">
        <v>36.5</v>
      </c>
      <c r="MO63" s="721">
        <v>0.74</v>
      </c>
      <c r="MP63" s="721">
        <v>193.46100000000001</v>
      </c>
      <c r="MQ63" s="721">
        <v>36.630000000000003</v>
      </c>
    </row>
    <row r="64" spans="1:355">
      <c r="A64" s="633" t="s">
        <v>45</v>
      </c>
      <c r="B64" s="727" t="s">
        <v>546</v>
      </c>
      <c r="C64" s="886"/>
      <c r="D64" s="886"/>
      <c r="E64" s="886"/>
      <c r="F64" s="788"/>
      <c r="G64" s="788"/>
      <c r="H64" s="788"/>
      <c r="I64" s="788"/>
      <c r="J64" s="788"/>
      <c r="K64" s="788"/>
      <c r="L64" s="828"/>
      <c r="M64" s="829"/>
      <c r="N64" s="828"/>
      <c r="O64" s="828"/>
      <c r="P64" s="828"/>
      <c r="Q64" s="828"/>
      <c r="R64" s="828"/>
      <c r="S64" s="828"/>
      <c r="T64" s="828"/>
      <c r="U64" s="788"/>
      <c r="V64" s="827"/>
      <c r="W64" s="788"/>
      <c r="X64" s="832"/>
      <c r="Y64" s="788"/>
      <c r="Z64" s="788"/>
      <c r="AA64" s="788"/>
      <c r="AB64" s="788"/>
      <c r="AC64" s="788"/>
      <c r="AJ64" s="788"/>
      <c r="AK64" s="788"/>
      <c r="AL64" s="788"/>
      <c r="AM64" s="828"/>
      <c r="AN64" s="828"/>
      <c r="AO64" s="828"/>
      <c r="AP64" s="788"/>
      <c r="AQ64" s="788"/>
      <c r="AR64" s="788"/>
      <c r="AS64" s="727"/>
      <c r="AT64" s="727"/>
      <c r="AU64" s="727"/>
      <c r="AV64" s="727"/>
      <c r="AW64" s="727"/>
      <c r="AX64" s="727"/>
      <c r="AY64" s="727"/>
      <c r="AZ64" s="727"/>
      <c r="BA64" s="727"/>
      <c r="BB64" s="727"/>
      <c r="BC64" s="727"/>
      <c r="BD64" s="727"/>
      <c r="BE64" s="727"/>
      <c r="BF64" s="727"/>
      <c r="BG64" s="727"/>
      <c r="BH64" s="727"/>
      <c r="BI64" s="727"/>
      <c r="BJ64" s="727"/>
      <c r="BK64" s="726"/>
      <c r="BL64" s="726"/>
      <c r="BM64" s="726"/>
      <c r="BN64" s="727"/>
      <c r="BO64" s="727"/>
      <c r="BP64" s="727"/>
      <c r="BQ64" s="727"/>
      <c r="BR64" s="727"/>
      <c r="BS64" s="727"/>
      <c r="BT64" s="727">
        <v>41.737000000000002</v>
      </c>
      <c r="BU64" s="727">
        <v>60.41</v>
      </c>
      <c r="BV64" s="727">
        <v>0.48</v>
      </c>
      <c r="BW64" s="726">
        <v>41.618000000000002</v>
      </c>
      <c r="BX64" s="726">
        <v>60.03</v>
      </c>
      <c r="BY64" s="761">
        <v>0.48</v>
      </c>
      <c r="BZ64" s="727">
        <v>41.65</v>
      </c>
      <c r="CA64" s="727">
        <v>59.85</v>
      </c>
      <c r="CB64" s="727">
        <v>0.435</v>
      </c>
      <c r="CC64" s="727">
        <v>41.597999999999999</v>
      </c>
      <c r="CD64" s="727">
        <v>46.62</v>
      </c>
      <c r="CE64" s="727">
        <v>0.435</v>
      </c>
      <c r="CF64" s="727">
        <v>41.54</v>
      </c>
      <c r="CG64" s="727">
        <v>44.73</v>
      </c>
      <c r="CH64" s="727">
        <v>0.435</v>
      </c>
      <c r="CI64" s="726">
        <v>40.362000000000002</v>
      </c>
      <c r="CJ64" s="726">
        <v>48.94</v>
      </c>
      <c r="CK64" s="761">
        <v>0.435</v>
      </c>
      <c r="CL64" s="729">
        <v>41.445999999999998</v>
      </c>
      <c r="CM64" s="729">
        <v>42.42</v>
      </c>
      <c r="CN64" s="729">
        <v>0.43</v>
      </c>
      <c r="CO64" s="727">
        <v>40.470999999999997</v>
      </c>
      <c r="CP64" s="727">
        <v>41.86</v>
      </c>
      <c r="CQ64" s="727">
        <v>0.43</v>
      </c>
      <c r="CR64" s="727">
        <v>38.030999999999999</v>
      </c>
      <c r="CS64" s="727">
        <v>38.409999999999997</v>
      </c>
      <c r="CT64" s="727">
        <v>0.43</v>
      </c>
      <c r="CU64" s="726">
        <v>36.962000000000003</v>
      </c>
      <c r="CV64" s="726">
        <v>36.57</v>
      </c>
      <c r="CW64" s="761">
        <v>0.43</v>
      </c>
      <c r="CX64" s="727">
        <v>37.052999999999997</v>
      </c>
      <c r="CY64" s="727">
        <v>36.92</v>
      </c>
      <c r="CZ64" s="727">
        <v>0.42</v>
      </c>
      <c r="DA64" s="727">
        <v>36.950000000000003</v>
      </c>
      <c r="DB64" s="727">
        <v>36.090000000000003</v>
      </c>
      <c r="DC64" s="727">
        <v>0.42</v>
      </c>
      <c r="DD64" s="727">
        <v>36.789000000000001</v>
      </c>
      <c r="DE64" s="727">
        <v>37.33</v>
      </c>
      <c r="DF64" s="727">
        <v>0.42</v>
      </c>
      <c r="DG64" s="727">
        <v>36.695999999999998</v>
      </c>
      <c r="DH64" s="727">
        <v>36.130000000000003</v>
      </c>
      <c r="DI64" s="747">
        <v>0.42</v>
      </c>
      <c r="DJ64" s="727">
        <v>36.533000000000001</v>
      </c>
      <c r="DK64" s="727">
        <v>35.840000000000003</v>
      </c>
      <c r="DL64" s="727">
        <v>0.39</v>
      </c>
      <c r="DM64" s="727">
        <v>36.322000000000003</v>
      </c>
      <c r="DN64" s="727">
        <v>33.43</v>
      </c>
      <c r="DO64" s="727">
        <v>0.39</v>
      </c>
      <c r="DP64" s="727">
        <v>36.052</v>
      </c>
      <c r="DQ64" s="727">
        <v>30.18</v>
      </c>
      <c r="DR64" s="727">
        <v>0.39</v>
      </c>
      <c r="DS64" s="727">
        <v>35.948</v>
      </c>
      <c r="DT64" s="748">
        <v>31.44</v>
      </c>
      <c r="DU64" s="727">
        <v>0.39</v>
      </c>
      <c r="DV64" s="727">
        <v>35.927999999999997</v>
      </c>
      <c r="DW64" s="727">
        <v>32.19</v>
      </c>
      <c r="DX64" s="727">
        <v>0.28999999999999998</v>
      </c>
      <c r="DY64" s="727">
        <v>35.686999999999998</v>
      </c>
      <c r="DZ64" s="727">
        <v>30.75</v>
      </c>
      <c r="EA64" s="727">
        <v>0.28999999999999998</v>
      </c>
      <c r="EB64" s="727">
        <v>35.664999999999999</v>
      </c>
      <c r="EC64" s="727">
        <v>26.54</v>
      </c>
      <c r="ED64" s="727">
        <v>0.28999999999999998</v>
      </c>
      <c r="EE64" s="727">
        <v>35.68</v>
      </c>
      <c r="EF64" s="727">
        <v>28.19</v>
      </c>
      <c r="EG64" s="727">
        <v>0.28999999999999998</v>
      </c>
      <c r="EH64" s="727">
        <v>35.677</v>
      </c>
      <c r="EI64" s="727">
        <v>29.36</v>
      </c>
      <c r="EJ64" s="727">
        <v>0.24</v>
      </c>
      <c r="EK64" s="727">
        <v>35.612000000000002</v>
      </c>
      <c r="EL64" s="727">
        <v>29.19</v>
      </c>
      <c r="EM64" s="727">
        <v>0.24</v>
      </c>
      <c r="EN64" s="727">
        <v>35.558999999999997</v>
      </c>
      <c r="EO64" s="727">
        <v>31.01</v>
      </c>
      <c r="EP64" s="727">
        <v>0.24</v>
      </c>
      <c r="EQ64" s="727">
        <v>35.485999999999997</v>
      </c>
      <c r="ER64" s="727">
        <v>22.26</v>
      </c>
      <c r="ES64" s="727">
        <v>0.24</v>
      </c>
      <c r="ET64" s="727">
        <v>35.514000000000003</v>
      </c>
      <c r="EU64" s="727">
        <v>31.55</v>
      </c>
      <c r="EV64" s="727">
        <v>0.22500000000000001</v>
      </c>
      <c r="EW64" s="727">
        <v>35.472000000000001</v>
      </c>
      <c r="EX64" s="727">
        <v>29.89</v>
      </c>
      <c r="EY64" s="727">
        <v>0.22500000000000001</v>
      </c>
      <c r="EZ64" s="727">
        <v>35.421999999999997</v>
      </c>
      <c r="FA64" s="727">
        <v>32.89</v>
      </c>
      <c r="FB64" s="727">
        <v>0.22500000000000001</v>
      </c>
      <c r="FC64" s="723">
        <v>35.264000000000003</v>
      </c>
      <c r="FD64" s="741">
        <v>37.549999999999997</v>
      </c>
      <c r="FE64" s="723">
        <v>0.22500000000000001</v>
      </c>
      <c r="FF64" s="727">
        <v>35.308</v>
      </c>
      <c r="FG64" s="727">
        <v>36.53</v>
      </c>
      <c r="FH64" s="727">
        <v>0.21</v>
      </c>
      <c r="FI64" s="727">
        <v>35.244999999999997</v>
      </c>
      <c r="FJ64" s="727">
        <v>33.33</v>
      </c>
      <c r="FK64" s="727">
        <v>0.21</v>
      </c>
      <c r="FL64" s="727">
        <v>35.116</v>
      </c>
      <c r="FM64" s="727">
        <v>31.15</v>
      </c>
      <c r="FN64" s="727">
        <v>0.21</v>
      </c>
      <c r="FO64" s="727">
        <v>34.99</v>
      </c>
      <c r="FP64" s="727">
        <v>30.5</v>
      </c>
      <c r="FQ64" s="727">
        <v>0.21</v>
      </c>
      <c r="FR64" s="727">
        <v>34.914999999999999</v>
      </c>
      <c r="FS64" s="742">
        <v>31.2</v>
      </c>
      <c r="FT64" s="626">
        <f>0.76/4</f>
        <v>0.19</v>
      </c>
      <c r="FU64" s="727">
        <v>34.807000000000002</v>
      </c>
      <c r="FV64" s="727">
        <v>33.24</v>
      </c>
      <c r="FW64" s="727">
        <v>0.19</v>
      </c>
      <c r="FX64" s="727">
        <v>34.634999999999998</v>
      </c>
      <c r="FY64" s="727">
        <v>30.75</v>
      </c>
      <c r="FZ64" s="727">
        <v>0.19</v>
      </c>
      <c r="GA64" s="727">
        <v>34.463999999999999</v>
      </c>
      <c r="GB64" s="727">
        <v>30.97</v>
      </c>
      <c r="GC64" s="727">
        <v>0.19</v>
      </c>
      <c r="GD64" s="750">
        <v>34.463999999999999</v>
      </c>
      <c r="GE64" s="741">
        <v>24.11</v>
      </c>
      <c r="GF64" s="751">
        <v>0.16</v>
      </c>
      <c r="GG64" s="750">
        <v>34.392000000000003</v>
      </c>
      <c r="GH64" s="727">
        <v>24.35</v>
      </c>
      <c r="GI64" s="727">
        <v>0.16</v>
      </c>
      <c r="GJ64" s="727">
        <v>34.185000000000002</v>
      </c>
      <c r="GK64" s="727">
        <v>24.85</v>
      </c>
      <c r="GL64" s="727">
        <v>0.16</v>
      </c>
      <c r="GM64" s="727">
        <v>33.914000000000001</v>
      </c>
      <c r="GN64" s="727">
        <v>24.57</v>
      </c>
      <c r="GO64" s="727">
        <v>0.16</v>
      </c>
      <c r="GP64" s="727">
        <v>33.838000000000001</v>
      </c>
      <c r="GQ64" s="727">
        <v>24.66</v>
      </c>
      <c r="GR64" s="727">
        <v>0.15</v>
      </c>
      <c r="GS64" s="727">
        <v>33.820999999999998</v>
      </c>
      <c r="GT64" s="727">
        <v>19.02</v>
      </c>
      <c r="GU64" s="727">
        <v>0.15</v>
      </c>
      <c r="GV64" s="727">
        <v>33.738999999999997</v>
      </c>
      <c r="GW64" s="727">
        <v>18.8</v>
      </c>
      <c r="GX64" s="727">
        <v>0.15</v>
      </c>
      <c r="GY64" s="727">
        <v>33.698999999999998</v>
      </c>
      <c r="GZ64" s="727">
        <v>17.3</v>
      </c>
      <c r="HA64" s="727">
        <v>0.15</v>
      </c>
      <c r="HB64" s="727">
        <v>33.692</v>
      </c>
      <c r="HC64" s="727">
        <v>17.29</v>
      </c>
      <c r="HD64" s="727">
        <v>0.125</v>
      </c>
      <c r="HE64" s="727">
        <v>33.683999999999997</v>
      </c>
      <c r="HF64" s="727">
        <v>15.25</v>
      </c>
      <c r="HG64" s="727">
        <v>0.125</v>
      </c>
      <c r="HH64" s="727">
        <v>33.613</v>
      </c>
      <c r="HI64" s="727">
        <v>18.600000000000001</v>
      </c>
      <c r="HJ64" s="727">
        <v>0.125</v>
      </c>
      <c r="HK64" s="727">
        <v>33.514000000000003</v>
      </c>
      <c r="HL64" s="727">
        <v>20.46</v>
      </c>
      <c r="HM64" s="727">
        <v>0.125</v>
      </c>
      <c r="HN64" s="727">
        <v>33.472000000000001</v>
      </c>
      <c r="HO64" s="727">
        <v>18.190000000000001</v>
      </c>
      <c r="HP64" s="727">
        <v>0.1</v>
      </c>
      <c r="HQ64" s="727">
        <v>33.341999999999999</v>
      </c>
      <c r="HR64" s="727">
        <v>14</v>
      </c>
      <c r="HS64" s="727">
        <v>0.1</v>
      </c>
      <c r="HT64" s="727">
        <v>33.265999999999998</v>
      </c>
      <c r="HU64" s="727">
        <v>22.97</v>
      </c>
      <c r="HV64" s="727">
        <v>0.1</v>
      </c>
      <c r="HW64" s="727">
        <v>32.590000000000003</v>
      </c>
      <c r="HX64" s="727">
        <v>21</v>
      </c>
      <c r="HY64" s="727">
        <v>0.1</v>
      </c>
      <c r="HZ64" s="727">
        <v>32.423000000000002</v>
      </c>
      <c r="IA64" s="727">
        <v>18.8125</v>
      </c>
      <c r="IB64" s="727">
        <v>0.08</v>
      </c>
      <c r="IC64" s="727">
        <v>32.389000000000003</v>
      </c>
      <c r="ID64" s="727">
        <v>16.375</v>
      </c>
      <c r="IE64" s="727">
        <v>0.08</v>
      </c>
      <c r="IF64" s="727">
        <v>32.4</v>
      </c>
      <c r="IG64" s="727">
        <v>15</v>
      </c>
      <c r="IH64" s="727">
        <v>0.08</v>
      </c>
      <c r="II64" s="727">
        <v>32.348999999999997</v>
      </c>
      <c r="IJ64" s="722">
        <v>14.6875</v>
      </c>
      <c r="IK64" s="722">
        <v>0.08</v>
      </c>
      <c r="IL64" s="722">
        <v>32.338000000000001</v>
      </c>
      <c r="IM64" s="727">
        <v>11.1875</v>
      </c>
      <c r="IN64" s="722">
        <v>0.02</v>
      </c>
      <c r="IO64" s="722">
        <v>32.316000000000003</v>
      </c>
      <c r="IP64" s="727">
        <v>11.8125</v>
      </c>
      <c r="IQ64" s="722">
        <v>0</v>
      </c>
      <c r="IR64" s="721">
        <v>32.18</v>
      </c>
      <c r="IS64" s="721">
        <v>11.9375</v>
      </c>
      <c r="IT64" s="721">
        <v>0</v>
      </c>
      <c r="IU64" s="721">
        <v>32.15</v>
      </c>
      <c r="IV64" s="721">
        <v>11.0625</v>
      </c>
      <c r="IW64" s="721">
        <v>0</v>
      </c>
      <c r="IX64" s="721">
        <v>32.15</v>
      </c>
      <c r="IY64" s="721">
        <v>13.5</v>
      </c>
      <c r="IZ64" s="721">
        <v>0</v>
      </c>
      <c r="JA64" s="721">
        <v>32.14</v>
      </c>
      <c r="JB64" s="721">
        <v>15.313000000000001</v>
      </c>
      <c r="JC64" s="721">
        <v>0</v>
      </c>
      <c r="JD64" s="721">
        <v>32.14</v>
      </c>
      <c r="JE64" s="721">
        <v>15.75</v>
      </c>
      <c r="JF64" s="721">
        <v>0</v>
      </c>
      <c r="JG64" s="721">
        <v>32.14</v>
      </c>
      <c r="JH64" s="721">
        <v>17.375</v>
      </c>
      <c r="JI64" s="721">
        <v>0</v>
      </c>
      <c r="JJ64" s="721">
        <v>32.136000000000003</v>
      </c>
      <c r="JK64" s="721">
        <v>18.125</v>
      </c>
      <c r="JL64" s="721">
        <v>0</v>
      </c>
      <c r="JM64" s="721">
        <v>32.148400000000002</v>
      </c>
      <c r="JN64" s="721">
        <v>17.8125</v>
      </c>
      <c r="JO64" s="721">
        <v>0</v>
      </c>
      <c r="JP64" s="721">
        <v>32.148400000000002</v>
      </c>
      <c r="JQ64" s="721">
        <v>14.5</v>
      </c>
      <c r="JR64" s="721">
        <v>0</v>
      </c>
      <c r="JS64" s="721">
        <v>32.148400000000002</v>
      </c>
      <c r="JT64" s="721">
        <v>14.375</v>
      </c>
      <c r="JU64" s="721">
        <v>0</v>
      </c>
      <c r="JV64" s="721">
        <v>32.148400000000002</v>
      </c>
      <c r="JW64" s="721">
        <v>16.5</v>
      </c>
      <c r="JX64" s="721">
        <v>0</v>
      </c>
      <c r="JY64" s="721">
        <v>32.148400000000002</v>
      </c>
      <c r="JZ64" s="721">
        <v>16.875</v>
      </c>
      <c r="KA64" s="721">
        <v>0</v>
      </c>
      <c r="KB64" s="721">
        <v>32.148400000000002</v>
      </c>
      <c r="KC64" s="721">
        <v>13.625</v>
      </c>
      <c r="KD64" s="721">
        <v>0</v>
      </c>
      <c r="KE64" s="721">
        <v>32.148400000000002</v>
      </c>
      <c r="KF64" s="721">
        <v>15</v>
      </c>
      <c r="KG64" s="721">
        <v>0</v>
      </c>
      <c r="KH64" s="721">
        <v>32.148400000000002</v>
      </c>
      <c r="KI64" s="721">
        <v>16.25</v>
      </c>
      <c r="KJ64" s="721">
        <v>0</v>
      </c>
      <c r="KK64" s="721">
        <v>32.148400000000002</v>
      </c>
      <c r="KL64" s="721">
        <v>15.625</v>
      </c>
      <c r="KM64" s="721">
        <v>0</v>
      </c>
      <c r="KN64" s="721">
        <v>32.148400000000002</v>
      </c>
      <c r="KO64" s="721">
        <v>15.625</v>
      </c>
      <c r="KP64" s="721">
        <v>0</v>
      </c>
      <c r="KQ64" s="721">
        <v>32.148400000000002</v>
      </c>
      <c r="KR64" s="721">
        <v>16.875</v>
      </c>
      <c r="KS64" s="721">
        <v>0</v>
      </c>
      <c r="KT64" s="721">
        <v>32.138199999999998</v>
      </c>
      <c r="KU64" s="721">
        <v>15</v>
      </c>
      <c r="KV64" s="721">
        <v>0</v>
      </c>
      <c r="KW64" s="721">
        <v>32.138199999999998</v>
      </c>
      <c r="KX64" s="721">
        <v>17.5</v>
      </c>
      <c r="KY64" s="721">
        <v>0</v>
      </c>
      <c r="KZ64" s="721">
        <v>32.138199999999998</v>
      </c>
      <c r="LA64" s="721">
        <v>14.375</v>
      </c>
      <c r="LB64" s="721">
        <v>0</v>
      </c>
      <c r="LC64" s="721">
        <v>32.118600000000001</v>
      </c>
      <c r="LD64" s="721">
        <v>18.75</v>
      </c>
      <c r="LE64" s="721">
        <v>0</v>
      </c>
      <c r="LF64" s="721">
        <v>32.118600000000001</v>
      </c>
      <c r="LG64" s="721">
        <v>18.125</v>
      </c>
      <c r="LH64" s="721">
        <v>0</v>
      </c>
      <c r="LI64" s="721">
        <v>32.118600000000001</v>
      </c>
      <c r="LJ64" s="721">
        <v>18.75</v>
      </c>
      <c r="LK64" s="721">
        <v>0</v>
      </c>
      <c r="LL64" s="721">
        <v>32.085999999999999</v>
      </c>
      <c r="LM64" s="721">
        <v>20.625</v>
      </c>
      <c r="LN64" s="721">
        <v>0</v>
      </c>
      <c r="LO64" s="721">
        <v>32.085999999999999</v>
      </c>
      <c r="LP64" s="721">
        <v>14.375</v>
      </c>
      <c r="LQ64" s="721">
        <v>0</v>
      </c>
      <c r="LR64" s="721">
        <v>5.1429999999999998</v>
      </c>
      <c r="LS64" s="721">
        <v>12.5</v>
      </c>
      <c r="LT64" s="721">
        <v>0</v>
      </c>
      <c r="LU64" s="721">
        <v>5.1429999999999998</v>
      </c>
      <c r="LV64" s="721">
        <v>23.75</v>
      </c>
      <c r="LW64" s="721">
        <v>0</v>
      </c>
      <c r="LX64" s="721">
        <v>5.1429999999999998</v>
      </c>
      <c r="LY64" s="721">
        <v>26.25</v>
      </c>
      <c r="LZ64" s="721">
        <v>0</v>
      </c>
      <c r="MA64" s="721">
        <v>5.1429999999999998</v>
      </c>
      <c r="MB64" s="721">
        <v>35</v>
      </c>
      <c r="MC64" s="721">
        <v>0</v>
      </c>
      <c r="MD64" s="721">
        <v>5.1429999999999998</v>
      </c>
      <c r="ME64" s="721">
        <v>22.5</v>
      </c>
      <c r="MF64" s="721">
        <v>0</v>
      </c>
      <c r="MG64" s="721">
        <v>5.1429999999999998</v>
      </c>
      <c r="MH64" s="721">
        <v>25.63</v>
      </c>
      <c r="MI64" s="721">
        <v>0</v>
      </c>
      <c r="MJ64" s="721">
        <v>5.1429999999999998</v>
      </c>
      <c r="MK64" s="721">
        <v>26.88</v>
      </c>
      <c r="ML64" s="721">
        <v>0</v>
      </c>
      <c r="MM64" s="721">
        <v>5.1429999999999998</v>
      </c>
      <c r="MN64" s="721">
        <v>44.38</v>
      </c>
      <c r="MO64" s="721">
        <v>0</v>
      </c>
      <c r="MP64" s="721">
        <v>5.1269999999999998</v>
      </c>
      <c r="MQ64" s="721">
        <v>30</v>
      </c>
    </row>
    <row r="65" spans="1:355">
      <c r="A65" s="633" t="s">
        <v>22</v>
      </c>
      <c r="B65" s="726" t="s">
        <v>145</v>
      </c>
      <c r="C65" s="885">
        <v>245.6</v>
      </c>
      <c r="D65" s="885">
        <v>72.83</v>
      </c>
      <c r="E65" s="885">
        <v>0.495</v>
      </c>
      <c r="F65" s="828">
        <v>245.9</v>
      </c>
      <c r="G65" s="828">
        <v>76.8</v>
      </c>
      <c r="H65" s="828">
        <v>0.495</v>
      </c>
      <c r="I65" s="828">
        <v>245.6</v>
      </c>
      <c r="J65" s="828">
        <v>80.05</v>
      </c>
      <c r="K65" s="828">
        <v>0.47499999999999998</v>
      </c>
      <c r="L65" s="828">
        <v>244.9</v>
      </c>
      <c r="M65" s="829">
        <v>75.11</v>
      </c>
      <c r="N65" s="828">
        <v>0.47499999999999998</v>
      </c>
      <c r="O65" s="828">
        <v>243.8</v>
      </c>
      <c r="P65" s="828">
        <v>73.55</v>
      </c>
      <c r="Q65" s="828">
        <v>0.47499999999999998</v>
      </c>
      <c r="R65" s="828">
        <v>244.1</v>
      </c>
      <c r="S65" s="828">
        <v>65.23</v>
      </c>
      <c r="T65" s="839">
        <v>0.47499999999999998</v>
      </c>
      <c r="U65" s="828">
        <v>243.7</v>
      </c>
      <c r="V65" s="829">
        <v>63.22</v>
      </c>
      <c r="W65" s="828">
        <v>0.45750000000000002</v>
      </c>
      <c r="X65" s="832">
        <v>242.9</v>
      </c>
      <c r="Y65" s="788">
        <v>60.85</v>
      </c>
      <c r="Z65" s="788">
        <v>0.45750000000000002</v>
      </c>
      <c r="AA65" s="788">
        <v>242.6</v>
      </c>
      <c r="AB65" s="788">
        <v>56.63</v>
      </c>
      <c r="AC65" s="788">
        <v>0.45750000000000002</v>
      </c>
      <c r="AD65" s="788">
        <v>242.6</v>
      </c>
      <c r="AE65" s="788">
        <v>58.99</v>
      </c>
      <c r="AF65" s="801">
        <v>0.45750000000000002</v>
      </c>
      <c r="AG65" s="788">
        <v>242.6</v>
      </c>
      <c r="AH65" s="788">
        <v>57.84</v>
      </c>
      <c r="AI65" s="788">
        <v>0.44</v>
      </c>
      <c r="AJ65" s="788">
        <v>242.6</v>
      </c>
      <c r="AK65" s="788">
        <v>54.67</v>
      </c>
      <c r="AL65" s="788">
        <v>0.44</v>
      </c>
      <c r="AM65" s="828">
        <v>242.6</v>
      </c>
      <c r="AN65" s="828">
        <v>54.59</v>
      </c>
      <c r="AO65" s="828">
        <v>0.44</v>
      </c>
      <c r="AP65" s="788">
        <v>242.6</v>
      </c>
      <c r="AQ65" s="788">
        <v>52.46</v>
      </c>
      <c r="AR65" s="795">
        <v>0.44</v>
      </c>
      <c r="AS65" s="727">
        <v>242.6</v>
      </c>
      <c r="AT65" s="727">
        <v>49.18</v>
      </c>
      <c r="AU65" s="727">
        <v>0.42499999999999999</v>
      </c>
      <c r="AV65" s="727">
        <v>242.6</v>
      </c>
      <c r="AW65" s="727">
        <v>53.58</v>
      </c>
      <c r="AX65" s="727">
        <v>0.42499999999999999</v>
      </c>
      <c r="AY65" s="727">
        <v>242.6</v>
      </c>
      <c r="AZ65" s="727">
        <v>50.1</v>
      </c>
      <c r="BA65" s="727">
        <v>0.42499999999999999</v>
      </c>
      <c r="BB65" s="727">
        <v>242.6</v>
      </c>
      <c r="BC65" s="727">
        <v>43.23</v>
      </c>
      <c r="BD65" s="727">
        <v>0.42499999999999999</v>
      </c>
      <c r="BE65" s="727">
        <v>242.6</v>
      </c>
      <c r="BF65" s="727">
        <v>42.27</v>
      </c>
      <c r="BG65" s="727">
        <v>0.41</v>
      </c>
      <c r="BH65" s="727">
        <v>242.6</v>
      </c>
      <c r="BI65" s="727">
        <v>37.68</v>
      </c>
      <c r="BJ65" s="727">
        <v>0.41</v>
      </c>
      <c r="BK65" s="726">
        <v>242.6</v>
      </c>
      <c r="BL65" s="726">
        <v>42.2</v>
      </c>
      <c r="BM65" s="726">
        <v>0.41</v>
      </c>
      <c r="BN65" s="727">
        <v>242.6</v>
      </c>
      <c r="BO65" s="727">
        <v>46.13</v>
      </c>
      <c r="BP65" s="746">
        <v>0.41</v>
      </c>
      <c r="BQ65" s="727">
        <v>242.6</v>
      </c>
      <c r="BR65" s="727">
        <v>38.33</v>
      </c>
      <c r="BS65" s="727">
        <v>0.4</v>
      </c>
      <c r="BT65" s="727">
        <v>242.6</v>
      </c>
      <c r="BU65" s="727">
        <v>40.880000000000003</v>
      </c>
      <c r="BV65" s="727">
        <v>0.4</v>
      </c>
      <c r="BW65" s="726">
        <v>242.6</v>
      </c>
      <c r="BX65" s="726">
        <v>41.2</v>
      </c>
      <c r="BY65" s="726">
        <v>0.4</v>
      </c>
      <c r="BZ65" s="727">
        <v>242.6</v>
      </c>
      <c r="CA65" s="727">
        <v>36.159999999999997</v>
      </c>
      <c r="CB65" s="727">
        <v>0.4</v>
      </c>
      <c r="CC65" s="727">
        <v>242.6</v>
      </c>
      <c r="CD65" s="727">
        <v>34.840000000000003</v>
      </c>
      <c r="CE65" s="727">
        <v>0.4</v>
      </c>
      <c r="CF65" s="727">
        <v>242.6</v>
      </c>
      <c r="CG65" s="727">
        <v>34.44</v>
      </c>
      <c r="CH65" s="727">
        <v>0.4</v>
      </c>
      <c r="CI65" s="726">
        <v>242.6</v>
      </c>
      <c r="CJ65" s="726">
        <v>35.020000000000003</v>
      </c>
      <c r="CK65" s="726">
        <v>0.4</v>
      </c>
      <c r="CL65" s="727">
        <v>242.6</v>
      </c>
      <c r="CM65" s="727">
        <v>30.72</v>
      </c>
      <c r="CN65" s="727">
        <v>0.4</v>
      </c>
      <c r="CO65" s="727">
        <v>246.6</v>
      </c>
      <c r="CP65" s="727">
        <v>32.67</v>
      </c>
      <c r="CQ65" s="727">
        <v>0.4</v>
      </c>
      <c r="CR65" s="727">
        <v>242.6</v>
      </c>
      <c r="CS65" s="727">
        <v>33.54</v>
      </c>
      <c r="CT65" s="727">
        <v>0.4</v>
      </c>
      <c r="CU65" s="726">
        <v>241.5</v>
      </c>
      <c r="CV65" s="726">
        <v>32.58</v>
      </c>
      <c r="CW65" s="726">
        <v>0.4</v>
      </c>
      <c r="CX65" s="727">
        <v>241.7</v>
      </c>
      <c r="CY65" s="727">
        <v>33.130000000000003</v>
      </c>
      <c r="CZ65" s="727">
        <v>0.4</v>
      </c>
      <c r="DA65" s="727">
        <v>241.2</v>
      </c>
      <c r="DB65" s="727">
        <v>29.77</v>
      </c>
      <c r="DC65" s="727">
        <v>0.38500000000000001</v>
      </c>
      <c r="DD65" s="727">
        <v>240.6</v>
      </c>
      <c r="DE65" s="727">
        <v>28.84</v>
      </c>
      <c r="DF65" s="727">
        <v>0.38500000000000001</v>
      </c>
      <c r="DG65" s="727">
        <v>239.9</v>
      </c>
      <c r="DH65" s="727">
        <v>28.07</v>
      </c>
      <c r="DI65" s="727">
        <v>0.38500000000000001</v>
      </c>
      <c r="DJ65" s="727">
        <v>239.3</v>
      </c>
      <c r="DK65" s="727">
        <v>28.19</v>
      </c>
      <c r="DL65" s="727">
        <v>0.38500000000000001</v>
      </c>
      <c r="DM65" s="727">
        <v>238.4</v>
      </c>
      <c r="DN65" s="727">
        <v>28.4</v>
      </c>
      <c r="DO65" s="727">
        <v>0.38500000000000001</v>
      </c>
      <c r="DP65" s="727">
        <v>237.6</v>
      </c>
      <c r="DQ65" s="727">
        <v>23.77</v>
      </c>
      <c r="DR65" s="727">
        <v>0.38500000000000001</v>
      </c>
      <c r="DS65" s="727">
        <v>237</v>
      </c>
      <c r="DT65" s="748">
        <v>26.08</v>
      </c>
      <c r="DU65" s="727">
        <v>0.38500000000000001</v>
      </c>
      <c r="DV65" s="727">
        <v>218.2</v>
      </c>
      <c r="DW65" s="727">
        <v>27.95</v>
      </c>
      <c r="DX65" s="727">
        <v>0.38500000000000001</v>
      </c>
      <c r="DY65" s="727">
        <v>213.6</v>
      </c>
      <c r="DZ65" s="727">
        <v>25.28</v>
      </c>
      <c r="EA65" s="727">
        <v>0.38500000000000001</v>
      </c>
      <c r="EB65" s="727">
        <v>212.7</v>
      </c>
      <c r="EC65" s="727">
        <v>24.89</v>
      </c>
      <c r="ED65" s="727">
        <v>0.38500000000000001</v>
      </c>
      <c r="EE65" s="727">
        <v>211.5</v>
      </c>
      <c r="EF65" s="727">
        <v>23.19</v>
      </c>
      <c r="EG65" s="727">
        <v>0.38500000000000001</v>
      </c>
      <c r="EH65" s="727">
        <v>210.3</v>
      </c>
      <c r="EI65" s="727">
        <v>33.26</v>
      </c>
      <c r="EJ65" s="727">
        <v>0.63500000000000001</v>
      </c>
      <c r="EK65" s="727">
        <v>209.5</v>
      </c>
      <c r="EL65" s="727">
        <v>39.03</v>
      </c>
      <c r="EM65" s="727">
        <v>0.63500000000000001</v>
      </c>
      <c r="EN65" s="727">
        <v>208.7</v>
      </c>
      <c r="EO65" s="727">
        <v>42.23</v>
      </c>
      <c r="EP65" s="727">
        <v>0.63500000000000001</v>
      </c>
      <c r="EQ65" s="727">
        <v>207.4</v>
      </c>
      <c r="ER65" s="727">
        <v>44.04</v>
      </c>
      <c r="ES65" s="727">
        <v>0.63500000000000001</v>
      </c>
      <c r="ET65" s="727">
        <v>207.6</v>
      </c>
      <c r="EU65" s="727">
        <v>54.21</v>
      </c>
      <c r="EV65" s="727">
        <v>0.63500000000000001</v>
      </c>
      <c r="EW65" s="727">
        <v>207.1</v>
      </c>
      <c r="EX65" s="727">
        <v>52.5</v>
      </c>
      <c r="EY65" s="727">
        <v>0.63500000000000001</v>
      </c>
      <c r="EZ65" s="727">
        <v>206.6</v>
      </c>
      <c r="FA65" s="727">
        <v>49.01</v>
      </c>
      <c r="FB65" s="727">
        <v>0.63500000000000001</v>
      </c>
      <c r="FC65" s="723">
        <v>205.6</v>
      </c>
      <c r="FD65" s="741">
        <v>50.3</v>
      </c>
      <c r="FE65" s="723">
        <v>0.63500000000000001</v>
      </c>
      <c r="FF65" s="727">
        <v>205.9</v>
      </c>
      <c r="FG65" s="727">
        <v>53.73</v>
      </c>
      <c r="FH65" s="727">
        <v>0.63500000000000001</v>
      </c>
      <c r="FI65" s="727">
        <v>205.4</v>
      </c>
      <c r="FJ65" s="727">
        <v>52.79</v>
      </c>
      <c r="FK65" s="727">
        <v>0.63500000000000001</v>
      </c>
      <c r="FL65" s="727">
        <v>204.8</v>
      </c>
      <c r="FM65" s="727">
        <v>50.5</v>
      </c>
      <c r="FN65" s="727">
        <v>0.63500000000000001</v>
      </c>
      <c r="FO65" s="727">
        <v>204.3</v>
      </c>
      <c r="FP65" s="727">
        <v>49.82</v>
      </c>
      <c r="FQ65" s="727">
        <v>0.63500000000000001</v>
      </c>
      <c r="FR65" s="727">
        <v>203.8</v>
      </c>
      <c r="FS65" s="742">
        <v>51.24</v>
      </c>
      <c r="FT65" s="626">
        <f>2.54/4</f>
        <v>0.63500000000000001</v>
      </c>
      <c r="FU65" s="727">
        <v>199.7</v>
      </c>
      <c r="FV65" s="727">
        <v>53.49</v>
      </c>
      <c r="FW65" s="727">
        <v>0.63500000000000001</v>
      </c>
      <c r="FX65" s="727">
        <v>195.3</v>
      </c>
      <c r="FY65" s="727">
        <v>55.3</v>
      </c>
      <c r="FZ65" s="727">
        <v>0.63500000000000001</v>
      </c>
      <c r="GA65" s="727">
        <v>193.5</v>
      </c>
      <c r="GB65" s="727">
        <v>49.01</v>
      </c>
      <c r="GC65" s="727">
        <v>0.63500000000000001</v>
      </c>
      <c r="GD65" s="750">
        <v>193.5</v>
      </c>
      <c r="GE65" s="741">
        <v>50.14</v>
      </c>
      <c r="GF65" s="751">
        <v>0.63500000000000001</v>
      </c>
      <c r="GG65" s="750">
        <v>182.7</v>
      </c>
      <c r="GH65" s="727">
        <v>46.15</v>
      </c>
      <c r="GI65" s="727">
        <v>0.63500000000000001</v>
      </c>
      <c r="GJ65" s="727">
        <v>174.3</v>
      </c>
      <c r="GK65" s="727">
        <v>42.96</v>
      </c>
      <c r="GL65" s="727">
        <v>0.63500000000000001</v>
      </c>
      <c r="GM65" s="727">
        <v>162.4</v>
      </c>
      <c r="GN65" s="727">
        <v>46.09</v>
      </c>
      <c r="GO65" s="727">
        <v>0.63500000000000001</v>
      </c>
      <c r="GP65" s="727">
        <v>161.80000000000001</v>
      </c>
      <c r="GQ65" s="727">
        <v>46</v>
      </c>
      <c r="GR65" s="727">
        <v>0.63500000000000001</v>
      </c>
      <c r="GS65" s="727">
        <v>161.19999999999999</v>
      </c>
      <c r="GT65" s="727">
        <v>42.91</v>
      </c>
      <c r="GU65" s="727">
        <v>0.63500000000000001</v>
      </c>
      <c r="GV65" s="727">
        <v>158.9</v>
      </c>
      <c r="GW65" s="727">
        <v>44.1</v>
      </c>
      <c r="GX65" s="727">
        <v>0.63500000000000001</v>
      </c>
      <c r="GY65" s="727">
        <v>153.6</v>
      </c>
      <c r="GZ65" s="727">
        <v>39.049999999999997</v>
      </c>
      <c r="HA65" s="727">
        <v>0.63500000000000001</v>
      </c>
      <c r="HB65" s="727">
        <v>146.69999999999999</v>
      </c>
      <c r="HC65" s="727">
        <v>41.57</v>
      </c>
      <c r="HD65" s="727">
        <v>0.63500000000000001</v>
      </c>
      <c r="HE65" s="727">
        <v>144.4</v>
      </c>
      <c r="HF65" s="727">
        <v>41.65</v>
      </c>
      <c r="HG65" s="727">
        <v>0.63500000000000001</v>
      </c>
      <c r="HH65" s="727">
        <v>139.69999999999999</v>
      </c>
      <c r="HI65" s="727">
        <v>43.01</v>
      </c>
      <c r="HJ65" s="727">
        <v>0.63500000000000001</v>
      </c>
      <c r="HK65" s="727">
        <v>138.04563899999999</v>
      </c>
      <c r="HL65" s="727">
        <v>42.75</v>
      </c>
      <c r="HM65" s="727">
        <v>0.63500000000000001</v>
      </c>
      <c r="HN65" s="727">
        <v>137.22200000000001</v>
      </c>
      <c r="HO65" s="727">
        <v>42.3</v>
      </c>
      <c r="HP65" s="727">
        <v>0.63500000000000001</v>
      </c>
      <c r="HQ65" s="727">
        <v>137.215</v>
      </c>
      <c r="HR65" s="727">
        <v>38.4</v>
      </c>
      <c r="HS65" s="727">
        <v>0.63500000000000001</v>
      </c>
      <c r="HT65" s="727">
        <v>137.215462</v>
      </c>
      <c r="HU65" s="727">
        <v>42.7</v>
      </c>
      <c r="HV65" s="727">
        <v>0.63500000000000001</v>
      </c>
      <c r="HW65" s="727">
        <v>137.215462</v>
      </c>
      <c r="HX65" s="727">
        <v>40.950000000000003</v>
      </c>
      <c r="HY65" s="727">
        <v>0.63500000000000001</v>
      </c>
      <c r="HZ65" s="727">
        <v>137.215462</v>
      </c>
      <c r="IA65" s="727">
        <v>46.3125</v>
      </c>
      <c r="IB65" s="727">
        <v>0.63500000000000001</v>
      </c>
      <c r="IC65" s="727">
        <v>137.215462</v>
      </c>
      <c r="ID65" s="727">
        <v>41.875</v>
      </c>
      <c r="IE65" s="727">
        <v>0.63500000000000001</v>
      </c>
      <c r="IF65" s="727">
        <v>137.215462</v>
      </c>
      <c r="IG65" s="727">
        <v>33.75</v>
      </c>
      <c r="IH65" s="727">
        <v>0.63500000000000001</v>
      </c>
      <c r="II65" s="727">
        <v>137.215462</v>
      </c>
      <c r="IJ65" s="722">
        <v>30.9375</v>
      </c>
      <c r="IK65" s="722">
        <v>0.63500000000000001</v>
      </c>
      <c r="IL65" s="722">
        <v>137.215462</v>
      </c>
      <c r="IM65" s="727">
        <v>32.75</v>
      </c>
      <c r="IN65" s="722">
        <v>0.63500000000000001</v>
      </c>
      <c r="IO65" s="722">
        <v>137.215462</v>
      </c>
      <c r="IP65" s="727">
        <v>37.8125</v>
      </c>
      <c r="IQ65" s="722">
        <v>0.63500000000000001</v>
      </c>
      <c r="IR65" s="721">
        <v>137.22</v>
      </c>
      <c r="IS65" s="721">
        <v>38.375</v>
      </c>
      <c r="IT65" s="721">
        <v>0.63500000000000001</v>
      </c>
      <c r="IU65" s="721">
        <v>137.22</v>
      </c>
      <c r="IV65" s="721">
        <v>36.1875</v>
      </c>
      <c r="IW65" s="721">
        <v>0.63500000000000001</v>
      </c>
      <c r="IX65" s="721">
        <v>137.22</v>
      </c>
      <c r="IY65" s="721">
        <v>42.688000000000002</v>
      </c>
      <c r="IZ65" s="721">
        <v>0.63500000000000001</v>
      </c>
      <c r="JA65" s="721">
        <v>137.22</v>
      </c>
      <c r="JB65" s="721">
        <v>41.938000000000002</v>
      </c>
      <c r="JC65" s="721">
        <v>0.63500000000000001</v>
      </c>
      <c r="JD65" s="721">
        <v>137.22</v>
      </c>
      <c r="JE65" s="721">
        <v>39.75</v>
      </c>
      <c r="JF65" s="721">
        <v>0.63500000000000001</v>
      </c>
      <c r="JG65" s="721">
        <v>102.12</v>
      </c>
      <c r="JH65" s="721">
        <v>42.125</v>
      </c>
      <c r="JI65" s="721">
        <v>0.63500000000000001</v>
      </c>
      <c r="JJ65" s="721">
        <v>102.124</v>
      </c>
      <c r="JK65" s="721">
        <v>43.25</v>
      </c>
      <c r="JL65" s="721">
        <v>0.63500000000000001</v>
      </c>
      <c r="JM65" s="721">
        <v>102.124</v>
      </c>
      <c r="JN65" s="721">
        <v>38.4375</v>
      </c>
      <c r="JO65" s="721">
        <v>0.63500000000000001</v>
      </c>
      <c r="JP65" s="721">
        <v>102.124</v>
      </c>
      <c r="JQ65" s="721">
        <v>37.688000000000002</v>
      </c>
      <c r="JR65" s="721">
        <v>0.63500000000000001</v>
      </c>
      <c r="JS65" s="721">
        <v>102.124</v>
      </c>
      <c r="JT65" s="721">
        <v>36.875</v>
      </c>
      <c r="JU65" s="721">
        <v>0.63500000000000001</v>
      </c>
      <c r="JV65" s="721">
        <v>102.124</v>
      </c>
      <c r="JW65" s="721">
        <v>38.5</v>
      </c>
      <c r="JX65" s="721">
        <v>0.64249999999999996</v>
      </c>
      <c r="JY65" s="721">
        <v>102.124</v>
      </c>
      <c r="JZ65" s="721">
        <v>37</v>
      </c>
      <c r="KA65" s="721">
        <v>0.625</v>
      </c>
      <c r="KB65" s="721">
        <v>102.124</v>
      </c>
      <c r="KC65" s="721">
        <v>40.25</v>
      </c>
      <c r="KD65" s="721">
        <v>0.625</v>
      </c>
      <c r="KE65" s="721">
        <v>102.124</v>
      </c>
      <c r="KF65" s="721">
        <v>41</v>
      </c>
      <c r="KG65" s="721">
        <v>0.625</v>
      </c>
      <c r="KH65" s="721">
        <v>102.124</v>
      </c>
      <c r="KI65" s="721">
        <v>41.75</v>
      </c>
      <c r="KJ65" s="721">
        <v>0.625</v>
      </c>
      <c r="KK65" s="721">
        <v>102.124</v>
      </c>
      <c r="KL65" s="721">
        <v>37.375</v>
      </c>
      <c r="KM65" s="721">
        <v>0.61</v>
      </c>
      <c r="KN65" s="721">
        <v>102.124</v>
      </c>
      <c r="KO65" s="721">
        <v>37.25</v>
      </c>
      <c r="KP65" s="721">
        <v>0.61</v>
      </c>
      <c r="KQ65" s="721">
        <v>102.124</v>
      </c>
      <c r="KR65" s="721">
        <v>35.375</v>
      </c>
      <c r="KS65" s="721">
        <v>0.61</v>
      </c>
      <c r="KT65" s="721">
        <v>102.124</v>
      </c>
      <c r="KU65" s="721">
        <v>35.375</v>
      </c>
      <c r="KV65" s="721">
        <v>0.61</v>
      </c>
      <c r="KW65" s="721">
        <v>102.124</v>
      </c>
      <c r="KX65" s="721">
        <v>35</v>
      </c>
      <c r="KY65" s="721">
        <v>0.59499999999999997</v>
      </c>
      <c r="KZ65" s="721">
        <v>102.124</v>
      </c>
      <c r="LA65" s="721">
        <v>31.625</v>
      </c>
      <c r="LB65" s="721">
        <v>0.59499999999999997</v>
      </c>
      <c r="LC65" s="721">
        <v>102.124</v>
      </c>
      <c r="LD65" s="721">
        <v>35.125</v>
      </c>
      <c r="LE65" s="721">
        <v>0.59499999999999997</v>
      </c>
      <c r="LF65" s="721">
        <v>102.124</v>
      </c>
      <c r="LG65" s="721">
        <v>39.25</v>
      </c>
      <c r="LH65" s="721">
        <v>0.59499999999999997</v>
      </c>
      <c r="LI65" s="721">
        <v>102.124</v>
      </c>
      <c r="LJ65" s="721">
        <v>44</v>
      </c>
      <c r="LK65" s="721">
        <v>0.57999999999999996</v>
      </c>
      <c r="LL65" s="721">
        <v>102.124</v>
      </c>
      <c r="LM65" s="721">
        <v>41.375</v>
      </c>
      <c r="LN65" s="721">
        <v>0.57999999999999996</v>
      </c>
      <c r="LO65" s="721">
        <v>102.124</v>
      </c>
      <c r="LP65" s="721">
        <v>39.125</v>
      </c>
      <c r="LQ65" s="721">
        <v>0.57999999999999996</v>
      </c>
      <c r="LR65" s="721">
        <v>102.124</v>
      </c>
      <c r="LS65" s="721">
        <v>37.380000000000003</v>
      </c>
      <c r="LT65" s="721">
        <v>0.57999999999999996</v>
      </c>
      <c r="LU65" s="721">
        <v>102.124</v>
      </c>
      <c r="LV65" s="721">
        <v>37.130000000000003</v>
      </c>
      <c r="LW65" s="721">
        <v>0.56000000000000005</v>
      </c>
      <c r="LX65" s="721">
        <v>102.124</v>
      </c>
      <c r="LY65" s="721">
        <v>35.880000000000003</v>
      </c>
      <c r="LZ65" s="721">
        <v>0.56000000000000005</v>
      </c>
      <c r="MA65" s="721">
        <v>102.124</v>
      </c>
      <c r="MB65" s="721">
        <v>33</v>
      </c>
      <c r="MC65" s="721">
        <v>0.56000000000000005</v>
      </c>
      <c r="MD65" s="721">
        <v>102.124</v>
      </c>
      <c r="ME65" s="721">
        <v>38.630000000000003</v>
      </c>
      <c r="MF65" s="721">
        <v>0.56000000000000005</v>
      </c>
      <c r="MG65" s="721">
        <v>102.124</v>
      </c>
      <c r="MH65" s="721">
        <v>34.130000000000003</v>
      </c>
      <c r="MI65" s="721">
        <v>0.54</v>
      </c>
      <c r="MJ65" s="721">
        <v>102.124</v>
      </c>
      <c r="MK65" s="721">
        <v>29.75</v>
      </c>
      <c r="ML65" s="721">
        <v>0.54</v>
      </c>
      <c r="MM65" s="721">
        <v>102.124</v>
      </c>
      <c r="MN65" s="721">
        <v>30.13</v>
      </c>
      <c r="MO65" s="721">
        <v>0.54</v>
      </c>
      <c r="MP65" s="721">
        <v>102.124</v>
      </c>
      <c r="MQ65" s="721">
        <v>29.75</v>
      </c>
    </row>
    <row r="66" spans="1:355">
      <c r="A66" s="633" t="s">
        <v>49</v>
      </c>
      <c r="B66" s="727" t="s">
        <v>146</v>
      </c>
      <c r="C66" s="886"/>
      <c r="D66" s="886"/>
      <c r="E66" s="886"/>
      <c r="F66" s="788"/>
      <c r="G66" s="788"/>
      <c r="H66" s="788"/>
      <c r="I66" s="788"/>
      <c r="J66" s="788"/>
      <c r="K66" s="788"/>
      <c r="L66" s="828"/>
      <c r="M66" s="829"/>
      <c r="N66" s="828"/>
      <c r="O66" s="828"/>
      <c r="P66" s="828"/>
      <c r="Q66" s="828"/>
      <c r="R66" s="828"/>
      <c r="S66" s="828"/>
      <c r="T66" s="828"/>
      <c r="U66" s="788"/>
      <c r="V66" s="827"/>
      <c r="W66" s="788"/>
      <c r="X66" s="832"/>
      <c r="Y66" s="788"/>
      <c r="Z66" s="788"/>
      <c r="AA66" s="788"/>
      <c r="AB66" s="788"/>
      <c r="AC66" s="788"/>
      <c r="AJ66" s="788"/>
      <c r="AK66" s="788"/>
      <c r="AL66" s="788"/>
      <c r="AM66" s="828"/>
      <c r="AN66" s="828"/>
      <c r="AO66" s="828"/>
      <c r="AP66" s="789"/>
      <c r="AQ66" s="789"/>
      <c r="AR66" s="789"/>
      <c r="AS66" s="730"/>
      <c r="AT66" s="730"/>
      <c r="AU66" s="730"/>
      <c r="AV66" s="730"/>
      <c r="AW66" s="730"/>
      <c r="AX66" s="730"/>
      <c r="AY66" s="727"/>
      <c r="AZ66" s="727"/>
      <c r="BA66" s="727"/>
      <c r="BB66" s="727"/>
      <c r="BC66" s="727"/>
      <c r="BD66" s="727"/>
      <c r="BE66" s="727">
        <v>56.95</v>
      </c>
      <c r="BF66" s="727">
        <v>50.27</v>
      </c>
      <c r="BG66" s="727">
        <v>0.432</v>
      </c>
      <c r="BH66" s="727">
        <v>56.881</v>
      </c>
      <c r="BI66" s="727">
        <v>45.82</v>
      </c>
      <c r="BJ66" s="727">
        <v>0.432</v>
      </c>
      <c r="BK66" s="726">
        <v>56.854999999999997</v>
      </c>
      <c r="BL66" s="726">
        <v>51.42</v>
      </c>
      <c r="BM66" s="726">
        <v>0.432</v>
      </c>
      <c r="BN66" s="727">
        <v>56.854999999999997</v>
      </c>
      <c r="BO66" s="727">
        <v>43.54</v>
      </c>
      <c r="BP66" s="727">
        <v>0.432</v>
      </c>
      <c r="BQ66" s="727">
        <v>56.841999999999999</v>
      </c>
      <c r="BR66" s="727">
        <v>35.4</v>
      </c>
      <c r="BS66" s="727">
        <v>0.432</v>
      </c>
      <c r="BT66" s="727">
        <v>56.779000000000003</v>
      </c>
      <c r="BU66" s="727">
        <v>38.71</v>
      </c>
      <c r="BV66" s="727">
        <v>0.432</v>
      </c>
      <c r="BW66" s="726">
        <v>52.414999999999999</v>
      </c>
      <c r="BX66" s="726">
        <v>36.81</v>
      </c>
      <c r="BY66" s="726">
        <v>0.432</v>
      </c>
      <c r="BZ66" s="727">
        <v>50.988999999999997</v>
      </c>
      <c r="CA66" s="727">
        <v>38.75</v>
      </c>
      <c r="CB66" s="727">
        <v>0.432</v>
      </c>
      <c r="CC66" s="727">
        <v>50.972000000000001</v>
      </c>
      <c r="CD66" s="727">
        <v>37.18</v>
      </c>
      <c r="CE66" s="727">
        <v>0.432</v>
      </c>
      <c r="CF66" s="727">
        <v>50.887999999999998</v>
      </c>
      <c r="CG66" s="727">
        <v>38.25</v>
      </c>
      <c r="CH66" s="727">
        <v>0.432</v>
      </c>
      <c r="CI66" s="726">
        <v>50.831000000000003</v>
      </c>
      <c r="CJ66" s="726">
        <v>39.590000000000003</v>
      </c>
      <c r="CK66" s="726">
        <v>0.432</v>
      </c>
      <c r="CL66" s="727">
        <v>50.779000000000003</v>
      </c>
      <c r="CM66" s="727">
        <v>35.81</v>
      </c>
      <c r="CN66" s="727">
        <v>0.432</v>
      </c>
      <c r="CO66" s="727">
        <v>50.792999999999999</v>
      </c>
      <c r="CP66" s="727">
        <v>35.86</v>
      </c>
      <c r="CQ66" s="727">
        <v>0.432</v>
      </c>
      <c r="CR66" s="727">
        <v>50.686</v>
      </c>
      <c r="CS66" s="727">
        <v>35.86</v>
      </c>
      <c r="CT66" s="727">
        <v>0.432</v>
      </c>
      <c r="CU66" s="726">
        <v>50.609000000000002</v>
      </c>
      <c r="CV66" s="726">
        <v>34.76</v>
      </c>
      <c r="CW66" s="726">
        <v>0.432</v>
      </c>
      <c r="CX66" s="727">
        <v>50.643000000000001</v>
      </c>
      <c r="CY66" s="727">
        <v>35.369999999999997</v>
      </c>
      <c r="CZ66" s="727">
        <v>0.432</v>
      </c>
      <c r="DA66" s="727">
        <v>50.628</v>
      </c>
      <c r="DB66" s="727">
        <v>32.93</v>
      </c>
      <c r="DC66" s="727">
        <v>0.432</v>
      </c>
      <c r="DD66" s="727">
        <v>50.518000000000001</v>
      </c>
      <c r="DE66" s="727">
        <v>32.35</v>
      </c>
      <c r="DF66" s="727">
        <v>0.432</v>
      </c>
      <c r="DG66" s="727">
        <v>35.722000000000001</v>
      </c>
      <c r="DH66" s="727">
        <v>30.52</v>
      </c>
      <c r="DI66" s="727">
        <v>0.432</v>
      </c>
      <c r="DJ66" s="727">
        <v>32.176000000000002</v>
      </c>
      <c r="DK66" s="727">
        <v>29.96</v>
      </c>
      <c r="DL66" s="727">
        <v>0.432</v>
      </c>
      <c r="DM66" s="727">
        <v>30.093</v>
      </c>
      <c r="DN66" s="727">
        <v>28.16</v>
      </c>
      <c r="DO66" s="727">
        <v>0.432</v>
      </c>
      <c r="DP66" s="727">
        <v>30.013000000000002</v>
      </c>
      <c r="DQ66" s="727">
        <v>25.03</v>
      </c>
      <c r="DR66" s="727">
        <v>0.432</v>
      </c>
      <c r="DS66" s="727">
        <v>29.998000000000001</v>
      </c>
      <c r="DT66" s="748">
        <v>27.5</v>
      </c>
      <c r="DU66" s="727">
        <v>0.432</v>
      </c>
      <c r="DV66" s="727">
        <v>29.885000000000002</v>
      </c>
      <c r="DW66" s="727">
        <v>28.08</v>
      </c>
      <c r="DX66" s="727">
        <v>0.432</v>
      </c>
      <c r="DY66" s="727">
        <v>26.998999999999999</v>
      </c>
      <c r="DZ66" s="727">
        <v>26.39</v>
      </c>
      <c r="EA66" s="727">
        <v>0.432</v>
      </c>
      <c r="EB66" s="727">
        <v>25.187999999999999</v>
      </c>
      <c r="EC66" s="727">
        <v>22.45</v>
      </c>
      <c r="ED66" s="727">
        <v>0.432</v>
      </c>
      <c r="EE66" s="727">
        <v>25.16</v>
      </c>
      <c r="EF66" s="727">
        <v>22.32</v>
      </c>
      <c r="EG66" s="727">
        <v>0.432</v>
      </c>
      <c r="EH66" s="727">
        <v>25.135000000000002</v>
      </c>
      <c r="EI66" s="727">
        <v>30.03</v>
      </c>
      <c r="EJ66" s="727">
        <v>0.432</v>
      </c>
      <c r="EK66" s="727">
        <v>25.113</v>
      </c>
      <c r="EL66" s="727">
        <v>34.33</v>
      </c>
      <c r="EM66" s="727">
        <v>0.432</v>
      </c>
      <c r="EN66" s="727">
        <v>25.05</v>
      </c>
      <c r="EO66" s="727">
        <v>29.41</v>
      </c>
      <c r="EP66" s="727">
        <v>0.432</v>
      </c>
      <c r="EQ66" s="727">
        <v>24.986000000000001</v>
      </c>
      <c r="ER66" s="727">
        <v>30.13</v>
      </c>
      <c r="ES66" s="727">
        <v>0.432</v>
      </c>
      <c r="ET66" s="727">
        <v>25.012</v>
      </c>
      <c r="EU66" s="727">
        <v>36.950000000000003</v>
      </c>
      <c r="EV66" s="727">
        <v>0.4325</v>
      </c>
      <c r="EW66" s="727">
        <v>24.998000000000001</v>
      </c>
      <c r="EX66" s="727">
        <v>31.5</v>
      </c>
      <c r="EY66" s="727">
        <v>0.4325</v>
      </c>
      <c r="EZ66" s="727">
        <v>24.91</v>
      </c>
      <c r="FA66" s="727">
        <v>33.1</v>
      </c>
      <c r="FB66" s="727">
        <v>0.4325</v>
      </c>
      <c r="FC66" s="723">
        <v>24.440999999999999</v>
      </c>
      <c r="FD66" s="741">
        <v>34.700000000000003</v>
      </c>
      <c r="FE66" s="723">
        <v>0.4325</v>
      </c>
      <c r="FF66" s="726">
        <v>24.454999999999998</v>
      </c>
      <c r="FG66" s="726">
        <v>42.19</v>
      </c>
      <c r="FH66" s="726">
        <v>0.4325</v>
      </c>
      <c r="FI66" s="727">
        <v>24.364999999999998</v>
      </c>
      <c r="FJ66" s="727">
        <v>37.5</v>
      </c>
      <c r="FK66" s="727">
        <v>0.4325</v>
      </c>
      <c r="FL66" s="727">
        <v>24.324999999999999</v>
      </c>
      <c r="FM66" s="727">
        <v>33.770000000000003</v>
      </c>
      <c r="FN66" s="727">
        <v>0.4325</v>
      </c>
      <c r="FO66" s="727">
        <v>24.311699999999998</v>
      </c>
      <c r="FP66" s="727">
        <v>31.41</v>
      </c>
      <c r="FQ66" s="727">
        <v>0.4325</v>
      </c>
      <c r="FR66" s="727">
        <v>24.28</v>
      </c>
      <c r="FS66" s="742">
        <v>27.59</v>
      </c>
      <c r="FT66" s="727">
        <v>0.4325</v>
      </c>
      <c r="FU66" s="727">
        <v>24.215</v>
      </c>
      <c r="FV66" s="727">
        <v>31.39</v>
      </c>
      <c r="FW66" s="727">
        <v>0.4325</v>
      </c>
      <c r="FX66" s="727">
        <v>24.17</v>
      </c>
      <c r="FY66" s="727">
        <v>32.29</v>
      </c>
      <c r="FZ66" s="727">
        <v>0.4325</v>
      </c>
      <c r="GA66" s="727">
        <v>23.99</v>
      </c>
      <c r="GB66" s="727">
        <v>30.39</v>
      </c>
      <c r="GC66" s="727">
        <v>0.4325</v>
      </c>
      <c r="GD66" s="750">
        <v>23.99</v>
      </c>
      <c r="GE66" s="741">
        <v>30.78</v>
      </c>
      <c r="GF66" s="727">
        <v>0.4325</v>
      </c>
      <c r="GG66" s="750">
        <v>23.93</v>
      </c>
      <c r="GH66" s="727">
        <v>29.51</v>
      </c>
      <c r="GI66" s="727">
        <v>0.4325</v>
      </c>
      <c r="GJ66" s="727">
        <v>23.89</v>
      </c>
      <c r="GK66" s="727">
        <v>29.21</v>
      </c>
      <c r="GL66" s="727">
        <v>0.4325</v>
      </c>
      <c r="GM66" s="727">
        <v>23.843</v>
      </c>
      <c r="GN66" s="727">
        <v>28.9</v>
      </c>
      <c r="GO66" s="727">
        <v>0.4325</v>
      </c>
      <c r="GP66" s="727">
        <v>23.824999999999999</v>
      </c>
      <c r="GQ66" s="727">
        <v>27.06</v>
      </c>
      <c r="GR66" s="727">
        <v>0.4325</v>
      </c>
      <c r="GS66" s="727">
        <v>23.81</v>
      </c>
      <c r="GT66" s="727">
        <v>20.99</v>
      </c>
      <c r="GU66" s="727">
        <v>0.4325</v>
      </c>
      <c r="GV66" s="727">
        <v>23.8</v>
      </c>
      <c r="GW66" s="727">
        <v>24.33</v>
      </c>
      <c r="GX66" s="727">
        <v>0.4325</v>
      </c>
      <c r="GY66" s="727">
        <v>23.79</v>
      </c>
      <c r="GZ66" s="727">
        <v>20.82</v>
      </c>
      <c r="HA66" s="727">
        <v>0.4325</v>
      </c>
      <c r="HB66" s="727">
        <v>23.78</v>
      </c>
      <c r="HC66" s="727">
        <v>20.92</v>
      </c>
      <c r="HD66" s="727">
        <v>0.4325</v>
      </c>
      <c r="HE66" s="727">
        <v>23.76</v>
      </c>
      <c r="HF66" s="727">
        <v>21.27</v>
      </c>
      <c r="HG66" s="727">
        <v>0.4325</v>
      </c>
      <c r="HH66" s="727">
        <v>23.61</v>
      </c>
      <c r="HI66" s="727">
        <v>32.68</v>
      </c>
      <c r="HJ66" s="727">
        <v>0.4325</v>
      </c>
      <c r="HK66" s="727">
        <v>23.52</v>
      </c>
      <c r="HL66" s="727">
        <v>34.86</v>
      </c>
      <c r="HM66" s="727">
        <v>0.4325</v>
      </c>
      <c r="HN66" s="727">
        <v>23.5</v>
      </c>
      <c r="HO66" s="727">
        <v>30.78</v>
      </c>
      <c r="HP66" s="727">
        <v>0.4325</v>
      </c>
      <c r="HQ66" s="727">
        <v>23.49</v>
      </c>
      <c r="HR66" s="727">
        <v>28.61</v>
      </c>
      <c r="HS66" s="727">
        <v>0.4325</v>
      </c>
      <c r="HT66" s="727">
        <v>23.47</v>
      </c>
      <c r="HU66" s="727">
        <v>29.15</v>
      </c>
      <c r="HV66" s="727">
        <v>0.4325</v>
      </c>
      <c r="HW66" s="727">
        <v>23.46</v>
      </c>
      <c r="HX66" s="727">
        <v>28.5</v>
      </c>
      <c r="HY66" s="727">
        <v>0.4325</v>
      </c>
      <c r="HZ66" s="727">
        <v>23.45</v>
      </c>
      <c r="IA66" s="727">
        <v>29.85</v>
      </c>
      <c r="IB66" s="727">
        <v>0.4325</v>
      </c>
      <c r="IC66" s="727">
        <v>14.076000000000001</v>
      </c>
      <c r="ID66" s="727">
        <v>51.4375</v>
      </c>
      <c r="IE66" s="727">
        <v>0.4325</v>
      </c>
      <c r="IF66" s="727">
        <v>14.069000000000001</v>
      </c>
      <c r="IG66" s="727">
        <v>43.75</v>
      </c>
      <c r="IH66" s="727">
        <v>0.4325</v>
      </c>
      <c r="II66" s="727">
        <v>14.063000000000001</v>
      </c>
      <c r="IJ66" s="722">
        <v>39.25</v>
      </c>
      <c r="IK66" s="727">
        <v>0.4325</v>
      </c>
      <c r="IL66" s="722">
        <v>14.055999999999999</v>
      </c>
      <c r="IM66" s="727">
        <v>51.375</v>
      </c>
      <c r="IN66" s="722">
        <v>0.72</v>
      </c>
      <c r="IO66" s="722">
        <v>14.048999999999999</v>
      </c>
      <c r="IP66" s="727">
        <v>48.375</v>
      </c>
      <c r="IQ66" s="722">
        <v>0.72</v>
      </c>
      <c r="IR66" s="721">
        <v>14.02</v>
      </c>
      <c r="IS66" s="721">
        <v>42.4375</v>
      </c>
      <c r="IT66" s="721">
        <v>0.72</v>
      </c>
      <c r="IU66" s="721">
        <v>14</v>
      </c>
      <c r="IV66" s="721">
        <v>41.9375</v>
      </c>
      <c r="IW66" s="721">
        <v>0.72</v>
      </c>
      <c r="IX66" s="721">
        <v>14</v>
      </c>
      <c r="IY66" s="721">
        <v>51.5</v>
      </c>
      <c r="IZ66" s="721">
        <v>0.72</v>
      </c>
      <c r="JA66" s="721">
        <v>13.99</v>
      </c>
      <c r="JB66" s="721">
        <v>52.25</v>
      </c>
      <c r="JC66" s="721">
        <v>0.72</v>
      </c>
      <c r="JD66" s="721">
        <v>13.99</v>
      </c>
      <c r="JE66" s="721">
        <v>50.625</v>
      </c>
      <c r="JF66" s="721">
        <v>0.72</v>
      </c>
      <c r="JG66" s="721">
        <v>13.89</v>
      </c>
      <c r="JH66" s="721">
        <v>48.375</v>
      </c>
      <c r="JI66" s="721">
        <v>0.72</v>
      </c>
      <c r="JJ66" s="721">
        <v>13.887</v>
      </c>
      <c r="JK66" s="721">
        <v>45.9375</v>
      </c>
      <c r="JL66" s="721">
        <v>0.72</v>
      </c>
      <c r="JM66" s="721">
        <v>14.101000000000001</v>
      </c>
      <c r="JN66" s="721">
        <v>36.4375</v>
      </c>
      <c r="JO66" s="721">
        <v>0.72</v>
      </c>
      <c r="JP66" s="721">
        <v>14.101000000000001</v>
      </c>
      <c r="JQ66" s="721">
        <v>30.875</v>
      </c>
      <c r="JR66" s="721">
        <v>0.72</v>
      </c>
      <c r="JS66" s="721">
        <v>14.101000000000001</v>
      </c>
      <c r="JT66" s="721">
        <v>26.125</v>
      </c>
      <c r="JU66" s="721">
        <v>0.72</v>
      </c>
      <c r="JV66" s="721">
        <v>14.087</v>
      </c>
      <c r="JW66" s="721">
        <v>31.375</v>
      </c>
      <c r="JX66" s="721">
        <v>0.72</v>
      </c>
      <c r="JY66" s="721">
        <v>14.087</v>
      </c>
      <c r="JZ66" s="721">
        <v>34.375</v>
      </c>
      <c r="KA66" s="721">
        <v>0.72</v>
      </c>
      <c r="KB66" s="721">
        <v>14.087</v>
      </c>
      <c r="KC66" s="721">
        <v>37.375</v>
      </c>
      <c r="KD66" s="721">
        <v>0.72</v>
      </c>
      <c r="KE66" s="721">
        <v>14.087</v>
      </c>
      <c r="KF66" s="721">
        <v>36.875</v>
      </c>
      <c r="KG66" s="721">
        <v>0.72</v>
      </c>
      <c r="KH66" s="721">
        <v>14.087</v>
      </c>
      <c r="KI66" s="721">
        <v>37.375</v>
      </c>
      <c r="KJ66" s="721">
        <v>0.70499999999999996</v>
      </c>
      <c r="KK66" s="721">
        <v>14.087</v>
      </c>
      <c r="KL66" s="721">
        <v>35.125</v>
      </c>
      <c r="KM66" s="721">
        <v>0.70499999999999996</v>
      </c>
      <c r="KN66" s="721">
        <v>14.087</v>
      </c>
      <c r="KO66" s="721">
        <v>33</v>
      </c>
      <c r="KP66" s="721">
        <v>0.70499999999999996</v>
      </c>
      <c r="KQ66" s="721">
        <v>14.087</v>
      </c>
      <c r="KR66" s="721">
        <v>32</v>
      </c>
      <c r="KS66" s="721">
        <v>0.70499999999999996</v>
      </c>
      <c r="KT66" s="721">
        <v>14.084</v>
      </c>
      <c r="KU66" s="721">
        <v>29.5</v>
      </c>
      <c r="KV66" s="721">
        <v>0.69</v>
      </c>
      <c r="KW66" s="721">
        <v>14.084</v>
      </c>
      <c r="KX66" s="721">
        <v>30.125</v>
      </c>
      <c r="KY66" s="721">
        <v>0.69</v>
      </c>
      <c r="KZ66" s="721">
        <v>14.084</v>
      </c>
      <c r="LA66" s="721">
        <v>32.875</v>
      </c>
      <c r="LB66" s="721">
        <v>0.69</v>
      </c>
      <c r="LC66" s="721">
        <v>14.073</v>
      </c>
      <c r="LD66" s="721">
        <v>36</v>
      </c>
      <c r="LE66" s="721">
        <v>0.69</v>
      </c>
      <c r="LF66" s="721">
        <v>14.073</v>
      </c>
      <c r="LG66" s="721">
        <v>40.25</v>
      </c>
      <c r="LH66" s="721">
        <v>0.66500000000000004</v>
      </c>
      <c r="LI66" s="721">
        <v>14.073</v>
      </c>
      <c r="LJ66" s="721">
        <v>45.25</v>
      </c>
      <c r="LK66" s="721">
        <v>0.66500000000000004</v>
      </c>
      <c r="LL66" s="721">
        <v>14.055</v>
      </c>
      <c r="LM66" s="721">
        <v>42.875</v>
      </c>
      <c r="LN66" s="721">
        <v>0.66500000000000004</v>
      </c>
      <c r="LO66" s="721">
        <v>14.042999999999999</v>
      </c>
      <c r="LP66" s="721">
        <v>43.625</v>
      </c>
      <c r="LQ66" s="721">
        <v>0.66500000000000004</v>
      </c>
      <c r="LR66" s="721">
        <v>13.935</v>
      </c>
      <c r="LS66" s="721">
        <v>41.5</v>
      </c>
      <c r="LT66" s="721">
        <v>0.64</v>
      </c>
      <c r="LU66" s="721">
        <v>13.935</v>
      </c>
      <c r="LV66" s="721">
        <v>38.75</v>
      </c>
      <c r="LW66" s="721">
        <v>0.64</v>
      </c>
      <c r="LX66" s="721">
        <v>13.933999999999999</v>
      </c>
      <c r="LY66" s="721">
        <v>37.130000000000003</v>
      </c>
      <c r="LZ66" s="721">
        <v>0.64</v>
      </c>
      <c r="MA66" s="721">
        <v>13.933</v>
      </c>
      <c r="MB66" s="721">
        <v>36.880000000000003</v>
      </c>
      <c r="MC66" s="721">
        <v>0.61</v>
      </c>
      <c r="MD66" s="721">
        <v>13.9</v>
      </c>
      <c r="ME66" s="721">
        <v>39</v>
      </c>
      <c r="MF66" s="721">
        <v>0.61</v>
      </c>
      <c r="MG66" s="721">
        <v>13.89</v>
      </c>
      <c r="MH66" s="721">
        <v>34.5</v>
      </c>
      <c r="MI66" s="721">
        <v>0.61</v>
      </c>
      <c r="MJ66" s="721">
        <v>13.888</v>
      </c>
      <c r="MK66" s="721">
        <v>34.25</v>
      </c>
      <c r="ML66" s="721">
        <v>0.61</v>
      </c>
      <c r="MM66" s="721">
        <v>13.888</v>
      </c>
      <c r="MN66" s="721">
        <v>34.25</v>
      </c>
      <c r="MO66" s="721">
        <v>0.57999999999999996</v>
      </c>
      <c r="MP66" s="721">
        <v>13.888</v>
      </c>
      <c r="MQ66" s="721">
        <v>31.13</v>
      </c>
    </row>
    <row r="67" spans="1:355">
      <c r="A67" s="633" t="s">
        <v>52</v>
      </c>
      <c r="B67" s="728" t="s">
        <v>147</v>
      </c>
      <c r="C67" s="885">
        <v>14.894</v>
      </c>
      <c r="D67" s="885">
        <v>52.32</v>
      </c>
      <c r="E67" s="887">
        <v>0.375</v>
      </c>
      <c r="F67" s="828">
        <v>14.898</v>
      </c>
      <c r="G67" s="828">
        <v>61.82</v>
      </c>
      <c r="H67" s="828">
        <v>0.37</v>
      </c>
      <c r="I67" s="828">
        <v>14.891999999999999</v>
      </c>
      <c r="J67" s="828">
        <v>63.44</v>
      </c>
      <c r="K67" s="828">
        <v>0.37</v>
      </c>
      <c r="L67" s="828">
        <v>14.875</v>
      </c>
      <c r="M67" s="829">
        <v>59.89</v>
      </c>
      <c r="N67" s="828">
        <v>0.37</v>
      </c>
      <c r="O67" s="828">
        <v>14.824</v>
      </c>
      <c r="P67" s="828">
        <v>54.17</v>
      </c>
      <c r="Q67" s="839">
        <v>0.37</v>
      </c>
      <c r="R67" s="828">
        <v>14.829000000000001</v>
      </c>
      <c r="S67" s="828">
        <v>50.64</v>
      </c>
      <c r="T67" s="828">
        <v>0.36499999999999999</v>
      </c>
      <c r="U67" s="828">
        <v>14.821999999999999</v>
      </c>
      <c r="V67" s="829">
        <v>50.9</v>
      </c>
      <c r="W67" s="828">
        <v>0.36499999999999999</v>
      </c>
      <c r="X67" s="832">
        <v>14.803000000000001</v>
      </c>
      <c r="Y67" s="788">
        <v>51.04</v>
      </c>
      <c r="Z67" s="788">
        <v>0.36499999999999999</v>
      </c>
      <c r="AA67" s="788">
        <v>14.212</v>
      </c>
      <c r="AB67" s="788">
        <v>46.41</v>
      </c>
      <c r="AC67" s="801">
        <v>0.36499999999999999</v>
      </c>
      <c r="AD67" s="788">
        <v>14.067</v>
      </c>
      <c r="AE67" s="788">
        <v>45.62</v>
      </c>
      <c r="AF67" s="788">
        <v>0.36</v>
      </c>
      <c r="AG67" s="788">
        <v>14.06</v>
      </c>
      <c r="AH67" s="788">
        <v>49.46</v>
      </c>
      <c r="AI67" s="788">
        <v>0.36</v>
      </c>
      <c r="AJ67" s="788">
        <v>14.042</v>
      </c>
      <c r="AK67" s="788">
        <v>48.31</v>
      </c>
      <c r="AL67" s="788">
        <v>0.36</v>
      </c>
      <c r="AM67" s="828">
        <v>13.99</v>
      </c>
      <c r="AN67" s="828">
        <v>45.03</v>
      </c>
      <c r="AO67" s="830">
        <v>0.36</v>
      </c>
      <c r="AP67" s="788">
        <v>13.993</v>
      </c>
      <c r="AQ67" s="788">
        <v>45.34</v>
      </c>
      <c r="AR67" s="788">
        <v>0.35499999999999998</v>
      </c>
      <c r="AS67" s="723">
        <v>13.984999999999999</v>
      </c>
      <c r="AT67" s="723">
        <v>39.06</v>
      </c>
      <c r="AU67" s="723">
        <v>0.35499999999999998</v>
      </c>
      <c r="AV67" s="723">
        <v>13.968</v>
      </c>
      <c r="AW67" s="723">
        <v>42.67</v>
      </c>
      <c r="AX67" s="723">
        <v>0.35499999999999998</v>
      </c>
      <c r="AY67" s="723">
        <v>13.917</v>
      </c>
      <c r="AZ67" s="723">
        <v>42.49</v>
      </c>
      <c r="BA67" s="753">
        <v>0.35499999999999998</v>
      </c>
      <c r="BB67" s="723">
        <v>13.922000000000001</v>
      </c>
      <c r="BC67" s="723">
        <v>35.880000000000003</v>
      </c>
      <c r="BD67" s="723">
        <v>0.35</v>
      </c>
      <c r="BE67" s="723">
        <v>13.912000000000001</v>
      </c>
      <c r="BF67" s="723">
        <v>36.880000000000003</v>
      </c>
      <c r="BG67" s="723">
        <v>0.35</v>
      </c>
      <c r="BH67" s="723">
        <v>13.9</v>
      </c>
      <c r="BI67" s="723">
        <v>33.020000000000003</v>
      </c>
      <c r="BJ67" s="723">
        <v>0.35</v>
      </c>
      <c r="BK67" s="728">
        <v>13.972</v>
      </c>
      <c r="BL67" s="728">
        <v>34.770000000000003</v>
      </c>
      <c r="BM67" s="754">
        <v>0.35</v>
      </c>
      <c r="BN67" s="723">
        <v>13.8</v>
      </c>
      <c r="BO67" s="723">
        <v>36.67</v>
      </c>
      <c r="BP67" s="723">
        <v>0.34499999999999997</v>
      </c>
      <c r="BQ67" s="723">
        <v>13.8</v>
      </c>
      <c r="BR67" s="723">
        <v>31.09</v>
      </c>
      <c r="BS67" s="723">
        <v>0.34499999999999997</v>
      </c>
      <c r="BT67" s="723">
        <v>13.8</v>
      </c>
      <c r="BU67" s="723">
        <v>33.83</v>
      </c>
      <c r="BV67" s="723">
        <v>0.34499999999999997</v>
      </c>
      <c r="BW67" s="728">
        <v>13.772855</v>
      </c>
      <c r="BX67" s="728">
        <v>32.840000000000003</v>
      </c>
      <c r="BY67" s="728">
        <v>0.34499999999999997</v>
      </c>
      <c r="BZ67" s="723">
        <v>13.776999999999999</v>
      </c>
      <c r="CA67" s="723">
        <v>30.49</v>
      </c>
      <c r="CB67" s="723">
        <v>0.34499999999999997</v>
      </c>
      <c r="CC67" s="723">
        <v>13.768000000000001</v>
      </c>
      <c r="CD67" s="723">
        <v>29.27</v>
      </c>
      <c r="CE67" s="723">
        <v>0.34499999999999997</v>
      </c>
      <c r="CF67" s="723">
        <v>13.747999999999999</v>
      </c>
      <c r="CG67" s="723">
        <v>28.88</v>
      </c>
      <c r="CH67" s="723">
        <v>0.34499999999999997</v>
      </c>
      <c r="CI67" s="728">
        <v>12.669</v>
      </c>
      <c r="CJ67" s="728">
        <v>28.13</v>
      </c>
      <c r="CK67" s="728">
        <v>0.34499999999999997</v>
      </c>
      <c r="CL67" s="723">
        <v>13.707000000000001</v>
      </c>
      <c r="CM67" s="723">
        <v>25.92</v>
      </c>
      <c r="CN67" s="723">
        <v>0.34499999999999997</v>
      </c>
      <c r="CO67" s="723">
        <v>12.331</v>
      </c>
      <c r="CP67" s="723">
        <v>27.22</v>
      </c>
      <c r="CQ67" s="723">
        <v>0.34499999999999997</v>
      </c>
      <c r="CR67" s="723">
        <v>10.917</v>
      </c>
      <c r="CS67" s="723">
        <v>26.5</v>
      </c>
      <c r="CT67" s="723">
        <v>0.34499999999999997</v>
      </c>
      <c r="CU67" s="728">
        <v>10.88</v>
      </c>
      <c r="CV67" s="728">
        <v>26.83</v>
      </c>
      <c r="CW67" s="728">
        <v>0.34499999999999997</v>
      </c>
      <c r="CX67" s="722">
        <v>10.887</v>
      </c>
      <c r="CY67" s="723">
        <v>28.38</v>
      </c>
      <c r="CZ67" s="723">
        <v>0.34499999999999997</v>
      </c>
      <c r="DA67" s="723">
        <v>10.877000000000001</v>
      </c>
      <c r="DB67" s="723">
        <v>25.68</v>
      </c>
      <c r="DC67" s="722">
        <v>0.34499999999999997</v>
      </c>
      <c r="DD67" s="723">
        <v>10.86</v>
      </c>
      <c r="DE67" s="723">
        <v>26.3</v>
      </c>
      <c r="DF67" s="723">
        <v>0.34499999999999997</v>
      </c>
      <c r="DG67" s="723">
        <v>10.840999999999999</v>
      </c>
      <c r="DH67" s="723">
        <v>23.56</v>
      </c>
      <c r="DI67" s="723">
        <v>0.34499999999999997</v>
      </c>
      <c r="DJ67" s="723">
        <v>10.83</v>
      </c>
      <c r="DK67" s="723">
        <v>22.74</v>
      </c>
      <c r="DL67" s="723">
        <v>0.34499999999999997</v>
      </c>
      <c r="DM67" s="723">
        <v>10.82</v>
      </c>
      <c r="DN67" s="723">
        <v>21.95</v>
      </c>
      <c r="DO67" s="723">
        <v>0.34499999999999997</v>
      </c>
      <c r="DP67" s="723">
        <v>10.801</v>
      </c>
      <c r="DQ67" s="723">
        <v>20.91</v>
      </c>
      <c r="DR67" s="723">
        <v>0.34499999999999997</v>
      </c>
      <c r="DS67" s="723">
        <v>10.787000000000001</v>
      </c>
      <c r="DT67" s="725">
        <v>23.25</v>
      </c>
      <c r="DU67" s="723">
        <v>0.34499999999999997</v>
      </c>
      <c r="DV67" s="723">
        <v>10.766999999999999</v>
      </c>
      <c r="DW67" s="723">
        <v>22.98</v>
      </c>
      <c r="DX67" s="723">
        <v>0.34499999999999997</v>
      </c>
      <c r="DY67" s="723">
        <v>9.0139999999999993</v>
      </c>
      <c r="DZ67" s="723">
        <v>22.45</v>
      </c>
      <c r="EA67" s="723">
        <v>0.34499999999999997</v>
      </c>
      <c r="EB67" s="723">
        <v>8.0180000000000007</v>
      </c>
      <c r="EC67" s="723">
        <v>20.62</v>
      </c>
      <c r="ED67" s="723">
        <v>0.34499999999999997</v>
      </c>
      <c r="EE67" s="723">
        <v>6.12</v>
      </c>
      <c r="EF67" s="723">
        <v>20.079999999999998</v>
      </c>
      <c r="EG67" s="723">
        <v>0.34499999999999997</v>
      </c>
      <c r="EH67" s="723">
        <v>5.7450000000000001</v>
      </c>
      <c r="EI67" s="723">
        <v>20.65</v>
      </c>
      <c r="EJ67" s="723">
        <v>0.34499999999999997</v>
      </c>
      <c r="EK67" s="723">
        <v>5.7359999999999998</v>
      </c>
      <c r="EL67" s="723">
        <v>25.91</v>
      </c>
      <c r="EM67" s="723">
        <v>0.34499999999999997</v>
      </c>
      <c r="EN67" s="723">
        <v>5.7190000000000003</v>
      </c>
      <c r="EO67" s="723">
        <v>27.11</v>
      </c>
      <c r="EP67" s="723">
        <v>0.34499999999999997</v>
      </c>
      <c r="EQ67" s="723">
        <v>5.6589999999999998</v>
      </c>
      <c r="ER67" s="723">
        <v>27</v>
      </c>
      <c r="ES67" s="723">
        <v>0.34499999999999997</v>
      </c>
      <c r="ET67" s="722">
        <v>5.6589999999999998</v>
      </c>
      <c r="EU67" s="722">
        <v>28.509899999999998</v>
      </c>
      <c r="EV67" s="722">
        <v>0.34499999999999997</v>
      </c>
      <c r="EW67" s="723">
        <v>5.6420000000000003</v>
      </c>
      <c r="EX67" s="723">
        <v>29.5</v>
      </c>
      <c r="EY67" s="723">
        <v>0.34499999999999997</v>
      </c>
      <c r="EZ67" s="723">
        <v>5.6269999999999998</v>
      </c>
      <c r="FA67" s="723">
        <v>27.3</v>
      </c>
      <c r="FB67" s="723">
        <v>0.34499999999999997</v>
      </c>
      <c r="FC67" s="723">
        <v>5.5974649999999997</v>
      </c>
      <c r="FD67" s="741">
        <v>27.24</v>
      </c>
      <c r="FE67" s="723">
        <v>0.34499999999999997</v>
      </c>
      <c r="FF67" s="727">
        <v>5.6052080000000002</v>
      </c>
      <c r="FG67" s="727">
        <v>25.35</v>
      </c>
      <c r="FH67" s="727">
        <v>0.34499999999999997</v>
      </c>
      <c r="FI67" s="727">
        <v>5.5926159999999996</v>
      </c>
      <c r="FJ67" s="727">
        <v>24.27</v>
      </c>
      <c r="FK67" s="727">
        <v>0.34499999999999997</v>
      </c>
      <c r="FL67" s="727">
        <v>5.5765510000000003</v>
      </c>
      <c r="FM67" s="727">
        <v>24.06</v>
      </c>
      <c r="FN67" s="727">
        <v>0.34499999999999997</v>
      </c>
      <c r="FO67" s="727">
        <v>5.5582380000000002</v>
      </c>
      <c r="FP67" s="727">
        <v>26.11</v>
      </c>
      <c r="FQ67" s="727">
        <v>0.34499999999999997</v>
      </c>
      <c r="FR67" s="727">
        <v>5.5582380000000002</v>
      </c>
      <c r="FS67" s="742">
        <v>25.16</v>
      </c>
      <c r="FT67" s="626">
        <f>1.38/4</f>
        <v>0.34499999999999997</v>
      </c>
      <c r="FU67" s="727">
        <v>5.547269</v>
      </c>
      <c r="FV67" s="727">
        <v>28.1</v>
      </c>
      <c r="FW67" s="727">
        <v>0.34499999999999997</v>
      </c>
      <c r="FX67" s="727">
        <v>5.5331229999999998</v>
      </c>
      <c r="FY67" s="727">
        <v>27</v>
      </c>
      <c r="FZ67" s="727">
        <v>0.34499999999999997</v>
      </c>
      <c r="GA67" s="727">
        <v>5.5146110000000004</v>
      </c>
      <c r="GB67" s="727">
        <v>25.8</v>
      </c>
      <c r="GC67" s="727">
        <v>0.34499999999999997</v>
      </c>
      <c r="GD67" s="750">
        <v>5.5146110000000004</v>
      </c>
      <c r="GE67" s="741">
        <v>28.3</v>
      </c>
      <c r="GF67" s="751">
        <v>0.34499999999999997</v>
      </c>
      <c r="GG67" s="750">
        <v>5.5048820000000003</v>
      </c>
      <c r="GH67" s="727">
        <v>27</v>
      </c>
      <c r="GI67" s="727">
        <v>0.34499999999999997</v>
      </c>
      <c r="GJ67" s="727">
        <v>5.4942549999999999</v>
      </c>
      <c r="GK67" s="727">
        <v>26.35</v>
      </c>
      <c r="GL67" s="727">
        <v>0.34499999999999997</v>
      </c>
      <c r="GM67" s="727">
        <v>4.8994879999999998</v>
      </c>
      <c r="GN67" s="727">
        <v>27.72</v>
      </c>
      <c r="GO67" s="727">
        <v>0.34499999999999997</v>
      </c>
      <c r="GP67" s="727">
        <v>4.7582950000000004</v>
      </c>
      <c r="GQ67" s="727">
        <v>25.8</v>
      </c>
      <c r="GR67" s="727">
        <v>0.34499999999999997</v>
      </c>
      <c r="GS67" s="727">
        <v>4.7486189999999997</v>
      </c>
      <c r="GT67" s="727">
        <v>25.07</v>
      </c>
      <c r="GU67" s="727">
        <v>0.34499999999999997</v>
      </c>
      <c r="GV67" s="727">
        <v>4.7436959999999999</v>
      </c>
      <c r="GW67" s="727">
        <v>24.3</v>
      </c>
      <c r="GX67" s="727">
        <v>0.34499999999999997</v>
      </c>
      <c r="GY67" s="727">
        <v>4.7662310000000003</v>
      </c>
      <c r="GZ67" s="727">
        <v>25</v>
      </c>
      <c r="HA67" s="727">
        <v>0.34499999999999997</v>
      </c>
      <c r="HB67" s="727">
        <v>4.7436959999999999</v>
      </c>
      <c r="HC67" s="727">
        <v>24.8</v>
      </c>
      <c r="HD67" s="727">
        <v>0.34499999999999997</v>
      </c>
      <c r="HE67" s="727">
        <v>4.7436959999999999</v>
      </c>
      <c r="HF67" s="727">
        <v>27.15</v>
      </c>
      <c r="HG67" s="727">
        <v>0.34499999999999997</v>
      </c>
      <c r="HH67" s="727">
        <v>4.7436959999999999</v>
      </c>
      <c r="HI67" s="727">
        <v>29.88</v>
      </c>
      <c r="HJ67" s="727">
        <v>0.34499999999999997</v>
      </c>
      <c r="HK67" s="727">
        <v>4.7606169999999999</v>
      </c>
      <c r="HL67" s="727">
        <v>26.55</v>
      </c>
      <c r="HM67" s="727">
        <v>0.34499999999999997</v>
      </c>
      <c r="HN67" s="727">
        <v>4.7460000000000004</v>
      </c>
      <c r="HO67" s="727">
        <v>23.4</v>
      </c>
      <c r="HP67" s="727">
        <v>0.34499999999999997</v>
      </c>
      <c r="HQ67" s="727">
        <v>4.7430000000000003</v>
      </c>
      <c r="HR67" s="727">
        <v>24.25</v>
      </c>
      <c r="HS67" s="727">
        <v>0.34499999999999997</v>
      </c>
      <c r="HT67" s="727">
        <v>4.7377130000000003</v>
      </c>
      <c r="HU67" s="727">
        <v>24.75</v>
      </c>
      <c r="HV67" s="727">
        <v>0.34499999999999997</v>
      </c>
      <c r="HW67" s="727">
        <v>4.7319769999999997</v>
      </c>
      <c r="HX67" s="727">
        <v>25.75</v>
      </c>
      <c r="HY67" s="727">
        <v>0.34499999999999997</v>
      </c>
      <c r="HZ67" s="727">
        <v>4.7259890000000002</v>
      </c>
      <c r="IA67" s="727">
        <v>26.5</v>
      </c>
      <c r="IB67" s="727">
        <v>0.34499999999999997</v>
      </c>
      <c r="IC67" s="727">
        <v>4.7201779999999998</v>
      </c>
      <c r="ID67" s="727">
        <v>26.125</v>
      </c>
      <c r="IE67" s="727">
        <v>0.34499999999999997</v>
      </c>
      <c r="IF67" s="727">
        <v>4.7145400000000004</v>
      </c>
      <c r="IG67" s="727">
        <v>26.6875</v>
      </c>
      <c r="IH67" s="727">
        <v>0.34499999999999997</v>
      </c>
      <c r="II67" s="727">
        <v>4.709136</v>
      </c>
      <c r="IJ67" s="722">
        <v>29.5625</v>
      </c>
      <c r="IK67" s="722">
        <v>0.34499999999999997</v>
      </c>
      <c r="IL67" s="722">
        <v>4.7030690000000002</v>
      </c>
      <c r="IM67" s="727">
        <v>35.75</v>
      </c>
      <c r="IN67" s="722">
        <v>0.34499999999999997</v>
      </c>
      <c r="IO67" s="722">
        <v>4.7</v>
      </c>
      <c r="IP67" s="727">
        <v>24.3125</v>
      </c>
      <c r="IQ67" s="722">
        <v>0.34499999999999997</v>
      </c>
      <c r="IR67" s="721">
        <v>4.5</v>
      </c>
      <c r="IS67" s="721">
        <v>25.1875</v>
      </c>
      <c r="IT67" s="721">
        <v>0.34499999999999997</v>
      </c>
      <c r="IU67" s="721">
        <v>4.5</v>
      </c>
      <c r="IV67" s="721">
        <v>23</v>
      </c>
      <c r="IW67" s="721">
        <v>0.34499999999999997</v>
      </c>
      <c r="IX67" s="721">
        <v>4.5</v>
      </c>
      <c r="IY67" s="721">
        <v>25.437999999999999</v>
      </c>
      <c r="IZ67" s="721">
        <v>0.34</v>
      </c>
      <c r="JA67" s="721">
        <v>4.4800000000000004</v>
      </c>
      <c r="JB67" s="721">
        <v>22.875</v>
      </c>
      <c r="JC67" s="721">
        <v>0.34</v>
      </c>
      <c r="JD67" s="721">
        <v>4.4800000000000004</v>
      </c>
      <c r="JE67" s="721">
        <v>23.5</v>
      </c>
      <c r="JF67" s="721">
        <v>0.34</v>
      </c>
      <c r="JG67" s="721">
        <v>4.42</v>
      </c>
      <c r="JH67" s="721">
        <v>25.375</v>
      </c>
      <c r="JI67" s="721">
        <v>0.33500000000000002</v>
      </c>
      <c r="JJ67" s="721">
        <v>4.4189999999999996</v>
      </c>
      <c r="JK67" s="721">
        <v>24.3125</v>
      </c>
      <c r="JL67" s="721">
        <v>0.33500000000000002</v>
      </c>
      <c r="JM67" s="721">
        <v>4.3890000000000002</v>
      </c>
      <c r="JN67" s="721">
        <v>22.875</v>
      </c>
      <c r="JO67" s="721">
        <v>0.33500000000000002</v>
      </c>
      <c r="JP67" s="721">
        <v>4.3890000000000002</v>
      </c>
      <c r="JQ67" s="721">
        <v>20.375</v>
      </c>
      <c r="JR67" s="721">
        <v>0.33500000000000002</v>
      </c>
      <c r="JS67" s="721">
        <v>4.2249999999999996</v>
      </c>
      <c r="JT67" s="721">
        <v>19.875</v>
      </c>
      <c r="JU67" s="721">
        <v>0.33500000000000002</v>
      </c>
      <c r="JV67" s="721">
        <v>4.2249999999999996</v>
      </c>
      <c r="JW67" s="721">
        <v>20</v>
      </c>
      <c r="JX67" s="721">
        <v>0.33</v>
      </c>
      <c r="JY67" s="721">
        <v>4.2249999999999996</v>
      </c>
      <c r="JZ67" s="721">
        <v>20.75</v>
      </c>
      <c r="KA67" s="721">
        <v>0.33</v>
      </c>
      <c r="KB67" s="721">
        <v>4.2249999999999996</v>
      </c>
      <c r="KC67" s="721">
        <v>22.75</v>
      </c>
      <c r="KD67" s="721">
        <v>0.33</v>
      </c>
      <c r="KE67" s="721">
        <v>4.2249999999999996</v>
      </c>
      <c r="KF67" s="721">
        <v>23.125</v>
      </c>
      <c r="KG67" s="721">
        <v>0.33</v>
      </c>
      <c r="KH67" s="721">
        <v>4.2249999999999996</v>
      </c>
      <c r="KI67" s="721">
        <v>20.875</v>
      </c>
      <c r="KJ67" s="721">
        <v>0.32</v>
      </c>
      <c r="KK67" s="721">
        <v>4.2249999999999996</v>
      </c>
      <c r="KL67" s="721">
        <v>19.875</v>
      </c>
      <c r="KM67" s="721">
        <v>0.32</v>
      </c>
      <c r="KN67" s="721">
        <v>4.2249999999999996</v>
      </c>
      <c r="KO67" s="721">
        <v>17</v>
      </c>
      <c r="KP67" s="721">
        <v>0.32</v>
      </c>
      <c r="KQ67" s="721">
        <v>4.2249999999999996</v>
      </c>
      <c r="KR67" s="721">
        <v>16.375</v>
      </c>
      <c r="KS67" s="721">
        <v>0.32</v>
      </c>
      <c r="KT67" s="721">
        <v>4.2249999999999996</v>
      </c>
      <c r="KU67" s="721">
        <v>16.25</v>
      </c>
      <c r="KV67" s="721">
        <v>0.31</v>
      </c>
      <c r="KW67" s="721">
        <v>4.2249999999999996</v>
      </c>
      <c r="KX67" s="721">
        <v>17.25</v>
      </c>
      <c r="KY67" s="721">
        <v>0.31</v>
      </c>
      <c r="KZ67" s="721">
        <v>4.2249999999999996</v>
      </c>
      <c r="LA67" s="721">
        <v>16.75</v>
      </c>
      <c r="LB67" s="721">
        <v>0.31</v>
      </c>
      <c r="LC67" s="721">
        <v>4.1890000000000001</v>
      </c>
      <c r="LD67" s="721">
        <v>18.625</v>
      </c>
      <c r="LE67" s="721">
        <v>0.31</v>
      </c>
      <c r="LF67" s="721">
        <v>4.1890000000000001</v>
      </c>
      <c r="LG67" s="721">
        <v>19.5</v>
      </c>
      <c r="LH67" s="721">
        <v>0.28999999999999998</v>
      </c>
      <c r="LI67" s="721">
        <v>4.1890000000000001</v>
      </c>
      <c r="LJ67" s="721">
        <v>21.375</v>
      </c>
      <c r="LK67" s="721">
        <v>0.28999999999999998</v>
      </c>
      <c r="LL67" s="721">
        <v>4.1749999999999998</v>
      </c>
      <c r="LM67" s="721">
        <v>18.875</v>
      </c>
      <c r="LN67" s="721">
        <v>0.28999999999999998</v>
      </c>
      <c r="LO67" s="721">
        <v>4.1580000000000004</v>
      </c>
      <c r="LP67" s="721">
        <v>19.875</v>
      </c>
      <c r="LQ67" s="721">
        <v>0.28000000000000003</v>
      </c>
      <c r="LR67" s="721">
        <v>4.1059999999999999</v>
      </c>
      <c r="LS67" s="721">
        <v>18</v>
      </c>
      <c r="LT67" s="721">
        <v>0.28000000000000003</v>
      </c>
      <c r="LU67" s="721">
        <v>4.1059999999999999</v>
      </c>
      <c r="LV67" s="721">
        <v>17.440000000000001</v>
      </c>
      <c r="LW67" s="721">
        <v>0.28000000000000003</v>
      </c>
      <c r="LX67" s="721">
        <v>4.0919999999999996</v>
      </c>
      <c r="LY67" s="721">
        <v>15.56</v>
      </c>
      <c r="LZ67" s="721">
        <v>0.28000000000000003</v>
      </c>
      <c r="MA67" s="721">
        <v>4.09</v>
      </c>
      <c r="MB67" s="721">
        <v>19.059999999999999</v>
      </c>
      <c r="MC67" s="721">
        <v>0.28000000000000003</v>
      </c>
      <c r="MD67" s="721">
        <v>1.4319999999999999</v>
      </c>
      <c r="ME67" s="721">
        <v>19.38</v>
      </c>
      <c r="MF67" s="721">
        <v>0.28000000000000003</v>
      </c>
      <c r="MG67" s="721">
        <v>1.4279999999999999</v>
      </c>
      <c r="MH67" s="721">
        <v>19</v>
      </c>
      <c r="MI67" s="721">
        <v>0.28000000000000003</v>
      </c>
      <c r="MJ67" s="721">
        <v>1.4279999999999999</v>
      </c>
      <c r="MK67" s="721">
        <v>18</v>
      </c>
      <c r="ML67" s="721">
        <v>0.28000000000000003</v>
      </c>
      <c r="MM67" s="721">
        <v>3.67</v>
      </c>
      <c r="MN67" s="721">
        <v>16.88</v>
      </c>
      <c r="MO67" s="721">
        <v>0.28000000000000003</v>
      </c>
      <c r="MP67" s="721">
        <v>1.4139999999999999</v>
      </c>
      <c r="MQ67" s="721">
        <v>16.38</v>
      </c>
    </row>
    <row r="68" spans="1:355">
      <c r="B68" s="723" t="s">
        <v>274</v>
      </c>
      <c r="C68" s="886"/>
      <c r="D68" s="886"/>
      <c r="E68" s="886"/>
      <c r="F68" s="788"/>
      <c r="G68" s="788"/>
      <c r="H68" s="788"/>
      <c r="I68" s="788"/>
      <c r="J68" s="788"/>
      <c r="K68" s="788"/>
      <c r="L68" s="828"/>
      <c r="M68" s="829"/>
      <c r="N68" s="828"/>
      <c r="O68" s="828"/>
      <c r="P68" s="828"/>
      <c r="Q68" s="828"/>
      <c r="R68" s="828"/>
      <c r="S68" s="828"/>
      <c r="T68" s="828"/>
      <c r="U68" s="788"/>
      <c r="V68" s="827"/>
      <c r="W68" s="788"/>
      <c r="X68" s="832"/>
      <c r="Y68" s="788"/>
      <c r="Z68" s="788"/>
      <c r="AA68" s="788"/>
      <c r="AB68" s="788"/>
      <c r="AC68" s="788"/>
      <c r="AJ68" s="788"/>
      <c r="AK68" s="788"/>
      <c r="AL68" s="788"/>
      <c r="AM68" s="828"/>
      <c r="AN68" s="828"/>
      <c r="AO68" s="828"/>
      <c r="AP68" s="788"/>
      <c r="AQ68" s="788"/>
      <c r="AR68" s="788"/>
      <c r="AV68" s="723"/>
      <c r="AW68" s="723"/>
      <c r="AX68" s="723"/>
      <c r="AY68" s="723"/>
      <c r="AZ68" s="723"/>
      <c r="BA68" s="723"/>
      <c r="BB68" s="723"/>
      <c r="BC68" s="723"/>
      <c r="BD68" s="723"/>
      <c r="BE68" s="723"/>
      <c r="BF68" s="723"/>
      <c r="BG68" s="723"/>
      <c r="BH68" s="723"/>
      <c r="BI68" s="723"/>
      <c r="BJ68" s="723"/>
      <c r="BK68" s="723"/>
      <c r="BL68" s="723"/>
      <c r="BM68" s="723"/>
      <c r="BN68" s="723"/>
      <c r="BO68" s="723"/>
      <c r="BP68" s="723"/>
      <c r="BQ68" s="723"/>
      <c r="BR68" s="723"/>
      <c r="BS68" s="723"/>
      <c r="BT68" s="723"/>
      <c r="BU68" s="723"/>
      <c r="BV68" s="723"/>
      <c r="BW68" s="728"/>
      <c r="BX68" s="728"/>
      <c r="BY68" s="728"/>
      <c r="BZ68" s="723"/>
      <c r="CA68" s="723"/>
      <c r="CB68" s="723"/>
      <c r="CC68" s="723"/>
      <c r="CD68" s="723"/>
      <c r="CE68" s="723"/>
      <c r="CF68" s="723"/>
      <c r="CG68" s="723"/>
      <c r="CH68" s="723"/>
      <c r="CI68" s="723"/>
      <c r="CJ68" s="723"/>
      <c r="CK68" s="723"/>
      <c r="CL68" s="723"/>
      <c r="CM68" s="723"/>
      <c r="CN68" s="723"/>
      <c r="CO68" s="723"/>
      <c r="CP68" s="723"/>
      <c r="CQ68" s="723"/>
      <c r="CR68" s="723"/>
      <c r="CS68" s="723"/>
      <c r="CT68" s="723"/>
      <c r="CU68" s="723"/>
      <c r="CV68" s="723"/>
      <c r="CW68" s="723"/>
      <c r="CX68" s="722"/>
      <c r="CY68" s="723"/>
      <c r="CZ68" s="723"/>
      <c r="DA68" s="723"/>
      <c r="DB68" s="723"/>
      <c r="DC68" s="735"/>
      <c r="DD68" s="723"/>
      <c r="DE68" s="723"/>
      <c r="DF68" s="723"/>
      <c r="DG68" s="723"/>
      <c r="DH68" s="723"/>
      <c r="DI68" s="723"/>
      <c r="DJ68" s="723"/>
      <c r="DK68" s="723"/>
      <c r="DL68" s="723"/>
      <c r="DM68" s="723"/>
      <c r="DN68" s="723"/>
      <c r="DO68" s="723"/>
      <c r="DP68" s="723"/>
      <c r="DQ68" s="723"/>
      <c r="DR68" s="723"/>
      <c r="DS68" s="723"/>
      <c r="DT68" s="725"/>
      <c r="DU68" s="723"/>
      <c r="DV68" s="723"/>
      <c r="DW68" s="723"/>
      <c r="DX68" s="723"/>
      <c r="DY68" s="723"/>
      <c r="DZ68" s="723"/>
      <c r="EA68" s="723"/>
      <c r="EB68" s="723"/>
      <c r="EC68" s="723"/>
      <c r="ED68" s="723"/>
      <c r="EE68" s="723"/>
      <c r="EF68" s="723"/>
      <c r="EG68" s="723"/>
      <c r="EH68" s="723"/>
      <c r="EI68" s="723"/>
      <c r="EJ68" s="723"/>
      <c r="EK68" s="723"/>
      <c r="EL68" s="723"/>
      <c r="EM68" s="723"/>
      <c r="EN68" s="723"/>
      <c r="EO68" s="723"/>
      <c r="EP68" s="723"/>
      <c r="EQ68" s="723"/>
      <c r="ER68" s="723"/>
      <c r="ES68" s="723"/>
      <c r="ET68" s="722"/>
      <c r="EU68" s="722"/>
      <c r="EV68" s="722"/>
      <c r="EW68" s="723"/>
      <c r="EX68" s="723"/>
      <c r="EY68" s="723"/>
      <c r="EZ68" s="723"/>
      <c r="FA68" s="723"/>
      <c r="FB68" s="723"/>
      <c r="FC68" s="723"/>
      <c r="FD68" s="741"/>
      <c r="FE68" s="723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742"/>
      <c r="FT68" s="626"/>
      <c r="FU68" s="727"/>
      <c r="FV68" s="727"/>
      <c r="FW68" s="727"/>
      <c r="FX68" s="727"/>
      <c r="FY68" s="727"/>
      <c r="FZ68" s="727"/>
      <c r="GA68" s="727"/>
      <c r="GB68" s="727"/>
      <c r="GC68" s="727"/>
      <c r="GD68" s="750"/>
      <c r="GE68" s="741"/>
      <c r="GF68" s="751"/>
      <c r="GG68" s="750"/>
      <c r="GH68" s="727"/>
      <c r="GI68" s="727"/>
      <c r="GJ68" s="727"/>
      <c r="GK68" s="727"/>
      <c r="GL68" s="727"/>
      <c r="GM68" s="727"/>
      <c r="GN68" s="727"/>
      <c r="GO68" s="727"/>
      <c r="GP68" s="727"/>
      <c r="GQ68" s="727"/>
      <c r="GR68" s="727"/>
      <c r="GS68" s="727"/>
      <c r="GT68" s="727"/>
      <c r="GU68" s="752"/>
      <c r="GV68" s="727"/>
      <c r="GW68" s="727"/>
      <c r="GX68" s="727"/>
      <c r="GY68" s="727"/>
      <c r="GZ68" s="727"/>
      <c r="HA68" s="727"/>
      <c r="HB68" s="727"/>
      <c r="HC68" s="727"/>
      <c r="HD68" s="727"/>
      <c r="HE68" s="727"/>
      <c r="HF68" s="727"/>
      <c r="HG68" s="727"/>
      <c r="HH68" s="727"/>
      <c r="HI68" s="727"/>
      <c r="HJ68" s="727"/>
      <c r="HK68" s="727"/>
      <c r="HL68" s="727"/>
      <c r="HM68" s="727"/>
      <c r="HN68" s="727"/>
      <c r="HO68" s="752"/>
      <c r="HP68" s="752"/>
      <c r="HQ68" s="727"/>
      <c r="HR68" s="727"/>
      <c r="HS68" s="727"/>
      <c r="HT68" s="727"/>
      <c r="HU68" s="727"/>
      <c r="HV68" s="727"/>
      <c r="HW68" s="727"/>
      <c r="HX68" s="727"/>
      <c r="HY68" s="727"/>
      <c r="HZ68" s="727"/>
      <c r="IA68" s="727"/>
      <c r="IB68" s="727"/>
      <c r="IC68" s="727"/>
      <c r="ID68" s="727"/>
      <c r="IE68" s="727"/>
      <c r="IF68" s="727"/>
      <c r="IG68" s="727"/>
      <c r="IH68" s="727"/>
      <c r="II68" s="727"/>
      <c r="IJ68" s="722"/>
      <c r="IK68" s="722"/>
      <c r="IL68" s="722"/>
      <c r="IM68" s="727"/>
      <c r="IN68" s="722"/>
      <c r="IO68" s="722"/>
      <c r="IP68" s="727"/>
      <c r="IQ68" s="722"/>
      <c r="IR68" s="721"/>
      <c r="IS68" s="721"/>
      <c r="IT68" s="721"/>
      <c r="IU68" s="721"/>
      <c r="IV68" s="721"/>
      <c r="IW68" s="721"/>
      <c r="IX68" s="721"/>
      <c r="IY68" s="721"/>
      <c r="IZ68" s="721"/>
      <c r="JA68" s="721">
        <v>2.95</v>
      </c>
      <c r="JB68" s="721">
        <v>30.375</v>
      </c>
      <c r="JC68" s="721">
        <v>0.32</v>
      </c>
      <c r="JD68" s="721">
        <v>2.95</v>
      </c>
      <c r="JE68" s="721">
        <v>26.25</v>
      </c>
      <c r="JF68" s="721">
        <v>0.32</v>
      </c>
      <c r="JG68" s="721">
        <v>2.95</v>
      </c>
      <c r="JH68" s="721">
        <v>26.875</v>
      </c>
      <c r="JI68" s="721">
        <v>0.32</v>
      </c>
      <c r="JJ68" s="721">
        <v>2.95</v>
      </c>
      <c r="JK68" s="721">
        <v>27</v>
      </c>
      <c r="JL68" s="721">
        <v>0.32</v>
      </c>
      <c r="JM68" s="721">
        <v>2.9689999999999999</v>
      </c>
      <c r="JN68" s="721">
        <v>23.125</v>
      </c>
      <c r="JO68" s="721">
        <v>0.32</v>
      </c>
      <c r="JP68" s="721">
        <v>2.9689999999999999</v>
      </c>
      <c r="JQ68" s="721">
        <v>19.75</v>
      </c>
      <c r="JR68" s="721">
        <v>0.32</v>
      </c>
      <c r="JS68" s="721">
        <v>2.9689999999999999</v>
      </c>
      <c r="JT68" s="721">
        <v>18.5</v>
      </c>
      <c r="JU68" s="721">
        <v>0.32</v>
      </c>
      <c r="JV68" s="721">
        <v>2.9689999999999999</v>
      </c>
      <c r="JW68" s="721">
        <v>17.25</v>
      </c>
      <c r="JX68" s="721">
        <v>0.32</v>
      </c>
      <c r="JY68" s="721">
        <v>2.9689999999999999</v>
      </c>
      <c r="JZ68" s="721">
        <v>18.75</v>
      </c>
      <c r="KA68" s="721">
        <v>0.3125</v>
      </c>
      <c r="KB68" s="721">
        <v>2.9689999999999999</v>
      </c>
      <c r="KC68" s="721">
        <v>18.5</v>
      </c>
      <c r="KD68" s="721">
        <v>0.3125</v>
      </c>
      <c r="KE68" s="721">
        <v>2.9689999999999999</v>
      </c>
      <c r="KF68" s="721">
        <v>19</v>
      </c>
      <c r="KG68" s="721">
        <v>0.3125</v>
      </c>
      <c r="KH68" s="721">
        <v>2.9689999999999999</v>
      </c>
      <c r="KI68" s="721">
        <v>18.5</v>
      </c>
      <c r="KJ68" s="721">
        <v>0.32</v>
      </c>
      <c r="KK68" s="721">
        <v>2.9689999999999999</v>
      </c>
      <c r="KL68" s="721">
        <v>18.25</v>
      </c>
      <c r="KM68" s="721">
        <v>0.3</v>
      </c>
      <c r="KN68" s="721">
        <v>2.9689999999999999</v>
      </c>
      <c r="KO68" s="721">
        <v>17</v>
      </c>
      <c r="KP68" s="721">
        <v>0.3</v>
      </c>
      <c r="KQ68" s="721">
        <v>2.9689999999999999</v>
      </c>
      <c r="KR68" s="721">
        <v>16</v>
      </c>
      <c r="KS68" s="721">
        <v>0.3</v>
      </c>
      <c r="KT68" s="721">
        <v>2.988</v>
      </c>
      <c r="KU68" s="721">
        <v>15.5</v>
      </c>
      <c r="KV68" s="721">
        <v>0.3</v>
      </c>
      <c r="KW68" s="721">
        <v>2.988</v>
      </c>
      <c r="KX68" s="721">
        <v>17</v>
      </c>
      <c r="KY68" s="721">
        <v>0.3</v>
      </c>
      <c r="KZ68" s="721">
        <v>2.988</v>
      </c>
      <c r="LA68" s="721">
        <v>18</v>
      </c>
      <c r="LB68" s="721">
        <v>0.29199999999999998</v>
      </c>
      <c r="LC68" s="721">
        <v>3.048</v>
      </c>
      <c r="LD68" s="721">
        <v>17.25</v>
      </c>
      <c r="LE68" s="721">
        <v>0.29199999999999998</v>
      </c>
      <c r="LF68" s="721">
        <v>3.048</v>
      </c>
      <c r="LG68" s="721">
        <v>19.25</v>
      </c>
      <c r="LH68" s="721">
        <v>0.29199999999999998</v>
      </c>
      <c r="LI68" s="721">
        <v>3.048</v>
      </c>
      <c r="LJ68" s="721">
        <v>19</v>
      </c>
      <c r="LK68" s="721">
        <v>0.29199999999999998</v>
      </c>
      <c r="LL68" s="721">
        <v>3.048</v>
      </c>
      <c r="LM68" s="721">
        <v>17.75</v>
      </c>
      <c r="LN68" s="721">
        <v>0.29199999999999998</v>
      </c>
      <c r="LO68" s="721">
        <v>3.048</v>
      </c>
      <c r="LP68" s="721">
        <v>19.5</v>
      </c>
      <c r="LQ68" s="721">
        <v>0.29199999999999998</v>
      </c>
      <c r="LR68" s="721">
        <v>3.032</v>
      </c>
      <c r="LS68" s="721">
        <v>18</v>
      </c>
      <c r="LT68" s="721">
        <v>0.28999999999999998</v>
      </c>
      <c r="LU68" s="721">
        <v>3.032</v>
      </c>
      <c r="LV68" s="721">
        <v>19.25</v>
      </c>
      <c r="LW68" s="721">
        <v>0.28999999999999998</v>
      </c>
      <c r="LX68" s="721">
        <v>3.028</v>
      </c>
      <c r="LY68" s="721">
        <v>18.5</v>
      </c>
      <c r="LZ68" s="721">
        <v>0.28999999999999998</v>
      </c>
      <c r="MA68" s="721">
        <v>3.028</v>
      </c>
      <c r="MB68" s="721">
        <v>17.38</v>
      </c>
      <c r="MC68" s="721">
        <v>0.28999999999999998</v>
      </c>
      <c r="MD68" s="721">
        <v>3.012</v>
      </c>
      <c r="ME68" s="721">
        <v>16.88</v>
      </c>
      <c r="MF68" s="721">
        <v>0.28999999999999998</v>
      </c>
      <c r="MG68" s="721">
        <v>3.01</v>
      </c>
      <c r="MH68" s="721">
        <v>15.5</v>
      </c>
      <c r="MI68" s="721">
        <v>0.28999999999999998</v>
      </c>
      <c r="MJ68" s="721">
        <v>3.0059999999999998</v>
      </c>
      <c r="MK68" s="721">
        <v>13.88</v>
      </c>
      <c r="ML68" s="721">
        <v>0.28000000000000003</v>
      </c>
      <c r="MM68" s="721">
        <v>3.004</v>
      </c>
      <c r="MN68" s="721">
        <v>14.38</v>
      </c>
      <c r="MO68" s="721">
        <v>0.28000000000000003</v>
      </c>
      <c r="MP68" s="721">
        <v>2.984</v>
      </c>
      <c r="MQ68" s="721">
        <v>13.75</v>
      </c>
    </row>
    <row r="69" spans="1:355">
      <c r="A69" s="633" t="s">
        <v>21</v>
      </c>
      <c r="B69" s="727" t="s">
        <v>148</v>
      </c>
      <c r="C69" s="886"/>
      <c r="D69" s="886"/>
      <c r="E69" s="886"/>
      <c r="F69" s="788"/>
      <c r="G69" s="788"/>
      <c r="H69" s="788"/>
      <c r="I69" s="788"/>
      <c r="J69" s="788"/>
      <c r="K69" s="788"/>
      <c r="L69" s="828"/>
      <c r="M69" s="829"/>
      <c r="N69" s="828"/>
      <c r="O69" s="828"/>
      <c r="P69" s="828"/>
      <c r="Q69" s="828"/>
      <c r="R69" s="828"/>
      <c r="S69" s="828"/>
      <c r="T69" s="828"/>
      <c r="U69" s="788"/>
      <c r="V69" s="827"/>
      <c r="W69" s="788"/>
      <c r="X69" s="832"/>
      <c r="Y69" s="788"/>
      <c r="Z69" s="788"/>
      <c r="AA69" s="788"/>
      <c r="AB69" s="788"/>
      <c r="AC69" s="788"/>
      <c r="AJ69" s="788"/>
      <c r="AK69" s="788"/>
      <c r="AL69" s="788"/>
      <c r="AM69" s="828"/>
      <c r="AN69" s="828"/>
      <c r="AO69" s="828"/>
      <c r="AP69" s="788"/>
      <c r="AQ69" s="788"/>
      <c r="AR69" s="788"/>
      <c r="AS69" s="727"/>
      <c r="AT69" s="727"/>
      <c r="AU69" s="727"/>
      <c r="AV69" s="727"/>
      <c r="AW69" s="727"/>
      <c r="AX69" s="727"/>
      <c r="AY69" s="727"/>
      <c r="AZ69" s="727"/>
      <c r="BA69" s="727"/>
      <c r="BB69" s="727"/>
      <c r="BC69" s="727"/>
      <c r="BD69" s="727"/>
      <c r="BE69" s="727"/>
      <c r="BF69" s="727"/>
      <c r="BG69" s="727"/>
      <c r="BH69" s="727"/>
      <c r="BI69" s="727"/>
      <c r="BJ69" s="727"/>
      <c r="BK69" s="727"/>
      <c r="BL69" s="727"/>
      <c r="BM69" s="727"/>
      <c r="BN69" s="727"/>
      <c r="BO69" s="727"/>
      <c r="BP69" s="727"/>
      <c r="BQ69" s="727"/>
      <c r="BR69" s="727"/>
      <c r="BS69" s="727"/>
      <c r="BT69" s="727"/>
      <c r="BU69" s="727"/>
      <c r="BV69" s="727"/>
      <c r="BW69" s="726"/>
      <c r="BX69" s="726"/>
      <c r="BY69" s="726"/>
      <c r="BZ69" s="727"/>
      <c r="CA69" s="727"/>
      <c r="CB69" s="727"/>
      <c r="CC69" s="727"/>
      <c r="CD69" s="727"/>
      <c r="CE69" s="727"/>
      <c r="CF69" s="727"/>
      <c r="CG69" s="727"/>
      <c r="CH69" s="727"/>
      <c r="CI69" s="727"/>
      <c r="CJ69" s="727"/>
      <c r="CK69" s="727"/>
      <c r="CL69" s="727"/>
      <c r="CM69" s="727"/>
      <c r="CN69" s="727"/>
      <c r="CO69" s="727"/>
      <c r="CP69" s="727"/>
      <c r="CQ69" s="727"/>
      <c r="CR69" s="727"/>
      <c r="CS69" s="727"/>
      <c r="CT69" s="727"/>
      <c r="CU69" s="726"/>
      <c r="CV69" s="726"/>
      <c r="CW69" s="726"/>
      <c r="CX69" s="727">
        <v>200.4</v>
      </c>
      <c r="CY69" s="727">
        <v>39.630000000000003</v>
      </c>
      <c r="CZ69" s="727">
        <v>0.24</v>
      </c>
      <c r="DA69" s="727">
        <v>200.1</v>
      </c>
      <c r="DB69" s="727">
        <v>38.06</v>
      </c>
      <c r="DC69" s="727">
        <v>0.24</v>
      </c>
      <c r="DD69" s="727">
        <v>199.4</v>
      </c>
      <c r="DE69" s="727">
        <v>37.96</v>
      </c>
      <c r="DF69" s="727">
        <v>0.24</v>
      </c>
      <c r="DG69" s="727">
        <v>199.8</v>
      </c>
      <c r="DH69" s="727">
        <v>31.13</v>
      </c>
      <c r="DI69" s="727">
        <v>0.24</v>
      </c>
      <c r="DJ69" s="727">
        <v>201.1</v>
      </c>
      <c r="DK69" s="727">
        <v>30.63</v>
      </c>
      <c r="DL69" s="727">
        <v>0.24</v>
      </c>
      <c r="DM69" s="727">
        <v>200.8</v>
      </c>
      <c r="DN69" s="727">
        <v>32.24</v>
      </c>
      <c r="DO69" s="727">
        <v>0.24</v>
      </c>
      <c r="DP69" s="727">
        <v>200.3</v>
      </c>
      <c r="DQ69" s="727">
        <v>32.25</v>
      </c>
      <c r="DR69" s="727">
        <v>0.24</v>
      </c>
      <c r="DS69" s="727">
        <v>199.9</v>
      </c>
      <c r="DT69" s="748">
        <v>35.11</v>
      </c>
      <c r="DU69" s="727">
        <v>0.24</v>
      </c>
      <c r="DV69" s="727">
        <v>199.6</v>
      </c>
      <c r="DW69" s="727">
        <v>35.17</v>
      </c>
      <c r="DX69" s="727">
        <v>0.24</v>
      </c>
      <c r="DY69" s="727">
        <v>199.2</v>
      </c>
      <c r="DZ69" s="727">
        <v>32.369999999999997</v>
      </c>
      <c r="EA69" s="727">
        <v>0.24</v>
      </c>
      <c r="EB69" s="727">
        <v>198.5</v>
      </c>
      <c r="EC69" s="727">
        <v>26.58</v>
      </c>
      <c r="ED69" s="727">
        <v>0.24</v>
      </c>
      <c r="EE69" s="727">
        <v>181.4</v>
      </c>
      <c r="EF69" s="727">
        <v>20.66</v>
      </c>
      <c r="EG69" s="727">
        <v>0.24</v>
      </c>
      <c r="EH69" s="727">
        <v>178.4</v>
      </c>
      <c r="EI69" s="727">
        <v>25.09</v>
      </c>
      <c r="EJ69" s="727">
        <v>0.47749999999999998</v>
      </c>
      <c r="EK69" s="727">
        <v>178.4</v>
      </c>
      <c r="EL69" s="727">
        <v>24.3</v>
      </c>
      <c r="EM69" s="727">
        <v>0.47749999999999998</v>
      </c>
      <c r="EN69" s="727">
        <v>178.2</v>
      </c>
      <c r="EO69" s="727">
        <v>82.1</v>
      </c>
      <c r="EP69" s="727">
        <v>0.47749999999999998</v>
      </c>
      <c r="EQ69" s="727">
        <v>180.2</v>
      </c>
      <c r="ER69" s="727">
        <v>88.27</v>
      </c>
      <c r="ES69" s="727">
        <v>0.47749999999999998</v>
      </c>
      <c r="ET69" s="727">
        <v>180.5</v>
      </c>
      <c r="EU69" s="727">
        <v>102.53</v>
      </c>
      <c r="EV69" s="727">
        <v>0.435</v>
      </c>
      <c r="EW69" s="727">
        <v>180.3</v>
      </c>
      <c r="EX69" s="727">
        <v>85.79</v>
      </c>
      <c r="EY69" s="727">
        <v>0.435</v>
      </c>
      <c r="EZ69" s="727">
        <v>180.6</v>
      </c>
      <c r="FA69" s="727">
        <v>87.18</v>
      </c>
      <c r="FB69" s="727">
        <v>0.435</v>
      </c>
      <c r="FC69" s="723">
        <v>179.4</v>
      </c>
      <c r="FD69" s="741">
        <v>86.95</v>
      </c>
      <c r="FE69" s="723">
        <v>0.435</v>
      </c>
      <c r="FF69" s="727">
        <v>179.7</v>
      </c>
      <c r="FG69" s="727">
        <v>68.819999999999993</v>
      </c>
      <c r="FH69" s="727">
        <v>0.3775</v>
      </c>
      <c r="FI69" s="727">
        <v>179.1</v>
      </c>
      <c r="FJ69" s="727">
        <v>59.2</v>
      </c>
      <c r="FK69" s="727">
        <v>0.3775</v>
      </c>
      <c r="FL69" s="727">
        <v>178.6</v>
      </c>
      <c r="FM69" s="727">
        <v>54.52</v>
      </c>
      <c r="FN69" s="727">
        <v>0.3775</v>
      </c>
      <c r="FO69" s="727">
        <v>177.4</v>
      </c>
      <c r="FP69" s="727">
        <v>54.71</v>
      </c>
      <c r="FQ69" s="727">
        <v>0.3775</v>
      </c>
      <c r="FR69" s="727">
        <v>178.1</v>
      </c>
      <c r="FS69" s="742">
        <v>57.6</v>
      </c>
      <c r="FT69" s="626">
        <f>1.34/4</f>
        <v>0.33500000000000002</v>
      </c>
      <c r="FU69" s="727">
        <v>177.6</v>
      </c>
      <c r="FV69" s="727">
        <v>61.6</v>
      </c>
      <c r="FW69" s="727">
        <v>0.33500000000000002</v>
      </c>
      <c r="FX69" s="727">
        <v>176.8</v>
      </c>
      <c r="FY69" s="727">
        <v>57.69</v>
      </c>
      <c r="FZ69" s="727">
        <v>0.33500000000000002</v>
      </c>
      <c r="GA69" s="727">
        <v>175.5</v>
      </c>
      <c r="GB69" s="727">
        <v>51.7</v>
      </c>
      <c r="GC69" s="727">
        <v>0.33500000000000002</v>
      </c>
      <c r="GD69" s="750">
        <v>175.5</v>
      </c>
      <c r="GE69" s="741">
        <v>43.71</v>
      </c>
      <c r="GF69" s="751">
        <v>0.28499999999999998</v>
      </c>
      <c r="GG69" s="750">
        <v>168.7</v>
      </c>
      <c r="GH69" s="727">
        <v>39.840000000000003</v>
      </c>
      <c r="GI69" s="727">
        <v>0.28499999999999998</v>
      </c>
      <c r="GJ69" s="727">
        <v>168.1</v>
      </c>
      <c r="GK69" s="727">
        <v>37.9</v>
      </c>
      <c r="GL69" s="727">
        <v>0.28499999999999998</v>
      </c>
      <c r="GM69" s="727">
        <v>167.4</v>
      </c>
      <c r="GN69" s="727">
        <v>39.950000000000003</v>
      </c>
      <c r="GO69" s="727">
        <v>0.28499999999999998</v>
      </c>
      <c r="GP69" s="727">
        <v>167</v>
      </c>
      <c r="GQ69" s="727">
        <v>39.159999999999997</v>
      </c>
      <c r="GR69" s="727">
        <v>0.26</v>
      </c>
      <c r="GS69" s="727">
        <v>165.8</v>
      </c>
      <c r="GT69" s="727">
        <v>35.78</v>
      </c>
      <c r="GU69" s="727">
        <v>0.26</v>
      </c>
      <c r="GV69" s="727">
        <v>164.9</v>
      </c>
      <c r="GW69" s="727">
        <v>34.299999999999997</v>
      </c>
      <c r="GX69" s="727">
        <v>0.51</v>
      </c>
      <c r="GY69" s="727">
        <v>164.8</v>
      </c>
      <c r="GZ69" s="727">
        <v>27.73</v>
      </c>
      <c r="HA69" s="727">
        <v>0.26</v>
      </c>
      <c r="HB69" s="727">
        <v>164.4</v>
      </c>
      <c r="HC69" s="727">
        <v>27.82</v>
      </c>
      <c r="HD69" s="727">
        <v>0.24</v>
      </c>
      <c r="HE69" s="727">
        <v>164</v>
      </c>
      <c r="HF69" s="727">
        <v>24.79</v>
      </c>
      <c r="HG69" s="727">
        <v>0.24</v>
      </c>
      <c r="HH69" s="727">
        <v>163.69999999999999</v>
      </c>
      <c r="HI69" s="727">
        <v>29.34</v>
      </c>
      <c r="HJ69" s="727">
        <v>0.24</v>
      </c>
      <c r="HK69" s="727">
        <v>163.69999999999999</v>
      </c>
      <c r="HL69" s="727">
        <v>30.85</v>
      </c>
      <c r="HM69" s="727">
        <v>0.24</v>
      </c>
      <c r="HN69" s="727">
        <v>163.69999999999999</v>
      </c>
      <c r="HO69" s="727">
        <v>26.55</v>
      </c>
      <c r="HP69" s="727">
        <v>0.12</v>
      </c>
      <c r="HQ69" s="727">
        <v>163.69999999999999</v>
      </c>
      <c r="HR69" s="727">
        <v>24.2</v>
      </c>
      <c r="HS69" s="727">
        <v>0.12</v>
      </c>
      <c r="HT69" s="727">
        <v>163.69999999999999</v>
      </c>
      <c r="HU69" s="727">
        <v>42.6</v>
      </c>
      <c r="HV69" s="727">
        <v>0.12</v>
      </c>
      <c r="HW69" s="727">
        <v>150.5</v>
      </c>
      <c r="HX69" s="727">
        <v>44.1</v>
      </c>
      <c r="HY69" s="727">
        <v>0.12</v>
      </c>
      <c r="HZ69" s="727">
        <v>150.1</v>
      </c>
      <c r="IA69" s="727">
        <v>45.0625</v>
      </c>
      <c r="IB69" s="727">
        <v>0.42</v>
      </c>
      <c r="IC69" s="727">
        <v>149.69999999999999</v>
      </c>
      <c r="ID69" s="727">
        <v>49.75</v>
      </c>
      <c r="IE69" s="727">
        <v>0.42</v>
      </c>
      <c r="IF69" s="727">
        <v>149.6</v>
      </c>
      <c r="IG69" s="727">
        <v>32.5625</v>
      </c>
      <c r="IH69" s="727">
        <v>0.42</v>
      </c>
      <c r="II69" s="727">
        <v>149.6</v>
      </c>
      <c r="IJ69" s="722">
        <v>31.875</v>
      </c>
      <c r="IK69" s="722">
        <v>0.42</v>
      </c>
      <c r="IL69" s="722">
        <v>149.6</v>
      </c>
      <c r="IM69" s="727">
        <v>29</v>
      </c>
      <c r="IN69" s="722">
        <v>0.42</v>
      </c>
      <c r="IO69" s="722">
        <v>149.6</v>
      </c>
      <c r="IP69" s="727">
        <v>28.125</v>
      </c>
      <c r="IQ69" s="722">
        <v>0.42</v>
      </c>
      <c r="IR69" s="721">
        <v>148.5</v>
      </c>
      <c r="IS69" s="721">
        <v>29.625</v>
      </c>
      <c r="IT69" s="721">
        <v>0.42</v>
      </c>
      <c r="IU69" s="721">
        <v>148.69999999999999</v>
      </c>
      <c r="IV69" s="721">
        <v>25.375</v>
      </c>
      <c r="IW69" s="721">
        <v>0.42</v>
      </c>
      <c r="IX69" s="721">
        <v>148.69999999999999</v>
      </c>
      <c r="IY69" s="721">
        <v>30.875</v>
      </c>
      <c r="IZ69" s="721">
        <v>0.42</v>
      </c>
      <c r="JA69" s="721">
        <v>147.9</v>
      </c>
      <c r="JB69" s="721">
        <v>33.375</v>
      </c>
      <c r="JC69" s="721">
        <v>0.42</v>
      </c>
      <c r="JD69" s="721">
        <v>147.9</v>
      </c>
      <c r="JE69" s="721">
        <v>31.062999999999999</v>
      </c>
      <c r="JF69" s="721">
        <v>0.42</v>
      </c>
      <c r="JG69" s="721">
        <v>147.66999999999999</v>
      </c>
      <c r="JH69" s="721">
        <v>32.6875</v>
      </c>
      <c r="JI69" s="721">
        <v>0.41</v>
      </c>
      <c r="JJ69" s="721">
        <v>147.667</v>
      </c>
      <c r="JK69" s="721">
        <v>34.125</v>
      </c>
      <c r="JL69" s="721">
        <v>0.41</v>
      </c>
      <c r="JM69" s="721">
        <v>147.667</v>
      </c>
      <c r="JN69" s="721">
        <v>27.75</v>
      </c>
      <c r="JO69" s="721">
        <v>0.41</v>
      </c>
      <c r="JP69" s="721">
        <v>147.667</v>
      </c>
      <c r="JQ69" s="721">
        <v>26.687999999999999</v>
      </c>
      <c r="JR69" s="721">
        <v>0.41</v>
      </c>
      <c r="JS69" s="721">
        <v>147.52699999999999</v>
      </c>
      <c r="JT69" s="721">
        <v>26.75</v>
      </c>
      <c r="JU69" s="721">
        <v>0.4</v>
      </c>
      <c r="JV69" s="721">
        <v>147.52699999999999</v>
      </c>
      <c r="JW69" s="721">
        <v>26.75</v>
      </c>
      <c r="JX69" s="721">
        <v>0.4</v>
      </c>
      <c r="JY69" s="721">
        <v>147.52699999999999</v>
      </c>
      <c r="JZ69" s="721">
        <v>26.125</v>
      </c>
      <c r="KA69" s="721">
        <v>0.4</v>
      </c>
      <c r="KB69" s="721">
        <v>147.52699999999999</v>
      </c>
      <c r="KC69" s="721">
        <v>28.375</v>
      </c>
      <c r="KD69" s="721">
        <v>0.4</v>
      </c>
      <c r="KE69" s="721">
        <v>147.52699999999999</v>
      </c>
      <c r="KF69" s="721">
        <v>27.625</v>
      </c>
      <c r="KG69" s="721">
        <v>0.39</v>
      </c>
      <c r="KH69" s="721">
        <v>147.52699999999999</v>
      </c>
      <c r="KI69" s="721">
        <v>28.5</v>
      </c>
      <c r="KJ69" s="721">
        <v>0.39</v>
      </c>
      <c r="KK69" s="721">
        <v>145.63499999999999</v>
      </c>
      <c r="KL69" s="721">
        <v>25.875</v>
      </c>
      <c r="KM69" s="721">
        <v>0.39</v>
      </c>
      <c r="KN69" s="721">
        <v>145.63499999999999</v>
      </c>
      <c r="KO69" s="721">
        <v>25</v>
      </c>
      <c r="KP69" s="721">
        <v>0.39</v>
      </c>
      <c r="KQ69" s="721">
        <v>145.63499999999999</v>
      </c>
      <c r="KR69" s="721">
        <v>23.625</v>
      </c>
      <c r="KS69" s="721">
        <v>0.38</v>
      </c>
      <c r="KT69" s="721">
        <v>145.63499999999999</v>
      </c>
      <c r="KU69" s="721">
        <v>22.125</v>
      </c>
      <c r="KV69" s="721">
        <v>0.38</v>
      </c>
      <c r="KW69" s="721">
        <v>145.63499999999999</v>
      </c>
      <c r="KX69" s="721">
        <v>23</v>
      </c>
      <c r="KY69" s="721">
        <v>0.38</v>
      </c>
      <c r="KZ69" s="721">
        <v>145.63499999999999</v>
      </c>
      <c r="LA69" s="721">
        <v>21.25</v>
      </c>
      <c r="LB69" s="721">
        <v>0.38</v>
      </c>
      <c r="LC69" s="721">
        <v>145.36699999999999</v>
      </c>
      <c r="LD69" s="721">
        <v>23.125</v>
      </c>
      <c r="LE69" s="721">
        <v>0.38</v>
      </c>
      <c r="LF69" s="721">
        <v>145.36699999999999</v>
      </c>
      <c r="LG69" s="721">
        <v>25.375</v>
      </c>
      <c r="LH69" s="721">
        <v>0.37</v>
      </c>
      <c r="LI69" s="721">
        <v>145.36699999999999</v>
      </c>
      <c r="LJ69" s="721">
        <v>26.5</v>
      </c>
      <c r="LK69" s="721">
        <v>0.37</v>
      </c>
      <c r="LL69" s="721">
        <v>144.75700000000001</v>
      </c>
      <c r="LM69" s="721">
        <v>25.625</v>
      </c>
      <c r="LN69" s="721">
        <v>0.37</v>
      </c>
      <c r="LO69" s="721">
        <v>144.184</v>
      </c>
      <c r="LP69" s="721">
        <v>25.375</v>
      </c>
      <c r="LQ69" s="721">
        <v>0.36</v>
      </c>
      <c r="LR69" s="721">
        <v>133.75200000000001</v>
      </c>
      <c r="LS69" s="721">
        <v>23.38</v>
      </c>
      <c r="LT69" s="721">
        <v>0.36</v>
      </c>
      <c r="LU69" s="721">
        <v>133.75200000000001</v>
      </c>
      <c r="LV69" s="721">
        <v>22.88</v>
      </c>
      <c r="LW69" s="721">
        <v>0.36</v>
      </c>
      <c r="LX69" s="721">
        <v>132.655</v>
      </c>
      <c r="LY69" s="721">
        <v>22.25</v>
      </c>
      <c r="LZ69" s="721">
        <v>0.35</v>
      </c>
      <c r="MA69" s="721">
        <v>129.99</v>
      </c>
      <c r="MB69" s="721">
        <v>20.079999999999998</v>
      </c>
      <c r="MC69" s="721">
        <v>0.35</v>
      </c>
      <c r="MD69" s="721">
        <v>126.093</v>
      </c>
      <c r="ME69" s="721">
        <v>22.83</v>
      </c>
      <c r="MF69" s="721">
        <v>0.35</v>
      </c>
      <c r="MG69" s="721">
        <v>125.9</v>
      </c>
      <c r="MH69" s="721">
        <v>21.25</v>
      </c>
      <c r="MI69" s="721">
        <v>0.35</v>
      </c>
      <c r="MJ69" s="721">
        <v>125.456</v>
      </c>
      <c r="MK69" s="721">
        <v>19.5</v>
      </c>
      <c r="ML69" s="721">
        <v>0.35</v>
      </c>
      <c r="MM69" s="721">
        <v>125.456</v>
      </c>
      <c r="MN69" s="721">
        <v>19.420000000000002</v>
      </c>
      <c r="MO69" s="721">
        <v>0.35</v>
      </c>
      <c r="MP69" s="721">
        <v>123.54900000000001</v>
      </c>
      <c r="MQ69" s="721">
        <v>18.670000000000002</v>
      </c>
    </row>
    <row r="70" spans="1:355">
      <c r="B70" s="723" t="s">
        <v>275</v>
      </c>
      <c r="C70" s="886"/>
      <c r="D70" s="886"/>
      <c r="E70" s="886"/>
      <c r="F70" s="788"/>
      <c r="G70" s="788"/>
      <c r="H70" s="788"/>
      <c r="I70" s="788"/>
      <c r="J70" s="788"/>
      <c r="K70" s="788"/>
      <c r="L70" s="828"/>
      <c r="M70" s="829"/>
      <c r="N70" s="828"/>
      <c r="O70" s="828"/>
      <c r="P70" s="828"/>
      <c r="Q70" s="828"/>
      <c r="R70" s="828"/>
      <c r="S70" s="828"/>
      <c r="T70" s="828"/>
      <c r="U70" s="788"/>
      <c r="V70" s="827"/>
      <c r="W70" s="788"/>
      <c r="X70" s="832"/>
      <c r="Y70" s="788"/>
      <c r="Z70" s="788"/>
      <c r="AA70" s="788"/>
      <c r="AB70" s="788"/>
      <c r="AC70" s="788"/>
      <c r="AJ70" s="788"/>
      <c r="AK70" s="788"/>
      <c r="AL70" s="788"/>
      <c r="AM70" s="828"/>
      <c r="AN70" s="828"/>
      <c r="AO70" s="828"/>
      <c r="AP70" s="788"/>
      <c r="AQ70" s="788"/>
      <c r="AR70" s="788"/>
      <c r="AV70" s="723"/>
      <c r="AW70" s="723"/>
      <c r="AX70" s="723"/>
      <c r="AY70" s="723"/>
      <c r="AZ70" s="723"/>
      <c r="BA70" s="723"/>
      <c r="BB70" s="723"/>
      <c r="BC70" s="723"/>
      <c r="BD70" s="723"/>
      <c r="BE70" s="723"/>
      <c r="BF70" s="723"/>
      <c r="BG70" s="723"/>
      <c r="BH70" s="723"/>
      <c r="BI70" s="723"/>
      <c r="BJ70" s="723"/>
      <c r="BK70" s="723"/>
      <c r="BL70" s="723"/>
      <c r="BM70" s="723"/>
      <c r="BN70" s="723"/>
      <c r="BO70" s="723"/>
      <c r="BP70" s="723"/>
      <c r="BQ70" s="723"/>
      <c r="BR70" s="723"/>
      <c r="BS70" s="723"/>
      <c r="BT70" s="723"/>
      <c r="BU70" s="723"/>
      <c r="BV70" s="723"/>
      <c r="BW70" s="728"/>
      <c r="BX70" s="728"/>
      <c r="BY70" s="728"/>
      <c r="BZ70" s="723"/>
      <c r="CA70" s="723"/>
      <c r="CB70" s="723"/>
      <c r="CC70" s="723"/>
      <c r="CD70" s="723"/>
      <c r="CE70" s="723"/>
      <c r="CF70" s="723"/>
      <c r="CG70" s="723"/>
      <c r="CH70" s="723"/>
      <c r="CI70" s="723"/>
      <c r="CJ70" s="723"/>
      <c r="CK70" s="723"/>
      <c r="CL70" s="723"/>
      <c r="CM70" s="723"/>
      <c r="CN70" s="723"/>
      <c r="CO70" s="723"/>
      <c r="CP70" s="723"/>
      <c r="CQ70" s="723"/>
      <c r="CR70" s="723"/>
      <c r="CS70" s="723"/>
      <c r="CT70" s="723"/>
      <c r="CU70" s="723"/>
      <c r="CV70" s="723"/>
      <c r="CW70" s="723"/>
      <c r="CX70" s="722"/>
      <c r="CY70" s="723"/>
      <c r="CZ70" s="723"/>
      <c r="DA70" s="723"/>
      <c r="DB70" s="723"/>
      <c r="DC70" s="735"/>
      <c r="DD70" s="723"/>
      <c r="DE70" s="723"/>
      <c r="DF70" s="723"/>
      <c r="DG70" s="723"/>
      <c r="DH70" s="723"/>
      <c r="DI70" s="723"/>
      <c r="DJ70" s="723"/>
      <c r="DK70" s="723"/>
      <c r="DL70" s="723"/>
      <c r="DM70" s="723"/>
      <c r="DN70" s="723"/>
      <c r="DO70" s="723"/>
      <c r="DP70" s="723"/>
      <c r="DQ70" s="723"/>
      <c r="DR70" s="723"/>
      <c r="DS70" s="723"/>
      <c r="DT70" s="725"/>
      <c r="DU70" s="723"/>
      <c r="DV70" s="723"/>
      <c r="DW70" s="723"/>
      <c r="DX70" s="723"/>
      <c r="DY70" s="723"/>
      <c r="DZ70" s="723"/>
      <c r="EA70" s="723"/>
      <c r="EB70" s="723"/>
      <c r="EC70" s="723"/>
      <c r="ED70" s="723"/>
      <c r="EE70" s="723"/>
      <c r="EF70" s="723"/>
      <c r="EG70" s="723"/>
      <c r="EH70" s="723"/>
      <c r="EI70" s="723"/>
      <c r="EJ70" s="723"/>
      <c r="EK70" s="723"/>
      <c r="EL70" s="723"/>
      <c r="EM70" s="723"/>
      <c r="EN70" s="723"/>
      <c r="EO70" s="723"/>
      <c r="EP70" s="723"/>
      <c r="EQ70" s="723"/>
      <c r="ER70" s="723"/>
      <c r="ES70" s="723"/>
      <c r="ET70" s="722"/>
      <c r="EU70" s="722"/>
      <c r="EV70" s="722"/>
      <c r="EW70" s="723"/>
      <c r="EX70" s="723"/>
      <c r="EY70" s="723"/>
      <c r="EZ70" s="723"/>
      <c r="FA70" s="723"/>
      <c r="FB70" s="723"/>
      <c r="FC70" s="723"/>
      <c r="FD70" s="741"/>
      <c r="FE70" s="723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742"/>
      <c r="FT70" s="626"/>
      <c r="FU70" s="727"/>
      <c r="FV70" s="727"/>
      <c r="FW70" s="727"/>
      <c r="FX70" s="727"/>
      <c r="FY70" s="727"/>
      <c r="FZ70" s="727"/>
      <c r="GA70" s="727"/>
      <c r="GB70" s="727"/>
      <c r="GC70" s="727"/>
      <c r="GD70" s="750"/>
      <c r="GE70" s="741"/>
      <c r="GF70" s="751"/>
      <c r="GG70" s="750"/>
      <c r="GH70" s="727"/>
      <c r="GI70" s="727"/>
      <c r="GJ70" s="727"/>
      <c r="GK70" s="727"/>
      <c r="GL70" s="727"/>
      <c r="GM70" s="727"/>
      <c r="GN70" s="727"/>
      <c r="GO70" s="727"/>
      <c r="GP70" s="727"/>
      <c r="GQ70" s="727"/>
      <c r="GR70" s="727"/>
      <c r="GS70" s="727"/>
      <c r="GT70" s="727"/>
      <c r="GU70" s="752"/>
      <c r="GV70" s="727"/>
      <c r="GW70" s="727"/>
      <c r="GX70" s="727"/>
      <c r="GY70" s="727"/>
      <c r="GZ70" s="727"/>
      <c r="HA70" s="727"/>
      <c r="HB70" s="727"/>
      <c r="HC70" s="727"/>
      <c r="HD70" s="727"/>
      <c r="HE70" s="727"/>
      <c r="HF70" s="727"/>
      <c r="HG70" s="727"/>
      <c r="HH70" s="727"/>
      <c r="HI70" s="727"/>
      <c r="HJ70" s="727"/>
      <c r="HK70" s="727"/>
      <c r="HL70" s="727"/>
      <c r="HM70" s="727"/>
      <c r="HN70" s="727"/>
      <c r="HO70" s="752"/>
      <c r="HP70" s="752"/>
      <c r="HQ70" s="727"/>
      <c r="HR70" s="727"/>
      <c r="HS70" s="727"/>
      <c r="HT70" s="727"/>
      <c r="HU70" s="727"/>
      <c r="HV70" s="727"/>
      <c r="HW70" s="727"/>
      <c r="HX70" s="727"/>
      <c r="HY70" s="727"/>
      <c r="HZ70" s="727"/>
      <c r="IA70" s="727"/>
      <c r="IB70" s="727"/>
      <c r="IC70" s="727"/>
      <c r="ID70" s="727"/>
      <c r="IE70" s="727"/>
      <c r="IF70" s="727"/>
      <c r="IG70" s="727"/>
      <c r="IH70" s="727"/>
      <c r="II70" s="727"/>
      <c r="IJ70" s="722"/>
      <c r="IK70" s="722"/>
      <c r="IL70" s="722"/>
      <c r="IM70" s="727"/>
      <c r="IN70" s="722"/>
      <c r="IO70" s="722"/>
      <c r="IP70" s="727"/>
      <c r="IQ70" s="722"/>
      <c r="IR70" s="721"/>
      <c r="IS70" s="721"/>
      <c r="IT70" s="721"/>
      <c r="IU70" s="721"/>
      <c r="IV70" s="721"/>
      <c r="IW70" s="721"/>
      <c r="IX70" s="721"/>
      <c r="IY70" s="721"/>
      <c r="IZ70" s="721"/>
      <c r="JA70" s="721"/>
      <c r="JB70" s="721"/>
      <c r="JC70" s="721"/>
      <c r="JD70" s="721"/>
      <c r="JE70" s="721"/>
      <c r="JF70" s="721"/>
      <c r="JG70" s="721"/>
      <c r="JH70" s="721"/>
      <c r="JI70" s="721"/>
      <c r="JJ70" s="721">
        <v>34.07</v>
      </c>
      <c r="JK70" s="721">
        <v>44.25</v>
      </c>
      <c r="JL70" s="721">
        <v>0.53</v>
      </c>
      <c r="JM70" s="721">
        <v>34.07</v>
      </c>
      <c r="JN70" s="721">
        <v>38.125</v>
      </c>
      <c r="JO70" s="721">
        <v>0.53</v>
      </c>
      <c r="JP70" s="721">
        <v>34.07</v>
      </c>
      <c r="JQ70" s="721">
        <v>36.563000000000002</v>
      </c>
      <c r="JR70" s="721">
        <v>0.53</v>
      </c>
      <c r="JS70" s="721">
        <v>34.107999999999997</v>
      </c>
      <c r="JT70" s="721">
        <v>35.5</v>
      </c>
      <c r="JU70" s="721">
        <v>0.52</v>
      </c>
      <c r="JV70" s="721">
        <v>34.107999999999997</v>
      </c>
      <c r="JW70" s="721">
        <v>36</v>
      </c>
      <c r="JX70" s="721">
        <v>0.52</v>
      </c>
      <c r="JY70" s="721">
        <v>34.107999999999997</v>
      </c>
      <c r="JZ70" s="721">
        <v>35.625</v>
      </c>
      <c r="KA70" s="721">
        <v>0.52</v>
      </c>
      <c r="KB70" s="721">
        <v>34.107999999999997</v>
      </c>
      <c r="KC70" s="721">
        <v>38.625</v>
      </c>
      <c r="KD70" s="721">
        <v>0.52</v>
      </c>
      <c r="KE70" s="721">
        <v>34.107999999999997</v>
      </c>
      <c r="KF70" s="721">
        <v>38.625</v>
      </c>
      <c r="KG70" s="721">
        <v>0.51</v>
      </c>
      <c r="KH70" s="721">
        <v>34.107999999999997</v>
      </c>
      <c r="KI70" s="721">
        <v>39</v>
      </c>
      <c r="KJ70" s="721">
        <v>0.51</v>
      </c>
      <c r="KK70" s="721">
        <v>34.107999999999997</v>
      </c>
      <c r="KL70" s="721">
        <v>34.375</v>
      </c>
      <c r="KM70" s="721">
        <v>0.51</v>
      </c>
      <c r="KN70" s="721">
        <v>34.107999999999997</v>
      </c>
      <c r="KO70" s="721">
        <v>29.875</v>
      </c>
      <c r="KP70" s="721">
        <v>0.51</v>
      </c>
      <c r="KQ70" s="721">
        <v>34.107999999999997</v>
      </c>
      <c r="KR70" s="721">
        <v>28.625</v>
      </c>
      <c r="KS70" s="721">
        <v>0.5</v>
      </c>
      <c r="KT70" s="721">
        <v>34.107999999999997</v>
      </c>
      <c r="KU70" s="721">
        <v>27</v>
      </c>
      <c r="KV70" s="721">
        <v>0.5</v>
      </c>
      <c r="KW70" s="721">
        <v>34.107999999999997</v>
      </c>
      <c r="KX70" s="721">
        <v>27.125</v>
      </c>
      <c r="KY70" s="721">
        <v>0.5</v>
      </c>
      <c r="KZ70" s="721">
        <v>34.107999999999997</v>
      </c>
      <c r="LA70" s="721">
        <v>25.5</v>
      </c>
      <c r="LB70" s="721">
        <v>0.5</v>
      </c>
      <c r="LC70" s="721">
        <v>34.107999999999997</v>
      </c>
      <c r="LD70" s="721">
        <v>28.125</v>
      </c>
      <c r="LE70" s="721">
        <v>0.5</v>
      </c>
      <c r="LF70" s="721">
        <v>34.107999999999997</v>
      </c>
      <c r="LG70" s="721">
        <v>30.375</v>
      </c>
      <c r="LH70" s="721">
        <v>0.49</v>
      </c>
      <c r="LI70" s="721">
        <v>34.107999999999997</v>
      </c>
      <c r="LJ70" s="721">
        <v>33.375</v>
      </c>
      <c r="LK70" s="721">
        <v>0.49</v>
      </c>
      <c r="LL70" s="721">
        <v>34.107999999999997</v>
      </c>
      <c r="LM70" s="721">
        <v>32</v>
      </c>
      <c r="LN70" s="721">
        <v>0.49</v>
      </c>
      <c r="LO70" s="721">
        <v>34.107999999999997</v>
      </c>
      <c r="LP70" s="721">
        <v>32.75</v>
      </c>
      <c r="LQ70" s="721">
        <v>0.48</v>
      </c>
      <c r="LR70" s="721">
        <v>34.107999999999997</v>
      </c>
      <c r="LS70" s="721">
        <v>30.25</v>
      </c>
      <c r="LT70" s="721">
        <v>0.68</v>
      </c>
      <c r="LU70" s="721">
        <v>34.107999999999997</v>
      </c>
      <c r="LV70" s="721">
        <v>30.75</v>
      </c>
      <c r="LW70" s="721">
        <v>0.48</v>
      </c>
      <c r="LX70" s="721">
        <v>34.107999999999997</v>
      </c>
      <c r="LY70" s="721">
        <v>28.38</v>
      </c>
      <c r="LZ70" s="721">
        <v>0.48</v>
      </c>
      <c r="MA70" s="721">
        <v>34.107999999999997</v>
      </c>
      <c r="MB70" s="721">
        <v>27.13</v>
      </c>
      <c r="MC70" s="721">
        <v>0.47</v>
      </c>
      <c r="MD70" s="721">
        <v>34.168999999999997</v>
      </c>
      <c r="ME70" s="721">
        <v>27.88</v>
      </c>
      <c r="MF70" s="721">
        <v>0.47</v>
      </c>
      <c r="MG70" s="721">
        <v>34.171999999999997</v>
      </c>
      <c r="MH70" s="721">
        <v>26.5</v>
      </c>
      <c r="MI70" s="721">
        <v>0.47</v>
      </c>
      <c r="MJ70" s="721">
        <v>34.171999999999997</v>
      </c>
      <c r="MK70" s="721">
        <v>24.63</v>
      </c>
      <c r="ML70" s="721">
        <v>0.47</v>
      </c>
      <c r="MM70" s="721">
        <v>34.171999999999997</v>
      </c>
      <c r="MN70" s="721">
        <v>23.25</v>
      </c>
      <c r="MO70" s="721">
        <v>0.46</v>
      </c>
      <c r="MP70" s="721">
        <v>34.171999999999997</v>
      </c>
      <c r="MQ70" s="721">
        <v>21.75</v>
      </c>
    </row>
    <row r="71" spans="1:355">
      <c r="A71" s="633" t="s">
        <v>80</v>
      </c>
      <c r="B71" s="728" t="s">
        <v>149</v>
      </c>
      <c r="C71" s="885">
        <v>283</v>
      </c>
      <c r="D71" s="885">
        <v>58.75</v>
      </c>
      <c r="E71" s="887">
        <v>0.40749999999999997</v>
      </c>
      <c r="F71" s="828">
        <v>283</v>
      </c>
      <c r="G71" s="828">
        <v>62.84</v>
      </c>
      <c r="H71" s="828">
        <v>0.38250000000000001</v>
      </c>
      <c r="I71" s="828">
        <v>282.89999999999998</v>
      </c>
      <c r="J71" s="828">
        <v>63.95</v>
      </c>
      <c r="K71" s="828">
        <v>0.38250000000000001</v>
      </c>
      <c r="L71" s="828">
        <v>282.8</v>
      </c>
      <c r="M71" s="829">
        <v>57.91</v>
      </c>
      <c r="N71" s="828">
        <v>0.38250000000000001</v>
      </c>
      <c r="O71" s="828">
        <v>282.17099999999999</v>
      </c>
      <c r="P71" s="828">
        <v>55.54</v>
      </c>
      <c r="Q71" s="839">
        <v>0.38250000000000001</v>
      </c>
      <c r="R71" s="828">
        <v>282.5</v>
      </c>
      <c r="S71" s="828">
        <v>49.65</v>
      </c>
      <c r="T71" s="828">
        <v>0.35749999999999998</v>
      </c>
      <c r="U71" s="828">
        <v>282.10000000000002</v>
      </c>
      <c r="V71" s="829">
        <v>49</v>
      </c>
      <c r="W71" s="828">
        <v>0.35749999999999998</v>
      </c>
      <c r="X71" s="832">
        <v>281.5</v>
      </c>
      <c r="Y71" s="788">
        <v>47.28</v>
      </c>
      <c r="Z71" s="788">
        <v>0.35749999999999998</v>
      </c>
      <c r="AA71" s="788">
        <v>280.8</v>
      </c>
      <c r="AB71" s="788">
        <v>45.29</v>
      </c>
      <c r="AC71" s="801">
        <v>0.35749999999999998</v>
      </c>
      <c r="AD71" s="788">
        <v>280.8</v>
      </c>
      <c r="AE71" s="788">
        <v>47.3</v>
      </c>
      <c r="AF71" s="788">
        <v>0.33250000000000002</v>
      </c>
      <c r="AG71" s="788">
        <v>279.5</v>
      </c>
      <c r="AH71" s="788">
        <v>46.32</v>
      </c>
      <c r="AI71" s="788">
        <v>0.33250000000000002</v>
      </c>
      <c r="AJ71" s="788">
        <v>278.89999999999998</v>
      </c>
      <c r="AK71" s="788">
        <v>46.25</v>
      </c>
      <c r="AL71" s="788">
        <v>0.33250000000000002</v>
      </c>
      <c r="AM71" s="828">
        <v>277.851</v>
      </c>
      <c r="AN71" s="828">
        <v>44.74</v>
      </c>
      <c r="AO71" s="830">
        <v>0.33250000000000002</v>
      </c>
      <c r="AP71" s="788">
        <v>278.2</v>
      </c>
      <c r="AQ71" s="788">
        <v>41.62</v>
      </c>
      <c r="AR71" s="788">
        <v>0.31</v>
      </c>
      <c r="AS71" s="723">
        <v>278.2</v>
      </c>
      <c r="AT71" s="723">
        <v>42.01</v>
      </c>
      <c r="AU71" s="723">
        <v>0.31</v>
      </c>
      <c r="AV71" s="723">
        <v>276.7</v>
      </c>
      <c r="AW71" s="723">
        <v>45.86</v>
      </c>
      <c r="AX71" s="723">
        <v>0.31</v>
      </c>
      <c r="AY71" s="723">
        <v>275.60000000000002</v>
      </c>
      <c r="AZ71" s="723">
        <v>42.44</v>
      </c>
      <c r="BA71" s="753">
        <v>0.31</v>
      </c>
      <c r="BB71" s="723">
        <v>276</v>
      </c>
      <c r="BC71" s="723">
        <v>36.08</v>
      </c>
      <c r="BD71" s="723">
        <v>0.28999999999999998</v>
      </c>
      <c r="BE71" s="723">
        <v>275.39999999999998</v>
      </c>
      <c r="BF71" s="723">
        <v>35.32</v>
      </c>
      <c r="BG71" s="723">
        <v>0.28999999999999998</v>
      </c>
      <c r="BH71" s="723">
        <v>274.8</v>
      </c>
      <c r="BI71" s="723">
        <v>31.84</v>
      </c>
      <c r="BJ71" s="723">
        <v>0.28999999999999998</v>
      </c>
      <c r="BK71" s="728">
        <v>274.10000000000002</v>
      </c>
      <c r="BL71" s="728">
        <v>34.909999999999997</v>
      </c>
      <c r="BM71" s="754">
        <v>0.28999999999999998</v>
      </c>
      <c r="BN71" s="723">
        <v>274</v>
      </c>
      <c r="BO71" s="723">
        <v>34.75</v>
      </c>
      <c r="BP71" s="723">
        <v>0.27</v>
      </c>
      <c r="BQ71" s="723">
        <v>268</v>
      </c>
      <c r="BR71" s="723">
        <v>29.66</v>
      </c>
      <c r="BS71" s="723">
        <v>0.27</v>
      </c>
      <c r="BT71" s="723">
        <v>266.10000000000002</v>
      </c>
      <c r="BU71" s="723">
        <v>31.15</v>
      </c>
      <c r="BV71" s="723">
        <v>0.27</v>
      </c>
      <c r="BW71" s="728">
        <v>264.51100000000002</v>
      </c>
      <c r="BX71" s="728">
        <v>29.28</v>
      </c>
      <c r="BY71" s="754">
        <v>0.27</v>
      </c>
      <c r="BZ71" s="723">
        <v>264.8</v>
      </c>
      <c r="CA71" s="723">
        <v>26.77</v>
      </c>
      <c r="CB71" s="723">
        <v>0.255</v>
      </c>
      <c r="CC71" s="723">
        <v>264.5</v>
      </c>
      <c r="CD71" s="723">
        <v>26.32</v>
      </c>
      <c r="CE71" s="723">
        <v>0.255</v>
      </c>
      <c r="CF71" s="723">
        <v>263.60000000000002</v>
      </c>
      <c r="CG71" s="723">
        <v>27.17</v>
      </c>
      <c r="CH71" s="723">
        <v>0.255</v>
      </c>
      <c r="CI71" s="728">
        <v>260.678</v>
      </c>
      <c r="CJ71" s="728">
        <v>27.94</v>
      </c>
      <c r="CK71" s="754">
        <v>0.255</v>
      </c>
      <c r="CL71" s="723">
        <v>262.89999999999998</v>
      </c>
      <c r="CM71" s="723">
        <v>24.38</v>
      </c>
      <c r="CN71" s="723">
        <v>0.24</v>
      </c>
      <c r="CO71" s="723">
        <v>261.2</v>
      </c>
      <c r="CP71" s="723">
        <v>23.55</v>
      </c>
      <c r="CQ71" s="723">
        <v>0.24</v>
      </c>
      <c r="CR71" s="723">
        <v>255.6</v>
      </c>
      <c r="CS71" s="723">
        <v>23.5</v>
      </c>
      <c r="CT71" s="723">
        <v>0.24</v>
      </c>
      <c r="CU71" s="728">
        <v>250.82400000000001</v>
      </c>
      <c r="CV71" s="728">
        <v>22</v>
      </c>
      <c r="CW71" s="754">
        <v>0.24</v>
      </c>
      <c r="CX71" s="722">
        <v>251.3</v>
      </c>
      <c r="CY71" s="723">
        <v>22.11</v>
      </c>
      <c r="CZ71" s="723">
        <v>0.21</v>
      </c>
      <c r="DA71" s="723">
        <v>250.3</v>
      </c>
      <c r="DB71" s="723">
        <v>19.79</v>
      </c>
      <c r="DC71" s="722">
        <v>0.21</v>
      </c>
      <c r="DD71" s="723">
        <v>250</v>
      </c>
      <c r="DE71" s="723">
        <v>19.690000000000001</v>
      </c>
      <c r="DF71" s="723">
        <v>0.21</v>
      </c>
      <c r="DG71" s="723">
        <v>240.7</v>
      </c>
      <c r="DH71" s="723">
        <v>19.64</v>
      </c>
      <c r="DI71" s="723">
        <v>0.21</v>
      </c>
      <c r="DJ71" s="723">
        <v>229</v>
      </c>
      <c r="DK71" s="723">
        <v>18.600000000000001</v>
      </c>
      <c r="DL71" s="723">
        <v>0.21</v>
      </c>
      <c r="DM71" s="723">
        <v>228.2</v>
      </c>
      <c r="DN71" s="723">
        <v>18.02</v>
      </c>
      <c r="DO71" s="722">
        <v>0.21</v>
      </c>
      <c r="DP71" s="723">
        <v>228</v>
      </c>
      <c r="DQ71" s="723">
        <v>14.65</v>
      </c>
      <c r="DR71" s="723">
        <v>0.15</v>
      </c>
      <c r="DS71" s="723">
        <v>228</v>
      </c>
      <c r="DT71" s="725">
        <v>15.46</v>
      </c>
      <c r="DU71" s="723">
        <v>0.15</v>
      </c>
      <c r="DV71" s="723">
        <v>227.3</v>
      </c>
      <c r="DW71" s="723">
        <v>15.66</v>
      </c>
      <c r="DX71" s="723">
        <v>0.125</v>
      </c>
      <c r="DY71" s="723">
        <v>226.9</v>
      </c>
      <c r="DZ71" s="723">
        <v>13.4</v>
      </c>
      <c r="EA71" s="723">
        <v>0.125</v>
      </c>
      <c r="EB71" s="723">
        <v>226.6</v>
      </c>
      <c r="EC71" s="723">
        <v>12.08</v>
      </c>
      <c r="ED71" s="723">
        <v>0.125</v>
      </c>
      <c r="EE71" s="723">
        <v>224</v>
      </c>
      <c r="EF71" s="723">
        <v>11.84</v>
      </c>
      <c r="EG71" s="723">
        <v>0.125</v>
      </c>
      <c r="EH71" s="723">
        <v>224.1</v>
      </c>
      <c r="EI71" s="723">
        <v>10.11</v>
      </c>
      <c r="EJ71" s="723">
        <v>0.09</v>
      </c>
      <c r="EK71" s="723">
        <v>223.7</v>
      </c>
      <c r="EL71" s="723">
        <v>12.47</v>
      </c>
      <c r="EM71" s="723">
        <v>0.09</v>
      </c>
      <c r="EN71" s="723">
        <v>223.5</v>
      </c>
      <c r="EO71" s="723">
        <v>14.9</v>
      </c>
      <c r="EP71" s="723">
        <v>0.09</v>
      </c>
      <c r="EQ71" s="723">
        <v>222.6</v>
      </c>
      <c r="ER71" s="723">
        <v>13.54</v>
      </c>
      <c r="ES71" s="723">
        <v>0.09</v>
      </c>
      <c r="ET71" s="722">
        <v>223</v>
      </c>
      <c r="EU71" s="722">
        <v>17.38</v>
      </c>
      <c r="EV71" s="722">
        <v>0.05</v>
      </c>
      <c r="EW71" s="723">
        <v>222.6</v>
      </c>
      <c r="EX71" s="723">
        <v>16.82</v>
      </c>
      <c r="EY71" s="723">
        <v>0.05</v>
      </c>
      <c r="EZ71" s="723">
        <v>221.5</v>
      </c>
      <c r="FA71" s="723">
        <v>17.2</v>
      </c>
      <c r="FB71" s="723">
        <v>0.05</v>
      </c>
      <c r="FC71" s="723">
        <v>219.857</v>
      </c>
      <c r="FD71" s="741">
        <v>17.8</v>
      </c>
      <c r="FE71" s="723">
        <v>0.05</v>
      </c>
      <c r="FF71" s="727">
        <v>220.1</v>
      </c>
      <c r="FG71" s="727">
        <v>16.7</v>
      </c>
      <c r="FH71" s="727">
        <v>0</v>
      </c>
      <c r="FI71" s="727">
        <v>219.6</v>
      </c>
      <c r="FJ71" s="727">
        <v>14.44</v>
      </c>
      <c r="FK71" s="727">
        <v>0</v>
      </c>
      <c r="FL71" s="727">
        <v>219.1</v>
      </c>
      <c r="FM71" s="727">
        <v>12.94</v>
      </c>
      <c r="FN71" s="727">
        <v>0</v>
      </c>
      <c r="FO71" s="727">
        <v>218.5</v>
      </c>
      <c r="FP71" s="727">
        <v>12.95</v>
      </c>
      <c r="FQ71" s="727">
        <v>0</v>
      </c>
      <c r="FR71" s="727">
        <v>219.6</v>
      </c>
      <c r="FS71" s="742">
        <v>14.51</v>
      </c>
      <c r="FT71" s="626">
        <v>0</v>
      </c>
      <c r="FU71" s="727">
        <v>217.9</v>
      </c>
      <c r="FV71" s="727">
        <v>16.45</v>
      </c>
      <c r="FW71" s="727">
        <v>0</v>
      </c>
      <c r="FX71" s="727">
        <v>195.3</v>
      </c>
      <c r="FY71" s="727">
        <v>15.06</v>
      </c>
      <c r="FZ71" s="727">
        <v>0</v>
      </c>
      <c r="GA71" s="727">
        <v>161.5</v>
      </c>
      <c r="GB71" s="727">
        <v>13.04</v>
      </c>
      <c r="GC71" s="727">
        <v>0</v>
      </c>
      <c r="GD71" s="750">
        <v>161.5</v>
      </c>
      <c r="GE71" s="741">
        <v>10.45</v>
      </c>
      <c r="GF71" s="751">
        <v>0</v>
      </c>
      <c r="GG71" s="750">
        <v>161.19999999999999</v>
      </c>
      <c r="GH71" s="727">
        <v>9.52</v>
      </c>
      <c r="GI71" s="727">
        <v>0</v>
      </c>
      <c r="GJ71" s="727">
        <v>161.1</v>
      </c>
      <c r="GK71" s="727">
        <v>9.1300000000000008</v>
      </c>
      <c r="GL71" s="727">
        <v>0</v>
      </c>
      <c r="GM71" s="727">
        <v>152.19999999999999</v>
      </c>
      <c r="GN71" s="727">
        <v>8.9499999999999993</v>
      </c>
      <c r="GO71" s="727">
        <v>0</v>
      </c>
      <c r="GP71" s="727">
        <v>152.19999999999999</v>
      </c>
      <c r="GQ71" s="727">
        <v>8.52</v>
      </c>
      <c r="GR71" s="727">
        <v>0</v>
      </c>
      <c r="GS71" s="727">
        <v>144</v>
      </c>
      <c r="GT71" s="727">
        <v>7.37</v>
      </c>
      <c r="GU71" s="727">
        <v>0</v>
      </c>
      <c r="GV71" s="727">
        <v>144.1</v>
      </c>
      <c r="GW71" s="727">
        <v>8.1</v>
      </c>
      <c r="GX71" s="727">
        <v>0</v>
      </c>
      <c r="GY71" s="727">
        <v>143.9</v>
      </c>
      <c r="GZ71" s="727">
        <v>4.41</v>
      </c>
      <c r="HA71" s="727">
        <v>0</v>
      </c>
      <c r="HB71" s="727">
        <v>143.9</v>
      </c>
      <c r="HC71" s="727">
        <v>9.44</v>
      </c>
      <c r="HD71" s="727">
        <v>0.18</v>
      </c>
      <c r="HE71" s="727">
        <v>134.69999999999999</v>
      </c>
      <c r="HF71" s="727">
        <v>8.06</v>
      </c>
      <c r="HG71" s="727">
        <v>0.18</v>
      </c>
      <c r="HH71" s="727">
        <v>133.30000000000001</v>
      </c>
      <c r="HI71" s="727">
        <v>10.98</v>
      </c>
      <c r="HJ71" s="727">
        <v>0.36499999999999999</v>
      </c>
      <c r="HK71" s="727">
        <v>131</v>
      </c>
      <c r="HL71" s="727">
        <v>22.63</v>
      </c>
      <c r="HM71" s="727">
        <v>0.36499999999999999</v>
      </c>
      <c r="HN71" s="727">
        <v>133</v>
      </c>
      <c r="HO71" s="727">
        <v>24.03</v>
      </c>
      <c r="HP71" s="727">
        <v>0.36499999999999999</v>
      </c>
      <c r="HQ71" s="727">
        <v>132</v>
      </c>
      <c r="HR71" s="727">
        <v>20</v>
      </c>
      <c r="HS71" s="727">
        <v>0.36499999999999999</v>
      </c>
      <c r="HT71" s="727">
        <v>132</v>
      </c>
      <c r="HU71" s="727">
        <v>27.85</v>
      </c>
      <c r="HV71" s="727">
        <v>0.36499999999999999</v>
      </c>
      <c r="HW71" s="727">
        <v>119</v>
      </c>
      <c r="HX71" s="727">
        <v>29.59</v>
      </c>
      <c r="HY71" s="727">
        <v>0.36499999999999999</v>
      </c>
      <c r="HZ71" s="727">
        <v>110</v>
      </c>
      <c r="IA71" s="727">
        <v>31.6875</v>
      </c>
      <c r="IB71" s="727">
        <v>0.36499999999999999</v>
      </c>
      <c r="IC71" s="727">
        <v>110</v>
      </c>
      <c r="ID71" s="727">
        <v>26.9375</v>
      </c>
      <c r="IE71" s="727">
        <v>0.36499999999999999</v>
      </c>
      <c r="IF71" s="727">
        <v>113</v>
      </c>
      <c r="IG71" s="727">
        <v>22.125</v>
      </c>
      <c r="IH71" s="727">
        <v>0.36499999999999999</v>
      </c>
      <c r="II71" s="727">
        <v>110</v>
      </c>
      <c r="IJ71" s="722">
        <v>18.125</v>
      </c>
      <c r="IK71" s="722">
        <v>0.36499999999999999</v>
      </c>
      <c r="IL71" s="722">
        <v>109</v>
      </c>
      <c r="IM71" s="727">
        <v>31.1875</v>
      </c>
      <c r="IN71" s="722">
        <v>0.36499999999999999</v>
      </c>
      <c r="IO71" s="722">
        <v>108</v>
      </c>
      <c r="IP71" s="727">
        <v>33.9375</v>
      </c>
      <c r="IQ71" s="722">
        <v>0.36499999999999999</v>
      </c>
      <c r="IR71" s="721">
        <v>102.4</v>
      </c>
      <c r="IS71" s="721">
        <v>41.875</v>
      </c>
      <c r="IT71" s="721">
        <v>0.33</v>
      </c>
      <c r="IU71" s="721">
        <v>102</v>
      </c>
      <c r="IV71" s="721">
        <v>40.25</v>
      </c>
      <c r="IW71" s="721">
        <v>0.33</v>
      </c>
      <c r="IX71" s="721">
        <v>102</v>
      </c>
      <c r="IY71" s="721">
        <v>48.438000000000002</v>
      </c>
      <c r="IZ71" s="721">
        <v>0.33</v>
      </c>
      <c r="JA71" s="721">
        <v>101</v>
      </c>
      <c r="JB71" s="721">
        <v>43.563000000000002</v>
      </c>
      <c r="JC71" s="721">
        <v>0.33</v>
      </c>
      <c r="JD71" s="721">
        <v>101</v>
      </c>
      <c r="JE71" s="721">
        <v>44</v>
      </c>
      <c r="JF71" s="721">
        <v>0.3</v>
      </c>
      <c r="JG71" s="721">
        <v>96</v>
      </c>
      <c r="JH71" s="721">
        <v>46.9375</v>
      </c>
      <c r="JI71" s="721">
        <v>0.3</v>
      </c>
      <c r="JJ71" s="721">
        <v>96</v>
      </c>
      <c r="JK71" s="721">
        <v>44.0625</v>
      </c>
      <c r="JL71" s="721">
        <v>0.3</v>
      </c>
      <c r="JM71" s="721">
        <v>88</v>
      </c>
      <c r="JN71" s="721">
        <v>37</v>
      </c>
      <c r="JO71" s="721">
        <v>0.3</v>
      </c>
      <c r="JP71" s="721">
        <v>88</v>
      </c>
      <c r="JQ71" s="721">
        <v>35.25</v>
      </c>
      <c r="JR71" s="721">
        <v>0.3</v>
      </c>
      <c r="JS71" s="721">
        <v>88</v>
      </c>
      <c r="JT71" s="721">
        <v>32.875</v>
      </c>
      <c r="JU71" s="721">
        <v>0.27</v>
      </c>
      <c r="JV71" s="721">
        <v>92</v>
      </c>
      <c r="JW71" s="721">
        <v>33.625</v>
      </c>
      <c r="JX71" s="721">
        <v>0.27</v>
      </c>
      <c r="JY71" s="721">
        <v>88</v>
      </c>
      <c r="JZ71" s="721">
        <v>30.125</v>
      </c>
      <c r="KA71" s="721">
        <v>0.27</v>
      </c>
      <c r="KB71" s="721">
        <v>88</v>
      </c>
      <c r="KC71" s="721">
        <v>30.875</v>
      </c>
      <c r="KD71" s="721">
        <v>0.27</v>
      </c>
      <c r="KE71" s="721">
        <v>88</v>
      </c>
      <c r="KF71" s="721">
        <v>29.5</v>
      </c>
      <c r="KG71" s="721">
        <v>0.24</v>
      </c>
      <c r="KH71" s="721">
        <v>88</v>
      </c>
      <c r="KI71" s="721">
        <v>29.875</v>
      </c>
      <c r="KJ71" s="721">
        <v>0.24</v>
      </c>
      <c r="KK71" s="721">
        <v>80.3</v>
      </c>
      <c r="KL71" s="721">
        <v>26.25</v>
      </c>
      <c r="KM71" s="721">
        <v>0.24</v>
      </c>
      <c r="KN71" s="721">
        <v>80.3</v>
      </c>
      <c r="KO71" s="721">
        <v>24.5</v>
      </c>
      <c r="KP71" s="721">
        <v>0.24</v>
      </c>
      <c r="KQ71" s="721">
        <v>80.3</v>
      </c>
      <c r="KR71" s="721">
        <v>23.375</v>
      </c>
      <c r="KS71" s="721">
        <v>0.21</v>
      </c>
      <c r="KT71" s="721">
        <v>80.3</v>
      </c>
      <c r="KU71" s="721">
        <v>22.875</v>
      </c>
      <c r="KV71" s="721">
        <v>0.21</v>
      </c>
      <c r="KW71" s="721">
        <v>80.3</v>
      </c>
      <c r="KX71" s="721">
        <v>21.75</v>
      </c>
      <c r="KY71" s="721">
        <v>0.21</v>
      </c>
      <c r="KZ71" s="721">
        <v>80.3</v>
      </c>
      <c r="LA71" s="721">
        <v>20.875</v>
      </c>
      <c r="LB71" s="721">
        <v>0.21</v>
      </c>
      <c r="LC71" s="721">
        <v>80.3</v>
      </c>
      <c r="LD71" s="721">
        <v>22.5</v>
      </c>
      <c r="LE71" s="721">
        <v>0.21</v>
      </c>
      <c r="LF71" s="721">
        <v>80.3</v>
      </c>
      <c r="LG71" s="721">
        <v>25.125</v>
      </c>
      <c r="LH71" s="721">
        <v>0.18</v>
      </c>
      <c r="LI71" s="721">
        <v>80.3</v>
      </c>
      <c r="LJ71" s="721">
        <v>26.5</v>
      </c>
      <c r="LK71" s="721">
        <v>0.18</v>
      </c>
      <c r="LL71" s="721">
        <v>80.099999999999994</v>
      </c>
      <c r="LM71" s="721">
        <v>24.875</v>
      </c>
      <c r="LN71" s="721">
        <v>0.12</v>
      </c>
      <c r="LO71" s="721">
        <v>79.971000000000004</v>
      </c>
      <c r="LP71" s="721">
        <v>19.75</v>
      </c>
      <c r="LQ71" s="721">
        <v>0.12</v>
      </c>
      <c r="LR71" s="721">
        <v>79.805999999999997</v>
      </c>
      <c r="LS71" s="721">
        <v>18.38</v>
      </c>
      <c r="LT71" s="721">
        <v>0.12</v>
      </c>
      <c r="LU71" s="721">
        <v>79.805999999999997</v>
      </c>
      <c r="LV71" s="721">
        <v>17.38</v>
      </c>
      <c r="LW71" s="721">
        <v>0.12</v>
      </c>
      <c r="LX71" s="721">
        <v>79.81</v>
      </c>
      <c r="LY71" s="721">
        <v>15.88</v>
      </c>
      <c r="LZ71" s="721">
        <v>0.12</v>
      </c>
      <c r="MA71" s="721">
        <v>79.819000000000003</v>
      </c>
      <c r="MB71" s="721">
        <v>21.13</v>
      </c>
      <c r="MC71" s="721">
        <v>0.12</v>
      </c>
      <c r="MD71" s="721">
        <v>79.988</v>
      </c>
      <c r="ME71" s="721">
        <v>18.38</v>
      </c>
      <c r="MF71" s="721">
        <v>0.12</v>
      </c>
      <c r="MG71" s="721">
        <v>80.046000000000006</v>
      </c>
      <c r="MH71" s="721">
        <v>19</v>
      </c>
      <c r="MI71" s="721">
        <v>0.12</v>
      </c>
      <c r="MJ71" s="721">
        <v>80.183999999999997</v>
      </c>
      <c r="MK71" s="721">
        <v>25.38</v>
      </c>
      <c r="ML71" s="721">
        <v>0.12</v>
      </c>
      <c r="MM71" s="721">
        <v>80.486000000000004</v>
      </c>
      <c r="MN71" s="721">
        <v>30</v>
      </c>
      <c r="MO71" s="721">
        <v>0.12</v>
      </c>
      <c r="MP71" s="721">
        <v>81.338999999999999</v>
      </c>
      <c r="MQ71" s="721">
        <v>27.88</v>
      </c>
    </row>
    <row r="72" spans="1:355">
      <c r="B72" s="729" t="s">
        <v>150</v>
      </c>
      <c r="C72" s="886"/>
      <c r="D72" s="886"/>
      <c r="E72" s="886"/>
      <c r="F72" s="788"/>
      <c r="G72" s="788"/>
      <c r="H72" s="788"/>
      <c r="I72" s="788"/>
      <c r="J72" s="788"/>
      <c r="K72" s="788"/>
      <c r="L72" s="828"/>
      <c r="M72" s="829"/>
      <c r="N72" s="828"/>
      <c r="O72" s="828"/>
      <c r="P72" s="828"/>
      <c r="Q72" s="828"/>
      <c r="R72" s="828"/>
      <c r="S72" s="828"/>
      <c r="T72" s="828"/>
      <c r="U72" s="788"/>
      <c r="V72" s="827"/>
      <c r="W72" s="788"/>
      <c r="X72" s="832"/>
      <c r="Y72" s="788"/>
      <c r="Z72" s="788"/>
      <c r="AA72" s="788"/>
      <c r="AB72" s="788"/>
      <c r="AC72" s="788"/>
      <c r="AJ72" s="788"/>
      <c r="AK72" s="788"/>
      <c r="AL72" s="788"/>
      <c r="AM72" s="828"/>
      <c r="AN72" s="828"/>
      <c r="AO72" s="828"/>
      <c r="AP72" s="788"/>
      <c r="AQ72" s="788"/>
      <c r="AR72" s="788"/>
      <c r="AS72" s="729"/>
      <c r="AT72" s="729"/>
      <c r="AU72" s="729"/>
      <c r="AV72" s="729"/>
      <c r="AW72" s="729"/>
      <c r="AX72" s="729"/>
      <c r="AY72" s="729"/>
      <c r="AZ72" s="729"/>
      <c r="BA72" s="729"/>
      <c r="BB72" s="729"/>
      <c r="BC72" s="729"/>
      <c r="BD72" s="729"/>
      <c r="BE72" s="729"/>
      <c r="BF72" s="729"/>
      <c r="BG72" s="729"/>
      <c r="BH72" s="729"/>
      <c r="BI72" s="729"/>
      <c r="BJ72" s="729"/>
      <c r="BK72" s="729"/>
      <c r="BL72" s="729"/>
      <c r="BM72" s="729"/>
      <c r="BN72" s="729"/>
      <c r="BO72" s="729"/>
      <c r="BP72" s="729"/>
      <c r="BQ72" s="729"/>
      <c r="BR72" s="729"/>
      <c r="BS72" s="729"/>
      <c r="BT72" s="729"/>
      <c r="BU72" s="729"/>
      <c r="BV72" s="729"/>
      <c r="BW72" s="731"/>
      <c r="BX72" s="731"/>
      <c r="BY72" s="731"/>
      <c r="BZ72" s="729"/>
      <c r="CA72" s="729"/>
      <c r="CB72" s="729"/>
      <c r="CC72" s="729"/>
      <c r="CD72" s="729"/>
      <c r="CE72" s="729"/>
      <c r="CF72" s="729"/>
      <c r="CG72" s="729"/>
      <c r="CH72" s="729"/>
      <c r="CI72" s="731">
        <v>14.909000000000001</v>
      </c>
      <c r="CJ72" s="731">
        <v>65.39</v>
      </c>
      <c r="CK72" s="731">
        <v>0.55500000000000005</v>
      </c>
      <c r="CL72" s="729">
        <v>14.92</v>
      </c>
      <c r="CM72" s="729">
        <v>65.22</v>
      </c>
      <c r="CN72" s="729">
        <v>0.55500000000000005</v>
      </c>
      <c r="CO72" s="729">
        <v>14.906000000000001</v>
      </c>
      <c r="CP72" s="729">
        <v>65.209999999999994</v>
      </c>
      <c r="CQ72" s="729">
        <v>0.55500000000000005</v>
      </c>
      <c r="CR72" s="729">
        <v>14.882</v>
      </c>
      <c r="CS72" s="729">
        <v>65.69</v>
      </c>
      <c r="CT72" s="729">
        <v>0.55500000000000005</v>
      </c>
      <c r="CU72" s="731">
        <v>15.278</v>
      </c>
      <c r="CV72" s="731">
        <v>66.73</v>
      </c>
      <c r="CW72" s="731">
        <v>0.55500000000000005</v>
      </c>
      <c r="CX72" s="727">
        <v>15.125999999999999</v>
      </c>
      <c r="CY72" s="729">
        <v>58.38</v>
      </c>
      <c r="CZ72" s="729">
        <v>0.55500000000000005</v>
      </c>
      <c r="DA72" s="729">
        <v>15.476000000000001</v>
      </c>
      <c r="DB72" s="729">
        <v>52.17</v>
      </c>
      <c r="DC72" s="747">
        <v>0.55500000000000005</v>
      </c>
      <c r="DD72" s="729">
        <v>15.645</v>
      </c>
      <c r="DE72" s="729">
        <v>53.26</v>
      </c>
      <c r="DF72" s="729">
        <v>0.54</v>
      </c>
      <c r="DG72" s="729">
        <v>15.791</v>
      </c>
      <c r="DH72" s="729">
        <v>50.54</v>
      </c>
      <c r="DI72" s="729">
        <v>0.54</v>
      </c>
      <c r="DJ72" s="729">
        <v>15.79</v>
      </c>
      <c r="DK72" s="729">
        <v>48.89</v>
      </c>
      <c r="DL72" s="729">
        <v>0.54</v>
      </c>
      <c r="DM72" s="729">
        <v>15.782</v>
      </c>
      <c r="DN72" s="729">
        <v>44.16</v>
      </c>
      <c r="DO72" s="729">
        <v>0.54</v>
      </c>
      <c r="DP72" s="729">
        <v>15.778</v>
      </c>
      <c r="DQ72" s="729">
        <v>39.24</v>
      </c>
      <c r="DR72" s="729">
        <v>0.54</v>
      </c>
      <c r="DS72" s="729">
        <v>15.8</v>
      </c>
      <c r="DT72" s="755">
        <v>40.840000000000003</v>
      </c>
      <c r="DU72" s="729">
        <v>0.54</v>
      </c>
      <c r="DV72" s="729">
        <v>15.776</v>
      </c>
      <c r="DW72" s="729">
        <v>42.52</v>
      </c>
      <c r="DX72" s="729">
        <v>0.54</v>
      </c>
      <c r="DY72" s="729">
        <v>15.773999999999999</v>
      </c>
      <c r="DZ72" s="729">
        <v>44.31</v>
      </c>
      <c r="EA72" s="729">
        <v>0.54</v>
      </c>
      <c r="EB72" s="729">
        <v>15.771000000000001</v>
      </c>
      <c r="EC72" s="729">
        <v>46.7</v>
      </c>
      <c r="ED72" s="729">
        <v>0.54</v>
      </c>
      <c r="EE72" s="729">
        <v>15.77</v>
      </c>
      <c r="EF72" s="729">
        <v>46.9</v>
      </c>
      <c r="EG72" s="729">
        <v>0.54</v>
      </c>
      <c r="EH72" s="729">
        <v>15.771000000000001</v>
      </c>
      <c r="EI72" s="729">
        <v>51.39</v>
      </c>
      <c r="EJ72" s="729">
        <v>0.54</v>
      </c>
      <c r="EK72" s="729">
        <v>15.768000000000001</v>
      </c>
      <c r="EL72" s="729">
        <v>43.57</v>
      </c>
      <c r="EM72" s="729">
        <v>0.54</v>
      </c>
      <c r="EN72" s="729">
        <v>15.762</v>
      </c>
      <c r="EO72" s="729">
        <v>35.57</v>
      </c>
      <c r="EP72" s="729">
        <v>0.54</v>
      </c>
      <c r="EQ72" s="729">
        <v>15.762</v>
      </c>
      <c r="ER72" s="729">
        <v>38.9</v>
      </c>
      <c r="ES72" s="729">
        <v>0.54</v>
      </c>
      <c r="ET72" s="727">
        <v>15.762</v>
      </c>
      <c r="EU72" s="727">
        <v>44.54</v>
      </c>
      <c r="EV72" s="727">
        <v>0.54</v>
      </c>
      <c r="EW72" s="729">
        <v>15.762</v>
      </c>
      <c r="EX72" s="729">
        <v>47.8</v>
      </c>
      <c r="EY72" s="729">
        <v>0.54</v>
      </c>
      <c r="EZ72" s="729">
        <v>15.762</v>
      </c>
      <c r="FA72" s="729">
        <v>44.97</v>
      </c>
      <c r="FB72" s="729">
        <v>0.54</v>
      </c>
      <c r="FC72" s="723">
        <v>15.762</v>
      </c>
      <c r="FD72" s="741">
        <v>48.69</v>
      </c>
      <c r="FE72" s="723">
        <v>0.54</v>
      </c>
      <c r="FF72" s="727">
        <v>15.762</v>
      </c>
      <c r="FG72" s="727">
        <v>52.8</v>
      </c>
      <c r="FH72" s="727">
        <v>0.54</v>
      </c>
      <c r="FI72" s="727">
        <v>15.762</v>
      </c>
      <c r="FJ72" s="727">
        <v>51.47</v>
      </c>
      <c r="FK72" s="727">
        <v>0.54</v>
      </c>
      <c r="FL72" s="727">
        <v>15.762</v>
      </c>
      <c r="FM72" s="727">
        <v>48</v>
      </c>
      <c r="FN72" s="727">
        <v>0.54</v>
      </c>
      <c r="FO72" s="727">
        <v>15.762</v>
      </c>
      <c r="FP72" s="727">
        <v>48</v>
      </c>
      <c r="FQ72" s="727">
        <v>0.54</v>
      </c>
      <c r="FR72" s="727">
        <v>15.762</v>
      </c>
      <c r="FS72" s="742">
        <v>45.9</v>
      </c>
      <c r="FT72" s="626">
        <f>2.16/4</f>
        <v>0.54</v>
      </c>
      <c r="FU72" s="727">
        <v>15.762</v>
      </c>
      <c r="FV72" s="727">
        <v>47.48</v>
      </c>
      <c r="FW72" s="727">
        <v>0.54</v>
      </c>
      <c r="FX72" s="727">
        <v>15.762</v>
      </c>
      <c r="FY72" s="727">
        <v>48.63</v>
      </c>
      <c r="FZ72" s="727">
        <v>0.54</v>
      </c>
      <c r="GA72" s="727">
        <v>15.762</v>
      </c>
      <c r="GB72" s="727">
        <v>45.7</v>
      </c>
      <c r="GC72" s="727">
        <v>0.54</v>
      </c>
      <c r="GD72" s="750">
        <v>15.762</v>
      </c>
      <c r="GE72" s="741">
        <v>48.05</v>
      </c>
      <c r="GF72" s="751">
        <v>0.54</v>
      </c>
      <c r="GG72" s="750">
        <v>15.762</v>
      </c>
      <c r="GH72" s="727">
        <v>45.8</v>
      </c>
      <c r="GI72" s="727">
        <v>0.54</v>
      </c>
      <c r="GJ72" s="727">
        <v>15.762</v>
      </c>
      <c r="GK72" s="727">
        <v>46.44</v>
      </c>
      <c r="GL72" s="727">
        <v>0.54</v>
      </c>
      <c r="GM72" s="727">
        <v>15.762</v>
      </c>
      <c r="GN72" s="727">
        <v>49.09</v>
      </c>
      <c r="GO72" s="727">
        <v>0.54</v>
      </c>
      <c r="GP72" s="727">
        <v>15.766999999999999</v>
      </c>
      <c r="GQ72" s="727">
        <v>46.9</v>
      </c>
      <c r="GR72" s="727">
        <v>0.54</v>
      </c>
      <c r="GS72" s="727">
        <v>15.827</v>
      </c>
      <c r="GT72" s="727">
        <v>44</v>
      </c>
      <c r="GU72" s="727">
        <v>0.54</v>
      </c>
      <c r="GV72" s="727">
        <v>15.968999999999999</v>
      </c>
      <c r="GW72" s="727">
        <v>45</v>
      </c>
      <c r="GX72" s="727">
        <v>0.54</v>
      </c>
      <c r="GY72" s="727">
        <v>16.154</v>
      </c>
      <c r="GZ72" s="727">
        <v>41.7</v>
      </c>
      <c r="HA72" s="727">
        <v>0.54</v>
      </c>
      <c r="HB72" s="727">
        <v>16.327999999999999</v>
      </c>
      <c r="HC72" s="727">
        <v>46.63</v>
      </c>
      <c r="HD72" s="727">
        <v>0.54</v>
      </c>
      <c r="HE72" s="727">
        <v>16.361999999999998</v>
      </c>
      <c r="HF72" s="727">
        <v>46.93</v>
      </c>
      <c r="HG72" s="727">
        <v>0.54</v>
      </c>
      <c r="HH72" s="727">
        <v>16.361999999999998</v>
      </c>
      <c r="HI72" s="727">
        <v>49.25</v>
      </c>
      <c r="HJ72" s="727">
        <v>0.54</v>
      </c>
      <c r="HK72" s="727">
        <v>16.361999999999998</v>
      </c>
      <c r="HL72" s="727">
        <v>47.45</v>
      </c>
      <c r="HM72" s="727">
        <v>0.54</v>
      </c>
      <c r="HN72" s="727">
        <v>16.361999999999998</v>
      </c>
      <c r="HO72" s="727">
        <v>43.47</v>
      </c>
      <c r="HP72" s="727">
        <v>0.54</v>
      </c>
      <c r="HQ72" s="727">
        <v>16.361999999999998</v>
      </c>
      <c r="HR72" s="727">
        <v>40.6</v>
      </c>
      <c r="HS72" s="727">
        <v>0.54</v>
      </c>
      <c r="HT72" s="727">
        <v>16.361999999999998</v>
      </c>
      <c r="HU72" s="727">
        <v>43.95</v>
      </c>
      <c r="HV72" s="727">
        <v>0.54</v>
      </c>
      <c r="HW72" s="727">
        <v>16.486000000000001</v>
      </c>
      <c r="HX72" s="727">
        <v>44.25</v>
      </c>
      <c r="HY72" s="727">
        <v>0.54</v>
      </c>
      <c r="HZ72" s="727">
        <v>16.696000000000002</v>
      </c>
      <c r="IA72" s="727">
        <v>44.75</v>
      </c>
      <c r="IB72" s="727">
        <v>0.54</v>
      </c>
      <c r="IC72" s="727">
        <v>16.821000000000002</v>
      </c>
      <c r="ID72" s="727">
        <v>39.875</v>
      </c>
      <c r="IE72" s="727">
        <v>0.54</v>
      </c>
      <c r="IF72" s="727">
        <v>16.899999999999999</v>
      </c>
      <c r="IG72" s="727">
        <v>33.9375</v>
      </c>
      <c r="IH72" s="727">
        <v>0.54</v>
      </c>
      <c r="II72" s="727">
        <v>16.861999999999998</v>
      </c>
      <c r="IJ72" s="722">
        <v>30.375</v>
      </c>
      <c r="IK72" s="722">
        <v>0.54</v>
      </c>
      <c r="IL72" s="722">
        <v>16.861999999999998</v>
      </c>
      <c r="IM72" s="727">
        <v>33</v>
      </c>
      <c r="IN72" s="722">
        <v>0.54</v>
      </c>
      <c r="IO72" s="722">
        <v>16.861999999999998</v>
      </c>
      <c r="IP72" s="727">
        <v>39.375</v>
      </c>
      <c r="IQ72" s="722">
        <v>0.54</v>
      </c>
      <c r="IR72" s="721">
        <v>17.03</v>
      </c>
      <c r="IS72" s="721">
        <v>42</v>
      </c>
      <c r="IT72" s="721">
        <v>0.54</v>
      </c>
      <c r="IU72" s="721">
        <v>16.96</v>
      </c>
      <c r="IV72" s="721">
        <v>35.8125</v>
      </c>
      <c r="IW72" s="721">
        <v>0.54</v>
      </c>
      <c r="IX72" s="721">
        <v>16.96</v>
      </c>
      <c r="IY72" s="721">
        <v>44.75</v>
      </c>
      <c r="IZ72" s="721">
        <v>0.54</v>
      </c>
      <c r="JA72" s="721">
        <v>17.23</v>
      </c>
      <c r="JB72" s="721">
        <v>41.875</v>
      </c>
      <c r="JC72" s="721">
        <v>0.54</v>
      </c>
      <c r="JD72" s="721">
        <v>17.23</v>
      </c>
      <c r="JE72" s="721">
        <v>45.75</v>
      </c>
      <c r="JF72" s="721">
        <v>0.54</v>
      </c>
      <c r="JG72" s="721">
        <v>17.41</v>
      </c>
      <c r="JH72" s="721">
        <v>43.625</v>
      </c>
      <c r="JI72" s="721">
        <v>0.53500000000000003</v>
      </c>
      <c r="JJ72" s="721">
        <v>17.408000000000001</v>
      </c>
      <c r="JK72" s="721">
        <v>43.875</v>
      </c>
      <c r="JL72" s="721">
        <v>0.53500000000000003</v>
      </c>
      <c r="JM72" s="721">
        <v>17.533999999999999</v>
      </c>
      <c r="JN72" s="721">
        <v>35.8125</v>
      </c>
      <c r="JO72" s="721">
        <v>0.53500000000000003</v>
      </c>
      <c r="JP72" s="721">
        <v>17.533999999999999</v>
      </c>
      <c r="JQ72" s="721">
        <v>34.438000000000002</v>
      </c>
      <c r="JR72" s="721">
        <v>0.53500000000000003</v>
      </c>
      <c r="JS72" s="721">
        <v>17.555</v>
      </c>
      <c r="JT72" s="721">
        <v>32.875</v>
      </c>
      <c r="JU72" s="721">
        <v>0.53</v>
      </c>
      <c r="JV72" s="721">
        <v>17.555</v>
      </c>
      <c r="JW72" s="721">
        <v>31.375</v>
      </c>
      <c r="JX72" s="721">
        <v>0.53</v>
      </c>
      <c r="JY72" s="721">
        <v>16.965</v>
      </c>
      <c r="JZ72" s="721">
        <v>29.75</v>
      </c>
      <c r="KA72" s="721">
        <v>0.53</v>
      </c>
      <c r="KB72" s="721">
        <v>16.965</v>
      </c>
      <c r="KC72" s="721">
        <v>31.25</v>
      </c>
      <c r="KD72" s="721">
        <v>0.52500000000000002</v>
      </c>
      <c r="KE72" s="721">
        <v>16.965</v>
      </c>
      <c r="KF72" s="721">
        <v>30.25</v>
      </c>
      <c r="KG72" s="721">
        <v>0.52500000000000002</v>
      </c>
      <c r="KH72" s="721">
        <v>16.965</v>
      </c>
      <c r="KI72" s="721">
        <v>30.875</v>
      </c>
      <c r="KJ72" s="721">
        <v>0.52500000000000002</v>
      </c>
      <c r="KK72" s="721">
        <v>16.965</v>
      </c>
      <c r="KL72" s="721">
        <v>30.5</v>
      </c>
      <c r="KM72" s="721">
        <v>0.52500000000000002</v>
      </c>
      <c r="KN72" s="721">
        <v>16.965</v>
      </c>
      <c r="KO72" s="721">
        <v>27</v>
      </c>
      <c r="KP72" s="721">
        <v>0.52500000000000002</v>
      </c>
      <c r="KQ72" s="721">
        <v>16.965</v>
      </c>
      <c r="KR72" s="721">
        <v>26.25</v>
      </c>
      <c r="KS72" s="721">
        <v>0.52</v>
      </c>
      <c r="KT72" s="721">
        <v>16.965</v>
      </c>
      <c r="KU72" s="721">
        <v>26.5</v>
      </c>
      <c r="KV72" s="721">
        <v>0.52</v>
      </c>
      <c r="KW72" s="721">
        <v>16.965</v>
      </c>
      <c r="KX72" s="721">
        <v>24</v>
      </c>
      <c r="KY72" s="721">
        <v>0.52</v>
      </c>
      <c r="KZ72" s="721">
        <v>16.965</v>
      </c>
      <c r="LA72" s="721">
        <v>26.25</v>
      </c>
      <c r="LB72" s="721">
        <v>0.51500000000000001</v>
      </c>
      <c r="LC72" s="721">
        <v>16.875</v>
      </c>
      <c r="LD72" s="721">
        <v>29.125</v>
      </c>
      <c r="LE72" s="721">
        <v>0.51500000000000001</v>
      </c>
      <c r="LF72" s="721">
        <v>16.875</v>
      </c>
      <c r="LG72" s="721">
        <v>30.375</v>
      </c>
      <c r="LH72" s="721">
        <v>0.51500000000000001</v>
      </c>
      <c r="LI72" s="721">
        <v>16.875</v>
      </c>
      <c r="LJ72" s="721">
        <v>34.375</v>
      </c>
      <c r="LK72" s="721">
        <v>0.51500000000000001</v>
      </c>
      <c r="LL72" s="721">
        <v>16.821000000000002</v>
      </c>
      <c r="LM72" s="721">
        <v>34.375</v>
      </c>
      <c r="LN72" s="721">
        <v>0.5</v>
      </c>
      <c r="LO72" s="721">
        <v>16.274000000000001</v>
      </c>
      <c r="LP72" s="721">
        <v>33.25</v>
      </c>
      <c r="LQ72" s="721">
        <v>0.5</v>
      </c>
      <c r="LR72" s="721">
        <v>15.869</v>
      </c>
      <c r="LS72" s="721">
        <v>31</v>
      </c>
      <c r="LT72" s="721">
        <v>0.5</v>
      </c>
      <c r="LU72" s="721">
        <v>15.869</v>
      </c>
      <c r="LV72" s="721">
        <v>30.25</v>
      </c>
      <c r="LW72" s="721">
        <v>0.5</v>
      </c>
      <c r="LX72" s="721">
        <v>15.836</v>
      </c>
      <c r="LY72" s="721">
        <v>28.88</v>
      </c>
      <c r="LZ72" s="721">
        <v>0.48</v>
      </c>
      <c r="MA72" s="721">
        <v>15.802</v>
      </c>
      <c r="MB72" s="721">
        <v>26.75</v>
      </c>
      <c r="MC72" s="721">
        <v>0.48</v>
      </c>
      <c r="MD72" s="721">
        <v>15.53</v>
      </c>
      <c r="ME72" s="721">
        <v>28.75</v>
      </c>
      <c r="MF72" s="721">
        <v>0.48</v>
      </c>
      <c r="MG72" s="721">
        <v>15.459</v>
      </c>
      <c r="MH72" s="721">
        <v>27.88</v>
      </c>
      <c r="MI72" s="721">
        <v>0.48</v>
      </c>
      <c r="MJ72" s="721">
        <v>15.346</v>
      </c>
      <c r="MK72" s="721">
        <v>24</v>
      </c>
      <c r="ML72" s="721">
        <v>0.46</v>
      </c>
      <c r="MM72" s="721">
        <v>15.058999999999999</v>
      </c>
      <c r="MN72" s="721">
        <v>24.88</v>
      </c>
      <c r="MO72" s="721">
        <v>0.46</v>
      </c>
      <c r="MP72" s="721">
        <v>14.85</v>
      </c>
      <c r="MQ72" s="721">
        <v>24.75</v>
      </c>
    </row>
    <row r="73" spans="1:355">
      <c r="B73" s="723" t="s">
        <v>276</v>
      </c>
      <c r="C73" s="886"/>
      <c r="D73" s="886"/>
      <c r="E73" s="886"/>
      <c r="F73" s="788"/>
      <c r="G73" s="788"/>
      <c r="H73" s="788"/>
      <c r="I73" s="788"/>
      <c r="J73" s="788"/>
      <c r="K73" s="788"/>
      <c r="L73" s="828"/>
      <c r="M73" s="829"/>
      <c r="N73" s="828"/>
      <c r="O73" s="828"/>
      <c r="P73" s="828"/>
      <c r="Q73" s="828"/>
      <c r="R73" s="828"/>
      <c r="S73" s="828"/>
      <c r="T73" s="828"/>
      <c r="U73" s="788"/>
      <c r="V73" s="827"/>
      <c r="W73" s="788"/>
      <c r="X73" s="832"/>
      <c r="Y73" s="788"/>
      <c r="Z73" s="788"/>
      <c r="AA73" s="788"/>
      <c r="AB73" s="788"/>
      <c r="AC73" s="788"/>
      <c r="AJ73" s="788"/>
      <c r="AK73" s="788"/>
      <c r="AL73" s="788"/>
      <c r="AM73" s="828"/>
      <c r="AN73" s="828"/>
      <c r="AO73" s="828"/>
      <c r="AP73" s="788"/>
      <c r="AQ73" s="788"/>
      <c r="AR73" s="788"/>
      <c r="AV73" s="723"/>
      <c r="AW73" s="723"/>
      <c r="AX73" s="723"/>
      <c r="AY73" s="723"/>
      <c r="AZ73" s="723"/>
      <c r="BA73" s="723"/>
      <c r="BB73" s="723"/>
      <c r="BC73" s="723"/>
      <c r="BD73" s="723"/>
      <c r="BE73" s="723"/>
      <c r="BF73" s="723"/>
      <c r="BG73" s="723"/>
      <c r="BH73" s="723"/>
      <c r="BI73" s="723"/>
      <c r="BJ73" s="723"/>
      <c r="BK73" s="723"/>
      <c r="BL73" s="723"/>
      <c r="BM73" s="723"/>
      <c r="BN73" s="723"/>
      <c r="BO73" s="723"/>
      <c r="BP73" s="723"/>
      <c r="BQ73" s="723"/>
      <c r="BR73" s="723"/>
      <c r="BS73" s="723"/>
      <c r="BT73" s="723"/>
      <c r="BU73" s="723"/>
      <c r="BV73" s="723"/>
      <c r="BW73" s="728"/>
      <c r="BX73" s="728"/>
      <c r="BY73" s="728"/>
      <c r="BZ73" s="723"/>
      <c r="CA73" s="723"/>
      <c r="CB73" s="723"/>
      <c r="CC73" s="723"/>
      <c r="CD73" s="723"/>
      <c r="CE73" s="723"/>
      <c r="CF73" s="723"/>
      <c r="CG73" s="723"/>
      <c r="CH73" s="723"/>
      <c r="CI73" s="723"/>
      <c r="CJ73" s="723"/>
      <c r="CK73" s="723"/>
      <c r="CL73" s="723"/>
      <c r="CM73" s="723"/>
      <c r="CN73" s="723"/>
      <c r="CO73" s="723"/>
      <c r="CP73" s="723"/>
      <c r="CQ73" s="723"/>
      <c r="CR73" s="723"/>
      <c r="CS73" s="723"/>
      <c r="CT73" s="723"/>
      <c r="CU73" s="723"/>
      <c r="CV73" s="723"/>
      <c r="CW73" s="723"/>
      <c r="CX73" s="722"/>
      <c r="CY73" s="723"/>
      <c r="CZ73" s="723"/>
      <c r="DA73" s="723"/>
      <c r="DB73" s="723"/>
      <c r="DC73" s="735"/>
      <c r="DD73" s="723"/>
      <c r="DE73" s="723"/>
      <c r="DF73" s="723"/>
      <c r="DG73" s="723"/>
      <c r="DH73" s="723"/>
      <c r="DI73" s="723"/>
      <c r="DJ73" s="723"/>
      <c r="DK73" s="723"/>
      <c r="DL73" s="723"/>
      <c r="DM73" s="723"/>
      <c r="DN73" s="723"/>
      <c r="DO73" s="723"/>
      <c r="DP73" s="723"/>
      <c r="DQ73" s="723"/>
      <c r="DR73" s="723"/>
      <c r="DS73" s="723"/>
      <c r="DT73" s="725"/>
      <c r="DU73" s="723"/>
      <c r="DV73" s="723"/>
      <c r="DW73" s="723"/>
      <c r="DX73" s="723"/>
      <c r="DY73" s="723"/>
      <c r="DZ73" s="723"/>
      <c r="EA73" s="723"/>
      <c r="EB73" s="723"/>
      <c r="EC73" s="723"/>
      <c r="ED73" s="723"/>
      <c r="EE73" s="723"/>
      <c r="EF73" s="723"/>
      <c r="EG73" s="723"/>
      <c r="EH73" s="723"/>
      <c r="EI73" s="723"/>
      <c r="EJ73" s="723"/>
      <c r="EK73" s="723"/>
      <c r="EL73" s="723"/>
      <c r="EM73" s="723"/>
      <c r="EN73" s="723"/>
      <c r="EO73" s="723"/>
      <c r="EP73" s="723"/>
      <c r="EQ73" s="723"/>
      <c r="ER73" s="723"/>
      <c r="ES73" s="723"/>
      <c r="ET73" s="722"/>
      <c r="EU73" s="722"/>
      <c r="EV73" s="722"/>
      <c r="EW73" s="723"/>
      <c r="EX73" s="723"/>
      <c r="EY73" s="723"/>
      <c r="EZ73" s="723"/>
      <c r="FA73" s="723"/>
      <c r="FB73" s="723"/>
      <c r="FC73" s="723"/>
      <c r="FD73" s="741"/>
      <c r="FE73" s="723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742"/>
      <c r="FT73" s="626"/>
      <c r="FU73" s="727"/>
      <c r="FV73" s="727"/>
      <c r="FW73" s="727"/>
      <c r="FX73" s="727"/>
      <c r="FY73" s="727"/>
      <c r="FZ73" s="727"/>
      <c r="GA73" s="727"/>
      <c r="GB73" s="727"/>
      <c r="GC73" s="727"/>
      <c r="GD73" s="750"/>
      <c r="GE73" s="741"/>
      <c r="GF73" s="751"/>
      <c r="GG73" s="750"/>
      <c r="GH73" s="727"/>
      <c r="GI73" s="727"/>
      <c r="GJ73" s="727"/>
      <c r="GK73" s="727"/>
      <c r="GL73" s="727"/>
      <c r="GM73" s="727"/>
      <c r="GN73" s="727"/>
      <c r="GO73" s="727"/>
      <c r="GP73" s="727"/>
      <c r="GQ73" s="727"/>
      <c r="GR73" s="727"/>
      <c r="GS73" s="727"/>
      <c r="GT73" s="727"/>
      <c r="GU73" s="752"/>
      <c r="GV73" s="727"/>
      <c r="GW73" s="727"/>
      <c r="GX73" s="727"/>
      <c r="GY73" s="727"/>
      <c r="GZ73" s="727"/>
      <c r="HA73" s="727"/>
      <c r="HB73" s="727"/>
      <c r="HC73" s="727"/>
      <c r="HD73" s="727"/>
      <c r="HE73" s="727"/>
      <c r="HF73" s="727"/>
      <c r="HG73" s="727"/>
      <c r="HH73" s="727"/>
      <c r="HI73" s="727"/>
      <c r="HJ73" s="727"/>
      <c r="HK73" s="727"/>
      <c r="HL73" s="727"/>
      <c r="HM73" s="727"/>
      <c r="HN73" s="727"/>
      <c r="HO73" s="752"/>
      <c r="HP73" s="752"/>
      <c r="HQ73" s="727"/>
      <c r="HR73" s="727"/>
      <c r="HS73" s="727"/>
      <c r="HT73" s="727"/>
      <c r="HU73" s="727"/>
      <c r="HV73" s="727"/>
      <c r="HW73" s="727"/>
      <c r="HX73" s="727"/>
      <c r="HY73" s="727"/>
      <c r="HZ73" s="727"/>
      <c r="IA73" s="727"/>
      <c r="IB73" s="727"/>
      <c r="IC73" s="727"/>
      <c r="ID73" s="727"/>
      <c r="IE73" s="727"/>
      <c r="IF73" s="727"/>
      <c r="IG73" s="727"/>
      <c r="IH73" s="727"/>
      <c r="II73" s="727"/>
      <c r="IJ73" s="722"/>
      <c r="IK73" s="722"/>
      <c r="IL73" s="722"/>
      <c r="IM73" s="727"/>
      <c r="IN73" s="722"/>
      <c r="IO73" s="722">
        <v>13.6</v>
      </c>
      <c r="IP73" s="727">
        <v>64.8125</v>
      </c>
      <c r="IQ73" s="722">
        <v>0.61499999999999999</v>
      </c>
      <c r="IR73" s="721">
        <v>13.61</v>
      </c>
      <c r="IS73" s="721">
        <v>62.5</v>
      </c>
      <c r="IT73" s="721">
        <v>0.61499999999999999</v>
      </c>
      <c r="IU73" s="721">
        <v>13.6</v>
      </c>
      <c r="IV73" s="721">
        <v>60.0625</v>
      </c>
      <c r="IW73" s="721">
        <v>0.61499999999999999</v>
      </c>
      <c r="IX73" s="721">
        <v>13.6</v>
      </c>
      <c r="IY73" s="721">
        <v>61.188000000000002</v>
      </c>
      <c r="IZ73" s="721">
        <v>0.61499999999999999</v>
      </c>
      <c r="JA73" s="721">
        <v>13.69</v>
      </c>
      <c r="JB73" s="721">
        <v>52.438000000000002</v>
      </c>
      <c r="JC73" s="721">
        <v>0.61499999999999999</v>
      </c>
      <c r="JD73" s="721">
        <v>13.69</v>
      </c>
      <c r="JE73" s="721">
        <v>48</v>
      </c>
      <c r="JF73" s="721">
        <v>0.61499999999999999</v>
      </c>
      <c r="JG73" s="721">
        <v>13.61</v>
      </c>
      <c r="JH73" s="721">
        <v>48.25</v>
      </c>
      <c r="JI73" s="721">
        <v>0.61499999999999999</v>
      </c>
      <c r="JJ73" s="721">
        <v>13.611000000000001</v>
      </c>
      <c r="JK73" s="721">
        <v>48.875</v>
      </c>
      <c r="JL73" s="721">
        <v>0.61499999999999999</v>
      </c>
      <c r="JM73" s="721">
        <v>13.611000000000001</v>
      </c>
      <c r="JN73" s="721">
        <v>41.8125</v>
      </c>
      <c r="JO73" s="721">
        <v>0.61499999999999999</v>
      </c>
      <c r="JP73" s="721">
        <v>13.611000000000001</v>
      </c>
      <c r="JQ73" s="721">
        <v>41.188000000000002</v>
      </c>
      <c r="JR73" s="721">
        <v>0.61499999999999999</v>
      </c>
      <c r="JS73" s="721">
        <v>13.536</v>
      </c>
      <c r="JT73" s="721">
        <v>38</v>
      </c>
      <c r="JU73" s="721">
        <v>0.61499999999999999</v>
      </c>
      <c r="JV73" s="721">
        <v>13.536</v>
      </c>
      <c r="JW73" s="721">
        <v>36.625</v>
      </c>
      <c r="JX73" s="721">
        <v>0.61499999999999999</v>
      </c>
      <c r="JY73" s="721">
        <v>13.045</v>
      </c>
      <c r="JZ73" s="721">
        <v>39.75</v>
      </c>
      <c r="KA73" s="721">
        <v>0.61499999999999999</v>
      </c>
      <c r="KB73" s="721">
        <v>13.045</v>
      </c>
      <c r="KC73" s="721">
        <v>42.75</v>
      </c>
      <c r="KD73" s="721">
        <v>0.61499999999999999</v>
      </c>
      <c r="KE73" s="721">
        <v>13.045</v>
      </c>
      <c r="KF73" s="721">
        <v>43</v>
      </c>
      <c r="KG73" s="721">
        <v>0.61499999999999999</v>
      </c>
      <c r="KH73" s="721">
        <v>13.045</v>
      </c>
      <c r="KI73" s="721">
        <v>42.375</v>
      </c>
      <c r="KJ73" s="721">
        <v>0.61499999999999999</v>
      </c>
      <c r="KK73" s="721">
        <v>13.045</v>
      </c>
      <c r="KL73" s="721">
        <v>37.875</v>
      </c>
      <c r="KM73" s="721">
        <v>0.61499999999999999</v>
      </c>
      <c r="KN73" s="721">
        <v>13.045</v>
      </c>
      <c r="KO73" s="721">
        <v>36.375</v>
      </c>
      <c r="KP73" s="721">
        <v>0.61499999999999999</v>
      </c>
      <c r="KQ73" s="721">
        <v>13.045</v>
      </c>
      <c r="KR73" s="721">
        <v>36.875</v>
      </c>
      <c r="KS73" s="721">
        <v>0.61499999999999999</v>
      </c>
      <c r="KT73" s="721">
        <v>12.967000000000001</v>
      </c>
      <c r="KU73" s="721">
        <v>32.125</v>
      </c>
      <c r="KV73" s="721">
        <v>0.61499999999999999</v>
      </c>
      <c r="KW73" s="721">
        <v>12.967000000000001</v>
      </c>
      <c r="KX73" s="721">
        <v>30.25</v>
      </c>
      <c r="KY73" s="721">
        <v>0.61499999999999999</v>
      </c>
      <c r="KZ73" s="721">
        <v>12.967000000000001</v>
      </c>
      <c r="LA73" s="721">
        <v>29.125</v>
      </c>
      <c r="LB73" s="721">
        <v>0.61499999999999999</v>
      </c>
      <c r="LC73" s="721">
        <v>12.909000000000001</v>
      </c>
      <c r="LD73" s="721">
        <v>34</v>
      </c>
      <c r="LE73" s="721">
        <v>0.61499999999999999</v>
      </c>
      <c r="LF73" s="721">
        <v>12.909000000000001</v>
      </c>
      <c r="LG73" s="721">
        <v>37.5</v>
      </c>
      <c r="LH73" s="721">
        <v>0.61499999999999999</v>
      </c>
      <c r="LI73" s="721">
        <v>12.909000000000001</v>
      </c>
      <c r="LJ73" s="721">
        <v>42.75</v>
      </c>
      <c r="LK73" s="721">
        <v>0.61499999999999999</v>
      </c>
      <c r="LL73" s="721">
        <v>12.909000000000001</v>
      </c>
      <c r="LM73" s="721">
        <v>42.625</v>
      </c>
      <c r="LN73" s="721">
        <v>0.61499999999999999</v>
      </c>
      <c r="LO73" s="721">
        <v>12.909000000000001</v>
      </c>
      <c r="LP73" s="721">
        <v>42.875</v>
      </c>
      <c r="LQ73" s="721">
        <v>0.61499999999999999</v>
      </c>
      <c r="LR73" s="721">
        <v>12.929</v>
      </c>
      <c r="LS73" s="721">
        <v>39.630000000000003</v>
      </c>
      <c r="LT73" s="721">
        <v>0.62</v>
      </c>
      <c r="LU73" s="721">
        <v>12.929</v>
      </c>
      <c r="LV73" s="721">
        <v>39.25</v>
      </c>
      <c r="LW73" s="721">
        <v>0.62</v>
      </c>
      <c r="LX73" s="721">
        <v>12.938000000000001</v>
      </c>
      <c r="LY73" s="721">
        <v>37.5</v>
      </c>
      <c r="LZ73" s="721">
        <v>0.62</v>
      </c>
      <c r="MA73" s="721">
        <v>12.959</v>
      </c>
      <c r="MB73" s="721">
        <v>36.380000000000003</v>
      </c>
      <c r="MC73" s="721">
        <v>0.62</v>
      </c>
      <c r="MD73" s="721">
        <v>12.64</v>
      </c>
      <c r="ME73" s="721">
        <v>37.880000000000003</v>
      </c>
      <c r="MF73" s="721">
        <v>0.62</v>
      </c>
      <c r="MG73" s="721">
        <v>12.584</v>
      </c>
      <c r="MH73" s="721">
        <v>35.25</v>
      </c>
      <c r="MI73" s="721">
        <v>0.62</v>
      </c>
      <c r="MJ73" s="721">
        <v>12.547000000000001</v>
      </c>
      <c r="MK73" s="721">
        <v>33.75</v>
      </c>
      <c r="ML73" s="721">
        <v>0.62</v>
      </c>
      <c r="MM73" s="721">
        <v>12.573</v>
      </c>
      <c r="MN73" s="721">
        <v>33</v>
      </c>
      <c r="MO73" s="721">
        <v>0.62</v>
      </c>
      <c r="MP73" s="721">
        <v>12.818</v>
      </c>
      <c r="MQ73" s="721">
        <v>35</v>
      </c>
    </row>
    <row r="74" spans="1:355">
      <c r="B74" s="727" t="s">
        <v>277</v>
      </c>
      <c r="C74" s="886"/>
      <c r="D74" s="886"/>
      <c r="E74" s="886"/>
      <c r="F74" s="788"/>
      <c r="G74" s="788"/>
      <c r="H74" s="788"/>
      <c r="I74" s="788"/>
      <c r="J74" s="788"/>
      <c r="K74" s="788"/>
      <c r="L74" s="828"/>
      <c r="M74" s="829"/>
      <c r="N74" s="828"/>
      <c r="O74" s="828"/>
      <c r="P74" s="828"/>
      <c r="Q74" s="828"/>
      <c r="R74" s="828"/>
      <c r="S74" s="828"/>
      <c r="T74" s="828"/>
      <c r="U74" s="788"/>
      <c r="V74" s="827"/>
      <c r="W74" s="788"/>
      <c r="X74" s="832"/>
      <c r="Y74" s="788"/>
      <c r="Z74" s="788"/>
      <c r="AA74" s="788"/>
      <c r="AB74" s="788"/>
      <c r="AC74" s="788"/>
      <c r="AJ74" s="788"/>
      <c r="AK74" s="788"/>
      <c r="AL74" s="788"/>
      <c r="AM74" s="828"/>
      <c r="AN74" s="828"/>
      <c r="AO74" s="828"/>
      <c r="AP74" s="788"/>
      <c r="AQ74" s="788"/>
      <c r="AR74" s="788"/>
      <c r="AS74" s="727"/>
      <c r="AT74" s="727"/>
      <c r="AU74" s="727"/>
      <c r="AV74" s="727"/>
      <c r="AW74" s="727"/>
      <c r="AX74" s="727"/>
      <c r="AY74" s="727"/>
      <c r="AZ74" s="727"/>
      <c r="BA74" s="727"/>
      <c r="BB74" s="727"/>
      <c r="BC74" s="727"/>
      <c r="BD74" s="727"/>
      <c r="BE74" s="727"/>
      <c r="BF74" s="727"/>
      <c r="BG74" s="727"/>
      <c r="BH74" s="727"/>
      <c r="BI74" s="727"/>
      <c r="BJ74" s="727"/>
      <c r="BK74" s="727"/>
      <c r="BL74" s="727"/>
      <c r="BM74" s="727"/>
      <c r="BN74" s="727"/>
      <c r="BO74" s="727"/>
      <c r="BP74" s="727"/>
      <c r="BQ74" s="727"/>
      <c r="BR74" s="727"/>
      <c r="BS74" s="727"/>
      <c r="BT74" s="727"/>
      <c r="BU74" s="727"/>
      <c r="BV74" s="727"/>
      <c r="BW74" s="726"/>
      <c r="BX74" s="726"/>
      <c r="BY74" s="726"/>
      <c r="BZ74" s="727"/>
      <c r="CA74" s="727"/>
      <c r="CB74" s="727"/>
      <c r="CC74" s="727"/>
      <c r="CD74" s="727"/>
      <c r="CE74" s="727"/>
      <c r="CF74" s="727"/>
      <c r="CG74" s="727"/>
      <c r="CH74" s="727"/>
      <c r="CI74" s="727"/>
      <c r="CJ74" s="727"/>
      <c r="CK74" s="727"/>
      <c r="CL74" s="727"/>
      <c r="CM74" s="727"/>
      <c r="CN74" s="727"/>
      <c r="CO74" s="727"/>
      <c r="CP74" s="727"/>
      <c r="CQ74" s="727"/>
      <c r="CR74" s="727"/>
      <c r="CS74" s="727"/>
      <c r="CT74" s="727"/>
      <c r="CU74" s="727"/>
      <c r="CV74" s="727"/>
      <c r="CW74" s="727"/>
      <c r="CX74" s="727"/>
      <c r="CY74" s="727"/>
      <c r="CZ74" s="727"/>
      <c r="DA74" s="727"/>
      <c r="DB74" s="727"/>
      <c r="DC74" s="752"/>
      <c r="DD74" s="727"/>
      <c r="DE74" s="727"/>
      <c r="DF74" s="727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48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3"/>
      <c r="FD74" s="741"/>
      <c r="FE74" s="723"/>
      <c r="FF74" s="727"/>
      <c r="FG74" s="727"/>
      <c r="FH74" s="727"/>
      <c r="FI74" s="727"/>
      <c r="FJ74" s="727"/>
      <c r="FK74" s="727"/>
      <c r="FL74" s="727">
        <v>200.286</v>
      </c>
      <c r="FM74" s="727"/>
      <c r="FN74" s="727"/>
      <c r="FO74" s="727">
        <v>199.55699999999999</v>
      </c>
      <c r="FP74" s="727">
        <v>45.41</v>
      </c>
      <c r="FQ74" s="727">
        <v>0.48</v>
      </c>
      <c r="FR74" s="727">
        <v>199.06899999999999</v>
      </c>
      <c r="FS74" s="742">
        <v>42.46</v>
      </c>
      <c r="FT74" s="626">
        <f>1.92/4</f>
        <v>0.48</v>
      </c>
      <c r="FU74" s="727">
        <v>198.49199999999999</v>
      </c>
      <c r="FV74" s="727">
        <v>44.41</v>
      </c>
      <c r="FW74" s="727">
        <v>0.48</v>
      </c>
      <c r="FX74" s="727">
        <v>195.64699999999999</v>
      </c>
      <c r="FY74" s="727">
        <v>44.82</v>
      </c>
      <c r="FZ74" s="727">
        <v>0.48</v>
      </c>
      <c r="GA74" s="727">
        <v>180.881</v>
      </c>
      <c r="GB74" s="727">
        <v>40.520000000000003</v>
      </c>
      <c r="GC74" s="727">
        <v>0.48</v>
      </c>
      <c r="GD74" s="750">
        <v>180.881</v>
      </c>
      <c r="GE74" s="741">
        <v>41.63</v>
      </c>
      <c r="GF74" s="751">
        <v>0.47</v>
      </c>
      <c r="GG74" s="750">
        <v>180.23599999999999</v>
      </c>
      <c r="GH74" s="727">
        <v>39.6</v>
      </c>
      <c r="GI74" s="727">
        <v>0.47</v>
      </c>
      <c r="GJ74" s="727">
        <v>179.261</v>
      </c>
      <c r="GK74" s="727">
        <v>38</v>
      </c>
      <c r="GL74" s="727">
        <v>0.47</v>
      </c>
      <c r="GM74" s="727">
        <v>178.28800000000001</v>
      </c>
      <c r="GN74" s="727">
        <v>40.89</v>
      </c>
      <c r="GO74" s="727">
        <v>0.47</v>
      </c>
      <c r="GP74" s="727">
        <v>177.751</v>
      </c>
      <c r="GQ74" s="727">
        <v>38.81</v>
      </c>
      <c r="GR74" s="727">
        <v>0.46</v>
      </c>
      <c r="GS74" s="727">
        <v>176.64500000000001</v>
      </c>
      <c r="GT74" s="727">
        <v>36.700000000000003</v>
      </c>
      <c r="GU74" s="727">
        <v>0.46</v>
      </c>
      <c r="GV74" s="727">
        <v>173.387</v>
      </c>
      <c r="GW74" s="727">
        <v>36.79</v>
      </c>
      <c r="GX74" s="727">
        <v>0.46</v>
      </c>
      <c r="GY74" s="727">
        <v>168.53800000000001</v>
      </c>
      <c r="GZ74" s="727">
        <v>33.65</v>
      </c>
      <c r="HA74" s="727">
        <v>0.46</v>
      </c>
      <c r="HB74" s="727">
        <v>167.96700000000001</v>
      </c>
      <c r="HC74" s="727">
        <v>33.72</v>
      </c>
      <c r="HD74" s="727">
        <v>0.45</v>
      </c>
      <c r="HE74" s="727">
        <v>167.33</v>
      </c>
      <c r="HF74" s="727">
        <v>31.43</v>
      </c>
      <c r="HG74" s="727">
        <v>0.45</v>
      </c>
      <c r="HH74" s="727">
        <v>164.29499999999999</v>
      </c>
      <c r="HI74" s="727">
        <v>35.99</v>
      </c>
      <c r="HJ74" s="727">
        <v>0.45</v>
      </c>
      <c r="HK74" s="727">
        <v>159.291</v>
      </c>
      <c r="HL74" s="727">
        <v>35.75</v>
      </c>
      <c r="HM74" s="727">
        <v>0.45</v>
      </c>
      <c r="HN74" s="727">
        <v>159.09700000000001</v>
      </c>
      <c r="HO74" s="727">
        <v>33.43</v>
      </c>
      <c r="HP74" s="727">
        <v>0.45</v>
      </c>
      <c r="HQ74" s="727">
        <v>159.06100000000001</v>
      </c>
      <c r="HR74" s="727">
        <v>30.87</v>
      </c>
      <c r="HS74" s="727">
        <v>0.45</v>
      </c>
      <c r="HT74" s="727">
        <v>158.989</v>
      </c>
      <c r="HU74" s="727">
        <v>34.950000000000003</v>
      </c>
      <c r="HV74" s="727">
        <v>0.45</v>
      </c>
      <c r="HW74" s="727">
        <v>158.96799999999999</v>
      </c>
      <c r="HX74" s="727">
        <v>33.549999999999997</v>
      </c>
      <c r="HY74" s="727">
        <v>0.45</v>
      </c>
      <c r="HZ74" s="727">
        <v>158.93799999999999</v>
      </c>
      <c r="IA74" s="727">
        <v>35.125</v>
      </c>
      <c r="IB74" s="727">
        <v>0.45</v>
      </c>
      <c r="IC74" s="727">
        <v>158.923</v>
      </c>
      <c r="ID74" s="727">
        <v>33.0625</v>
      </c>
      <c r="IE74" s="727">
        <v>0.45</v>
      </c>
      <c r="IF74" s="727">
        <v>158.923</v>
      </c>
      <c r="IG74" s="727">
        <v>25.4375</v>
      </c>
      <c r="IH74" s="727">
        <v>0.45</v>
      </c>
      <c r="II74" s="727">
        <v>158.92099999999999</v>
      </c>
      <c r="IJ74" s="722">
        <v>21.5</v>
      </c>
      <c r="IK74" s="722">
        <v>0.45</v>
      </c>
      <c r="IL74" s="722">
        <v>158.90700000000001</v>
      </c>
      <c r="IM74" s="727">
        <v>23.9375</v>
      </c>
      <c r="IN74" s="722">
        <v>0.45</v>
      </c>
      <c r="IO74" s="722">
        <v>158.87700000000001</v>
      </c>
      <c r="IP74" s="727">
        <v>28.3125</v>
      </c>
      <c r="IQ74" s="722">
        <v>0.45</v>
      </c>
      <c r="IR74" s="721">
        <v>158.24</v>
      </c>
      <c r="IS74" s="721">
        <v>32</v>
      </c>
      <c r="IT74" s="721">
        <v>0.45</v>
      </c>
      <c r="IU74" s="721">
        <v>158.5</v>
      </c>
      <c r="IV74" s="721">
        <v>27.5</v>
      </c>
      <c r="IW74" s="721">
        <v>0.45</v>
      </c>
      <c r="IX74" s="721">
        <v>158.5</v>
      </c>
      <c r="IY74" s="721">
        <v>34.375</v>
      </c>
      <c r="IZ74" s="721">
        <v>0.45</v>
      </c>
      <c r="JA74" s="721">
        <v>157.76</v>
      </c>
      <c r="JB74" s="721">
        <v>38.25</v>
      </c>
      <c r="JC74" s="721">
        <v>0.45</v>
      </c>
      <c r="JD74" s="721">
        <v>157.76</v>
      </c>
      <c r="JE74" s="721">
        <v>35</v>
      </c>
      <c r="JF74" s="721">
        <v>0.45</v>
      </c>
      <c r="JG74" s="721">
        <v>157.68</v>
      </c>
      <c r="JH74" s="721">
        <v>36.875</v>
      </c>
      <c r="JI74" s="721">
        <v>0.45</v>
      </c>
      <c r="JJ74" s="721">
        <v>157.679</v>
      </c>
      <c r="JK74" s="721">
        <v>38.3125</v>
      </c>
      <c r="JL74" s="721">
        <v>0.45</v>
      </c>
      <c r="JM74" s="721">
        <v>157.679</v>
      </c>
      <c r="JN74" s="721">
        <v>33.4375</v>
      </c>
      <c r="JO74" s="721">
        <v>0.45</v>
      </c>
      <c r="JP74" s="721">
        <v>157.679</v>
      </c>
      <c r="JQ74" s="721">
        <v>34.813000000000002</v>
      </c>
      <c r="JR74" s="721">
        <v>0.45</v>
      </c>
      <c r="JS74" s="721">
        <v>157.679</v>
      </c>
      <c r="JT74" s="721">
        <v>34.125</v>
      </c>
      <c r="JU74" s="721">
        <v>0.45</v>
      </c>
      <c r="JV74" s="721">
        <v>157.679</v>
      </c>
      <c r="JW74" s="721">
        <v>33.375</v>
      </c>
      <c r="JX74" s="721">
        <v>0.45</v>
      </c>
      <c r="JY74" s="721">
        <v>156.94499999999999</v>
      </c>
      <c r="JZ74" s="721">
        <v>30.875</v>
      </c>
      <c r="KA74" s="721">
        <v>0.43</v>
      </c>
      <c r="KB74" s="721">
        <v>156.94499999999999</v>
      </c>
      <c r="KC74" s="721">
        <v>32</v>
      </c>
      <c r="KD74" s="721">
        <v>0.43</v>
      </c>
      <c r="KE74" s="721">
        <v>156.94499999999999</v>
      </c>
      <c r="KF74" s="721">
        <v>30</v>
      </c>
      <c r="KG74" s="721">
        <v>0.43</v>
      </c>
      <c r="KH74" s="721">
        <v>156.94499999999999</v>
      </c>
      <c r="KI74" s="721">
        <v>30.625</v>
      </c>
      <c r="KJ74" s="721">
        <v>0.43</v>
      </c>
      <c r="KK74" s="721">
        <v>87.539000000000001</v>
      </c>
      <c r="KL74" s="721">
        <v>27.875</v>
      </c>
      <c r="KM74" s="721">
        <v>0.43</v>
      </c>
      <c r="KN74" s="721">
        <v>87.539000000000001</v>
      </c>
      <c r="KO74" s="721">
        <v>26.25</v>
      </c>
      <c r="KP74" s="721">
        <v>0.43</v>
      </c>
      <c r="KQ74" s="721">
        <v>87.539000000000001</v>
      </c>
      <c r="KR74" s="721">
        <v>24.875</v>
      </c>
      <c r="KS74" s="721">
        <v>0.43</v>
      </c>
      <c r="KT74" s="721">
        <v>87.539000000000001</v>
      </c>
      <c r="KU74" s="721">
        <v>23.5</v>
      </c>
      <c r="KV74" s="721">
        <v>0.43</v>
      </c>
      <c r="KW74" s="721">
        <v>87.539000000000001</v>
      </c>
      <c r="KX74" s="721">
        <v>22.375</v>
      </c>
      <c r="KY74" s="721">
        <v>0.43</v>
      </c>
      <c r="KZ74" s="721">
        <v>87.539000000000001</v>
      </c>
      <c r="LA74" s="721">
        <v>21.75</v>
      </c>
      <c r="LB74" s="721">
        <v>0.43</v>
      </c>
      <c r="LC74" s="721">
        <v>87.539000000000001</v>
      </c>
      <c r="LD74" s="721">
        <v>24</v>
      </c>
      <c r="LE74" s="721">
        <v>0.43</v>
      </c>
      <c r="LF74" s="721">
        <v>87.539000000000001</v>
      </c>
      <c r="LG74" s="721">
        <v>27.5</v>
      </c>
      <c r="LH74" s="721">
        <v>0.43</v>
      </c>
      <c r="LI74" s="721">
        <v>87.539000000000001</v>
      </c>
      <c r="LJ74" s="721">
        <v>28.75</v>
      </c>
      <c r="LK74" s="721">
        <v>0.41499999999999998</v>
      </c>
      <c r="LL74" s="721">
        <v>87.143000000000001</v>
      </c>
      <c r="LM74" s="721">
        <v>27.25</v>
      </c>
      <c r="LN74" s="721">
        <v>0.41499999999999998</v>
      </c>
      <c r="LO74" s="721">
        <v>86.721999999999994</v>
      </c>
      <c r="LP74" s="721">
        <v>26.25</v>
      </c>
      <c r="LQ74" s="721">
        <v>0.41499999999999998</v>
      </c>
      <c r="LR74" s="721">
        <v>85.373000000000005</v>
      </c>
      <c r="LS74" s="721">
        <v>24.88</v>
      </c>
      <c r="LT74" s="721">
        <v>0.42</v>
      </c>
      <c r="LU74" s="721">
        <v>85.373000000000005</v>
      </c>
      <c r="LV74" s="721">
        <v>25.42</v>
      </c>
      <c r="LW74" s="721">
        <v>0.41</v>
      </c>
      <c r="LX74" s="721">
        <v>85.161000000000001</v>
      </c>
      <c r="LY74" s="721">
        <v>22.92</v>
      </c>
      <c r="LZ74" s="721">
        <v>0.41</v>
      </c>
      <c r="MA74" s="721">
        <v>84.944999999999993</v>
      </c>
      <c r="MB74" s="721">
        <v>24.08</v>
      </c>
      <c r="MC74" s="721">
        <v>0.41</v>
      </c>
      <c r="MD74" s="721">
        <v>82.311000000000007</v>
      </c>
      <c r="ME74" s="721">
        <v>26.75</v>
      </c>
      <c r="MF74" s="721">
        <v>0.41</v>
      </c>
      <c r="MG74" s="721">
        <v>81.558000000000007</v>
      </c>
      <c r="MH74" s="721">
        <v>23.75</v>
      </c>
      <c r="MI74" s="721">
        <v>0.41</v>
      </c>
      <c r="MJ74" s="721">
        <v>80.256</v>
      </c>
      <c r="MK74" s="721">
        <v>21.42</v>
      </c>
      <c r="ML74" s="721">
        <v>0.41</v>
      </c>
      <c r="MM74" s="721">
        <v>78.411000000000001</v>
      </c>
      <c r="MN74" s="721">
        <v>21.5</v>
      </c>
      <c r="MO74" s="721">
        <v>0.41</v>
      </c>
      <c r="MP74" s="721">
        <v>77.393000000000001</v>
      </c>
      <c r="MQ74" s="721">
        <v>19.920000000000002</v>
      </c>
    </row>
    <row r="75" spans="1:355">
      <c r="B75" s="723" t="s">
        <v>278</v>
      </c>
      <c r="C75" s="886"/>
      <c r="D75" s="886"/>
      <c r="E75" s="886"/>
      <c r="F75" s="788"/>
      <c r="G75" s="788"/>
      <c r="H75" s="788"/>
      <c r="I75" s="788"/>
      <c r="J75" s="788"/>
      <c r="K75" s="788"/>
      <c r="L75" s="828"/>
      <c r="M75" s="829"/>
      <c r="N75" s="828"/>
      <c r="O75" s="828"/>
      <c r="P75" s="828"/>
      <c r="Q75" s="828"/>
      <c r="R75" s="828"/>
      <c r="S75" s="828"/>
      <c r="T75" s="828"/>
      <c r="U75" s="788"/>
      <c r="V75" s="827"/>
      <c r="W75" s="788"/>
      <c r="X75" s="832"/>
      <c r="Y75" s="788"/>
      <c r="Z75" s="788"/>
      <c r="AA75" s="788"/>
      <c r="AB75" s="788"/>
      <c r="AC75" s="788"/>
      <c r="AJ75" s="788"/>
      <c r="AK75" s="788"/>
      <c r="AL75" s="788"/>
      <c r="AM75" s="828"/>
      <c r="AN75" s="828"/>
      <c r="AO75" s="828"/>
      <c r="AP75" s="788"/>
      <c r="AQ75" s="788"/>
      <c r="AR75" s="788"/>
      <c r="AV75" s="723"/>
      <c r="AW75" s="723"/>
      <c r="AX75" s="723"/>
      <c r="AY75" s="723"/>
      <c r="AZ75" s="723"/>
      <c r="BA75" s="723"/>
      <c r="BB75" s="723"/>
      <c r="BC75" s="723"/>
      <c r="BD75" s="723"/>
      <c r="BE75" s="723"/>
      <c r="BF75" s="723"/>
      <c r="BG75" s="723"/>
      <c r="BH75" s="723"/>
      <c r="BI75" s="723"/>
      <c r="BJ75" s="723"/>
      <c r="BK75" s="723"/>
      <c r="BL75" s="723"/>
      <c r="BM75" s="723"/>
      <c r="BN75" s="723"/>
      <c r="BO75" s="723"/>
      <c r="BP75" s="723"/>
      <c r="BQ75" s="723"/>
      <c r="BR75" s="723"/>
      <c r="BS75" s="723"/>
      <c r="BT75" s="723"/>
      <c r="BU75" s="723"/>
      <c r="BV75" s="723"/>
      <c r="BW75" s="728"/>
      <c r="BX75" s="728"/>
      <c r="BY75" s="728"/>
      <c r="BZ75" s="723"/>
      <c r="CA75" s="723"/>
      <c r="CB75" s="723"/>
      <c r="CC75" s="723"/>
      <c r="CD75" s="723"/>
      <c r="CE75" s="723"/>
      <c r="CF75" s="723"/>
      <c r="CG75" s="723"/>
      <c r="CH75" s="723"/>
      <c r="CI75" s="723"/>
      <c r="CJ75" s="723"/>
      <c r="CK75" s="723"/>
      <c r="CL75" s="723"/>
      <c r="CM75" s="723"/>
      <c r="CN75" s="723"/>
      <c r="CO75" s="723"/>
      <c r="CP75" s="723"/>
      <c r="CQ75" s="723"/>
      <c r="CR75" s="723"/>
      <c r="CS75" s="723"/>
      <c r="CT75" s="723"/>
      <c r="CU75" s="723"/>
      <c r="CV75" s="723"/>
      <c r="CW75" s="723"/>
      <c r="CX75" s="722"/>
      <c r="CY75" s="723"/>
      <c r="CZ75" s="723"/>
      <c r="DA75" s="723"/>
      <c r="DB75" s="723"/>
      <c r="DC75" s="735"/>
      <c r="DD75" s="723"/>
      <c r="DE75" s="723"/>
      <c r="DF75" s="723"/>
      <c r="DG75" s="723"/>
      <c r="DH75" s="723"/>
      <c r="DI75" s="723"/>
      <c r="DJ75" s="723"/>
      <c r="DK75" s="723"/>
      <c r="DL75" s="723"/>
      <c r="DM75" s="723"/>
      <c r="DN75" s="723"/>
      <c r="DO75" s="723"/>
      <c r="DP75" s="723"/>
      <c r="DQ75" s="723"/>
      <c r="DR75" s="723"/>
      <c r="DS75" s="723"/>
      <c r="DT75" s="725"/>
      <c r="DU75" s="723"/>
      <c r="DV75" s="723"/>
      <c r="DW75" s="723"/>
      <c r="DX75" s="723"/>
      <c r="DY75" s="723"/>
      <c r="DZ75" s="723"/>
      <c r="EA75" s="723"/>
      <c r="EB75" s="723"/>
      <c r="EC75" s="723"/>
      <c r="ED75" s="723"/>
      <c r="EE75" s="723"/>
      <c r="EF75" s="723"/>
      <c r="EG75" s="723"/>
      <c r="EH75" s="723"/>
      <c r="EI75" s="723"/>
      <c r="EJ75" s="723"/>
      <c r="EK75" s="723"/>
      <c r="EL75" s="723"/>
      <c r="EM75" s="723"/>
      <c r="EN75" s="723"/>
      <c r="EO75" s="723"/>
      <c r="EP75" s="723"/>
      <c r="EQ75" s="723"/>
      <c r="ER75" s="723"/>
      <c r="ES75" s="723"/>
      <c r="ET75" s="722"/>
      <c r="EU75" s="722"/>
      <c r="EV75" s="722"/>
      <c r="EW75" s="723"/>
      <c r="EX75" s="723"/>
      <c r="EY75" s="723"/>
      <c r="EZ75" s="723"/>
      <c r="FA75" s="723"/>
      <c r="FB75" s="723"/>
      <c r="FC75" s="723"/>
      <c r="FD75" s="741"/>
      <c r="FE75" s="723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742"/>
      <c r="FT75" s="626"/>
      <c r="FU75" s="727"/>
      <c r="FV75" s="727"/>
      <c r="FW75" s="727"/>
      <c r="FX75" s="727"/>
      <c r="FY75" s="727"/>
      <c r="FZ75" s="727"/>
      <c r="GA75" s="727"/>
      <c r="GB75" s="727"/>
      <c r="GC75" s="727"/>
      <c r="GD75" s="750"/>
      <c r="GE75" s="741"/>
      <c r="GF75" s="751"/>
      <c r="GG75" s="750"/>
      <c r="GH75" s="727"/>
      <c r="GI75" s="727"/>
      <c r="GJ75" s="727"/>
      <c r="GK75" s="727"/>
      <c r="GL75" s="727"/>
      <c r="GM75" s="727"/>
      <c r="GN75" s="727"/>
      <c r="GO75" s="727"/>
      <c r="GP75" s="727"/>
      <c r="GQ75" s="727"/>
      <c r="GR75" s="727"/>
      <c r="GS75" s="727"/>
      <c r="GT75" s="727"/>
      <c r="GU75" s="752"/>
      <c r="GV75" s="727"/>
      <c r="GW75" s="727"/>
      <c r="GX75" s="727"/>
      <c r="GY75" s="727"/>
      <c r="GZ75" s="727"/>
      <c r="HA75" s="727"/>
      <c r="HB75" s="727"/>
      <c r="HC75" s="727"/>
      <c r="HD75" s="727"/>
      <c r="HE75" s="727"/>
      <c r="HF75" s="727"/>
      <c r="HG75" s="727"/>
      <c r="HH75" s="727"/>
      <c r="HI75" s="727"/>
      <c r="HJ75" s="727"/>
      <c r="HK75" s="727"/>
      <c r="HL75" s="727"/>
      <c r="HM75" s="727"/>
      <c r="HN75" s="727"/>
      <c r="HO75" s="752"/>
      <c r="HP75" s="752"/>
      <c r="HQ75" s="727"/>
      <c r="HR75" s="727"/>
      <c r="HS75" s="727"/>
      <c r="HT75" s="727"/>
      <c r="HU75" s="727"/>
      <c r="HV75" s="727"/>
      <c r="HW75" s="727"/>
      <c r="HX75" s="727"/>
      <c r="HY75" s="727"/>
      <c r="HZ75" s="727"/>
      <c r="IA75" s="727"/>
      <c r="IB75" s="727"/>
      <c r="IC75" s="727"/>
      <c r="ID75" s="727"/>
      <c r="IE75" s="727"/>
      <c r="IF75" s="727"/>
      <c r="IG75" s="727"/>
      <c r="IH75" s="727"/>
      <c r="II75" s="727"/>
      <c r="IJ75" s="722"/>
      <c r="IK75" s="722"/>
      <c r="IL75" s="722"/>
      <c r="IM75" s="727"/>
      <c r="IN75" s="722"/>
      <c r="IO75" s="722" t="s">
        <v>103</v>
      </c>
      <c r="IP75" s="727"/>
      <c r="IQ75" s="722"/>
      <c r="IR75" s="721">
        <v>21.53</v>
      </c>
      <c r="IS75" s="721">
        <v>42</v>
      </c>
      <c r="IT75" s="721">
        <v>0.41499999999999998</v>
      </c>
      <c r="IU75" s="721">
        <v>21.53</v>
      </c>
      <c r="IV75" s="721">
        <v>38</v>
      </c>
      <c r="IW75" s="721">
        <v>0.41499999999999998</v>
      </c>
      <c r="IX75" s="721">
        <v>21.53</v>
      </c>
      <c r="IY75" s="721">
        <v>40.5</v>
      </c>
      <c r="IZ75" s="721">
        <v>0.40500000000000003</v>
      </c>
      <c r="JA75" s="721">
        <v>21.53</v>
      </c>
      <c r="JB75" s="721">
        <v>36.375</v>
      </c>
      <c r="JC75" s="721">
        <v>0.40500000000000003</v>
      </c>
      <c r="JD75" s="721">
        <v>21.53</v>
      </c>
      <c r="JE75" s="721">
        <v>37.75</v>
      </c>
      <c r="JF75" s="721">
        <v>0.40500000000000003</v>
      </c>
      <c r="JG75" s="721">
        <v>21.53</v>
      </c>
      <c r="JH75" s="721">
        <v>39.875</v>
      </c>
      <c r="JI75" s="721">
        <v>0.40500000000000003</v>
      </c>
      <c r="JJ75" s="721">
        <v>21.532</v>
      </c>
      <c r="JK75" s="721">
        <v>33.25</v>
      </c>
      <c r="JL75" s="721">
        <v>0.39500000000000002</v>
      </c>
      <c r="JM75" s="721">
        <v>21.53</v>
      </c>
      <c r="JN75" s="721">
        <v>27</v>
      </c>
      <c r="JO75" s="721">
        <v>0.39500000000000002</v>
      </c>
      <c r="JP75" s="721">
        <v>21.53</v>
      </c>
      <c r="JQ75" s="721">
        <v>23.937999999999999</v>
      </c>
      <c r="JR75" s="721">
        <v>0.39500000000000002</v>
      </c>
      <c r="JS75" s="721">
        <v>21.53</v>
      </c>
      <c r="JT75" s="721">
        <v>20.875</v>
      </c>
      <c r="JU75" s="721">
        <v>0.39500000000000002</v>
      </c>
      <c r="JV75" s="721">
        <v>21.53</v>
      </c>
      <c r="JW75" s="721">
        <v>23.5</v>
      </c>
      <c r="JX75" s="721">
        <v>0.38500000000000001</v>
      </c>
      <c r="JY75" s="721">
        <v>20.712</v>
      </c>
      <c r="JZ75" s="721">
        <v>23.75</v>
      </c>
      <c r="KA75" s="721">
        <v>0.38500000000000001</v>
      </c>
      <c r="KB75" s="721">
        <v>20.712</v>
      </c>
      <c r="KC75" s="721">
        <v>25.75</v>
      </c>
      <c r="KD75" s="721">
        <v>0.38500000000000001</v>
      </c>
      <c r="KE75" s="721">
        <v>20.712</v>
      </c>
      <c r="KF75" s="721">
        <v>23.375</v>
      </c>
      <c r="KG75" s="721">
        <v>0.375</v>
      </c>
      <c r="KH75" s="721">
        <v>20.712</v>
      </c>
      <c r="KI75" s="721">
        <v>22.375</v>
      </c>
      <c r="KJ75" s="721">
        <v>0.375</v>
      </c>
      <c r="KK75" s="721">
        <v>20.712</v>
      </c>
      <c r="KL75" s="721">
        <v>21.687999999999999</v>
      </c>
      <c r="KM75" s="721">
        <v>0.375</v>
      </c>
      <c r="KN75" s="721">
        <v>20.712</v>
      </c>
      <c r="KO75" s="721">
        <v>18.875</v>
      </c>
      <c r="KP75" s="721">
        <v>0.375</v>
      </c>
      <c r="KQ75" s="721">
        <v>20.712</v>
      </c>
      <c r="KR75" s="721">
        <v>20.5</v>
      </c>
      <c r="KS75" s="721">
        <v>0.375</v>
      </c>
      <c r="KT75" s="721">
        <v>20.712</v>
      </c>
      <c r="KU75" s="721">
        <v>18.1875</v>
      </c>
      <c r="KV75" s="721">
        <v>0.375</v>
      </c>
      <c r="KW75" s="721">
        <v>20.712</v>
      </c>
      <c r="KX75" s="721">
        <v>19.3125</v>
      </c>
      <c r="KY75" s="721">
        <v>0.375</v>
      </c>
      <c r="KZ75" s="721">
        <v>20.712</v>
      </c>
      <c r="LA75" s="721">
        <v>20.25</v>
      </c>
      <c r="LB75" s="721">
        <v>0.375</v>
      </c>
      <c r="LC75" s="721">
        <v>20.463999999999999</v>
      </c>
      <c r="LD75" s="721">
        <v>21.5625</v>
      </c>
      <c r="LE75" s="721">
        <v>0.375</v>
      </c>
      <c r="LF75" s="721">
        <v>20.463999999999999</v>
      </c>
      <c r="LG75" s="721">
        <v>23.125</v>
      </c>
      <c r="LH75" s="721">
        <v>0.36499999999999999</v>
      </c>
      <c r="LI75" s="721">
        <v>20.463999999999999</v>
      </c>
      <c r="LJ75" s="721">
        <v>24.9375</v>
      </c>
      <c r="LK75" s="721">
        <v>0.36499999999999999</v>
      </c>
      <c r="LL75" s="721">
        <v>20.382000000000001</v>
      </c>
      <c r="LM75" s="721">
        <v>23.625</v>
      </c>
      <c r="LN75" s="721">
        <v>0.36499999999999999</v>
      </c>
      <c r="LO75" s="721">
        <v>20.321999999999999</v>
      </c>
      <c r="LP75" s="721">
        <v>24.4375</v>
      </c>
      <c r="LQ75" s="721">
        <v>0.36499999999999999</v>
      </c>
      <c r="LR75" s="721">
        <v>20.132000000000001</v>
      </c>
      <c r="LS75" s="721">
        <v>21.31</v>
      </c>
      <c r="LT75" s="721">
        <v>0.37</v>
      </c>
      <c r="LU75" s="721">
        <v>20.132000000000001</v>
      </c>
      <c r="LV75" s="721">
        <v>20.190000000000001</v>
      </c>
      <c r="LW75" s="721">
        <v>0.37</v>
      </c>
      <c r="LX75" s="721">
        <v>20.097999999999999</v>
      </c>
      <c r="LY75" s="721">
        <v>19.88</v>
      </c>
      <c r="LZ75" s="721">
        <v>0.37</v>
      </c>
      <c r="MA75" s="721">
        <v>20.062000000000001</v>
      </c>
      <c r="MB75" s="721">
        <v>18.63</v>
      </c>
      <c r="MC75" s="721">
        <v>0.37</v>
      </c>
      <c r="MD75" s="721">
        <v>19.888000000000002</v>
      </c>
      <c r="ME75" s="721">
        <v>19.63</v>
      </c>
      <c r="MF75" s="721">
        <v>0.37</v>
      </c>
      <c r="MG75" s="721">
        <v>19.853999999999999</v>
      </c>
      <c r="MH75" s="721">
        <v>18.38</v>
      </c>
      <c r="MI75" s="721">
        <v>0.37</v>
      </c>
      <c r="MJ75" s="721">
        <v>19.82</v>
      </c>
      <c r="MK75" s="721">
        <v>16.190000000000001</v>
      </c>
      <c r="ML75" s="721">
        <v>0.37</v>
      </c>
      <c r="MM75" s="721">
        <v>19.786000000000001</v>
      </c>
      <c r="MN75" s="721">
        <v>16.059999999999999</v>
      </c>
      <c r="MO75" s="721">
        <v>0.37</v>
      </c>
      <c r="MP75" s="721">
        <v>19.62</v>
      </c>
      <c r="MQ75" s="721">
        <v>16.63</v>
      </c>
    </row>
    <row r="76" spans="1:355">
      <c r="A76" s="633" t="s">
        <v>108</v>
      </c>
      <c r="B76" s="726" t="s">
        <v>151</v>
      </c>
      <c r="C76" s="885">
        <v>328.5</v>
      </c>
      <c r="D76" s="885">
        <v>78</v>
      </c>
      <c r="E76" s="887">
        <v>0.76500000000000001</v>
      </c>
      <c r="F76" s="828">
        <v>332.2</v>
      </c>
      <c r="G76" s="828">
        <v>90.47</v>
      </c>
      <c r="H76" s="828">
        <v>0.74</v>
      </c>
      <c r="I76" s="828">
        <v>328.3</v>
      </c>
      <c r="J76" s="828">
        <v>94.47</v>
      </c>
      <c r="K76" s="828">
        <v>0.74</v>
      </c>
      <c r="L76" s="828">
        <v>322.5</v>
      </c>
      <c r="M76" s="829">
        <v>87.68</v>
      </c>
      <c r="N76" s="828">
        <v>0.74</v>
      </c>
      <c r="O76" s="828">
        <v>311.7</v>
      </c>
      <c r="P76" s="828">
        <v>84.81</v>
      </c>
      <c r="Q76" s="839">
        <v>0.74</v>
      </c>
      <c r="R76" s="828">
        <v>311.10000000000002</v>
      </c>
      <c r="S76" s="828">
        <v>76.459999999999994</v>
      </c>
      <c r="T76" s="828">
        <v>0.71499999999999997</v>
      </c>
      <c r="U76" s="828">
        <v>310.8</v>
      </c>
      <c r="V76" s="829">
        <v>76.19</v>
      </c>
      <c r="W76" s="828">
        <v>0.71499999999999997</v>
      </c>
      <c r="X76" s="832">
        <v>310.39999999999998</v>
      </c>
      <c r="Y76" s="788">
        <v>77.98</v>
      </c>
      <c r="Z76" s="788">
        <v>0.71499999999999997</v>
      </c>
      <c r="AA76" s="788">
        <v>310.10000000000002</v>
      </c>
      <c r="AB76" s="788">
        <v>77.94</v>
      </c>
      <c r="AC76" s="801">
        <v>0.71499999999999997</v>
      </c>
      <c r="AD76" s="788">
        <v>307.8</v>
      </c>
      <c r="AE76" s="788">
        <v>84.95</v>
      </c>
      <c r="AF76" s="788">
        <v>0.69</v>
      </c>
      <c r="AG76" s="788">
        <v>305.39999999999998</v>
      </c>
      <c r="AH76" s="788">
        <v>80.680000000000007</v>
      </c>
      <c r="AI76" s="788">
        <v>0.69</v>
      </c>
      <c r="AJ76" s="788">
        <v>305.10000000000002</v>
      </c>
      <c r="AK76" s="788">
        <v>80.819999999999993</v>
      </c>
      <c r="AL76" s="788">
        <v>0.69</v>
      </c>
      <c r="AM76" s="828">
        <v>300.39999999999998</v>
      </c>
      <c r="AN76" s="828">
        <v>77.66</v>
      </c>
      <c r="AO76" s="830">
        <v>0.69</v>
      </c>
      <c r="AP76" s="788">
        <v>304.5</v>
      </c>
      <c r="AQ76" s="788">
        <v>73.680000000000007</v>
      </c>
      <c r="AR76" s="788">
        <v>0.67</v>
      </c>
      <c r="AS76" s="727">
        <v>299.10000000000002</v>
      </c>
      <c r="AT76" s="727">
        <v>75.3</v>
      </c>
      <c r="AU76" s="727">
        <v>0.67</v>
      </c>
      <c r="AV76" s="727">
        <v>293.7</v>
      </c>
      <c r="AW76" s="727">
        <v>80.44</v>
      </c>
      <c r="AX76" s="727">
        <v>0.67</v>
      </c>
      <c r="AY76" s="727">
        <v>293</v>
      </c>
      <c r="AZ76" s="727">
        <v>76.62</v>
      </c>
      <c r="BA76" s="747">
        <v>0.67</v>
      </c>
      <c r="BB76" s="727">
        <v>292.89999999999998</v>
      </c>
      <c r="BC76" s="727">
        <v>64.27</v>
      </c>
      <c r="BD76" s="727">
        <v>0.65</v>
      </c>
      <c r="BE76" s="727">
        <v>292.89999999999998</v>
      </c>
      <c r="BF76" s="727">
        <v>66.849999999999994</v>
      </c>
      <c r="BG76" s="727">
        <v>0.65</v>
      </c>
      <c r="BH76" s="727">
        <v>292.89999999999998</v>
      </c>
      <c r="BI76" s="727">
        <v>57.88</v>
      </c>
      <c r="BJ76" s="727">
        <v>0.65</v>
      </c>
      <c r="BK76" s="726">
        <v>292.89999999999998</v>
      </c>
      <c r="BL76" s="726">
        <v>61</v>
      </c>
      <c r="BM76" s="761">
        <v>0.65</v>
      </c>
      <c r="BN76" s="727">
        <v>292.89999999999998</v>
      </c>
      <c r="BO76" s="727">
        <v>66.010000000000005</v>
      </c>
      <c r="BP76" s="727">
        <v>0.63</v>
      </c>
      <c r="BQ76" s="727">
        <v>292.89999999999998</v>
      </c>
      <c r="BR76" s="727">
        <v>56.66</v>
      </c>
      <c r="BS76" s="727">
        <v>0.63</v>
      </c>
      <c r="BT76" s="727">
        <v>292.89999999999998</v>
      </c>
      <c r="BU76" s="727">
        <v>57.74</v>
      </c>
      <c r="BV76" s="727">
        <v>0.63</v>
      </c>
      <c r="BW76" s="726">
        <v>292.89999999999998</v>
      </c>
      <c r="BX76" s="726">
        <v>53.65</v>
      </c>
      <c r="BY76" s="761">
        <v>0.63</v>
      </c>
      <c r="BZ76" s="727">
        <v>292.89999999999998</v>
      </c>
      <c r="CA76" s="727">
        <v>55.28</v>
      </c>
      <c r="CB76" s="767">
        <v>0.61499999999999999</v>
      </c>
      <c r="CC76" s="767">
        <v>292.89999999999998</v>
      </c>
      <c r="CD76" s="767">
        <v>55.14</v>
      </c>
      <c r="CE76" s="767">
        <v>0.61499999999999999</v>
      </c>
      <c r="CF76" s="727">
        <v>292.89999999999998</v>
      </c>
      <c r="CG76" s="727">
        <v>58.31</v>
      </c>
      <c r="CH76" s="727">
        <v>0.61499999999999999</v>
      </c>
      <c r="CI76" s="726">
        <v>292.89999999999998</v>
      </c>
      <c r="CJ76" s="726">
        <v>61.03</v>
      </c>
      <c r="CK76" s="761">
        <v>0.61499999999999999</v>
      </c>
      <c r="CL76" s="727">
        <v>292.89999999999998</v>
      </c>
      <c r="CM76" s="727">
        <v>55.54</v>
      </c>
      <c r="CN76" s="727">
        <v>0.60499999999999998</v>
      </c>
      <c r="CO76" s="727">
        <v>292.89999999999998</v>
      </c>
      <c r="CP76" s="727">
        <v>59.89</v>
      </c>
      <c r="CQ76" s="727">
        <v>0.60499999999999998</v>
      </c>
      <c r="CR76" s="727">
        <v>292.89999999999998</v>
      </c>
      <c r="CS76" s="727">
        <v>62.18</v>
      </c>
      <c r="CT76" s="727">
        <v>0.60499999999999998</v>
      </c>
      <c r="CU76" s="726">
        <v>292.60000000000002</v>
      </c>
      <c r="CV76" s="726">
        <v>58.42</v>
      </c>
      <c r="CW76" s="761">
        <v>0.60499999999999998</v>
      </c>
      <c r="CX76" s="727">
        <v>292.89999999999998</v>
      </c>
      <c r="CY76" s="727">
        <v>62.03</v>
      </c>
      <c r="CZ76" s="727">
        <v>0.6</v>
      </c>
      <c r="DA76" s="727">
        <v>292.7</v>
      </c>
      <c r="DB76" s="727">
        <v>57.02</v>
      </c>
      <c r="DC76" s="727">
        <v>0.6</v>
      </c>
      <c r="DD76" s="727">
        <v>292</v>
      </c>
      <c r="DE76" s="727">
        <v>53.24</v>
      </c>
      <c r="DF76" s="727">
        <v>0.6</v>
      </c>
      <c r="DG76" s="727">
        <v>290.60000000000002</v>
      </c>
      <c r="DH76" s="727">
        <v>50.72</v>
      </c>
      <c r="DI76" s="747">
        <v>0.6</v>
      </c>
      <c r="DJ76" s="727">
        <v>283</v>
      </c>
      <c r="DK76" s="727">
        <v>49.57</v>
      </c>
      <c r="DL76" s="727">
        <v>0.59499999999999997</v>
      </c>
      <c r="DM76" s="727">
        <v>282</v>
      </c>
      <c r="DN76" s="727">
        <v>48.22</v>
      </c>
      <c r="DO76" s="727">
        <v>0.59499999999999997</v>
      </c>
      <c r="DP76" s="727">
        <v>281.39999999999998</v>
      </c>
      <c r="DQ76" s="727">
        <v>43.1</v>
      </c>
      <c r="DR76" s="727">
        <v>0.59499999999999997</v>
      </c>
      <c r="DS76" s="727">
        <v>276.89999999999998</v>
      </c>
      <c r="DT76" s="748">
        <v>44.54</v>
      </c>
      <c r="DU76" s="727">
        <v>0.59499999999999997</v>
      </c>
      <c r="DV76" s="727">
        <v>275.10000000000002</v>
      </c>
      <c r="DW76" s="727">
        <v>45.43</v>
      </c>
      <c r="DX76" s="727">
        <v>0.59</v>
      </c>
      <c r="DY76" s="727">
        <v>274.5</v>
      </c>
      <c r="DZ76" s="727">
        <v>40.94</v>
      </c>
      <c r="EA76" s="727">
        <v>0.59</v>
      </c>
      <c r="EB76" s="727">
        <v>273.89999999999998</v>
      </c>
      <c r="EC76" s="727">
        <v>37.42</v>
      </c>
      <c r="ED76" s="727">
        <v>0.59</v>
      </c>
      <c r="EE76" s="727">
        <v>273.60000000000002</v>
      </c>
      <c r="EF76" s="727">
        <v>39.61</v>
      </c>
      <c r="EG76" s="727">
        <v>0.59</v>
      </c>
      <c r="EH76" s="727">
        <v>273.2</v>
      </c>
      <c r="EI76" s="727">
        <v>38.93</v>
      </c>
      <c r="EJ76" s="727">
        <v>0.58499999999999996</v>
      </c>
      <c r="EK76" s="727">
        <v>272.7</v>
      </c>
      <c r="EL76" s="727">
        <v>42.96</v>
      </c>
      <c r="EM76" s="727">
        <v>0.58499999999999996</v>
      </c>
      <c r="EN76" s="727">
        <v>272.2</v>
      </c>
      <c r="EO76" s="727">
        <v>39.090000000000003</v>
      </c>
      <c r="EP76" s="727">
        <v>0.58499999999999996</v>
      </c>
      <c r="EQ76" s="727">
        <v>266.3</v>
      </c>
      <c r="ER76" s="727">
        <v>39.700000000000003</v>
      </c>
      <c r="ES76" s="727">
        <v>0.58499999999999996</v>
      </c>
      <c r="ET76" s="727">
        <v>271</v>
      </c>
      <c r="EU76" s="727">
        <v>48.85</v>
      </c>
      <c r="EV76" s="727">
        <v>0.57999999999999996</v>
      </c>
      <c r="EW76" s="727">
        <v>264.89999999999998</v>
      </c>
      <c r="EX76" s="727">
        <v>46.3</v>
      </c>
      <c r="EY76" s="727">
        <v>0.57999999999999996</v>
      </c>
      <c r="EZ76" s="727">
        <v>258</v>
      </c>
      <c r="FA76" s="727">
        <v>45.12</v>
      </c>
      <c r="FB76" s="727">
        <v>0.57999999999999996</v>
      </c>
      <c r="FC76" s="723">
        <v>249.3</v>
      </c>
      <c r="FD76" s="741">
        <v>51.06</v>
      </c>
      <c r="FE76" s="723">
        <v>0.57999999999999996</v>
      </c>
      <c r="FF76" s="727">
        <v>249</v>
      </c>
      <c r="FG76" s="727">
        <v>48.07</v>
      </c>
      <c r="FH76" s="727">
        <v>0.57499999999999996</v>
      </c>
      <c r="FI76" s="727">
        <v>245.9</v>
      </c>
      <c r="FJ76" s="727">
        <v>46.2</v>
      </c>
      <c r="FK76" s="727">
        <v>0.57499999999999996</v>
      </c>
      <c r="FL76" s="727">
        <v>245.5</v>
      </c>
      <c r="FM76" s="727">
        <v>44.44</v>
      </c>
      <c r="FN76" s="727">
        <v>0.57499999999999996</v>
      </c>
      <c r="FO76" s="727">
        <v>245</v>
      </c>
      <c r="FP76" s="727">
        <v>43.5</v>
      </c>
      <c r="FQ76" s="727">
        <v>0.57499999999999996</v>
      </c>
      <c r="FR76" s="727">
        <v>244.4</v>
      </c>
      <c r="FS76" s="742">
        <v>46.33</v>
      </c>
      <c r="FT76" s="626">
        <f>2.28/4</f>
        <v>0.56999999999999995</v>
      </c>
      <c r="FU76" s="727">
        <v>243.4</v>
      </c>
      <c r="FV76" s="727">
        <v>48.55</v>
      </c>
      <c r="FW76" s="727">
        <v>0.56999999999999995</v>
      </c>
      <c r="FX76" s="727">
        <v>242.7</v>
      </c>
      <c r="FY76" s="727">
        <v>46.84</v>
      </c>
      <c r="FZ76" s="727">
        <v>0.56999999999999995</v>
      </c>
      <c r="GA76" s="727">
        <v>241.5</v>
      </c>
      <c r="GB76" s="727">
        <v>42.18</v>
      </c>
      <c r="GC76" s="727">
        <v>0.56999999999999995</v>
      </c>
      <c r="GD76" s="750">
        <v>241.5</v>
      </c>
      <c r="GE76" s="741">
        <v>43.75</v>
      </c>
      <c r="GF76" s="751">
        <v>0.56499999999999995</v>
      </c>
      <c r="GG76" s="750">
        <v>234</v>
      </c>
      <c r="GH76" s="727">
        <v>42.04</v>
      </c>
      <c r="GI76" s="727">
        <v>0.56499999999999995</v>
      </c>
      <c r="GJ76" s="727">
        <v>226.2</v>
      </c>
      <c r="GK76" s="727">
        <v>39.76</v>
      </c>
      <c r="GL76" s="727">
        <v>0.56499999999999995</v>
      </c>
      <c r="GM76" s="727">
        <v>225.5</v>
      </c>
      <c r="GN76" s="727">
        <v>44.1</v>
      </c>
      <c r="GO76" s="727">
        <v>0.56499999999999995</v>
      </c>
      <c r="GP76" s="727">
        <v>225</v>
      </c>
      <c r="GQ76" s="727">
        <v>43.01</v>
      </c>
      <c r="GR76" s="727">
        <v>0.56000000000000005</v>
      </c>
      <c r="GS76" s="727">
        <v>219.3</v>
      </c>
      <c r="GT76" s="727">
        <v>40.76</v>
      </c>
      <c r="GU76" s="727">
        <v>0.56000000000000005</v>
      </c>
      <c r="GV76" s="727">
        <v>214.2</v>
      </c>
      <c r="GW76" s="727">
        <v>43.28</v>
      </c>
      <c r="GX76" s="727">
        <v>0.56000000000000005</v>
      </c>
      <c r="GY76" s="727">
        <v>213.67358300000001</v>
      </c>
      <c r="GZ76" s="727">
        <v>38.47</v>
      </c>
      <c r="HA76" s="727">
        <v>0.56000000000000005</v>
      </c>
      <c r="HB76" s="727">
        <v>213.21899999999999</v>
      </c>
      <c r="HC76" s="727">
        <v>42.82</v>
      </c>
      <c r="HD76" s="727">
        <v>0.55500000000000005</v>
      </c>
      <c r="HE76" s="727">
        <v>212.756843</v>
      </c>
      <c r="HF76" s="727">
        <v>40.22</v>
      </c>
      <c r="HG76" s="727">
        <v>0.55500000000000005</v>
      </c>
      <c r="HH76" s="727">
        <v>212.34151800000001</v>
      </c>
      <c r="HI76" s="727">
        <v>41.75</v>
      </c>
      <c r="HJ76" s="727">
        <v>0.55500000000000005</v>
      </c>
      <c r="HK76" s="727">
        <v>212.23099999999999</v>
      </c>
      <c r="HL76" s="727">
        <v>41.91</v>
      </c>
      <c r="HM76" s="727">
        <v>0.55500000000000005</v>
      </c>
      <c r="HN76" s="727">
        <v>212.20599999999999</v>
      </c>
      <c r="HO76" s="727">
        <v>40.36</v>
      </c>
      <c r="HP76" s="727">
        <v>0.55000000000000004</v>
      </c>
      <c r="HQ76" s="727">
        <v>212.11500000000001</v>
      </c>
      <c r="HR76" s="727">
        <v>40.72</v>
      </c>
      <c r="HS76" s="727">
        <v>0.55000000000000004</v>
      </c>
      <c r="HT76" s="727">
        <v>212.16</v>
      </c>
      <c r="HU76" s="727">
        <v>39.799999999999997</v>
      </c>
      <c r="HV76" s="727">
        <v>0.55000000000000004</v>
      </c>
      <c r="HW76" s="727">
        <v>212.00399999999999</v>
      </c>
      <c r="HX76" s="727">
        <v>37.1</v>
      </c>
      <c r="HY76" s="727">
        <v>0.55000000000000004</v>
      </c>
      <c r="HZ76" s="727">
        <v>211.97399999999999</v>
      </c>
      <c r="IA76" s="727">
        <v>38.5</v>
      </c>
      <c r="IB76" s="727">
        <v>0.54500000000000004</v>
      </c>
      <c r="IC76" s="727">
        <v>211.96600000000001</v>
      </c>
      <c r="ID76" s="727">
        <v>34.125</v>
      </c>
      <c r="IE76" s="727">
        <v>0.54500000000000004</v>
      </c>
      <c r="IF76" s="727">
        <v>218.9</v>
      </c>
      <c r="IG76" s="727">
        <v>29.625</v>
      </c>
      <c r="IH76" s="727">
        <v>0.54500000000000004</v>
      </c>
      <c r="II76" s="727">
        <v>223.44200000000001</v>
      </c>
      <c r="IJ76" s="722">
        <v>29</v>
      </c>
      <c r="IK76" s="722">
        <v>0.54500000000000004</v>
      </c>
      <c r="IL76" s="722">
        <v>221</v>
      </c>
      <c r="IM76" s="727">
        <v>34.5</v>
      </c>
      <c r="IN76" s="722">
        <v>0.53500000000000003</v>
      </c>
      <c r="IO76" s="722">
        <v>225.982</v>
      </c>
      <c r="IP76" s="727">
        <v>41.5</v>
      </c>
      <c r="IQ76" s="722">
        <v>0.53500000000000003</v>
      </c>
      <c r="IR76" s="721">
        <v>232.83</v>
      </c>
      <c r="IS76" s="721">
        <v>45.25</v>
      </c>
      <c r="IT76" s="721">
        <v>0.53500000000000003</v>
      </c>
      <c r="IU76" s="721">
        <v>233.62</v>
      </c>
      <c r="IV76" s="721">
        <v>45.3125</v>
      </c>
      <c r="IW76" s="721">
        <v>0.53</v>
      </c>
      <c r="IX76" s="721">
        <v>233.62</v>
      </c>
      <c r="IY76" s="721">
        <v>52.875</v>
      </c>
      <c r="IZ76" s="721">
        <v>0.53</v>
      </c>
      <c r="JA76" s="721">
        <v>235.49</v>
      </c>
      <c r="JB76" s="721">
        <v>52</v>
      </c>
      <c r="JC76" s="721">
        <v>0.52500000000000002</v>
      </c>
      <c r="JD76" s="721">
        <v>235.49</v>
      </c>
      <c r="JE76" s="721">
        <v>46.063000000000002</v>
      </c>
      <c r="JF76" s="721">
        <v>0.52500000000000002</v>
      </c>
      <c r="JG76" s="721">
        <v>235</v>
      </c>
      <c r="JH76" s="721">
        <v>46.75</v>
      </c>
      <c r="JI76" s="721">
        <v>0.52500000000000002</v>
      </c>
      <c r="JJ76" s="721">
        <v>235</v>
      </c>
      <c r="JK76" s="721">
        <v>41</v>
      </c>
      <c r="JL76" s="721">
        <v>0.52500000000000002</v>
      </c>
      <c r="JM76" s="721">
        <v>235</v>
      </c>
      <c r="JN76" s="721">
        <v>34</v>
      </c>
      <c r="JO76" s="721">
        <v>0.52500000000000002</v>
      </c>
      <c r="JP76" s="721">
        <v>235</v>
      </c>
      <c r="JQ76" s="721">
        <v>29.437999999999999</v>
      </c>
      <c r="JR76" s="721">
        <v>0.52500000000000002</v>
      </c>
      <c r="JS76" s="721">
        <v>234.98</v>
      </c>
      <c r="JT76" s="721">
        <v>30</v>
      </c>
      <c r="JU76" s="721">
        <v>0.52500000000000002</v>
      </c>
      <c r="JV76" s="721">
        <v>234.98</v>
      </c>
      <c r="JW76" s="721">
        <v>29.125</v>
      </c>
      <c r="JX76" s="721">
        <v>0.52</v>
      </c>
      <c r="JY76" s="721">
        <v>234.91</v>
      </c>
      <c r="JZ76" s="721">
        <v>27.75</v>
      </c>
      <c r="KA76" s="721">
        <v>0.52</v>
      </c>
      <c r="KB76" s="721">
        <v>234.91</v>
      </c>
      <c r="KC76" s="721">
        <v>29.25</v>
      </c>
      <c r="KD76" s="721">
        <v>0.52</v>
      </c>
      <c r="KE76" s="721">
        <v>234.91</v>
      </c>
      <c r="KF76" s="721">
        <v>31.875</v>
      </c>
      <c r="KG76" s="721">
        <v>0.52</v>
      </c>
      <c r="KH76" s="721">
        <v>234.91</v>
      </c>
      <c r="KI76" s="721">
        <v>31.75</v>
      </c>
      <c r="KJ76" s="721">
        <v>0.51</v>
      </c>
      <c r="KK76" s="721">
        <v>234.91</v>
      </c>
      <c r="KL76" s="721">
        <v>30.375</v>
      </c>
      <c r="KM76" s="721">
        <v>0.51</v>
      </c>
      <c r="KN76" s="721">
        <v>234.91</v>
      </c>
      <c r="KO76" s="721">
        <v>29.5</v>
      </c>
      <c r="KP76" s="721">
        <v>0.51</v>
      </c>
      <c r="KQ76" s="721">
        <v>234.91</v>
      </c>
      <c r="KR76" s="721">
        <v>27.25</v>
      </c>
      <c r="KS76" s="721">
        <v>0.51</v>
      </c>
      <c r="KT76" s="721">
        <v>234.33099999999999</v>
      </c>
      <c r="KU76" s="721">
        <v>25.75</v>
      </c>
      <c r="KV76" s="721">
        <v>0.5</v>
      </c>
      <c r="KW76" s="721">
        <v>234.33099999999999</v>
      </c>
      <c r="KX76" s="721">
        <v>24.875</v>
      </c>
      <c r="KY76" s="721">
        <v>0.5</v>
      </c>
      <c r="KZ76" s="721">
        <v>234.33099999999999</v>
      </c>
      <c r="LA76" s="721">
        <v>26.5</v>
      </c>
      <c r="LB76" s="721">
        <v>0.5</v>
      </c>
      <c r="LC76" s="721">
        <v>233.97399999999999</v>
      </c>
      <c r="LD76" s="721">
        <v>29.125</v>
      </c>
      <c r="LE76" s="721">
        <v>0.5</v>
      </c>
      <c r="LF76" s="721">
        <v>233.97399999999999</v>
      </c>
      <c r="LG76" s="721">
        <v>32.125</v>
      </c>
      <c r="LH76" s="721">
        <v>0.48499999999999999</v>
      </c>
      <c r="LI76" s="721">
        <v>233.97399999999999</v>
      </c>
      <c r="LJ76" s="721">
        <v>36.125</v>
      </c>
      <c r="LK76" s="721">
        <v>0.48499999999999999</v>
      </c>
      <c r="LL76" s="721">
        <v>233.96199999999999</v>
      </c>
      <c r="LM76" s="721">
        <v>35.25</v>
      </c>
      <c r="LN76" s="721">
        <v>0.48499999999999999</v>
      </c>
      <c r="LO76" s="721">
        <v>233.94200000000001</v>
      </c>
      <c r="LP76" s="721">
        <v>35.625</v>
      </c>
      <c r="LQ76" s="721">
        <v>0.48499999999999999</v>
      </c>
      <c r="LR76" s="721">
        <v>230.29</v>
      </c>
      <c r="LS76" s="721">
        <v>32.630000000000003</v>
      </c>
      <c r="LT76" s="721">
        <v>0.48</v>
      </c>
      <c r="LU76" s="721">
        <v>230.29</v>
      </c>
      <c r="LV76" s="721">
        <v>31.38</v>
      </c>
      <c r="LW76" s="721">
        <v>0.48</v>
      </c>
      <c r="LX76" s="721">
        <v>228.73699999999999</v>
      </c>
      <c r="LY76" s="721">
        <v>28</v>
      </c>
      <c r="LZ76" s="721">
        <v>0.48</v>
      </c>
      <c r="MA76" s="721">
        <v>228.33699999999999</v>
      </c>
      <c r="MB76" s="721">
        <v>27</v>
      </c>
      <c r="MC76" s="721">
        <v>0.48</v>
      </c>
      <c r="MD76" s="721">
        <v>228.28299999999999</v>
      </c>
      <c r="ME76" s="721">
        <v>28.63</v>
      </c>
      <c r="MF76" s="721">
        <v>0.47</v>
      </c>
      <c r="MG76" s="721">
        <v>228.27099999999999</v>
      </c>
      <c r="MH76" s="721">
        <v>25.38</v>
      </c>
      <c r="MI76" s="721">
        <v>0.47</v>
      </c>
      <c r="MJ76" s="721">
        <v>228.256</v>
      </c>
      <c r="MK76" s="721">
        <v>24.63</v>
      </c>
      <c r="ML76" s="721">
        <v>0.47</v>
      </c>
      <c r="MM76" s="721">
        <v>228.239</v>
      </c>
      <c r="MN76" s="721">
        <v>25.75</v>
      </c>
      <c r="MO76" s="721">
        <v>0.47</v>
      </c>
      <c r="MP76" s="721">
        <v>228.18899999999999</v>
      </c>
      <c r="MQ76" s="721">
        <v>23.63</v>
      </c>
    </row>
    <row r="77" spans="1:355">
      <c r="A77" s="633" t="s">
        <v>393</v>
      </c>
      <c r="B77" s="723" t="s">
        <v>279</v>
      </c>
      <c r="C77" s="886"/>
      <c r="D77" s="886"/>
      <c r="E77" s="886"/>
      <c r="F77" s="788"/>
      <c r="G77" s="788"/>
      <c r="H77" s="788"/>
      <c r="I77" s="788"/>
      <c r="J77" s="788"/>
      <c r="K77" s="788"/>
      <c r="L77" s="828"/>
      <c r="M77" s="829"/>
      <c r="N77" s="828"/>
      <c r="O77" s="828"/>
      <c r="P77" s="828"/>
      <c r="Q77" s="828"/>
      <c r="R77" s="828"/>
      <c r="S77" s="828"/>
      <c r="T77" s="828"/>
      <c r="U77" s="788"/>
      <c r="V77" s="827"/>
      <c r="W77" s="788"/>
      <c r="X77" s="832"/>
      <c r="Y77" s="788"/>
      <c r="Z77" s="788"/>
      <c r="AA77" s="788"/>
      <c r="AB77" s="788"/>
      <c r="AC77" s="788"/>
      <c r="AJ77" s="788"/>
      <c r="AK77" s="788"/>
      <c r="AL77" s="788"/>
      <c r="AM77" s="828"/>
      <c r="AN77" s="828"/>
      <c r="AO77" s="828"/>
      <c r="AP77" s="788"/>
      <c r="AQ77" s="788"/>
      <c r="AR77" s="788"/>
      <c r="AV77" s="723"/>
      <c r="AW77" s="723"/>
      <c r="AX77" s="723"/>
      <c r="AY77" s="723"/>
      <c r="AZ77" s="723"/>
      <c r="BA77" s="723"/>
      <c r="BB77" s="723"/>
      <c r="BC77" s="723"/>
      <c r="BD77" s="723"/>
      <c r="BE77" s="723"/>
      <c r="BF77" s="723"/>
      <c r="BG77" s="723"/>
      <c r="BH77" s="723"/>
      <c r="BI77" s="723"/>
      <c r="BJ77" s="723"/>
      <c r="BK77" s="723"/>
      <c r="BL77" s="723"/>
      <c r="BM77" s="723"/>
      <c r="BN77" s="723"/>
      <c r="BO77" s="723"/>
      <c r="BP77" s="723"/>
      <c r="BQ77" s="723"/>
      <c r="BR77" s="723"/>
      <c r="BS77" s="723"/>
      <c r="BT77" s="723"/>
      <c r="BU77" s="723"/>
      <c r="BV77" s="723"/>
      <c r="BW77" s="728"/>
      <c r="BX77" s="728"/>
      <c r="BY77" s="728"/>
      <c r="BZ77" s="723"/>
      <c r="CA77" s="723"/>
      <c r="CB77" s="723"/>
      <c r="CC77" s="723"/>
      <c r="CD77" s="723"/>
      <c r="CE77" s="723"/>
      <c r="CF77" s="723"/>
      <c r="CG77" s="723"/>
      <c r="CH77" s="723"/>
      <c r="CI77" s="723"/>
      <c r="CJ77" s="723"/>
      <c r="CK77" s="723"/>
      <c r="CL77" s="723"/>
      <c r="CM77" s="723"/>
      <c r="CN77" s="723"/>
      <c r="CO77" s="723"/>
      <c r="CP77" s="723"/>
      <c r="CQ77" s="723"/>
      <c r="CR77" s="723"/>
      <c r="CS77" s="723"/>
      <c r="CT77" s="723"/>
      <c r="CU77" s="723"/>
      <c r="CV77" s="723"/>
      <c r="CW77" s="723"/>
      <c r="CX77" s="722">
        <v>114.2</v>
      </c>
      <c r="CY77" s="723"/>
      <c r="CZ77" s="723"/>
      <c r="DA77" s="723">
        <v>114.2</v>
      </c>
      <c r="DB77" s="723">
        <v>30.14</v>
      </c>
      <c r="DC77" s="722">
        <v>0.33250000000000002</v>
      </c>
      <c r="DD77" s="723">
        <v>114</v>
      </c>
      <c r="DE77" s="723">
        <v>30.16</v>
      </c>
      <c r="DF77" s="723">
        <v>0.33250000000000002</v>
      </c>
      <c r="DG77" s="723">
        <v>115.2</v>
      </c>
      <c r="DH77" s="723">
        <v>27.41</v>
      </c>
      <c r="DI77" s="753">
        <v>0.33250000000000002</v>
      </c>
      <c r="DJ77" s="723">
        <v>115.8</v>
      </c>
      <c r="DK77" s="723">
        <v>25.71</v>
      </c>
      <c r="DL77" s="723">
        <v>0.30249999999999999</v>
      </c>
      <c r="DM77" s="723">
        <v>115.7</v>
      </c>
      <c r="DN77" s="723">
        <v>26.13</v>
      </c>
      <c r="DO77" s="723">
        <v>0.30249999999999999</v>
      </c>
      <c r="DP77" s="723">
        <v>115.6</v>
      </c>
      <c r="DQ77" s="723">
        <v>23.9</v>
      </c>
      <c r="DR77" s="723">
        <v>0.30249999999999999</v>
      </c>
      <c r="DS77" s="723">
        <v>115</v>
      </c>
      <c r="DT77" s="725">
        <v>27.19</v>
      </c>
      <c r="DU77" s="723">
        <v>0.30249999999999999</v>
      </c>
      <c r="DV77" s="723">
        <v>112.4</v>
      </c>
      <c r="DW77" s="723">
        <v>27.6</v>
      </c>
      <c r="DX77" s="723">
        <v>0.30249999999999999</v>
      </c>
      <c r="DY77" s="723">
        <v>112.2</v>
      </c>
      <c r="DZ77" s="723">
        <v>26.1</v>
      </c>
      <c r="EA77" s="723">
        <v>0.28499999999999998</v>
      </c>
      <c r="EB77" s="723">
        <v>112.1</v>
      </c>
      <c r="EC77" s="723">
        <v>23.17</v>
      </c>
      <c r="ED77" s="723">
        <v>0.28499999999999998</v>
      </c>
      <c r="EE77" s="723">
        <v>112</v>
      </c>
      <c r="EF77" s="723">
        <v>22.54</v>
      </c>
      <c r="EG77" s="723">
        <v>0.28499999999999998</v>
      </c>
      <c r="EH77" s="723">
        <v>109.9</v>
      </c>
      <c r="EI77" s="723">
        <v>22.84</v>
      </c>
      <c r="EJ77" s="723">
        <v>0.27500000000000002</v>
      </c>
      <c r="EK77" s="723">
        <v>109.4</v>
      </c>
      <c r="EL77" s="723">
        <v>24.8</v>
      </c>
      <c r="EM77" s="723">
        <v>0.27500000000000002</v>
      </c>
      <c r="EN77" s="723">
        <v>109.3</v>
      </c>
      <c r="EO77" s="723">
        <v>26.38</v>
      </c>
      <c r="EP77" s="723">
        <v>0.27500000000000002</v>
      </c>
      <c r="EQ77" s="723">
        <v>107.9</v>
      </c>
      <c r="ER77" s="723">
        <v>25.64</v>
      </c>
      <c r="ES77" s="723">
        <v>0.27500000000000002</v>
      </c>
      <c r="ET77" s="722">
        <v>108</v>
      </c>
      <c r="EU77" s="722">
        <v>29.65</v>
      </c>
      <c r="EV77" s="722">
        <v>0.26</v>
      </c>
      <c r="EW77" s="723">
        <v>107.9</v>
      </c>
      <c r="EX77" s="723">
        <v>26.26</v>
      </c>
      <c r="EY77" s="723">
        <v>0.26</v>
      </c>
      <c r="EZ77" s="723">
        <v>107.5</v>
      </c>
      <c r="FA77" s="723">
        <v>28.34</v>
      </c>
      <c r="FB77" s="723">
        <v>0.26</v>
      </c>
      <c r="FC77" s="723">
        <v>112.3</v>
      </c>
      <c r="FD77" s="741">
        <v>31.09</v>
      </c>
      <c r="FE77" s="723">
        <v>0.26</v>
      </c>
      <c r="FF77" s="727">
        <v>107.7</v>
      </c>
      <c r="FG77" s="727">
        <v>27.78</v>
      </c>
      <c r="FH77" s="727">
        <v>0.25</v>
      </c>
      <c r="FI77" s="727">
        <v>114.1</v>
      </c>
      <c r="FJ77" s="727">
        <v>27.12</v>
      </c>
      <c r="FK77" s="727">
        <v>0.25</v>
      </c>
      <c r="FL77" s="727">
        <v>120.2</v>
      </c>
      <c r="FM77" s="727">
        <v>26.8</v>
      </c>
      <c r="FN77" s="727">
        <v>0.25</v>
      </c>
      <c r="FO77" s="727">
        <v>121.6</v>
      </c>
      <c r="FP77" s="727">
        <v>27</v>
      </c>
      <c r="FQ77" s="727">
        <v>0.25</v>
      </c>
      <c r="FR77" s="727">
        <v>121.2</v>
      </c>
      <c r="FS77" s="742">
        <v>26.01</v>
      </c>
      <c r="FT77" s="626">
        <f>0.96/4</f>
        <v>0.24</v>
      </c>
      <c r="FU77" s="727">
        <v>120.7</v>
      </c>
      <c r="FV77" s="727">
        <v>27.8</v>
      </c>
      <c r="FW77" s="727">
        <v>0.24</v>
      </c>
      <c r="FX77" s="727">
        <v>120.4</v>
      </c>
      <c r="FY77" s="727">
        <v>27.45</v>
      </c>
      <c r="FZ77" s="727">
        <v>0.24</v>
      </c>
      <c r="GA77" s="727">
        <v>120.1</v>
      </c>
      <c r="GB77" s="727">
        <v>25</v>
      </c>
      <c r="GC77" s="727">
        <v>0.24</v>
      </c>
      <c r="GD77" s="750">
        <v>120.1</v>
      </c>
      <c r="GE77" s="742">
        <v>25.11</v>
      </c>
      <c r="GF77" s="751">
        <v>0.24</v>
      </c>
      <c r="GG77" s="750">
        <v>119.5</v>
      </c>
      <c r="GH77" s="727">
        <v>20.58</v>
      </c>
      <c r="GI77" s="727">
        <v>0.24</v>
      </c>
      <c r="GJ77" s="727">
        <v>119.5</v>
      </c>
      <c r="GK77" s="727">
        <v>19.420000000000002</v>
      </c>
      <c r="GL77" s="727">
        <v>0.24</v>
      </c>
      <c r="GM77" s="727">
        <v>119.5</v>
      </c>
      <c r="GN77" s="727">
        <v>18.75</v>
      </c>
      <c r="GO77" s="727">
        <v>0.24</v>
      </c>
      <c r="GP77" s="727">
        <v>119.4</v>
      </c>
      <c r="GQ77" s="727">
        <v>20.88</v>
      </c>
      <c r="GR77" s="727">
        <v>0.24</v>
      </c>
      <c r="GS77" s="727">
        <v>120</v>
      </c>
      <c r="GT77" s="727">
        <v>17.149999999999999</v>
      </c>
      <c r="GU77" s="727">
        <v>0.23499999999999999</v>
      </c>
      <c r="GV77" s="727">
        <v>119.8</v>
      </c>
      <c r="GW77" s="727">
        <v>15.94</v>
      </c>
      <c r="GX77" s="727">
        <v>0.23499999999999999</v>
      </c>
      <c r="GY77" s="727">
        <v>119</v>
      </c>
      <c r="GZ77" s="727">
        <v>12.46</v>
      </c>
      <c r="HA77" s="727">
        <v>0.23499999999999999</v>
      </c>
      <c r="HB77" s="727">
        <v>119</v>
      </c>
      <c r="HC77" s="727">
        <v>15.34</v>
      </c>
      <c r="HD77" s="727">
        <v>0.23499999999999999</v>
      </c>
      <c r="HE77" s="727">
        <v>119.2</v>
      </c>
      <c r="HF77" s="727">
        <v>16.45</v>
      </c>
      <c r="HG77" s="727">
        <v>0.23499999999999999</v>
      </c>
      <c r="HH77" s="727">
        <v>118.9</v>
      </c>
      <c r="HI77" s="727">
        <v>26.45</v>
      </c>
      <c r="HJ77" s="727">
        <v>0.23499999999999999</v>
      </c>
      <c r="HK77" s="727">
        <v>118.9</v>
      </c>
      <c r="HL77" s="727">
        <v>25.55</v>
      </c>
      <c r="HM77" s="727">
        <v>0.23499999999999999</v>
      </c>
      <c r="HN77" s="727">
        <v>118.8</v>
      </c>
      <c r="HO77" s="727">
        <v>24.08</v>
      </c>
      <c r="HP77" s="727">
        <v>0.23499999999999999</v>
      </c>
      <c r="HQ77" s="727">
        <v>118.8</v>
      </c>
      <c r="HR77" s="727">
        <v>24.32</v>
      </c>
      <c r="HS77" s="727">
        <v>0.23499999999999999</v>
      </c>
      <c r="HT77" s="727">
        <v>126.6</v>
      </c>
      <c r="HU77" s="727">
        <v>28.96</v>
      </c>
      <c r="HV77" s="727">
        <v>0.23499999999999999</v>
      </c>
      <c r="HW77" s="727">
        <v>120.1</v>
      </c>
      <c r="HX77" s="727">
        <v>28.1</v>
      </c>
      <c r="HY77" s="727">
        <v>0.23499999999999999</v>
      </c>
      <c r="HZ77" s="727">
        <v>121.2</v>
      </c>
      <c r="IA77" s="727">
        <v>33.1875</v>
      </c>
      <c r="IB77" s="727">
        <v>0.23499999999999999</v>
      </c>
      <c r="IC77" s="727">
        <v>124.2</v>
      </c>
      <c r="ID77" s="727">
        <v>29.75</v>
      </c>
      <c r="IE77" s="727">
        <v>0.23499999999999999</v>
      </c>
      <c r="IF77" s="727">
        <v>145.38499999999999</v>
      </c>
      <c r="IG77" s="727">
        <v>21.9375</v>
      </c>
      <c r="IH77" s="727">
        <v>0.23499999999999999</v>
      </c>
      <c r="II77" s="727">
        <v>150.5</v>
      </c>
      <c r="IJ77" s="722">
        <v>22.1875</v>
      </c>
      <c r="IK77" s="722">
        <v>0.23499999999999999</v>
      </c>
      <c r="IL77" s="722">
        <v>151.1</v>
      </c>
      <c r="IM77" s="727">
        <v>17.3125</v>
      </c>
      <c r="IN77" s="722">
        <v>0.23499999999999999</v>
      </c>
      <c r="IO77" s="722">
        <v>152.6</v>
      </c>
      <c r="IP77" s="727">
        <v>17.625</v>
      </c>
      <c r="IQ77" s="722">
        <v>0.23499999999999999</v>
      </c>
      <c r="IR77" s="721">
        <v>152.80000000000001</v>
      </c>
      <c r="IS77" s="721">
        <v>18.5</v>
      </c>
      <c r="IT77" s="721">
        <v>0.23499999999999999</v>
      </c>
      <c r="IU77" s="721">
        <v>153</v>
      </c>
      <c r="IV77" s="721">
        <v>16.5</v>
      </c>
      <c r="IW77" s="721">
        <v>0.23499999999999999</v>
      </c>
      <c r="IX77" s="721">
        <v>153</v>
      </c>
      <c r="IY77" s="721">
        <v>21.625</v>
      </c>
      <c r="IZ77" s="721">
        <v>0.23499999999999999</v>
      </c>
      <c r="JA77" s="721">
        <v>152.30000000000001</v>
      </c>
      <c r="JB77" s="721">
        <v>19.625</v>
      </c>
      <c r="JC77" s="721">
        <v>0.23499999999999999</v>
      </c>
      <c r="JD77" s="721">
        <v>152.30000000000001</v>
      </c>
      <c r="JE77" s="721">
        <v>18.125</v>
      </c>
      <c r="JF77" s="721">
        <v>0.23499999999999999</v>
      </c>
      <c r="JG77" s="721">
        <v>151.65</v>
      </c>
      <c r="JH77" s="721">
        <v>19.5</v>
      </c>
      <c r="JI77" s="721">
        <v>0.23499999999999999</v>
      </c>
      <c r="JJ77" s="721">
        <v>151.65</v>
      </c>
      <c r="JK77" s="721">
        <v>19.166699999999999</v>
      </c>
      <c r="JL77" s="721">
        <v>0.22666666666666599</v>
      </c>
      <c r="JM77" s="721">
        <v>150.75</v>
      </c>
      <c r="JN77" s="721">
        <v>16.333300000000001</v>
      </c>
      <c r="JO77" s="721">
        <v>0.22666666666666599</v>
      </c>
      <c r="JP77" s="721">
        <v>150.75</v>
      </c>
      <c r="JQ77" s="721">
        <v>16.417000000000002</v>
      </c>
      <c r="JR77" s="721">
        <v>0.22666666666666599</v>
      </c>
      <c r="JS77" s="721">
        <v>151.584</v>
      </c>
      <c r="JT77" s="721">
        <v>16.082999999999998</v>
      </c>
      <c r="JU77" s="721">
        <v>0.22666666666666599</v>
      </c>
      <c r="JV77" s="721">
        <v>151.584</v>
      </c>
      <c r="JW77" s="721">
        <v>16.167000000000002</v>
      </c>
      <c r="JX77" s="721">
        <v>0.21666666666666601</v>
      </c>
      <c r="JY77" s="721">
        <v>151.584</v>
      </c>
      <c r="JZ77" s="721">
        <v>15.583</v>
      </c>
      <c r="KA77" s="721">
        <v>0.21666666666666601</v>
      </c>
      <c r="KB77" s="721">
        <v>151.584</v>
      </c>
      <c r="KC77" s="721">
        <v>16.25</v>
      </c>
      <c r="KD77" s="721">
        <v>0.21666666666666601</v>
      </c>
      <c r="KE77" s="721">
        <v>151.584</v>
      </c>
      <c r="KF77" s="721">
        <v>15.917</v>
      </c>
      <c r="KG77" s="721">
        <v>0.21666666666666601</v>
      </c>
      <c r="KH77" s="721">
        <v>151.584</v>
      </c>
      <c r="KI77" s="721">
        <v>16.5</v>
      </c>
      <c r="KJ77" s="721">
        <v>0.206666666666666</v>
      </c>
      <c r="KK77" s="721">
        <v>151.584</v>
      </c>
      <c r="KL77" s="721">
        <v>15.417</v>
      </c>
      <c r="KM77" s="721">
        <v>0.206666666666666</v>
      </c>
      <c r="KN77" s="721">
        <v>151.584</v>
      </c>
      <c r="KO77" s="721">
        <v>14.75</v>
      </c>
      <c r="KP77" s="721">
        <v>0.206666666666666</v>
      </c>
      <c r="KQ77" s="721">
        <v>151.584</v>
      </c>
      <c r="KR77" s="721">
        <v>13.9166666666666</v>
      </c>
      <c r="KS77" s="721">
        <v>0.206666666666666</v>
      </c>
      <c r="KT77" s="721">
        <v>149.38650000000001</v>
      </c>
      <c r="KU77" s="721">
        <v>13.6666666666666</v>
      </c>
      <c r="KV77" s="721">
        <v>0.19666666666666599</v>
      </c>
      <c r="KW77" s="721">
        <v>149.38650000000001</v>
      </c>
      <c r="KX77" s="721">
        <v>13</v>
      </c>
      <c r="KY77" s="721">
        <v>0.19666666666666599</v>
      </c>
      <c r="KZ77" s="721">
        <v>149.38650000000001</v>
      </c>
      <c r="LA77" s="721">
        <v>13.1666666666666</v>
      </c>
      <c r="LB77" s="721">
        <v>0.19666666666666599</v>
      </c>
      <c r="LC77" s="721">
        <v>153.56100000000001</v>
      </c>
      <c r="LD77" s="721">
        <v>13.25</v>
      </c>
      <c r="LE77" s="721">
        <v>0.19666666666666599</v>
      </c>
      <c r="LF77" s="721">
        <v>153.56100000000001</v>
      </c>
      <c r="LG77" s="721">
        <v>13.75</v>
      </c>
      <c r="LH77" s="721">
        <v>0.18666666666666601</v>
      </c>
      <c r="LI77" s="721">
        <v>153.56100000000001</v>
      </c>
      <c r="LJ77" s="721">
        <v>14</v>
      </c>
      <c r="LK77" s="721">
        <v>0.18666666666666601</v>
      </c>
      <c r="LL77" s="721">
        <v>153.59700000000001</v>
      </c>
      <c r="LM77" s="721">
        <v>13.5</v>
      </c>
      <c r="LN77" s="721">
        <v>0.18666666666666601</v>
      </c>
      <c r="LO77" s="721">
        <v>153.85650000000001</v>
      </c>
      <c r="LP77" s="721">
        <v>13.6666666666666</v>
      </c>
      <c r="LQ77" s="721">
        <v>0.18666666666666601</v>
      </c>
      <c r="LR77" s="721">
        <v>155.274</v>
      </c>
      <c r="LS77" s="721">
        <v>13.17</v>
      </c>
      <c r="LT77" s="721">
        <v>0.18</v>
      </c>
      <c r="LU77" s="721">
        <v>155.274</v>
      </c>
      <c r="LV77" s="721">
        <v>12.75</v>
      </c>
      <c r="LW77" s="721">
        <v>0.18</v>
      </c>
      <c r="LX77" s="721">
        <v>155.27500000000001</v>
      </c>
      <c r="LY77" s="721">
        <v>11.5</v>
      </c>
      <c r="LZ77" s="721">
        <v>0.18</v>
      </c>
      <c r="MA77" s="721">
        <v>155.27500000000001</v>
      </c>
      <c r="MB77" s="721">
        <v>10.72</v>
      </c>
      <c r="MC77" s="721">
        <v>0.18</v>
      </c>
      <c r="MD77" s="721">
        <v>155.27500000000001</v>
      </c>
      <c r="ME77" s="721">
        <v>11.5</v>
      </c>
      <c r="MF77" s="721">
        <v>0.18</v>
      </c>
      <c r="MG77" s="721">
        <v>155.27500000000001</v>
      </c>
      <c r="MH77" s="721">
        <v>10.11</v>
      </c>
      <c r="MI77" s="721">
        <v>0.18</v>
      </c>
      <c r="MJ77" s="721">
        <v>155.27500000000001</v>
      </c>
      <c r="MK77" s="721">
        <v>9.11</v>
      </c>
      <c r="ML77" s="721">
        <v>0.18</v>
      </c>
      <c r="MM77" s="721">
        <v>155.27500000000001</v>
      </c>
      <c r="MN77" s="721">
        <v>9.2200000000000006</v>
      </c>
      <c r="MO77" s="721">
        <v>0.18</v>
      </c>
      <c r="MP77" s="721">
        <v>154.303</v>
      </c>
      <c r="MQ77" s="721">
        <v>8.56</v>
      </c>
    </row>
    <row r="78" spans="1:355">
      <c r="B78" s="723" t="s">
        <v>280</v>
      </c>
      <c r="C78" s="886"/>
      <c r="D78" s="886"/>
      <c r="E78" s="886"/>
      <c r="F78" s="788"/>
      <c r="G78" s="788"/>
      <c r="H78" s="788"/>
      <c r="I78" s="788"/>
      <c r="J78" s="788"/>
      <c r="K78" s="788"/>
      <c r="L78" s="828"/>
      <c r="M78" s="829"/>
      <c r="N78" s="828"/>
      <c r="O78" s="828"/>
      <c r="P78" s="828"/>
      <c r="Q78" s="828"/>
      <c r="R78" s="828"/>
      <c r="S78" s="828"/>
      <c r="T78" s="828"/>
      <c r="U78" s="788"/>
      <c r="V78" s="827"/>
      <c r="W78" s="788"/>
      <c r="X78" s="832"/>
      <c r="Y78" s="788"/>
      <c r="Z78" s="788"/>
      <c r="AA78" s="788"/>
      <c r="AB78" s="788"/>
      <c r="AC78" s="788"/>
      <c r="AJ78" s="788"/>
      <c r="AK78" s="788"/>
      <c r="AL78" s="788"/>
      <c r="AM78" s="828"/>
      <c r="AN78" s="828"/>
      <c r="AO78" s="828"/>
      <c r="AP78" s="788"/>
      <c r="AQ78" s="788"/>
      <c r="AR78" s="788"/>
      <c r="AV78" s="723"/>
      <c r="AW78" s="723"/>
      <c r="AX78" s="723"/>
      <c r="AY78" s="723"/>
      <c r="AZ78" s="723"/>
      <c r="BA78" s="723"/>
      <c r="BB78" s="723"/>
      <c r="BC78" s="723"/>
      <c r="BD78" s="723"/>
      <c r="BE78" s="723"/>
      <c r="BF78" s="723"/>
      <c r="BG78" s="723"/>
      <c r="BH78" s="723"/>
      <c r="BI78" s="723"/>
      <c r="BJ78" s="723"/>
      <c r="BK78" s="723"/>
      <c r="BL78" s="723"/>
      <c r="BM78" s="723"/>
      <c r="BN78" s="723"/>
      <c r="BO78" s="723"/>
      <c r="BP78" s="723"/>
      <c r="BQ78" s="723"/>
      <c r="BR78" s="723"/>
      <c r="BS78" s="723"/>
      <c r="BT78" s="723"/>
      <c r="BU78" s="723"/>
      <c r="BV78" s="723"/>
      <c r="BW78" s="728"/>
      <c r="BX78" s="728"/>
      <c r="BY78" s="728"/>
      <c r="BZ78" s="723"/>
      <c r="CA78" s="723"/>
      <c r="CB78" s="723"/>
      <c r="CC78" s="723"/>
      <c r="CD78" s="723"/>
      <c r="CE78" s="723"/>
      <c r="CF78" s="723"/>
      <c r="CG78" s="723"/>
      <c r="CH78" s="723"/>
      <c r="CI78" s="723"/>
      <c r="CJ78" s="723"/>
      <c r="CK78" s="723"/>
      <c r="CL78" s="723"/>
      <c r="CM78" s="723"/>
      <c r="CN78" s="723"/>
      <c r="CO78" s="723"/>
      <c r="CP78" s="723"/>
      <c r="CQ78" s="723"/>
      <c r="CR78" s="723"/>
      <c r="CS78" s="723"/>
      <c r="CT78" s="723"/>
      <c r="CU78" s="723"/>
      <c r="CV78" s="723"/>
      <c r="CW78" s="723"/>
      <c r="CX78" s="722"/>
      <c r="CY78" s="723"/>
      <c r="CZ78" s="723"/>
      <c r="DA78" s="723"/>
      <c r="DB78" s="723"/>
      <c r="DC78" s="735"/>
      <c r="DD78" s="723"/>
      <c r="DE78" s="723"/>
      <c r="DF78" s="723"/>
      <c r="DG78" s="723"/>
      <c r="DH78" s="723"/>
      <c r="DI78" s="723"/>
      <c r="DJ78" s="723"/>
      <c r="DK78" s="723"/>
      <c r="DL78" s="723"/>
      <c r="DM78" s="723"/>
      <c r="DN78" s="723"/>
      <c r="DO78" s="723"/>
      <c r="DP78" s="723"/>
      <c r="DQ78" s="723"/>
      <c r="DR78" s="723"/>
      <c r="DS78" s="723"/>
      <c r="DT78" s="725"/>
      <c r="DU78" s="723"/>
      <c r="DV78" s="723"/>
      <c r="DW78" s="723"/>
      <c r="DX78" s="723"/>
      <c r="DY78" s="723"/>
      <c r="DZ78" s="723"/>
      <c r="EA78" s="723"/>
      <c r="EB78" s="723"/>
      <c r="EC78" s="723"/>
      <c r="ED78" s="723"/>
      <c r="EE78" s="723"/>
      <c r="EF78" s="723"/>
      <c r="EG78" s="723"/>
      <c r="EH78" s="723"/>
      <c r="EI78" s="723"/>
      <c r="EJ78" s="723"/>
      <c r="EK78" s="723"/>
      <c r="EL78" s="723"/>
      <c r="EM78" s="723"/>
      <c r="EN78" s="723"/>
      <c r="EO78" s="723"/>
      <c r="EP78" s="723"/>
      <c r="EQ78" s="723"/>
      <c r="ER78" s="723"/>
      <c r="ES78" s="723"/>
      <c r="ET78" s="722"/>
      <c r="EU78" s="722"/>
      <c r="EV78" s="722"/>
      <c r="EW78" s="723"/>
      <c r="EX78" s="723"/>
      <c r="EY78" s="723"/>
      <c r="EZ78" s="723"/>
      <c r="FA78" s="723"/>
      <c r="FB78" s="723"/>
      <c r="FC78" s="723"/>
      <c r="FD78" s="741"/>
      <c r="FE78" s="723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742"/>
      <c r="FT78" s="626"/>
      <c r="FU78" s="727"/>
      <c r="FV78" s="727"/>
      <c r="FW78" s="727"/>
      <c r="FX78" s="727"/>
      <c r="FY78" s="727"/>
      <c r="FZ78" s="727"/>
      <c r="GA78" s="727"/>
      <c r="GB78" s="727"/>
      <c r="GC78" s="727"/>
      <c r="GD78" s="750"/>
      <c r="GE78" s="741"/>
      <c r="GF78" s="751"/>
      <c r="GG78" s="750"/>
      <c r="GH78" s="727"/>
      <c r="GI78" s="727"/>
      <c r="GJ78" s="727"/>
      <c r="GK78" s="727"/>
      <c r="GL78" s="727"/>
      <c r="GM78" s="727"/>
      <c r="GN78" s="727"/>
      <c r="GO78" s="727"/>
      <c r="GP78" s="727"/>
      <c r="GQ78" s="727"/>
      <c r="GR78" s="727"/>
      <c r="GS78" s="727"/>
      <c r="GT78" s="727"/>
      <c r="GU78" s="752"/>
      <c r="GV78" s="727"/>
      <c r="GW78" s="727"/>
      <c r="GX78" s="727"/>
      <c r="GY78" s="727"/>
      <c r="GZ78" s="727"/>
      <c r="HA78" s="727"/>
      <c r="HB78" s="727"/>
      <c r="HC78" s="727"/>
      <c r="HD78" s="727"/>
      <c r="HE78" s="727"/>
      <c r="HF78" s="727"/>
      <c r="HG78" s="727"/>
      <c r="HH78" s="727">
        <v>82.703999999999994</v>
      </c>
      <c r="HI78" s="727">
        <v>25.81</v>
      </c>
      <c r="HJ78" s="727">
        <v>0.22</v>
      </c>
      <c r="HK78" s="727">
        <v>82.703999999999994</v>
      </c>
      <c r="HL78" s="727">
        <v>24.89</v>
      </c>
      <c r="HM78" s="727">
        <v>0.22</v>
      </c>
      <c r="HN78" s="727">
        <v>88.445999999999998</v>
      </c>
      <c r="HO78" s="727">
        <v>24.49</v>
      </c>
      <c r="HP78" s="727">
        <v>0.22</v>
      </c>
      <c r="HQ78" s="727">
        <v>88.445999999999998</v>
      </c>
      <c r="HR78" s="727">
        <v>23.5</v>
      </c>
      <c r="HS78" s="727">
        <v>0.22</v>
      </c>
      <c r="HT78" s="727">
        <v>82.703999999999994</v>
      </c>
      <c r="HU78" s="727">
        <v>21.6</v>
      </c>
      <c r="HV78" s="727">
        <v>0.22</v>
      </c>
      <c r="HW78" s="727">
        <v>82.698999999999998</v>
      </c>
      <c r="HX78" s="727">
        <v>21.85</v>
      </c>
      <c r="HY78" s="727">
        <v>0.22</v>
      </c>
      <c r="HZ78" s="727">
        <v>88.442999999999998</v>
      </c>
      <c r="IA78" s="727">
        <v>20.0625</v>
      </c>
      <c r="IB78" s="727">
        <v>0.22</v>
      </c>
      <c r="IC78" s="727">
        <v>83.777000000000001</v>
      </c>
      <c r="ID78" s="727">
        <v>17.875</v>
      </c>
      <c r="IE78" s="727">
        <v>0.22</v>
      </c>
      <c r="IF78" s="727">
        <v>85.567999999999998</v>
      </c>
      <c r="IG78" s="727">
        <v>15.5625</v>
      </c>
      <c r="IH78" s="727">
        <v>0.22</v>
      </c>
      <c r="II78" s="727">
        <v>86.915999999999997</v>
      </c>
      <c r="IJ78" s="722">
        <v>17.5</v>
      </c>
      <c r="IK78" s="722">
        <v>0.22</v>
      </c>
      <c r="IL78" s="722">
        <v>93.453999999999994</v>
      </c>
      <c r="IM78" s="727">
        <v>16.8125</v>
      </c>
      <c r="IN78" s="722">
        <v>0.22</v>
      </c>
      <c r="IO78" s="722">
        <v>98.12</v>
      </c>
      <c r="IP78" s="727">
        <v>19.625</v>
      </c>
      <c r="IQ78" s="722">
        <v>0.22</v>
      </c>
      <c r="IR78" s="721">
        <v>100.9</v>
      </c>
      <c r="IS78" s="721">
        <v>24.4375</v>
      </c>
      <c r="IT78" s="721">
        <v>0.22</v>
      </c>
      <c r="IU78" s="721">
        <v>101</v>
      </c>
      <c r="IV78" s="721">
        <v>19.375</v>
      </c>
      <c r="IW78" s="721">
        <v>0.38500000000000001</v>
      </c>
      <c r="IX78" s="721">
        <v>101</v>
      </c>
      <c r="IY78" s="721">
        <v>24.5</v>
      </c>
      <c r="IZ78" s="721">
        <v>0.38500000000000001</v>
      </c>
      <c r="JA78" s="721">
        <v>81.25</v>
      </c>
      <c r="JB78" s="721">
        <v>22.812999999999999</v>
      </c>
      <c r="JC78" s="721">
        <v>0.38500000000000001</v>
      </c>
      <c r="JD78" s="721">
        <v>81.25</v>
      </c>
      <c r="JE78" s="721">
        <v>20.5</v>
      </c>
      <c r="JF78" s="721">
        <v>0.38500000000000001</v>
      </c>
      <c r="JG78" s="721">
        <v>61.25</v>
      </c>
      <c r="JH78" s="721">
        <v>21.9375</v>
      </c>
      <c r="JI78" s="721">
        <v>0.39</v>
      </c>
      <c r="JJ78" s="721">
        <v>61.247</v>
      </c>
      <c r="JK78" s="721">
        <v>23.0625</v>
      </c>
      <c r="JL78" s="721">
        <v>0.38500000000000001</v>
      </c>
      <c r="JM78" s="721">
        <v>60.856000000000002</v>
      </c>
      <c r="JN78" s="721">
        <v>18.875</v>
      </c>
      <c r="JO78" s="721">
        <v>0.38500000000000001</v>
      </c>
      <c r="JP78" s="721">
        <v>60.856000000000002</v>
      </c>
      <c r="JQ78" s="721">
        <v>19.062999999999999</v>
      </c>
      <c r="JR78" s="721">
        <v>0.38500000000000001</v>
      </c>
      <c r="JS78" s="721">
        <v>60.667000000000002</v>
      </c>
      <c r="JT78" s="721">
        <v>18.375</v>
      </c>
      <c r="JU78" s="721">
        <v>0.38500000000000001</v>
      </c>
      <c r="JV78" s="721">
        <v>60.667000000000002</v>
      </c>
      <c r="JW78" s="721">
        <v>20.375</v>
      </c>
      <c r="JX78" s="721">
        <v>0.38500000000000001</v>
      </c>
      <c r="JY78" s="721">
        <v>59.738</v>
      </c>
      <c r="JZ78" s="721">
        <v>20.5</v>
      </c>
      <c r="KA78" s="721">
        <v>0.38500000000000001</v>
      </c>
      <c r="KB78" s="721">
        <v>59.738</v>
      </c>
      <c r="KC78" s="721">
        <v>21</v>
      </c>
      <c r="KD78" s="721">
        <v>0.38500000000000001</v>
      </c>
      <c r="KE78" s="721">
        <v>59.738</v>
      </c>
      <c r="KF78" s="721">
        <v>21.25</v>
      </c>
      <c r="KG78" s="721">
        <v>0.38500000000000001</v>
      </c>
      <c r="KH78" s="721">
        <v>59.738</v>
      </c>
      <c r="KI78" s="721">
        <v>22.75</v>
      </c>
      <c r="KJ78" s="721">
        <v>0.38500000000000001</v>
      </c>
      <c r="KK78" s="721">
        <v>59.738</v>
      </c>
      <c r="KL78" s="721">
        <v>22.875</v>
      </c>
      <c r="KM78" s="721">
        <v>0.38500000000000001</v>
      </c>
      <c r="KN78" s="721">
        <v>59.738</v>
      </c>
      <c r="KO78" s="721">
        <v>20.5</v>
      </c>
      <c r="KP78" s="721">
        <v>0.38500000000000001</v>
      </c>
      <c r="KQ78" s="721">
        <v>59.738</v>
      </c>
      <c r="KR78" s="721">
        <v>19.75</v>
      </c>
      <c r="KS78" s="721">
        <v>0.38500000000000001</v>
      </c>
      <c r="KT78" s="721">
        <v>59.212000000000003</v>
      </c>
      <c r="KU78" s="721">
        <v>18.140625</v>
      </c>
      <c r="KV78" s="721">
        <v>0.38500000000000001</v>
      </c>
      <c r="KW78" s="721">
        <v>59.212000000000003</v>
      </c>
      <c r="KX78" s="721">
        <v>18.75</v>
      </c>
      <c r="KY78" s="721">
        <v>0.38500000000000001</v>
      </c>
      <c r="KZ78" s="721">
        <v>59.212000000000003</v>
      </c>
      <c r="LA78" s="721">
        <v>18.125</v>
      </c>
      <c r="LB78" s="721">
        <v>0.38500000000000001</v>
      </c>
      <c r="LC78" s="721">
        <v>58.372</v>
      </c>
      <c r="LD78" s="721">
        <v>20.625</v>
      </c>
      <c r="LE78" s="721">
        <v>0.38500000000000001</v>
      </c>
      <c r="LF78" s="721">
        <v>58.372</v>
      </c>
      <c r="LG78" s="721">
        <v>23.625</v>
      </c>
      <c r="LH78" s="721">
        <v>0.38500000000000001</v>
      </c>
      <c r="LI78" s="721">
        <v>58.372</v>
      </c>
      <c r="LJ78" s="721">
        <v>25.625</v>
      </c>
      <c r="LK78" s="721">
        <v>0.38500000000000001</v>
      </c>
      <c r="LL78" s="721">
        <v>58.036000000000001</v>
      </c>
      <c r="LM78" s="721">
        <v>23.5</v>
      </c>
      <c r="LN78" s="721">
        <v>0.38500000000000001</v>
      </c>
      <c r="LO78" s="721">
        <v>55.134999999999998</v>
      </c>
      <c r="LP78" s="721">
        <v>24</v>
      </c>
      <c r="LQ78" s="721">
        <v>0.38500000000000001</v>
      </c>
      <c r="LR78" s="721">
        <v>53.280999999999999</v>
      </c>
      <c r="LS78" s="721">
        <v>23.25</v>
      </c>
      <c r="LT78" s="721">
        <v>0.39</v>
      </c>
      <c r="LU78" s="721">
        <v>53.280999999999999</v>
      </c>
      <c r="LV78" s="721">
        <v>23.38</v>
      </c>
      <c r="LW78" s="721">
        <v>0.39</v>
      </c>
      <c r="LX78" s="721">
        <v>53.08</v>
      </c>
      <c r="LY78" s="721">
        <v>22.75</v>
      </c>
      <c r="LZ78" s="721">
        <v>0.39</v>
      </c>
      <c r="MA78" s="721">
        <v>52.875999999999998</v>
      </c>
      <c r="MB78" s="721">
        <v>21</v>
      </c>
      <c r="MC78" s="721">
        <v>0.39</v>
      </c>
      <c r="MD78" s="721">
        <v>50.581000000000003</v>
      </c>
      <c r="ME78" s="721">
        <v>21.25</v>
      </c>
      <c r="MF78" s="721">
        <v>0.39</v>
      </c>
      <c r="MG78" s="721">
        <v>49.95</v>
      </c>
      <c r="MH78" s="721">
        <v>20.13</v>
      </c>
      <c r="MI78" s="721">
        <v>0.39</v>
      </c>
      <c r="MJ78" s="721">
        <v>48.866999999999997</v>
      </c>
      <c r="MK78" s="721">
        <v>18.75</v>
      </c>
      <c r="ML78" s="721">
        <v>0.39</v>
      </c>
      <c r="MM78" s="721">
        <v>48.149000000000001</v>
      </c>
      <c r="MN78" s="721">
        <v>18.88</v>
      </c>
      <c r="MO78" s="721">
        <v>0.39</v>
      </c>
      <c r="MP78" s="721">
        <v>47.533999999999999</v>
      </c>
      <c r="MQ78" s="721">
        <v>18.13</v>
      </c>
    </row>
    <row r="79" spans="1:355">
      <c r="B79" s="723" t="s">
        <v>281</v>
      </c>
      <c r="C79" s="886"/>
      <c r="D79" s="886"/>
      <c r="E79" s="886"/>
      <c r="F79" s="788"/>
      <c r="G79" s="788"/>
      <c r="H79" s="788"/>
      <c r="I79" s="788"/>
      <c r="J79" s="788"/>
      <c r="K79" s="788"/>
      <c r="L79" s="828"/>
      <c r="M79" s="829"/>
      <c r="N79" s="828"/>
      <c r="O79" s="828"/>
      <c r="P79" s="828"/>
      <c r="Q79" s="828"/>
      <c r="R79" s="828"/>
      <c r="S79" s="828"/>
      <c r="T79" s="828"/>
      <c r="U79" s="788"/>
      <c r="V79" s="827"/>
      <c r="W79" s="788"/>
      <c r="X79" s="832"/>
      <c r="Y79" s="788"/>
      <c r="Z79" s="788"/>
      <c r="AA79" s="788"/>
      <c r="AB79" s="788"/>
      <c r="AC79" s="788"/>
      <c r="AJ79" s="788"/>
      <c r="AK79" s="788"/>
      <c r="AL79" s="788"/>
      <c r="AM79" s="828"/>
      <c r="AN79" s="828"/>
      <c r="AO79" s="828"/>
      <c r="AP79" s="788"/>
      <c r="AQ79" s="788"/>
      <c r="AR79" s="788"/>
      <c r="AV79" s="723"/>
      <c r="AW79" s="723"/>
      <c r="AX79" s="723"/>
      <c r="AY79" s="723"/>
      <c r="AZ79" s="723"/>
      <c r="BA79" s="723"/>
      <c r="BB79" s="723"/>
      <c r="BC79" s="723"/>
      <c r="BD79" s="723"/>
      <c r="BE79" s="723"/>
      <c r="BF79" s="723"/>
      <c r="BG79" s="723"/>
      <c r="BH79" s="723"/>
      <c r="BI79" s="723"/>
      <c r="BJ79" s="723"/>
      <c r="BK79" s="723"/>
      <c r="BL79" s="723"/>
      <c r="BM79" s="723"/>
      <c r="BN79" s="723"/>
      <c r="BO79" s="723"/>
      <c r="BP79" s="723"/>
      <c r="BQ79" s="723"/>
      <c r="BR79" s="723"/>
      <c r="BS79" s="723"/>
      <c r="BT79" s="723"/>
      <c r="BU79" s="723"/>
      <c r="BV79" s="723"/>
      <c r="BW79" s="728"/>
      <c r="BX79" s="728"/>
      <c r="BY79" s="728"/>
      <c r="BZ79" s="723"/>
      <c r="CA79" s="723"/>
      <c r="CB79" s="723"/>
      <c r="CC79" s="723"/>
      <c r="CD79" s="723"/>
      <c r="CE79" s="723"/>
      <c r="CF79" s="723"/>
      <c r="CG79" s="723"/>
      <c r="CH79" s="723"/>
      <c r="CI79" s="723"/>
      <c r="CJ79" s="723"/>
      <c r="CK79" s="723"/>
      <c r="CL79" s="723"/>
      <c r="CM79" s="723"/>
      <c r="CN79" s="723"/>
      <c r="CO79" s="723"/>
      <c r="CP79" s="723"/>
      <c r="CQ79" s="723"/>
      <c r="CR79" s="723"/>
      <c r="CS79" s="723"/>
      <c r="CT79" s="723"/>
      <c r="CU79" s="723"/>
      <c r="CV79" s="723"/>
      <c r="CW79" s="723"/>
      <c r="CX79" s="722"/>
      <c r="CY79" s="723"/>
      <c r="CZ79" s="723"/>
      <c r="DA79" s="723"/>
      <c r="DB79" s="723"/>
      <c r="DC79" s="735"/>
      <c r="DD79" s="723"/>
      <c r="DE79" s="723"/>
      <c r="DF79" s="723"/>
      <c r="DG79" s="723"/>
      <c r="DH79" s="723"/>
      <c r="DI79" s="723"/>
      <c r="DJ79" s="723"/>
      <c r="DK79" s="723"/>
      <c r="DL79" s="723"/>
      <c r="DM79" s="723"/>
      <c r="DN79" s="723" t="s">
        <v>394</v>
      </c>
      <c r="DO79" s="723"/>
      <c r="DP79" s="723"/>
      <c r="DQ79" s="723"/>
      <c r="DR79" s="723"/>
      <c r="DS79" s="723"/>
      <c r="DT79" s="725"/>
      <c r="DU79" s="723"/>
      <c r="DV79" s="723"/>
      <c r="DW79" s="723"/>
      <c r="DX79" s="723"/>
      <c r="DY79" s="723"/>
      <c r="DZ79" s="723"/>
      <c r="EA79" s="723"/>
      <c r="EB79" s="723"/>
      <c r="EC79" s="723"/>
      <c r="ED79" s="723"/>
      <c r="EE79" s="723"/>
      <c r="EF79" s="723"/>
      <c r="EG79" s="723"/>
      <c r="EH79" s="723"/>
      <c r="EI79" s="723"/>
      <c r="EJ79" s="723"/>
      <c r="EK79" s="723"/>
      <c r="EL79" s="723"/>
      <c r="EM79" s="723"/>
      <c r="EN79" s="723"/>
      <c r="EO79" s="723"/>
      <c r="EP79" s="723"/>
      <c r="EQ79" s="723"/>
      <c r="ER79" s="723"/>
      <c r="ES79" s="723"/>
      <c r="ET79" s="722"/>
      <c r="EU79" s="722"/>
      <c r="EV79" s="722"/>
      <c r="EW79" s="723"/>
      <c r="EX79" s="723"/>
      <c r="EY79" s="723"/>
      <c r="EZ79" s="723"/>
      <c r="FA79" s="723"/>
      <c r="FB79" s="723"/>
      <c r="FC79" s="723"/>
      <c r="FD79" s="741"/>
      <c r="FE79" s="723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742"/>
      <c r="FT79" s="626"/>
      <c r="FU79" s="727"/>
      <c r="FV79" s="727"/>
      <c r="FW79" s="727"/>
      <c r="FX79" s="727"/>
      <c r="FY79" s="727"/>
      <c r="FZ79" s="727"/>
      <c r="GA79" s="727"/>
      <c r="GB79" s="727"/>
      <c r="GC79" s="727"/>
      <c r="GD79" s="750"/>
      <c r="GE79" s="741"/>
      <c r="GF79" s="751"/>
      <c r="GG79" s="750"/>
      <c r="GH79" s="727"/>
      <c r="GI79" s="727"/>
      <c r="GJ79" s="727"/>
      <c r="GK79" s="727"/>
      <c r="GL79" s="727"/>
      <c r="GM79" s="727"/>
      <c r="GN79" s="727"/>
      <c r="GO79" s="727"/>
      <c r="GP79" s="727"/>
      <c r="GQ79" s="727"/>
      <c r="GR79" s="727"/>
      <c r="GS79" s="727"/>
      <c r="GT79" s="727"/>
      <c r="GU79" s="752"/>
      <c r="GV79" s="727"/>
      <c r="GW79" s="727"/>
      <c r="GX79" s="727"/>
      <c r="GY79" s="727"/>
      <c r="GZ79" s="727"/>
      <c r="HA79" s="727"/>
      <c r="HB79" s="727"/>
      <c r="HC79" s="727"/>
      <c r="HD79" s="727"/>
      <c r="HE79" s="727"/>
      <c r="HF79" s="727"/>
      <c r="HG79" s="727"/>
      <c r="HH79" s="727"/>
      <c r="HI79" s="727"/>
      <c r="HJ79" s="727"/>
      <c r="HK79" s="727"/>
      <c r="HL79" s="727"/>
      <c r="HM79" s="727"/>
      <c r="HN79" s="727"/>
      <c r="HO79" s="752"/>
      <c r="HP79" s="752"/>
      <c r="HQ79" s="727"/>
      <c r="HR79" s="727"/>
      <c r="HS79" s="727"/>
      <c r="HT79" s="727"/>
      <c r="HU79" s="727"/>
      <c r="HV79" s="727"/>
      <c r="HW79" s="727"/>
      <c r="HX79" s="727"/>
      <c r="HY79" s="727"/>
      <c r="HZ79" s="727"/>
      <c r="IA79" s="727"/>
      <c r="IB79" s="727"/>
      <c r="IC79" s="727"/>
      <c r="ID79" s="727"/>
      <c r="IE79" s="727"/>
      <c r="IF79" s="727"/>
      <c r="IG79" s="727"/>
      <c r="IH79" s="727"/>
      <c r="II79" s="727"/>
      <c r="IJ79" s="722"/>
      <c r="IK79" s="722"/>
      <c r="IL79" s="722"/>
      <c r="IM79" s="727"/>
      <c r="IN79" s="722"/>
      <c r="IO79" s="722"/>
      <c r="IP79" s="727"/>
      <c r="IQ79" s="722"/>
      <c r="IR79" s="721"/>
      <c r="IS79" s="721"/>
      <c r="IT79" s="721"/>
      <c r="IU79" s="721"/>
      <c r="IV79" s="721"/>
      <c r="IW79" s="721"/>
      <c r="IX79" s="721"/>
      <c r="IY79" s="721"/>
      <c r="IZ79" s="721"/>
      <c r="JA79" s="721"/>
      <c r="JB79" s="721"/>
      <c r="JC79" s="721"/>
      <c r="JD79" s="721"/>
      <c r="JE79" s="721"/>
      <c r="JF79" s="721"/>
      <c r="JG79" s="721">
        <v>30.45</v>
      </c>
      <c r="JH79" s="721">
        <v>37.1875</v>
      </c>
      <c r="JI79" s="721">
        <v>0.52500000000000002</v>
      </c>
      <c r="JJ79" s="721">
        <v>30.452000000000002</v>
      </c>
      <c r="JK79" s="721">
        <v>36.8125</v>
      </c>
      <c r="JL79" s="721">
        <v>0.52500000000000002</v>
      </c>
      <c r="JM79" s="721">
        <v>30.187999999999999</v>
      </c>
      <c r="JN79" s="721">
        <v>31.875</v>
      </c>
      <c r="JO79" s="721">
        <v>0.52500000000000002</v>
      </c>
      <c r="JP79" s="721">
        <v>30.187999999999999</v>
      </c>
      <c r="JQ79" s="721">
        <v>29.5</v>
      </c>
      <c r="JR79" s="721">
        <v>0.52500000000000002</v>
      </c>
      <c r="JS79" s="721">
        <v>29.940999999999999</v>
      </c>
      <c r="JT79" s="721">
        <v>28.875</v>
      </c>
      <c r="JU79" s="721">
        <v>0.52500000000000002</v>
      </c>
      <c r="JV79" s="721">
        <v>29.940999999999999</v>
      </c>
      <c r="JW79" s="721">
        <v>29.875</v>
      </c>
      <c r="JX79" s="721">
        <v>0.52500000000000002</v>
      </c>
      <c r="JY79" s="721">
        <v>28.192</v>
      </c>
      <c r="JZ79" s="721">
        <v>30.5</v>
      </c>
      <c r="KA79" s="721">
        <v>0.52500000000000002</v>
      </c>
      <c r="KB79" s="721">
        <v>28.192</v>
      </c>
      <c r="KC79" s="721">
        <v>30.125</v>
      </c>
      <c r="KD79" s="721">
        <v>0.52500000000000002</v>
      </c>
      <c r="KE79" s="721">
        <v>28.192</v>
      </c>
      <c r="KF79" s="721">
        <v>27.875</v>
      </c>
      <c r="KG79" s="721">
        <v>0.52500000000000002</v>
      </c>
      <c r="KH79" s="721">
        <v>28.192</v>
      </c>
      <c r="KI79" s="721">
        <v>26.5</v>
      </c>
      <c r="KJ79" s="721">
        <v>0.52500000000000002</v>
      </c>
      <c r="KK79" s="721">
        <v>28.192</v>
      </c>
      <c r="KL79" s="721">
        <v>26.625</v>
      </c>
      <c r="KM79" s="721">
        <v>0.52500000000000002</v>
      </c>
      <c r="KN79" s="721">
        <v>28.192</v>
      </c>
      <c r="KO79" s="721">
        <v>22.25</v>
      </c>
      <c r="KP79" s="721">
        <v>0.52500000000000002</v>
      </c>
      <c r="KQ79" s="721">
        <v>28.192</v>
      </c>
      <c r="KR79" s="721">
        <v>24.875</v>
      </c>
      <c r="KS79" s="721">
        <v>0.52500000000000002</v>
      </c>
      <c r="KT79" s="721">
        <v>28.192</v>
      </c>
      <c r="KU79" s="721">
        <v>25.25</v>
      </c>
      <c r="KV79" s="721">
        <v>0.52500000000000002</v>
      </c>
      <c r="KW79" s="721">
        <v>28.192</v>
      </c>
      <c r="KX79" s="721">
        <v>26.25</v>
      </c>
      <c r="KY79" s="721">
        <v>0.52500000000000002</v>
      </c>
      <c r="KZ79" s="721">
        <v>28.192</v>
      </c>
      <c r="LA79" s="721">
        <v>25.75</v>
      </c>
      <c r="LB79" s="721">
        <v>0.52500000000000002</v>
      </c>
      <c r="LC79" s="721">
        <v>28.192</v>
      </c>
      <c r="LD79" s="721">
        <v>27.5</v>
      </c>
      <c r="LE79" s="721">
        <v>0.52500000000000002</v>
      </c>
      <c r="LF79" s="721">
        <v>28.192</v>
      </c>
      <c r="LG79" s="721">
        <v>31.25</v>
      </c>
      <c r="LH79" s="721">
        <v>0.52500000000000002</v>
      </c>
      <c r="LI79" s="721">
        <v>28.192</v>
      </c>
      <c r="LJ79" s="721">
        <v>33</v>
      </c>
      <c r="LK79" s="721">
        <v>0.52500000000000002</v>
      </c>
      <c r="LL79" s="721">
        <v>28.077000000000002</v>
      </c>
      <c r="LM79" s="721">
        <v>32.375</v>
      </c>
      <c r="LN79" s="721">
        <v>0.52500000000000002</v>
      </c>
      <c r="LO79" s="721">
        <v>26.498999999999999</v>
      </c>
      <c r="LP79" s="721">
        <v>29.25</v>
      </c>
      <c r="LQ79" s="721">
        <v>0.52500000000000002</v>
      </c>
      <c r="LR79" s="721">
        <v>25.338000000000001</v>
      </c>
      <c r="LS79" s="721">
        <v>29.5</v>
      </c>
      <c r="LT79" s="721">
        <v>0.53</v>
      </c>
      <c r="LU79" s="721">
        <v>25.338000000000001</v>
      </c>
      <c r="LV79" s="721">
        <v>29.5</v>
      </c>
      <c r="LW79" s="721">
        <v>0.53</v>
      </c>
      <c r="LX79" s="721">
        <v>25.283999999999999</v>
      </c>
      <c r="LY79" s="721">
        <v>27.5</v>
      </c>
      <c r="LZ79" s="721">
        <v>0.53</v>
      </c>
      <c r="MA79" s="721">
        <v>25.234000000000002</v>
      </c>
      <c r="MB79" s="721">
        <v>27.5</v>
      </c>
      <c r="MC79" s="721">
        <v>0.53</v>
      </c>
      <c r="MD79" s="721">
        <v>24.155999999999999</v>
      </c>
      <c r="ME79" s="721">
        <v>27.25</v>
      </c>
      <c r="MF79" s="721">
        <v>0.53</v>
      </c>
      <c r="MG79" s="721">
        <v>24.113</v>
      </c>
      <c r="MH79" s="721">
        <v>28.13</v>
      </c>
      <c r="MI79" s="721">
        <v>0.53</v>
      </c>
      <c r="MJ79" s="721">
        <v>24.068999999999999</v>
      </c>
      <c r="MK79" s="721">
        <v>26.25</v>
      </c>
      <c r="ML79" s="721">
        <v>0.53</v>
      </c>
      <c r="MM79" s="721">
        <v>24.032</v>
      </c>
      <c r="MN79" s="721">
        <v>27.88</v>
      </c>
      <c r="MO79" s="721">
        <v>0.53</v>
      </c>
      <c r="MP79" s="721">
        <v>23.847999999999999</v>
      </c>
      <c r="MQ79" s="721">
        <v>27.75</v>
      </c>
    </row>
    <row r="80" spans="1:355">
      <c r="B80" s="723" t="s">
        <v>282</v>
      </c>
      <c r="C80" s="886"/>
      <c r="D80" s="886"/>
      <c r="E80" s="886"/>
      <c r="F80" s="788"/>
      <c r="G80" s="788"/>
      <c r="H80" s="788"/>
      <c r="I80" s="788"/>
      <c r="J80" s="788"/>
      <c r="K80" s="788"/>
      <c r="L80" s="828"/>
      <c r="M80" s="829"/>
      <c r="N80" s="828"/>
      <c r="O80" s="828"/>
      <c r="P80" s="828"/>
      <c r="Q80" s="828"/>
      <c r="R80" s="828"/>
      <c r="S80" s="828"/>
      <c r="T80" s="828"/>
      <c r="U80" s="788"/>
      <c r="V80" s="827"/>
      <c r="W80" s="788"/>
      <c r="X80" s="832"/>
      <c r="Y80" s="788"/>
      <c r="Z80" s="788"/>
      <c r="AA80" s="788"/>
      <c r="AB80" s="788"/>
      <c r="AC80" s="788"/>
      <c r="AJ80" s="788"/>
      <c r="AK80" s="788"/>
      <c r="AL80" s="788"/>
      <c r="AM80" s="828"/>
      <c r="AN80" s="828"/>
      <c r="AO80" s="828"/>
      <c r="AP80" s="788"/>
      <c r="AQ80" s="788"/>
      <c r="AR80" s="788"/>
      <c r="AV80" s="723"/>
      <c r="AW80" s="723"/>
      <c r="AX80" s="723"/>
      <c r="AY80" s="723"/>
      <c r="AZ80" s="723"/>
      <c r="BA80" s="723"/>
      <c r="BB80" s="723"/>
      <c r="BC80" s="723"/>
      <c r="BD80" s="723"/>
      <c r="BE80" s="723"/>
      <c r="BF80" s="723"/>
      <c r="BG80" s="723"/>
      <c r="BH80" s="723"/>
      <c r="BI80" s="723"/>
      <c r="BJ80" s="723"/>
      <c r="BK80" s="723"/>
      <c r="BL80" s="723"/>
      <c r="BM80" s="723"/>
      <c r="BN80" s="723"/>
      <c r="BO80" s="723"/>
      <c r="BP80" s="723"/>
      <c r="BQ80" s="723"/>
      <c r="BR80" s="723"/>
      <c r="BS80" s="723"/>
      <c r="BT80" s="723"/>
      <c r="BU80" s="723"/>
      <c r="BV80" s="723"/>
      <c r="BW80" s="728"/>
      <c r="BX80" s="728"/>
      <c r="BY80" s="728"/>
      <c r="BZ80" s="723"/>
      <c r="CA80" s="723"/>
      <c r="CB80" s="723"/>
      <c r="CC80" s="723"/>
      <c r="CD80" s="723"/>
      <c r="CE80" s="723"/>
      <c r="CF80" s="723"/>
      <c r="CG80" s="723"/>
      <c r="CH80" s="723"/>
      <c r="CI80" s="723"/>
      <c r="CJ80" s="723"/>
      <c r="CK80" s="723"/>
      <c r="CL80" s="723"/>
      <c r="CM80" s="723"/>
      <c r="CN80" s="723"/>
      <c r="CO80" s="723"/>
      <c r="CP80" s="723"/>
      <c r="CQ80" s="723"/>
      <c r="CR80" s="723"/>
      <c r="CS80" s="723"/>
      <c r="CT80" s="723"/>
      <c r="CU80" s="723"/>
      <c r="CV80" s="723"/>
      <c r="CW80" s="723"/>
      <c r="CX80" s="722"/>
      <c r="CY80" s="723"/>
      <c r="CZ80" s="723"/>
      <c r="DA80" s="723"/>
      <c r="DB80" s="723"/>
      <c r="DC80" s="735"/>
      <c r="DD80" s="723"/>
      <c r="DE80" s="723"/>
      <c r="DF80" s="723"/>
      <c r="DG80" s="723"/>
      <c r="DH80" s="723"/>
      <c r="DI80" s="723"/>
      <c r="DJ80" s="723"/>
      <c r="DK80" s="723"/>
      <c r="DL80" s="723"/>
      <c r="DM80" s="723"/>
      <c r="DN80" s="723"/>
      <c r="DO80" s="723"/>
      <c r="DP80" s="723"/>
      <c r="DQ80" s="723"/>
      <c r="DR80" s="723"/>
      <c r="DS80" s="723"/>
      <c r="DT80" s="725"/>
      <c r="DU80" s="723"/>
      <c r="DV80" s="723"/>
      <c r="DW80" s="723"/>
      <c r="DX80" s="723"/>
      <c r="DY80" s="723"/>
      <c r="DZ80" s="723"/>
      <c r="EA80" s="723"/>
      <c r="EB80" s="723"/>
      <c r="EC80" s="723"/>
      <c r="ED80" s="723"/>
      <c r="EE80" s="723"/>
      <c r="EF80" s="723"/>
      <c r="EG80" s="723"/>
      <c r="EH80" s="723"/>
      <c r="EI80" s="723"/>
      <c r="EJ80" s="723"/>
      <c r="EK80" s="723"/>
      <c r="EL80" s="723"/>
      <c r="EM80" s="723"/>
      <c r="EN80" s="723"/>
      <c r="EO80" s="723"/>
      <c r="EP80" s="723"/>
      <c r="EQ80" s="723"/>
      <c r="ER80" s="723"/>
      <c r="ES80" s="723"/>
      <c r="ET80" s="722"/>
      <c r="EU80" s="722"/>
      <c r="EV80" s="722"/>
      <c r="EW80" s="723"/>
      <c r="EX80" s="723"/>
      <c r="EY80" s="723"/>
      <c r="EZ80" s="723"/>
      <c r="FA80" s="723"/>
      <c r="FB80" s="723"/>
      <c r="FC80" s="723"/>
      <c r="FD80" s="741"/>
      <c r="FE80" s="723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742"/>
      <c r="FT80" s="626"/>
      <c r="FU80" s="727"/>
      <c r="FV80" s="727"/>
      <c r="FW80" s="727"/>
      <c r="FX80" s="727"/>
      <c r="FY80" s="727"/>
      <c r="FZ80" s="727"/>
      <c r="GA80" s="727"/>
      <c r="GB80" s="727"/>
      <c r="GC80" s="727"/>
      <c r="GD80" s="750"/>
      <c r="GE80" s="741"/>
      <c r="GF80" s="751"/>
      <c r="GG80" s="750"/>
      <c r="GH80" s="727"/>
      <c r="GI80" s="727"/>
      <c r="GJ80" s="727"/>
      <c r="GK80" s="727"/>
      <c r="GL80" s="727"/>
      <c r="GM80" s="727"/>
      <c r="GN80" s="727"/>
      <c r="GO80" s="727"/>
      <c r="GP80" s="727"/>
      <c r="GQ80" s="727"/>
      <c r="GR80" s="727"/>
      <c r="GS80" s="727"/>
      <c r="GT80" s="727"/>
      <c r="GU80" s="752"/>
      <c r="GV80" s="727"/>
      <c r="GW80" s="727"/>
      <c r="GX80" s="727"/>
      <c r="GY80" s="727"/>
      <c r="GZ80" s="727"/>
      <c r="HA80" s="727"/>
      <c r="HB80" s="727"/>
      <c r="HC80" s="727"/>
      <c r="HD80" s="727"/>
      <c r="HE80" s="727"/>
      <c r="HF80" s="727"/>
      <c r="HG80" s="727"/>
      <c r="HH80" s="727"/>
      <c r="HI80" s="727"/>
      <c r="HJ80" s="727"/>
      <c r="HK80" s="727"/>
      <c r="HL80" s="727"/>
      <c r="HM80" s="727"/>
      <c r="HN80" s="727"/>
      <c r="HO80" s="752"/>
      <c r="HP80" s="752"/>
      <c r="HQ80" s="727"/>
      <c r="HR80" s="727"/>
      <c r="HS80" s="727"/>
      <c r="HT80" s="727"/>
      <c r="HU80" s="727"/>
      <c r="HV80" s="727"/>
      <c r="HW80" s="727"/>
      <c r="HX80" s="727"/>
      <c r="HY80" s="727"/>
      <c r="HZ80" s="727"/>
      <c r="IA80" s="727"/>
      <c r="IB80" s="727"/>
      <c r="IC80" s="727"/>
      <c r="ID80" s="727"/>
      <c r="IE80" s="727"/>
      <c r="IF80" s="727"/>
      <c r="IG80" s="727"/>
      <c r="IH80" s="727"/>
      <c r="II80" s="727"/>
      <c r="IJ80" s="722"/>
      <c r="IK80" s="722"/>
      <c r="IL80" s="722">
        <v>69.900000000000006</v>
      </c>
      <c r="IM80" s="727">
        <v>34.75</v>
      </c>
      <c r="IN80" s="722">
        <v>0.31</v>
      </c>
      <c r="IO80" s="722">
        <v>69.900000000000006</v>
      </c>
      <c r="IP80" s="727">
        <v>28.0625</v>
      </c>
      <c r="IQ80" s="722">
        <v>0.31</v>
      </c>
      <c r="IR80" s="721">
        <v>71.67</v>
      </c>
      <c r="IS80" s="721">
        <v>27.25</v>
      </c>
      <c r="IT80" s="721">
        <v>0.31</v>
      </c>
      <c r="IU80" s="721">
        <v>71.7</v>
      </c>
      <c r="IV80" s="721">
        <v>21.1875</v>
      </c>
      <c r="IW80" s="721">
        <v>0.31</v>
      </c>
      <c r="IX80" s="721">
        <v>71.7</v>
      </c>
      <c r="IY80" s="721">
        <v>25</v>
      </c>
      <c r="IZ80" s="721">
        <v>0.31</v>
      </c>
      <c r="JA80" s="721">
        <v>71.7</v>
      </c>
      <c r="JB80" s="721">
        <v>28.687999999999999</v>
      </c>
      <c r="JC80" s="721">
        <v>0.31</v>
      </c>
      <c r="JD80" s="721">
        <v>71.7</v>
      </c>
      <c r="JE80" s="721">
        <v>30</v>
      </c>
      <c r="JF80" s="721">
        <v>0.31</v>
      </c>
      <c r="JG80" s="721">
        <v>73.010000000000005</v>
      </c>
      <c r="JH80" s="721">
        <v>30.1875</v>
      </c>
      <c r="JI80" s="721">
        <v>0.31</v>
      </c>
      <c r="JJ80" s="721">
        <v>73.009</v>
      </c>
      <c r="JK80" s="721">
        <v>26.9375</v>
      </c>
      <c r="JL80" s="721">
        <v>0.31</v>
      </c>
      <c r="JM80" s="721">
        <v>75.682000000000002</v>
      </c>
      <c r="JN80" s="721">
        <v>21.5625</v>
      </c>
      <c r="JO80" s="721">
        <v>0.31</v>
      </c>
      <c r="JP80" s="721">
        <v>75.682000000000002</v>
      </c>
      <c r="JQ80" s="721">
        <v>22</v>
      </c>
      <c r="JR80" s="721">
        <v>0.31</v>
      </c>
      <c r="JS80" s="721">
        <v>75.644000000000005</v>
      </c>
      <c r="JT80" s="721">
        <v>22.875</v>
      </c>
      <c r="JU80" s="721">
        <v>0.31</v>
      </c>
      <c r="JV80" s="721">
        <v>75.644000000000005</v>
      </c>
      <c r="JW80" s="721">
        <v>27.5</v>
      </c>
      <c r="JX80" s="721">
        <v>0.28000000000000003</v>
      </c>
      <c r="JY80" s="721">
        <v>75.644000000000005</v>
      </c>
      <c r="JZ80" s="721">
        <v>26.5</v>
      </c>
      <c r="KA80" s="721">
        <v>0.28000000000000003</v>
      </c>
      <c r="KB80" s="721">
        <v>75.644000000000005</v>
      </c>
      <c r="KC80" s="721">
        <v>28.75</v>
      </c>
      <c r="KD80" s="721">
        <v>0.28000000000000003</v>
      </c>
      <c r="KE80" s="721">
        <v>75.644000000000005</v>
      </c>
      <c r="KF80" s="721">
        <v>28.125</v>
      </c>
      <c r="KG80" s="721">
        <v>0.28000000000000003</v>
      </c>
      <c r="KH80" s="721">
        <v>75.644000000000005</v>
      </c>
      <c r="KI80" s="721">
        <v>30</v>
      </c>
      <c r="KJ80" s="721">
        <v>0.28000000000000003</v>
      </c>
      <c r="KK80" s="721">
        <v>75.644000000000005</v>
      </c>
      <c r="KL80" s="721">
        <v>27.125</v>
      </c>
      <c r="KM80" s="721">
        <v>0.25</v>
      </c>
      <c r="KN80" s="721">
        <v>75.644000000000005</v>
      </c>
      <c r="KO80" s="721">
        <v>25.375</v>
      </c>
      <c r="KP80" s="721">
        <v>0.25</v>
      </c>
      <c r="KQ80" s="721">
        <v>75.644000000000005</v>
      </c>
      <c r="KR80" s="721">
        <v>22.75</v>
      </c>
      <c r="KS80" s="721">
        <v>0.25</v>
      </c>
      <c r="KT80" s="721">
        <v>75.644000000000005</v>
      </c>
      <c r="KU80" s="721">
        <v>21.84375</v>
      </c>
      <c r="KV80" s="721">
        <v>0.2</v>
      </c>
      <c r="KW80" s="721">
        <v>75.644000000000005</v>
      </c>
      <c r="KX80" s="721">
        <v>19.25</v>
      </c>
      <c r="KY80" s="721">
        <v>0.2</v>
      </c>
      <c r="KZ80" s="721">
        <v>75.644000000000005</v>
      </c>
      <c r="LA80" s="721">
        <v>18.75</v>
      </c>
      <c r="LB80" s="721">
        <v>0.2</v>
      </c>
      <c r="LC80" s="721">
        <v>75.644000000000005</v>
      </c>
      <c r="LD80" s="721">
        <v>20.25</v>
      </c>
      <c r="LE80" s="721">
        <v>0.2</v>
      </c>
      <c r="LF80" s="721">
        <v>75.644000000000005</v>
      </c>
      <c r="LG80" s="721">
        <v>22.125</v>
      </c>
      <c r="LH80" s="721">
        <v>0.2</v>
      </c>
      <c r="LI80" s="721">
        <v>75.644000000000005</v>
      </c>
      <c r="LJ80" s="721">
        <v>24.75</v>
      </c>
      <c r="LK80" s="721">
        <v>0.2</v>
      </c>
      <c r="LL80" s="721">
        <v>75.644000000000005</v>
      </c>
      <c r="LM80" s="721">
        <v>25.375</v>
      </c>
      <c r="LN80" s="721">
        <v>0.2</v>
      </c>
      <c r="LO80" s="721">
        <v>75.644000000000005</v>
      </c>
      <c r="LP80" s="721">
        <v>23.625</v>
      </c>
      <c r="LQ80" s="721">
        <v>0.2</v>
      </c>
      <c r="LR80" s="721">
        <v>75.644000000000005</v>
      </c>
      <c r="LS80" s="721">
        <v>22.13</v>
      </c>
      <c r="LT80" s="721">
        <v>0.2</v>
      </c>
      <c r="LU80" s="721">
        <v>75.644000000000005</v>
      </c>
      <c r="LV80" s="721">
        <v>21.38</v>
      </c>
      <c r="LW80" s="721">
        <v>0.2</v>
      </c>
      <c r="LX80" s="721">
        <v>75.644000000000005</v>
      </c>
      <c r="LY80" s="721">
        <v>22.75</v>
      </c>
      <c r="LZ80" s="721">
        <v>0.2</v>
      </c>
      <c r="MA80" s="721">
        <v>75.644000000000005</v>
      </c>
      <c r="MB80" s="721">
        <v>20.88</v>
      </c>
      <c r="MC80" s="721">
        <v>0.2</v>
      </c>
      <c r="MD80" s="721">
        <v>75.644000000000005</v>
      </c>
      <c r="ME80" s="721">
        <v>23.5</v>
      </c>
      <c r="MF80" s="721">
        <v>0.2</v>
      </c>
      <c r="MG80" s="721">
        <v>75.644000000000005</v>
      </c>
      <c r="MH80" s="721">
        <v>21.25</v>
      </c>
      <c r="MI80" s="721">
        <v>0</v>
      </c>
      <c r="MJ80" s="721">
        <v>75.644000000000005</v>
      </c>
      <c r="MK80" s="721">
        <v>18.75</v>
      </c>
      <c r="ML80" s="721">
        <v>0</v>
      </c>
      <c r="MM80" s="721">
        <v>75.644000000000005</v>
      </c>
      <c r="MN80" s="721">
        <v>18.25</v>
      </c>
      <c r="MO80" s="721">
        <v>0</v>
      </c>
      <c r="MP80" s="721">
        <v>75.613</v>
      </c>
      <c r="MQ80" s="721">
        <v>16.25</v>
      </c>
    </row>
    <row r="81" spans="1:355">
      <c r="B81" s="723" t="s">
        <v>283</v>
      </c>
      <c r="C81" s="886"/>
      <c r="D81" s="886"/>
      <c r="E81" s="886"/>
      <c r="F81" s="788"/>
      <c r="G81" s="788"/>
      <c r="H81" s="788"/>
      <c r="I81" s="788"/>
      <c r="J81" s="788"/>
      <c r="K81" s="788"/>
      <c r="L81" s="828"/>
      <c r="M81" s="829"/>
      <c r="N81" s="828"/>
      <c r="O81" s="828"/>
      <c r="P81" s="828"/>
      <c r="Q81" s="828"/>
      <c r="R81" s="828"/>
      <c r="S81" s="828"/>
      <c r="T81" s="828"/>
      <c r="U81" s="788"/>
      <c r="V81" s="827"/>
      <c r="W81" s="788"/>
      <c r="X81" s="832"/>
      <c r="Y81" s="788"/>
      <c r="Z81" s="788"/>
      <c r="AA81" s="788"/>
      <c r="AB81" s="788"/>
      <c r="AC81" s="788"/>
      <c r="AJ81" s="788"/>
      <c r="AK81" s="788"/>
      <c r="AL81" s="788"/>
      <c r="AM81" s="828"/>
      <c r="AN81" s="828"/>
      <c r="AO81" s="828"/>
      <c r="AP81" s="788"/>
      <c r="AQ81" s="788"/>
      <c r="AR81" s="788"/>
      <c r="AV81" s="723"/>
      <c r="AW81" s="723"/>
      <c r="AX81" s="723"/>
      <c r="AY81" s="723"/>
      <c r="AZ81" s="723"/>
      <c r="BA81" s="723"/>
      <c r="BB81" s="723"/>
      <c r="BC81" s="723"/>
      <c r="BD81" s="723"/>
      <c r="BE81" s="723"/>
      <c r="BF81" s="723"/>
      <c r="BG81" s="723"/>
      <c r="BH81" s="723"/>
      <c r="BI81" s="723"/>
      <c r="BJ81" s="723"/>
      <c r="BK81" s="723"/>
      <c r="BL81" s="723"/>
      <c r="BM81" s="723"/>
      <c r="BN81" s="723"/>
      <c r="BO81" s="723"/>
      <c r="BP81" s="723"/>
      <c r="BQ81" s="723"/>
      <c r="BR81" s="723"/>
      <c r="BS81" s="723"/>
      <c r="BT81" s="723"/>
      <c r="BU81" s="723"/>
      <c r="BV81" s="723"/>
      <c r="BW81" s="728"/>
      <c r="BX81" s="728"/>
      <c r="BY81" s="728"/>
      <c r="BZ81" s="723"/>
      <c r="CA81" s="723"/>
      <c r="CB81" s="723"/>
      <c r="CC81" s="723"/>
      <c r="CD81" s="723"/>
      <c r="CE81" s="723"/>
      <c r="CF81" s="723"/>
      <c r="CG81" s="723"/>
      <c r="CH81" s="723"/>
      <c r="CI81" s="723"/>
      <c r="CJ81" s="723"/>
      <c r="CK81" s="723"/>
      <c r="CL81" s="723"/>
      <c r="CM81" s="723"/>
      <c r="CN81" s="723"/>
      <c r="CO81" s="723"/>
      <c r="CP81" s="723"/>
      <c r="CQ81" s="723"/>
      <c r="CR81" s="723"/>
      <c r="CS81" s="723"/>
      <c r="CT81" s="723"/>
      <c r="CU81" s="723"/>
      <c r="CV81" s="723"/>
      <c r="CW81" s="723"/>
      <c r="CX81" s="722"/>
      <c r="CY81" s="723"/>
      <c r="CZ81" s="723"/>
      <c r="DA81" s="723"/>
      <c r="DB81" s="723"/>
      <c r="DC81" s="735"/>
      <c r="DD81" s="723"/>
      <c r="DE81" s="723"/>
      <c r="DF81" s="723"/>
      <c r="DG81" s="723"/>
      <c r="DH81" s="723"/>
      <c r="DI81" s="723"/>
      <c r="DJ81" s="723"/>
      <c r="DK81" s="723"/>
      <c r="DL81" s="723"/>
      <c r="DM81" s="723"/>
      <c r="DN81" s="723"/>
      <c r="DO81" s="723"/>
      <c r="DP81" s="723"/>
      <c r="DQ81" s="723"/>
      <c r="DR81" s="723"/>
      <c r="DS81" s="723"/>
      <c r="DT81" s="725"/>
      <c r="DU81" s="723"/>
      <c r="DV81" s="723"/>
      <c r="DW81" s="723"/>
      <c r="DX81" s="723"/>
      <c r="DY81" s="723"/>
      <c r="DZ81" s="723"/>
      <c r="EA81" s="723"/>
      <c r="EB81" s="723"/>
      <c r="EC81" s="723"/>
      <c r="ED81" s="723"/>
      <c r="EE81" s="723"/>
      <c r="EF81" s="723"/>
      <c r="EG81" s="723"/>
      <c r="EH81" s="723"/>
      <c r="EI81" s="723"/>
      <c r="EJ81" s="723"/>
      <c r="EK81" s="723"/>
      <c r="EL81" s="723"/>
      <c r="EM81" s="723"/>
      <c r="EN81" s="723"/>
      <c r="EO81" s="723"/>
      <c r="EP81" s="723"/>
      <c r="EQ81" s="723"/>
      <c r="ER81" s="723"/>
      <c r="ES81" s="723"/>
      <c r="ET81" s="722"/>
      <c r="EU81" s="722"/>
      <c r="EV81" s="722"/>
      <c r="EW81" s="723"/>
      <c r="EX81" s="723"/>
      <c r="EY81" s="723"/>
      <c r="EZ81" s="723"/>
      <c r="FA81" s="723"/>
      <c r="FB81" s="723"/>
      <c r="FC81" s="723"/>
      <c r="FD81" s="741"/>
      <c r="FE81" s="723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742"/>
      <c r="FT81" s="626"/>
      <c r="FU81" s="727"/>
      <c r="FV81" s="727"/>
      <c r="FW81" s="727"/>
      <c r="FX81" s="727"/>
      <c r="FY81" s="727"/>
      <c r="FZ81" s="727"/>
      <c r="GA81" s="727"/>
      <c r="GB81" s="727"/>
      <c r="GC81" s="727"/>
      <c r="GD81" s="750"/>
      <c r="GE81" s="741"/>
      <c r="GF81" s="751"/>
      <c r="GG81" s="750"/>
      <c r="GH81" s="727"/>
      <c r="GI81" s="727"/>
      <c r="GJ81" s="727"/>
      <c r="GK81" s="727"/>
      <c r="GL81" s="727"/>
      <c r="GM81" s="727"/>
      <c r="GN81" s="727"/>
      <c r="GO81" s="727"/>
      <c r="GP81" s="727"/>
      <c r="GQ81" s="727"/>
      <c r="GR81" s="727"/>
      <c r="GS81" s="727"/>
      <c r="GT81" s="727"/>
      <c r="GU81" s="752"/>
      <c r="GV81" s="727"/>
      <c r="GW81" s="727"/>
      <c r="GX81" s="727"/>
      <c r="GY81" s="727"/>
      <c r="GZ81" s="727"/>
      <c r="HA81" s="727"/>
      <c r="HB81" s="727"/>
      <c r="HC81" s="727"/>
      <c r="HD81" s="727"/>
      <c r="HE81" s="727"/>
      <c r="HF81" s="727"/>
      <c r="HG81" s="727"/>
      <c r="HH81" s="727"/>
      <c r="HI81" s="727"/>
      <c r="HJ81" s="727"/>
      <c r="HK81" s="727"/>
      <c r="HL81" s="727"/>
      <c r="HM81" s="727"/>
      <c r="HN81" s="727"/>
      <c r="HO81" s="752"/>
      <c r="HP81" s="752"/>
      <c r="HQ81" s="727"/>
      <c r="HR81" s="727"/>
      <c r="HS81" s="727"/>
      <c r="HT81" s="727"/>
      <c r="HU81" s="727"/>
      <c r="HV81" s="727"/>
      <c r="HW81" s="727"/>
      <c r="HX81" s="727"/>
      <c r="HY81" s="727"/>
      <c r="HZ81" s="727"/>
      <c r="IA81" s="727"/>
      <c r="IB81" s="727"/>
      <c r="IC81" s="727"/>
      <c r="ID81" s="727"/>
      <c r="IE81" s="727"/>
      <c r="IF81" s="727"/>
      <c r="IG81" s="727"/>
      <c r="IH81" s="727"/>
      <c r="II81" s="727"/>
      <c r="IJ81" s="722"/>
      <c r="IK81" s="722"/>
      <c r="IL81" s="722"/>
      <c r="IM81" s="727"/>
      <c r="IN81" s="722"/>
      <c r="IO81" s="722"/>
      <c r="IP81" s="727"/>
      <c r="IQ81" s="722"/>
      <c r="IR81" s="721"/>
      <c r="IS81" s="721"/>
      <c r="IT81" s="721"/>
      <c r="IU81" s="721"/>
      <c r="IV81" s="721"/>
      <c r="IW81" s="721"/>
      <c r="IX81" s="721"/>
      <c r="IY81" s="721"/>
      <c r="IZ81" s="721"/>
      <c r="JA81" s="721"/>
      <c r="JB81" s="721"/>
      <c r="JC81" s="721"/>
      <c r="JD81" s="721"/>
      <c r="JE81" s="721"/>
      <c r="JF81" s="721"/>
      <c r="JG81" s="721">
        <v>9.75</v>
      </c>
      <c r="JH81" s="721">
        <v>35.8125</v>
      </c>
      <c r="JI81" s="721">
        <v>0.52</v>
      </c>
      <c r="JJ81" s="721">
        <v>9.7509999999999994</v>
      </c>
      <c r="JK81" s="721">
        <v>37.4375</v>
      </c>
      <c r="JL81" s="721">
        <v>0.52</v>
      </c>
      <c r="JM81" s="721">
        <v>9.6790000000000003</v>
      </c>
      <c r="JN81" s="721">
        <v>31.625</v>
      </c>
      <c r="JO81" s="721">
        <v>0.52</v>
      </c>
      <c r="JP81" s="721">
        <v>9.6790000000000003</v>
      </c>
      <c r="JQ81" s="721">
        <v>28.625</v>
      </c>
      <c r="JR81" s="721">
        <v>0.52</v>
      </c>
      <c r="JS81" s="721">
        <v>9.64</v>
      </c>
      <c r="JT81" s="721">
        <v>29.125</v>
      </c>
      <c r="JU81" s="721">
        <v>0.52</v>
      </c>
      <c r="JV81" s="721">
        <v>9.5640000000000001</v>
      </c>
      <c r="JW81" s="721">
        <v>29</v>
      </c>
      <c r="JX81" s="721">
        <v>0.52</v>
      </c>
      <c r="JY81" s="721">
        <v>9.5640000000000001</v>
      </c>
      <c r="JZ81" s="721">
        <v>28.875</v>
      </c>
      <c r="KA81" s="721">
        <v>0.52</v>
      </c>
      <c r="KB81" s="721">
        <v>9.5640000000000001</v>
      </c>
      <c r="KC81" s="721">
        <v>32.125</v>
      </c>
      <c r="KD81" s="721">
        <v>0.52</v>
      </c>
      <c r="KE81" s="721">
        <v>9.5640000000000001</v>
      </c>
      <c r="KF81" s="721">
        <v>31.875</v>
      </c>
      <c r="KG81" s="721">
        <v>0.52</v>
      </c>
      <c r="KH81" s="721">
        <v>9.5640000000000001</v>
      </c>
      <c r="KI81" s="721">
        <v>33.125</v>
      </c>
      <c r="KJ81" s="721">
        <v>0.52</v>
      </c>
      <c r="KK81" s="721">
        <v>9.5640000000000001</v>
      </c>
      <c r="KL81" s="721">
        <v>27.25</v>
      </c>
      <c r="KM81" s="721">
        <v>0.52</v>
      </c>
      <c r="KN81" s="721">
        <v>9.5640000000000001</v>
      </c>
      <c r="KO81" s="721">
        <v>24.125</v>
      </c>
      <c r="KP81" s="721">
        <v>0.52</v>
      </c>
      <c r="KQ81" s="721">
        <v>9.5640000000000001</v>
      </c>
      <c r="KR81" s="721">
        <v>23.875</v>
      </c>
      <c r="KS81" s="721">
        <v>0.52</v>
      </c>
      <c r="KT81" s="721">
        <v>9.4250000000000007</v>
      </c>
      <c r="KU81" s="721">
        <v>23.75</v>
      </c>
      <c r="KV81" s="721">
        <v>0.52</v>
      </c>
      <c r="KW81" s="721">
        <v>9.4250000000000007</v>
      </c>
      <c r="KX81" s="721">
        <v>22</v>
      </c>
      <c r="KY81" s="721">
        <v>0.52</v>
      </c>
      <c r="KZ81" s="721">
        <v>9.4250000000000007</v>
      </c>
      <c r="LA81" s="721">
        <v>22.5</v>
      </c>
      <c r="LB81" s="721">
        <v>0.52</v>
      </c>
      <c r="LC81" s="721">
        <v>9.3109999999999999</v>
      </c>
      <c r="LD81" s="721">
        <v>27.75</v>
      </c>
      <c r="LE81" s="721">
        <v>0.52</v>
      </c>
      <c r="LF81" s="721">
        <v>9.3109999999999999</v>
      </c>
      <c r="LG81" s="721">
        <v>30.25</v>
      </c>
      <c r="LH81" s="721">
        <v>0.52</v>
      </c>
      <c r="LI81" s="721">
        <v>9.3109999999999999</v>
      </c>
      <c r="LJ81" s="721">
        <v>29.375</v>
      </c>
      <c r="LK81" s="721">
        <v>0.52</v>
      </c>
      <c r="LL81" s="721">
        <v>9.298</v>
      </c>
      <c r="LM81" s="721">
        <v>30.5</v>
      </c>
      <c r="LN81" s="721">
        <v>0.52</v>
      </c>
      <c r="LO81" s="721">
        <v>9.298</v>
      </c>
      <c r="LP81" s="721">
        <v>32.5</v>
      </c>
      <c r="LQ81" s="721">
        <v>0.52</v>
      </c>
      <c r="LR81" s="721">
        <v>9.298</v>
      </c>
      <c r="LS81" s="721">
        <v>30.88</v>
      </c>
      <c r="LT81" s="721">
        <v>0.52</v>
      </c>
      <c r="LU81" s="721">
        <v>9.298</v>
      </c>
      <c r="LV81" s="721">
        <v>31.75</v>
      </c>
      <c r="LW81" s="721">
        <v>0.52</v>
      </c>
      <c r="LX81" s="721">
        <v>9.298</v>
      </c>
      <c r="LY81" s="721">
        <v>31.75</v>
      </c>
      <c r="LZ81" s="721">
        <v>0.52</v>
      </c>
      <c r="MA81" s="721">
        <v>9.298</v>
      </c>
      <c r="MB81" s="721">
        <v>34.380000000000003</v>
      </c>
      <c r="MC81" s="721">
        <v>0.52</v>
      </c>
      <c r="MD81" s="721">
        <v>9.298</v>
      </c>
      <c r="ME81" s="721">
        <v>33.75</v>
      </c>
      <c r="MF81" s="721">
        <v>0.51</v>
      </c>
      <c r="MG81" s="721">
        <v>9.298</v>
      </c>
      <c r="MH81" s="721">
        <v>32.130000000000003</v>
      </c>
      <c r="MI81" s="721">
        <v>0.51</v>
      </c>
      <c r="MJ81" s="721">
        <v>9.298</v>
      </c>
      <c r="MK81" s="721">
        <v>29.63</v>
      </c>
      <c r="ML81" s="721">
        <v>0.51</v>
      </c>
      <c r="MM81" s="721">
        <v>9.298</v>
      </c>
      <c r="MN81" s="721">
        <v>28.5</v>
      </c>
      <c r="MO81" s="721">
        <v>0.51</v>
      </c>
      <c r="MP81" s="721">
        <v>9.298</v>
      </c>
      <c r="MQ81" s="721">
        <v>25.13</v>
      </c>
    </row>
    <row r="82" spans="1:355">
      <c r="B82" s="723" t="s">
        <v>284</v>
      </c>
      <c r="C82" s="886"/>
      <c r="D82" s="886"/>
      <c r="E82" s="886"/>
      <c r="F82" s="788"/>
      <c r="G82" s="788"/>
      <c r="H82" s="788"/>
      <c r="I82" s="788"/>
      <c r="J82" s="788"/>
      <c r="K82" s="788"/>
      <c r="L82" s="828"/>
      <c r="M82" s="829"/>
      <c r="N82" s="828"/>
      <c r="O82" s="828"/>
      <c r="P82" s="828"/>
      <c r="Q82" s="828"/>
      <c r="R82" s="828"/>
      <c r="S82" s="828"/>
      <c r="T82" s="828"/>
      <c r="U82" s="788"/>
      <c r="V82" s="827"/>
      <c r="W82" s="788"/>
      <c r="X82" s="832"/>
      <c r="Y82" s="788"/>
      <c r="Z82" s="788"/>
      <c r="AA82" s="788"/>
      <c r="AB82" s="788"/>
      <c r="AC82" s="788"/>
      <c r="AJ82" s="788"/>
      <c r="AK82" s="788"/>
      <c r="AL82" s="788"/>
      <c r="AM82" s="828"/>
      <c r="AN82" s="828"/>
      <c r="AO82" s="828"/>
      <c r="AP82" s="788"/>
      <c r="AQ82" s="788"/>
      <c r="AR82" s="788"/>
      <c r="AV82" s="723"/>
      <c r="AW82" s="723"/>
      <c r="AX82" s="723"/>
      <c r="AY82" s="723"/>
      <c r="AZ82" s="723"/>
      <c r="BA82" s="723"/>
      <c r="BB82" s="723"/>
      <c r="BC82" s="723"/>
      <c r="BD82" s="723"/>
      <c r="BE82" s="723"/>
      <c r="BF82" s="723"/>
      <c r="BG82" s="723"/>
      <c r="BH82" s="723"/>
      <c r="BI82" s="723"/>
      <c r="BJ82" s="723"/>
      <c r="BK82" s="723"/>
      <c r="BL82" s="723"/>
      <c r="BM82" s="723"/>
      <c r="BN82" s="723"/>
      <c r="BO82" s="723"/>
      <c r="BP82" s="723"/>
      <c r="BQ82" s="723"/>
      <c r="BR82" s="723"/>
      <c r="BS82" s="723"/>
      <c r="BT82" s="723"/>
      <c r="BU82" s="723"/>
      <c r="BV82" s="723"/>
      <c r="BW82" s="728"/>
      <c r="BX82" s="728"/>
      <c r="BY82" s="728"/>
      <c r="BZ82" s="723"/>
      <c r="CA82" s="723"/>
      <c r="CB82" s="723"/>
      <c r="CC82" s="723"/>
      <c r="CD82" s="723"/>
      <c r="CE82" s="723"/>
      <c r="CF82" s="723"/>
      <c r="CG82" s="723"/>
      <c r="CH82" s="723"/>
      <c r="CI82" s="723"/>
      <c r="CJ82" s="723"/>
      <c r="CK82" s="723"/>
      <c r="CL82" s="723"/>
      <c r="CM82" s="723"/>
      <c r="CN82" s="723"/>
      <c r="CO82" s="723"/>
      <c r="CP82" s="723"/>
      <c r="CQ82" s="723"/>
      <c r="CR82" s="723"/>
      <c r="CS82" s="723"/>
      <c r="CT82" s="723"/>
      <c r="CU82" s="723"/>
      <c r="CV82" s="723"/>
      <c r="CW82" s="723"/>
      <c r="CX82" s="722"/>
      <c r="CY82" s="723"/>
      <c r="CZ82" s="723"/>
      <c r="DA82" s="723"/>
      <c r="DB82" s="723"/>
      <c r="DC82" s="735"/>
      <c r="DD82" s="723"/>
      <c r="DE82" s="723"/>
      <c r="DF82" s="723"/>
      <c r="DG82" s="723"/>
      <c r="DH82" s="723"/>
      <c r="DI82" s="723"/>
      <c r="DJ82" s="723"/>
      <c r="DK82" s="723"/>
      <c r="DL82" s="723"/>
      <c r="DM82" s="723"/>
      <c r="DN82" s="723"/>
      <c r="DO82" s="723"/>
      <c r="DP82" s="723"/>
      <c r="DQ82" s="723"/>
      <c r="DR82" s="723"/>
      <c r="DS82" s="723"/>
      <c r="DT82" s="725"/>
      <c r="DU82" s="723"/>
      <c r="DV82" s="723"/>
      <c r="DW82" s="723"/>
      <c r="DX82" s="723"/>
      <c r="DY82" s="723"/>
      <c r="DZ82" s="723"/>
      <c r="EA82" s="723"/>
      <c r="EB82" s="723"/>
      <c r="EC82" s="723"/>
      <c r="ED82" s="723"/>
      <c r="EE82" s="723"/>
      <c r="EF82" s="723"/>
      <c r="EG82" s="723"/>
      <c r="EH82" s="723"/>
      <c r="EI82" s="723"/>
      <c r="EJ82" s="723"/>
      <c r="EK82" s="723"/>
      <c r="EL82" s="723"/>
      <c r="EM82" s="723"/>
      <c r="EN82" s="723"/>
      <c r="EO82" s="723"/>
      <c r="EP82" s="723"/>
      <c r="EQ82" s="723"/>
      <c r="ER82" s="723"/>
      <c r="ES82" s="723"/>
      <c r="ET82" s="722"/>
      <c r="EU82" s="722"/>
      <c r="EV82" s="722"/>
      <c r="EW82" s="723"/>
      <c r="EX82" s="723"/>
      <c r="EY82" s="723"/>
      <c r="EZ82" s="723"/>
      <c r="FA82" s="723"/>
      <c r="FB82" s="723"/>
      <c r="FC82" s="723"/>
      <c r="FD82" s="741"/>
      <c r="FE82" s="723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742"/>
      <c r="FT82" s="626"/>
      <c r="FU82" s="727"/>
      <c r="FV82" s="727"/>
      <c r="FW82" s="727"/>
      <c r="FX82" s="727"/>
      <c r="FY82" s="727"/>
      <c r="FZ82" s="727"/>
      <c r="GA82" s="727"/>
      <c r="GB82" s="727"/>
      <c r="GC82" s="727"/>
      <c r="GD82" s="750"/>
      <c r="GE82" s="741"/>
      <c r="GF82" s="751"/>
      <c r="GG82" s="750"/>
      <c r="GH82" s="727"/>
      <c r="GI82" s="727"/>
      <c r="GJ82" s="727"/>
      <c r="GK82" s="727"/>
      <c r="GL82" s="727"/>
      <c r="GM82" s="727"/>
      <c r="GN82" s="727"/>
      <c r="GO82" s="727"/>
      <c r="GP82" s="727"/>
      <c r="GQ82" s="727"/>
      <c r="GR82" s="727"/>
      <c r="GS82" s="727"/>
      <c r="GT82" s="727"/>
      <c r="GU82" s="752"/>
      <c r="GV82" s="727"/>
      <c r="GW82" s="727"/>
      <c r="GX82" s="727"/>
      <c r="GY82" s="727"/>
      <c r="GZ82" s="727"/>
      <c r="HA82" s="727"/>
      <c r="HB82" s="727"/>
      <c r="HC82" s="727"/>
      <c r="HD82" s="727"/>
      <c r="HE82" s="727"/>
      <c r="HF82" s="727"/>
      <c r="HG82" s="727"/>
      <c r="HH82" s="727"/>
      <c r="HI82" s="727"/>
      <c r="HJ82" s="727"/>
      <c r="HK82" s="727"/>
      <c r="HL82" s="727"/>
      <c r="HM82" s="727"/>
      <c r="HN82" s="727"/>
      <c r="HO82" s="752"/>
      <c r="HP82" s="752"/>
      <c r="HQ82" s="727"/>
      <c r="HR82" s="727"/>
      <c r="HS82" s="727"/>
      <c r="HT82" s="727"/>
      <c r="HU82" s="727"/>
      <c r="HV82" s="727"/>
      <c r="HW82" s="727"/>
      <c r="HX82" s="727"/>
      <c r="HY82" s="727"/>
      <c r="HZ82" s="727"/>
      <c r="IA82" s="727"/>
      <c r="IB82" s="727"/>
      <c r="IC82" s="727"/>
      <c r="ID82" s="727"/>
      <c r="IE82" s="727"/>
      <c r="IF82" s="727"/>
      <c r="IG82" s="727"/>
      <c r="IH82" s="727"/>
      <c r="II82" s="727"/>
      <c r="IJ82" s="722"/>
      <c r="IK82" s="722"/>
      <c r="IL82" s="722"/>
      <c r="IM82" s="727"/>
      <c r="IN82" s="722"/>
      <c r="IO82" s="722"/>
      <c r="IP82" s="727"/>
      <c r="IQ82" s="722"/>
      <c r="IR82" s="721"/>
      <c r="IS82" s="721"/>
      <c r="IT82" s="721"/>
      <c r="IU82" s="721"/>
      <c r="IV82" s="721"/>
      <c r="IW82" s="721"/>
      <c r="IX82" s="721"/>
      <c r="IY82" s="721"/>
      <c r="IZ82" s="721"/>
      <c r="JA82" s="721"/>
      <c r="JB82" s="721"/>
      <c r="JC82" s="721"/>
      <c r="JD82" s="721"/>
      <c r="JE82" s="721"/>
      <c r="JF82" s="721"/>
      <c r="JG82" s="721"/>
      <c r="JH82" s="721"/>
      <c r="JI82" s="721"/>
      <c r="JJ82" s="721"/>
      <c r="JK82" s="721"/>
      <c r="JL82" s="721"/>
      <c r="JM82" s="721"/>
      <c r="JN82" s="721"/>
      <c r="JO82" s="721"/>
      <c r="JP82" s="721"/>
      <c r="JQ82" s="721"/>
      <c r="JR82" s="721"/>
      <c r="JS82" s="721"/>
      <c r="JT82" s="721"/>
      <c r="JU82" s="721"/>
      <c r="JV82" s="721"/>
      <c r="JW82" s="721"/>
      <c r="JX82" s="721"/>
      <c r="JY82" s="721"/>
      <c r="JZ82" s="721"/>
      <c r="KA82" s="721"/>
      <c r="KB82" s="721"/>
      <c r="KC82" s="721"/>
      <c r="KD82" s="721"/>
      <c r="KE82" s="721"/>
      <c r="KF82" s="721"/>
      <c r="KG82" s="721"/>
      <c r="KH82" s="721"/>
      <c r="KI82" s="721"/>
      <c r="KJ82" s="721"/>
      <c r="KK82" s="721"/>
      <c r="KL82" s="721"/>
      <c r="KM82" s="721"/>
      <c r="KN82" s="721">
        <v>29.827999999999999</v>
      </c>
      <c r="KO82" s="721">
        <v>21.875</v>
      </c>
      <c r="KP82" s="721">
        <v>0.4325</v>
      </c>
      <c r="KQ82" s="721">
        <v>29.827999999999999</v>
      </c>
      <c r="KR82" s="721">
        <v>20.875</v>
      </c>
      <c r="KS82" s="721">
        <v>0.4325</v>
      </c>
      <c r="KT82" s="721">
        <v>29.372</v>
      </c>
      <c r="KU82" s="721">
        <v>19.875</v>
      </c>
      <c r="KV82" s="721">
        <v>0.4325</v>
      </c>
      <c r="KW82" s="721">
        <v>29.372</v>
      </c>
      <c r="KX82" s="721">
        <v>19.875</v>
      </c>
      <c r="KY82" s="721">
        <v>0.4325</v>
      </c>
      <c r="KZ82" s="721">
        <v>29.372</v>
      </c>
      <c r="LA82" s="721">
        <v>20.5</v>
      </c>
      <c r="LB82" s="721">
        <v>0.4325</v>
      </c>
      <c r="LC82" s="721">
        <v>29.341999999999999</v>
      </c>
      <c r="LD82" s="721">
        <v>22.75</v>
      </c>
      <c r="LE82" s="721">
        <v>0.4325</v>
      </c>
      <c r="LF82" s="721">
        <v>29.341999999999999</v>
      </c>
      <c r="LG82" s="721">
        <v>24.625</v>
      </c>
      <c r="LH82" s="721">
        <v>0.432</v>
      </c>
      <c r="LI82" s="721">
        <v>29.341999999999999</v>
      </c>
      <c r="LJ82" s="721">
        <v>25.375</v>
      </c>
      <c r="LK82" s="721">
        <v>0.432</v>
      </c>
      <c r="LL82" s="721">
        <v>29.332999999999998</v>
      </c>
      <c r="LM82" s="721">
        <v>23.625</v>
      </c>
      <c r="LN82" s="721">
        <v>0.432</v>
      </c>
      <c r="LO82" s="721">
        <v>29.329000000000001</v>
      </c>
      <c r="LP82" s="721">
        <v>22.625</v>
      </c>
      <c r="LQ82" s="721">
        <v>0.432</v>
      </c>
      <c r="LR82" s="721">
        <v>27.474</v>
      </c>
      <c r="LS82" s="721">
        <v>22.13</v>
      </c>
      <c r="LT82" s="721">
        <v>0.45</v>
      </c>
      <c r="LU82" s="721">
        <v>27.474</v>
      </c>
      <c r="LV82" s="721">
        <v>24.63</v>
      </c>
      <c r="LW82" s="721">
        <v>0.43</v>
      </c>
      <c r="LX82" s="721">
        <v>26.832000000000001</v>
      </c>
      <c r="LY82" s="721">
        <v>24.63</v>
      </c>
      <c r="LZ82" s="721">
        <v>0.43</v>
      </c>
      <c r="MA82" s="721">
        <v>26.832999999999998</v>
      </c>
      <c r="MB82" s="721">
        <v>24</v>
      </c>
      <c r="MC82" s="721">
        <v>0.43</v>
      </c>
      <c r="MD82" s="721">
        <v>26.838000000000001</v>
      </c>
      <c r="ME82" s="721">
        <v>26.25</v>
      </c>
      <c r="MF82" s="721">
        <v>0.43</v>
      </c>
      <c r="MG82" s="721">
        <v>26.835000000000001</v>
      </c>
      <c r="MH82" s="721">
        <v>25.5</v>
      </c>
      <c r="MI82" s="721">
        <v>0.43</v>
      </c>
      <c r="MJ82" s="721">
        <v>26.835000000000001</v>
      </c>
      <c r="MK82" s="721">
        <v>22.25</v>
      </c>
      <c r="ML82" s="721">
        <v>0.43</v>
      </c>
      <c r="MM82" s="721">
        <v>26.838000000000001</v>
      </c>
      <c r="MN82" s="721">
        <v>21.13</v>
      </c>
      <c r="MO82" s="721">
        <v>0.43</v>
      </c>
      <c r="MP82" s="721">
        <v>26.847000000000001</v>
      </c>
      <c r="MQ82" s="721">
        <v>21.38</v>
      </c>
    </row>
    <row r="83" spans="1:355">
      <c r="B83" s="723" t="s">
        <v>285</v>
      </c>
      <c r="C83" s="886"/>
      <c r="D83" s="886"/>
      <c r="E83" s="886"/>
      <c r="F83" s="788"/>
      <c r="G83" s="788"/>
      <c r="H83" s="788"/>
      <c r="I83" s="788"/>
      <c r="J83" s="788"/>
      <c r="K83" s="788"/>
      <c r="L83" s="828"/>
      <c r="M83" s="829"/>
      <c r="N83" s="828"/>
      <c r="O83" s="828"/>
      <c r="P83" s="828"/>
      <c r="Q83" s="828"/>
      <c r="R83" s="828"/>
      <c r="S83" s="828"/>
      <c r="T83" s="828"/>
      <c r="U83" s="788"/>
      <c r="V83" s="827"/>
      <c r="W83" s="788"/>
      <c r="X83" s="832"/>
      <c r="Y83" s="788"/>
      <c r="Z83" s="788"/>
      <c r="AA83" s="788"/>
      <c r="AB83" s="788"/>
      <c r="AC83" s="788"/>
      <c r="AJ83" s="788"/>
      <c r="AK83" s="788"/>
      <c r="AL83" s="788"/>
      <c r="AM83" s="828"/>
      <c r="AN83" s="828"/>
      <c r="AO83" s="828"/>
      <c r="AP83" s="788"/>
      <c r="AQ83" s="788"/>
      <c r="AR83" s="788"/>
      <c r="AV83" s="723"/>
      <c r="AW83" s="723"/>
      <c r="AX83" s="723"/>
      <c r="AY83" s="723"/>
      <c r="AZ83" s="723"/>
      <c r="BA83" s="723"/>
      <c r="BB83" s="723"/>
      <c r="BC83" s="723"/>
      <c r="BD83" s="723"/>
      <c r="BE83" s="723"/>
      <c r="BF83" s="723"/>
      <c r="BG83" s="723"/>
      <c r="BH83" s="723"/>
      <c r="BI83" s="723"/>
      <c r="BJ83" s="723"/>
      <c r="BK83" s="723"/>
      <c r="BL83" s="723"/>
      <c r="BM83" s="723"/>
      <c r="BN83" s="723"/>
      <c r="BO83" s="723"/>
      <c r="BP83" s="723"/>
      <c r="BQ83" s="723"/>
      <c r="BR83" s="723"/>
      <c r="BS83" s="723"/>
      <c r="BT83" s="723"/>
      <c r="BU83" s="723"/>
      <c r="BV83" s="723"/>
      <c r="BW83" s="728"/>
      <c r="BX83" s="728"/>
      <c r="BY83" s="728"/>
      <c r="BZ83" s="723"/>
      <c r="CA83" s="723"/>
      <c r="CB83" s="723"/>
      <c r="CC83" s="723"/>
      <c r="CD83" s="723"/>
      <c r="CE83" s="723"/>
      <c r="CF83" s="723"/>
      <c r="CG83" s="723"/>
      <c r="CH83" s="723"/>
      <c r="CI83" s="723"/>
      <c r="CJ83" s="723"/>
      <c r="CK83" s="723"/>
      <c r="CL83" s="723"/>
      <c r="CM83" s="723"/>
      <c r="CN83" s="723"/>
      <c r="CO83" s="723"/>
      <c r="CP83" s="723"/>
      <c r="CQ83" s="723"/>
      <c r="CR83" s="723"/>
      <c r="CS83" s="723"/>
      <c r="CT83" s="723"/>
      <c r="CU83" s="723"/>
      <c r="CV83" s="723"/>
      <c r="CW83" s="723"/>
      <c r="CX83" s="722"/>
      <c r="CY83" s="723"/>
      <c r="CZ83" s="723"/>
      <c r="DA83" s="723"/>
      <c r="DB83" s="723"/>
      <c r="DC83" s="735"/>
      <c r="DD83" s="723"/>
      <c r="DE83" s="723"/>
      <c r="DF83" s="723"/>
      <c r="DG83" s="723"/>
      <c r="DH83" s="723"/>
      <c r="DI83" s="723"/>
      <c r="DJ83" s="723"/>
      <c r="DK83" s="723"/>
      <c r="DL83" s="723"/>
      <c r="DM83" s="723"/>
      <c r="DN83" s="723"/>
      <c r="DO83" s="723"/>
      <c r="DP83" s="723"/>
      <c r="DQ83" s="723"/>
      <c r="DR83" s="723"/>
      <c r="DS83" s="723"/>
      <c r="DT83" s="725"/>
      <c r="DU83" s="723"/>
      <c r="DV83" s="723"/>
      <c r="DW83" s="723"/>
      <c r="DX83" s="723"/>
      <c r="DY83" s="723"/>
      <c r="DZ83" s="723"/>
      <c r="EA83" s="723"/>
      <c r="EB83" s="723"/>
      <c r="EC83" s="723"/>
      <c r="ED83" s="723"/>
      <c r="EE83" s="723"/>
      <c r="EF83" s="723"/>
      <c r="EG83" s="723"/>
      <c r="EH83" s="723"/>
      <c r="EI83" s="723"/>
      <c r="EJ83" s="723"/>
      <c r="EK83" s="723"/>
      <c r="EL83" s="723"/>
      <c r="EM83" s="723"/>
      <c r="EN83" s="723"/>
      <c r="EO83" s="723"/>
      <c r="EP83" s="723"/>
      <c r="EQ83" s="723"/>
      <c r="ER83" s="723"/>
      <c r="ES83" s="723"/>
      <c r="ET83" s="722"/>
      <c r="EU83" s="722"/>
      <c r="EV83" s="722"/>
      <c r="EW83" s="723"/>
      <c r="EX83" s="723"/>
      <c r="EY83" s="723"/>
      <c r="EZ83" s="723"/>
      <c r="FA83" s="723"/>
      <c r="FB83" s="723"/>
      <c r="FC83" s="723"/>
      <c r="FD83" s="741"/>
      <c r="FE83" s="723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742"/>
      <c r="FT83" s="626"/>
      <c r="FU83" s="727"/>
      <c r="FV83" s="727"/>
      <c r="FW83" s="727"/>
      <c r="FX83" s="727"/>
      <c r="FY83" s="727"/>
      <c r="FZ83" s="727"/>
      <c r="GA83" s="727"/>
      <c r="GB83" s="727"/>
      <c r="GC83" s="727"/>
      <c r="GD83" s="750"/>
      <c r="GE83" s="741"/>
      <c r="GF83" s="751"/>
      <c r="GG83" s="750"/>
      <c r="GH83" s="727"/>
      <c r="GI83" s="727"/>
      <c r="GJ83" s="727"/>
      <c r="GK83" s="727"/>
      <c r="GL83" s="727"/>
      <c r="GM83" s="727"/>
      <c r="GN83" s="727"/>
      <c r="GO83" s="727"/>
      <c r="GP83" s="727"/>
      <c r="GQ83" s="727"/>
      <c r="GR83" s="727"/>
      <c r="GS83" s="727"/>
      <c r="GT83" s="727"/>
      <c r="GU83" s="752"/>
      <c r="GV83" s="727"/>
      <c r="GW83" s="727"/>
      <c r="GX83" s="727"/>
      <c r="GY83" s="727"/>
      <c r="GZ83" s="727"/>
      <c r="HA83" s="727"/>
      <c r="HB83" s="727"/>
      <c r="HC83" s="727"/>
      <c r="HD83" s="727"/>
      <c r="HE83" s="727"/>
      <c r="HF83" s="727"/>
      <c r="HG83" s="727"/>
      <c r="HH83" s="727"/>
      <c r="HI83" s="727"/>
      <c r="HJ83" s="727"/>
      <c r="HK83" s="727"/>
      <c r="HL83" s="727"/>
      <c r="HM83" s="727"/>
      <c r="HN83" s="727"/>
      <c r="HO83" s="752"/>
      <c r="HP83" s="752"/>
      <c r="HQ83" s="727"/>
      <c r="HR83" s="727"/>
      <c r="HS83" s="727"/>
      <c r="HT83" s="727"/>
      <c r="HU83" s="727"/>
      <c r="HV83" s="727"/>
      <c r="HW83" s="727"/>
      <c r="HX83" s="727"/>
      <c r="HY83" s="727"/>
      <c r="HZ83" s="727"/>
      <c r="IA83" s="727"/>
      <c r="IB83" s="727"/>
      <c r="IC83" s="727">
        <v>129.67699999999999</v>
      </c>
      <c r="ID83" s="727">
        <v>24.4375</v>
      </c>
      <c r="IE83" s="727">
        <v>0.32750000000000001</v>
      </c>
      <c r="IF83" s="727">
        <v>129.67699999999999</v>
      </c>
      <c r="IG83" s="727">
        <v>23.875</v>
      </c>
      <c r="IH83" s="727">
        <v>0.3175</v>
      </c>
      <c r="II83" s="727">
        <v>129.67699999999999</v>
      </c>
      <c r="IJ83" s="722">
        <v>22.875</v>
      </c>
      <c r="IK83" s="722">
        <v>0.3175</v>
      </c>
      <c r="IL83" s="722">
        <v>129.69999999999999</v>
      </c>
      <c r="IM83" s="727">
        <v>17.4375</v>
      </c>
      <c r="IN83" s="722">
        <v>0.3175</v>
      </c>
      <c r="IO83" s="722">
        <v>129.67699999999999</v>
      </c>
      <c r="IP83" s="727">
        <v>21.25</v>
      </c>
      <c r="IQ83" s="722">
        <v>0.3175</v>
      </c>
      <c r="IR83" s="721">
        <v>129.68</v>
      </c>
      <c r="IS83" s="721">
        <v>21</v>
      </c>
      <c r="IT83" s="721">
        <v>0.3075</v>
      </c>
      <c r="IU83" s="721">
        <v>129.69</v>
      </c>
      <c r="IV83" s="721">
        <v>20.8125</v>
      </c>
      <c r="IW83" s="721">
        <v>0.3075</v>
      </c>
      <c r="IX83" s="721">
        <v>129.69</v>
      </c>
      <c r="IY83" s="721">
        <v>28.312999999999999</v>
      </c>
      <c r="IZ83" s="721">
        <v>0.308</v>
      </c>
      <c r="JA83" s="721">
        <v>66.53</v>
      </c>
      <c r="JB83" s="721">
        <v>27.75</v>
      </c>
      <c r="JC83" s="721">
        <v>0.308</v>
      </c>
      <c r="JD83" s="721">
        <v>66.53</v>
      </c>
      <c r="JE83" s="721">
        <v>27.062999999999999</v>
      </c>
      <c r="JF83" s="721">
        <v>0.29799999999999999</v>
      </c>
      <c r="JG83" s="721">
        <v>66.489999999999995</v>
      </c>
      <c r="JH83" s="721">
        <v>25.8125</v>
      </c>
      <c r="JI83" s="721">
        <v>0.29799999999999999</v>
      </c>
      <c r="JJ83" s="721">
        <v>66.491</v>
      </c>
      <c r="JK83" s="721">
        <v>24.8125</v>
      </c>
      <c r="JL83" s="721">
        <v>0.29799999999999999</v>
      </c>
      <c r="JM83" s="721">
        <v>66.382999999999996</v>
      </c>
      <c r="JN83" s="721">
        <v>22.1875</v>
      </c>
      <c r="JO83" s="721">
        <v>0.28799999999999998</v>
      </c>
      <c r="JP83" s="721">
        <v>66.382999999999996</v>
      </c>
      <c r="JQ83" s="721">
        <v>22.062999999999999</v>
      </c>
      <c r="JR83" s="721">
        <v>0.28799999999999998</v>
      </c>
      <c r="JS83" s="721">
        <v>66.340999999999994</v>
      </c>
      <c r="JT83" s="721">
        <v>24.125</v>
      </c>
      <c r="JU83" s="721">
        <v>0.28799999999999998</v>
      </c>
      <c r="JV83" s="721">
        <v>66.307000000000002</v>
      </c>
      <c r="JW83" s="721">
        <v>24.5</v>
      </c>
      <c r="JX83" s="721">
        <v>0.27750000000000002</v>
      </c>
      <c r="JY83" s="721">
        <v>65.537999999999997</v>
      </c>
      <c r="JZ83" s="721">
        <v>22.25</v>
      </c>
      <c r="KA83" s="721">
        <v>0.27750000000000002</v>
      </c>
      <c r="KB83" s="721">
        <v>65.537999999999997</v>
      </c>
      <c r="KC83" s="721">
        <v>22.875</v>
      </c>
      <c r="KD83" s="721">
        <v>0.27750000000000002</v>
      </c>
      <c r="KE83" s="721">
        <v>65.537999999999997</v>
      </c>
      <c r="KF83" s="721">
        <v>21.437999999999999</v>
      </c>
      <c r="KG83" s="721">
        <v>0.27750000000000002</v>
      </c>
      <c r="KH83" s="721">
        <v>65.537999999999997</v>
      </c>
      <c r="KI83" s="721">
        <v>21.125</v>
      </c>
      <c r="KJ83" s="721">
        <v>0.27750000000000002</v>
      </c>
      <c r="KK83" s="721">
        <v>65.537999999999997</v>
      </c>
      <c r="KL83" s="721">
        <v>20.062999999999999</v>
      </c>
      <c r="KM83" s="721">
        <v>0.27750000000000002</v>
      </c>
      <c r="KN83" s="721">
        <v>65.537999999999997</v>
      </c>
      <c r="KO83" s="721">
        <v>19.5</v>
      </c>
      <c r="KP83" s="721">
        <v>0.26874999999999999</v>
      </c>
      <c r="KQ83" s="721">
        <v>65.537999999999997</v>
      </c>
      <c r="KR83" s="721">
        <v>18.75</v>
      </c>
      <c r="KS83" s="721">
        <v>0.26874999999999999</v>
      </c>
      <c r="KT83" s="721">
        <v>65.537999999999997</v>
      </c>
      <c r="KU83" s="721">
        <v>18.4375</v>
      </c>
      <c r="KV83" s="721">
        <v>0.26874999999999999</v>
      </c>
      <c r="KW83" s="721">
        <v>65.537999999999997</v>
      </c>
      <c r="KX83" s="721">
        <v>18.9375</v>
      </c>
      <c r="KY83" s="721">
        <v>0.26</v>
      </c>
      <c r="KZ83" s="721">
        <v>65.537999999999997</v>
      </c>
      <c r="LA83" s="721">
        <v>18.25</v>
      </c>
      <c r="LB83" s="721">
        <v>0.26</v>
      </c>
      <c r="LC83" s="721">
        <v>65.537999999999997</v>
      </c>
      <c r="LD83" s="721">
        <v>18.3125</v>
      </c>
      <c r="LE83" s="721">
        <v>0.26</v>
      </c>
      <c r="LF83" s="721">
        <v>65.537999999999997</v>
      </c>
      <c r="LG83" s="721">
        <v>20.25</v>
      </c>
      <c r="LH83" s="721">
        <v>0.26</v>
      </c>
      <c r="LI83" s="721">
        <v>65.537999999999997</v>
      </c>
      <c r="LJ83" s="721">
        <v>20.875</v>
      </c>
      <c r="LK83" s="721">
        <v>0.26</v>
      </c>
      <c r="LL83" s="721">
        <v>65.238</v>
      </c>
      <c r="LM83" s="721">
        <v>19.4375</v>
      </c>
      <c r="LN83" s="721">
        <v>0.251</v>
      </c>
      <c r="LO83" s="721">
        <v>64.885999999999996</v>
      </c>
      <c r="LP83" s="721">
        <v>19.1875</v>
      </c>
      <c r="LQ83" s="721">
        <v>0.251</v>
      </c>
      <c r="LR83" s="721">
        <v>64.602000000000004</v>
      </c>
      <c r="LS83" s="721">
        <v>17.5</v>
      </c>
      <c r="LT83" s="721">
        <v>0.25</v>
      </c>
      <c r="LU83" s="721">
        <v>64.602000000000004</v>
      </c>
      <c r="LV83" s="721">
        <v>17</v>
      </c>
      <c r="LW83" s="721">
        <v>0.25</v>
      </c>
      <c r="LX83" s="721">
        <v>64.591999999999999</v>
      </c>
      <c r="LY83" s="721">
        <v>15.56</v>
      </c>
      <c r="LZ83" s="721">
        <v>0.24</v>
      </c>
      <c r="MA83" s="721">
        <v>64.575000000000003</v>
      </c>
      <c r="MB83" s="721">
        <v>14.92</v>
      </c>
      <c r="MC83" s="721">
        <v>0.24</v>
      </c>
      <c r="MD83" s="721">
        <v>64.512</v>
      </c>
      <c r="ME83" s="721">
        <v>15.83</v>
      </c>
      <c r="MF83" s="721">
        <v>0.24</v>
      </c>
      <c r="MG83" s="721">
        <v>64.494</v>
      </c>
      <c r="MH83" s="721">
        <v>14.67</v>
      </c>
      <c r="MI83" s="721">
        <v>0.24</v>
      </c>
      <c r="MJ83" s="721">
        <v>64.475999999999999</v>
      </c>
      <c r="MK83" s="721">
        <v>13.21</v>
      </c>
      <c r="ML83" s="721">
        <v>0.24</v>
      </c>
      <c r="MM83" s="721">
        <v>64.427999999999997</v>
      </c>
      <c r="MN83" s="721">
        <v>13.42</v>
      </c>
      <c r="MO83" s="721">
        <v>0.24</v>
      </c>
      <c r="MP83" s="721">
        <v>63.713999999999999</v>
      </c>
      <c r="MQ83" s="721">
        <v>13.33</v>
      </c>
    </row>
    <row r="84" spans="1:355">
      <c r="B84" s="727" t="s">
        <v>286</v>
      </c>
      <c r="C84" s="886"/>
      <c r="D84" s="886"/>
      <c r="E84" s="886"/>
      <c r="F84" s="788"/>
      <c r="G84" s="788"/>
      <c r="H84" s="788"/>
      <c r="I84" s="788"/>
      <c r="J84" s="788"/>
      <c r="K84" s="788"/>
      <c r="L84" s="828"/>
      <c r="M84" s="829"/>
      <c r="N84" s="828"/>
      <c r="O84" s="828"/>
      <c r="P84" s="828"/>
      <c r="Q84" s="828"/>
      <c r="R84" s="828"/>
      <c r="S84" s="828"/>
      <c r="T84" s="828"/>
      <c r="U84" s="788"/>
      <c r="V84" s="827"/>
      <c r="W84" s="788"/>
      <c r="X84" s="832"/>
      <c r="Y84" s="788"/>
      <c r="Z84" s="788"/>
      <c r="AA84" s="788"/>
      <c r="AB84" s="788"/>
      <c r="AC84" s="788"/>
      <c r="AJ84" s="788"/>
      <c r="AK84" s="788"/>
      <c r="AL84" s="788"/>
      <c r="AM84" s="828"/>
      <c r="AN84" s="828"/>
      <c r="AO84" s="828"/>
      <c r="AP84" s="788"/>
      <c r="AQ84" s="788"/>
      <c r="AR84" s="788"/>
      <c r="AS84" s="727"/>
      <c r="AT84" s="727"/>
      <c r="AU84" s="727"/>
      <c r="AV84" s="727"/>
      <c r="AW84" s="727"/>
      <c r="AX84" s="727"/>
      <c r="AY84" s="727"/>
      <c r="AZ84" s="727"/>
      <c r="BA84" s="727"/>
      <c r="BB84" s="727"/>
      <c r="BC84" s="727"/>
      <c r="BD84" s="727"/>
      <c r="BE84" s="727"/>
      <c r="BF84" s="727"/>
      <c r="BG84" s="727"/>
      <c r="BH84" s="727"/>
      <c r="BI84" s="727"/>
      <c r="BJ84" s="727"/>
      <c r="BK84" s="727"/>
      <c r="BL84" s="727"/>
      <c r="BM84" s="727"/>
      <c r="BN84" s="727"/>
      <c r="BO84" s="727"/>
      <c r="BP84" s="727"/>
      <c r="BQ84" s="727"/>
      <c r="BR84" s="727"/>
      <c r="BS84" s="727"/>
      <c r="BT84" s="727"/>
      <c r="BU84" s="727"/>
      <c r="BV84" s="727"/>
      <c r="BW84" s="726"/>
      <c r="BX84" s="726"/>
      <c r="BY84" s="726"/>
      <c r="BZ84" s="727"/>
      <c r="CA84" s="727"/>
      <c r="CB84" s="727"/>
      <c r="CC84" s="727"/>
      <c r="CD84" s="727"/>
      <c r="CE84" s="727"/>
      <c r="CF84" s="727"/>
      <c r="CG84" s="727"/>
      <c r="CH84" s="727"/>
      <c r="CI84" s="727"/>
      <c r="CJ84" s="727"/>
      <c r="CK84" s="727"/>
      <c r="CL84" s="727"/>
      <c r="CM84" s="727"/>
      <c r="CN84" s="727"/>
      <c r="CO84" s="727"/>
      <c r="CP84" s="727"/>
      <c r="CQ84" s="727"/>
      <c r="CR84" s="727"/>
      <c r="CS84" s="727"/>
      <c r="CT84" s="727"/>
      <c r="CU84" s="727"/>
      <c r="CV84" s="727"/>
      <c r="CW84" s="727"/>
      <c r="CX84" s="727"/>
      <c r="CY84" s="727"/>
      <c r="CZ84" s="727"/>
      <c r="DA84" s="727"/>
      <c r="DB84" s="727"/>
      <c r="DC84" s="752"/>
      <c r="DD84" s="727"/>
      <c r="DE84" s="727"/>
      <c r="DF84" s="727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48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>
        <v>175.6</v>
      </c>
      <c r="FA84" s="727">
        <v>41.98</v>
      </c>
      <c r="FB84" s="727">
        <v>0.47499999999999998</v>
      </c>
      <c r="FC84" s="723">
        <v>175.04</v>
      </c>
      <c r="FD84" s="741">
        <v>41.15</v>
      </c>
      <c r="FE84" s="723">
        <v>0.47499999999999998</v>
      </c>
      <c r="FF84" s="727">
        <v>175.114</v>
      </c>
      <c r="FG84" s="727">
        <v>41.18</v>
      </c>
      <c r="FH84" s="749">
        <v>0.47499999999999998</v>
      </c>
      <c r="FI84" s="727">
        <v>174.989</v>
      </c>
      <c r="FJ84" s="727">
        <v>41.14</v>
      </c>
      <c r="FK84" s="727">
        <v>0.46500000000000002</v>
      </c>
      <c r="FL84" s="727">
        <v>174.70400000000001</v>
      </c>
      <c r="FM84" s="727">
        <v>40.4</v>
      </c>
      <c r="FN84" s="727">
        <v>0.46500000000000002</v>
      </c>
      <c r="FO84" s="727">
        <v>174.36500000000001</v>
      </c>
      <c r="FP84" s="727">
        <v>40.869999999999997</v>
      </c>
      <c r="FQ84" s="727">
        <v>0.46500000000000002</v>
      </c>
      <c r="FR84" s="727">
        <v>174.33199999999999</v>
      </c>
      <c r="FS84" s="742">
        <v>35.69</v>
      </c>
      <c r="FT84" s="626">
        <f>1.86/4</f>
        <v>0.46500000000000002</v>
      </c>
      <c r="FU84" s="727">
        <v>169.93299999999999</v>
      </c>
      <c r="FV84" s="727">
        <v>36.78</v>
      </c>
      <c r="FW84" s="727">
        <v>0.45500000000000002</v>
      </c>
      <c r="FX84" s="727">
        <v>161.125</v>
      </c>
      <c r="FY84" s="727">
        <v>40.700000000000003</v>
      </c>
      <c r="FZ84" s="727">
        <v>0.45500000000000002</v>
      </c>
      <c r="GA84" s="727">
        <v>160.357</v>
      </c>
      <c r="GB84" s="727">
        <v>38.97</v>
      </c>
      <c r="GC84" s="727">
        <v>0.45500000000000002</v>
      </c>
      <c r="GD84" s="750">
        <v>160.357</v>
      </c>
      <c r="GE84" s="741">
        <v>39.450000000000003</v>
      </c>
      <c r="GF84" s="751">
        <v>0.45500000000000002</v>
      </c>
      <c r="GG84" s="750">
        <v>160.167</v>
      </c>
      <c r="GH84" s="727">
        <v>39.200000000000003</v>
      </c>
      <c r="GI84" s="727">
        <v>0.44500000000000001</v>
      </c>
      <c r="GJ84" s="727">
        <v>159.892</v>
      </c>
      <c r="GK84" s="727">
        <v>36.700000000000003</v>
      </c>
      <c r="GL84" s="727">
        <v>0.44500000000000001</v>
      </c>
      <c r="GM84" s="727">
        <v>159.411</v>
      </c>
      <c r="GN84" s="727">
        <v>38.22</v>
      </c>
      <c r="GO84" s="727">
        <v>0.44500000000000001</v>
      </c>
      <c r="GP84" s="727">
        <v>158.78299999999999</v>
      </c>
      <c r="GQ84" s="727">
        <v>36.799999999999997</v>
      </c>
      <c r="GR84" s="727">
        <v>0.44500000000000001</v>
      </c>
      <c r="GS84" s="727">
        <v>157.94300000000001</v>
      </c>
      <c r="GT84" s="727">
        <v>35.08</v>
      </c>
      <c r="GU84" s="727">
        <v>0.44500000000000001</v>
      </c>
      <c r="GV84" s="727">
        <v>156.886</v>
      </c>
      <c r="GW84" s="727">
        <v>35.450000000000003</v>
      </c>
      <c r="GX84" s="727">
        <v>0.44500000000000001</v>
      </c>
      <c r="GY84" s="727">
        <v>142.26499999999999</v>
      </c>
      <c r="GZ84" s="727">
        <v>32.25</v>
      </c>
      <c r="HA84" s="727">
        <v>0.44500000000000001</v>
      </c>
      <c r="HB84" s="727">
        <v>141.68600000000001</v>
      </c>
      <c r="HC84" s="727">
        <v>35.24</v>
      </c>
      <c r="HD84" s="727">
        <v>0.44500000000000001</v>
      </c>
      <c r="HE84" s="727">
        <v>141.06299999999999</v>
      </c>
      <c r="HF84" s="727">
        <v>33.5</v>
      </c>
      <c r="HG84" s="727">
        <v>0.44500000000000001</v>
      </c>
      <c r="HH84" s="727">
        <v>140.03899999999999</v>
      </c>
      <c r="HI84" s="727">
        <v>37.65</v>
      </c>
      <c r="HJ84" s="727">
        <v>0.44500000000000001</v>
      </c>
      <c r="HK84" s="727">
        <v>139.285</v>
      </c>
      <c r="HL84" s="727">
        <v>36.39</v>
      </c>
      <c r="HM84" s="727">
        <v>0.44500000000000001</v>
      </c>
      <c r="HN84" s="727">
        <v>138.69300000000001</v>
      </c>
      <c r="HO84" s="727">
        <v>34.65</v>
      </c>
      <c r="HP84" s="727">
        <v>0.44500000000000001</v>
      </c>
      <c r="HQ84" s="727">
        <v>137.916</v>
      </c>
      <c r="HR84" s="727">
        <v>33.24</v>
      </c>
      <c r="HS84" s="727">
        <v>0.44500000000000001</v>
      </c>
      <c r="HT84" s="727">
        <v>136.96100000000001</v>
      </c>
      <c r="HU84" s="727">
        <v>36.479999999999997</v>
      </c>
      <c r="HV84" s="727">
        <v>0.44500000000000001</v>
      </c>
      <c r="HW84" s="727">
        <v>135.333</v>
      </c>
      <c r="HX84" s="727">
        <v>38.130000000000003</v>
      </c>
      <c r="HY84" s="727">
        <v>0.44500000000000001</v>
      </c>
      <c r="HZ84" s="727">
        <v>134.33500000000001</v>
      </c>
      <c r="IA84" s="727">
        <v>42.375</v>
      </c>
      <c r="IB84" s="727">
        <v>0.44500000000000001</v>
      </c>
      <c r="IC84" s="727">
        <v>133.88900000000001</v>
      </c>
      <c r="ID84" s="727">
        <v>40.125</v>
      </c>
      <c r="IE84" s="727">
        <v>0.44500000000000001</v>
      </c>
      <c r="IF84" s="727">
        <v>133.87299999999999</v>
      </c>
      <c r="IG84" s="727">
        <v>30.75</v>
      </c>
      <c r="IH84" s="727">
        <v>0.44500000000000001</v>
      </c>
      <c r="II84" s="727">
        <v>133.86600000000001</v>
      </c>
      <c r="IJ84" s="722">
        <v>27.625</v>
      </c>
      <c r="IK84" s="722">
        <v>0.44500000000000001</v>
      </c>
      <c r="IL84" s="722">
        <v>136.506</v>
      </c>
      <c r="IM84" s="727">
        <v>23.1875</v>
      </c>
      <c r="IN84" s="722">
        <v>0.44500000000000001</v>
      </c>
      <c r="IO84" s="722">
        <v>140.749</v>
      </c>
      <c r="IP84" s="727">
        <v>28.625</v>
      </c>
      <c r="IQ84" s="722">
        <v>0.44500000000000001</v>
      </c>
      <c r="IR84" s="721">
        <v>157.30000000000001</v>
      </c>
      <c r="IS84" s="721">
        <v>26.375</v>
      </c>
      <c r="IT84" s="721">
        <v>0.44500000000000001</v>
      </c>
      <c r="IU84" s="721">
        <v>157.30000000000001</v>
      </c>
      <c r="IV84" s="721">
        <v>25.125</v>
      </c>
      <c r="IW84" s="721">
        <v>0.44500000000000001</v>
      </c>
      <c r="IX84" s="721">
        <v>157.30000000000001</v>
      </c>
      <c r="IY84" s="721">
        <v>31</v>
      </c>
      <c r="IZ84" s="721">
        <v>0.44500000000000001</v>
      </c>
      <c r="JA84" s="721">
        <v>121</v>
      </c>
      <c r="JB84" s="721">
        <v>28.687999999999999</v>
      </c>
      <c r="JC84" s="721">
        <v>0.44500000000000001</v>
      </c>
      <c r="JD84" s="721">
        <v>121</v>
      </c>
      <c r="JE84" s="721">
        <v>29.937999999999999</v>
      </c>
      <c r="JF84" s="721">
        <v>0.44500000000000001</v>
      </c>
      <c r="JG84" s="721">
        <v>121.34</v>
      </c>
      <c r="JH84" s="721">
        <v>31.25</v>
      </c>
      <c r="JI84" s="721">
        <v>0.44500000000000001</v>
      </c>
      <c r="JJ84" s="721">
        <v>121.34099999999999</v>
      </c>
      <c r="JK84" s="721">
        <v>30.125</v>
      </c>
      <c r="JL84" s="721">
        <v>0.44500000000000001</v>
      </c>
      <c r="JM84" s="721">
        <v>120.995</v>
      </c>
      <c r="JN84" s="721">
        <v>25.75</v>
      </c>
      <c r="JO84" s="721">
        <v>0.44500000000000001</v>
      </c>
      <c r="JP84" s="721">
        <v>120.995</v>
      </c>
      <c r="JQ84" s="721">
        <v>23</v>
      </c>
      <c r="JR84" s="721">
        <v>0.44500000000000001</v>
      </c>
      <c r="JS84" s="721">
        <v>120.495</v>
      </c>
      <c r="JT84" s="721">
        <v>24</v>
      </c>
      <c r="JU84" s="721">
        <v>0.44500000000000001</v>
      </c>
      <c r="JV84" s="721">
        <v>120.495</v>
      </c>
      <c r="JW84" s="721">
        <v>22.125</v>
      </c>
      <c r="JX84" s="721">
        <v>0.44500000000000001</v>
      </c>
      <c r="JY84" s="721">
        <v>119</v>
      </c>
      <c r="JZ84" s="721">
        <v>17.125</v>
      </c>
      <c r="KA84" s="721">
        <v>0.44500000000000001</v>
      </c>
      <c r="KB84" s="721">
        <v>119</v>
      </c>
      <c r="KC84" s="721">
        <v>16.875</v>
      </c>
      <c r="KD84" s="721">
        <v>0.44500000000000001</v>
      </c>
      <c r="KE84" s="721">
        <v>119</v>
      </c>
      <c r="KF84" s="721">
        <v>17.625</v>
      </c>
      <c r="KG84" s="721">
        <v>0.44500000000000001</v>
      </c>
      <c r="KH84" s="721">
        <v>119</v>
      </c>
      <c r="KI84" s="721">
        <v>16.375</v>
      </c>
      <c r="KJ84" s="721">
        <v>0.44500000000000001</v>
      </c>
      <c r="KK84" s="721">
        <v>112.14700000000001</v>
      </c>
      <c r="KL84" s="721">
        <v>17.25</v>
      </c>
      <c r="KM84" s="721">
        <v>0.44500000000000001</v>
      </c>
      <c r="KN84" s="721">
        <v>112.14700000000001</v>
      </c>
      <c r="KO84" s="721">
        <v>15.5</v>
      </c>
      <c r="KP84" s="721">
        <v>0.44500000000000001</v>
      </c>
      <c r="KQ84" s="721">
        <v>112.14700000000001</v>
      </c>
      <c r="KR84" s="721">
        <v>14.625</v>
      </c>
      <c r="KS84" s="721">
        <v>0.44500000000000001</v>
      </c>
      <c r="KT84" s="721">
        <v>112.14700000000001</v>
      </c>
      <c r="KU84" s="721">
        <v>15.375</v>
      </c>
      <c r="KV84" s="721">
        <v>0.44500000000000001</v>
      </c>
      <c r="KW84" s="721">
        <v>112.14700000000001</v>
      </c>
      <c r="KX84" s="721">
        <v>16.25</v>
      </c>
      <c r="KY84" s="721">
        <v>0.44500000000000001</v>
      </c>
      <c r="KZ84" s="721">
        <v>112.14700000000001</v>
      </c>
      <c r="LA84" s="721">
        <v>17.75</v>
      </c>
      <c r="LB84" s="721">
        <v>0.44500000000000001</v>
      </c>
      <c r="LC84" s="721">
        <v>112.14700000000001</v>
      </c>
      <c r="LD84" s="721">
        <v>21.75</v>
      </c>
      <c r="LE84" s="721">
        <v>0.44500000000000001</v>
      </c>
      <c r="LF84" s="721">
        <v>112.14700000000001</v>
      </c>
      <c r="LG84" s="721">
        <v>24.375</v>
      </c>
      <c r="LH84" s="721">
        <v>0.44500000000000001</v>
      </c>
      <c r="LI84" s="721">
        <v>112.14700000000001</v>
      </c>
      <c r="LJ84" s="721">
        <v>27.25</v>
      </c>
      <c r="LK84" s="721">
        <v>0.44500000000000001</v>
      </c>
      <c r="LL84" s="721">
        <v>111.97</v>
      </c>
      <c r="LM84" s="721">
        <v>27.25</v>
      </c>
      <c r="LN84" s="721">
        <v>0.435</v>
      </c>
      <c r="LO84" s="721">
        <v>111.779</v>
      </c>
      <c r="LP84" s="721">
        <v>27.625</v>
      </c>
      <c r="LQ84" s="721">
        <v>0.435</v>
      </c>
      <c r="LR84" s="721">
        <v>111.38200000000001</v>
      </c>
      <c r="LS84" s="721">
        <v>25.75</v>
      </c>
      <c r="LT84" s="721">
        <v>0.44</v>
      </c>
      <c r="LU84" s="721">
        <v>111.38200000000001</v>
      </c>
      <c r="LV84" s="721">
        <v>24.5</v>
      </c>
      <c r="LW84" s="721">
        <v>0.43</v>
      </c>
      <c r="LX84" s="721">
        <v>111.379</v>
      </c>
      <c r="LY84" s="721">
        <v>23.5</v>
      </c>
      <c r="LZ84" s="721">
        <v>0.43</v>
      </c>
      <c r="MA84" s="721">
        <v>111.372</v>
      </c>
      <c r="MB84" s="721">
        <v>22.5</v>
      </c>
      <c r="MC84" s="721">
        <v>0.43</v>
      </c>
      <c r="MD84" s="721">
        <v>111.348</v>
      </c>
      <c r="ME84" s="721">
        <v>24.63</v>
      </c>
      <c r="MF84" s="721">
        <v>0.43</v>
      </c>
      <c r="MG84" s="721">
        <v>111.343</v>
      </c>
      <c r="MH84" s="721">
        <v>24</v>
      </c>
      <c r="MI84" s="721">
        <v>0.38</v>
      </c>
      <c r="MJ84" s="721">
        <v>111.33799999999999</v>
      </c>
      <c r="MK84" s="721">
        <v>22.38</v>
      </c>
      <c r="ML84" s="721">
        <v>0.38</v>
      </c>
      <c r="MM84" s="721">
        <v>111.331</v>
      </c>
      <c r="MN84" s="721">
        <v>22.75</v>
      </c>
      <c r="MO84" s="721">
        <v>0.38</v>
      </c>
      <c r="MP84" s="721">
        <v>111.29</v>
      </c>
      <c r="MQ84" s="721">
        <v>21.38</v>
      </c>
    </row>
    <row r="85" spans="1:355">
      <c r="A85" s="633" t="s">
        <v>50</v>
      </c>
      <c r="B85" s="726" t="s">
        <v>152</v>
      </c>
      <c r="C85" s="885">
        <v>34.667999999999999</v>
      </c>
      <c r="D85" s="885">
        <v>65.47</v>
      </c>
      <c r="E85" s="885">
        <v>0.35249999999999998</v>
      </c>
      <c r="F85" s="828">
        <v>34.667999999999999</v>
      </c>
      <c r="G85" s="828">
        <v>78.819999999999993</v>
      </c>
      <c r="H85" s="828">
        <v>0.35249999999999998</v>
      </c>
      <c r="I85" s="828">
        <v>34.667999999999999</v>
      </c>
      <c r="J85" s="828">
        <v>79.87</v>
      </c>
      <c r="K85" s="839">
        <v>0.35249999999999998</v>
      </c>
      <c r="L85" s="828">
        <v>34.667999999999999</v>
      </c>
      <c r="M85" s="829">
        <v>73.08</v>
      </c>
      <c r="N85" s="828">
        <v>0.33750000000000002</v>
      </c>
      <c r="O85" s="828">
        <v>34.667999999999999</v>
      </c>
      <c r="P85" s="828">
        <v>67.97</v>
      </c>
      <c r="Q85" s="828">
        <v>0.33750000000000002</v>
      </c>
      <c r="R85" s="828">
        <v>34.667999999999999</v>
      </c>
      <c r="S85" s="828">
        <v>59.96</v>
      </c>
      <c r="T85" s="828">
        <v>0.33750000000000002</v>
      </c>
      <c r="U85" s="828">
        <v>34.667999999999999</v>
      </c>
      <c r="V85" s="829">
        <v>63.85</v>
      </c>
      <c r="W85" s="828">
        <v>0.33750000000000002</v>
      </c>
      <c r="X85" s="832">
        <v>34.667999999999999</v>
      </c>
      <c r="Y85" s="788">
        <v>63.05</v>
      </c>
      <c r="Z85" s="788">
        <v>0.32250000000000001</v>
      </c>
      <c r="AA85" s="788">
        <v>34.667999999999999</v>
      </c>
      <c r="AB85" s="788">
        <v>56.1</v>
      </c>
      <c r="AC85" s="788">
        <v>0.32250000000000001</v>
      </c>
      <c r="AD85" s="788">
        <v>34.667999999999999</v>
      </c>
      <c r="AE85" s="788">
        <v>63.1</v>
      </c>
      <c r="AF85" s="788">
        <v>0.32250000000000001</v>
      </c>
      <c r="AG85" s="788">
        <v>34.667999999999999</v>
      </c>
      <c r="AH85" s="788">
        <v>64.599999999999994</v>
      </c>
      <c r="AI85" s="801">
        <v>0.32250000000000001</v>
      </c>
      <c r="AJ85" s="788">
        <v>34.667999999999999</v>
      </c>
      <c r="AK85" s="788">
        <v>64.349999999999994</v>
      </c>
      <c r="AL85" s="788">
        <v>0.3075</v>
      </c>
      <c r="AM85" s="828">
        <v>34.667999999999999</v>
      </c>
      <c r="AN85" s="828">
        <v>65</v>
      </c>
      <c r="AO85" s="828">
        <v>0.3075</v>
      </c>
      <c r="AP85" s="788">
        <v>34.667999999999999</v>
      </c>
      <c r="AQ85" s="788">
        <v>65.3</v>
      </c>
      <c r="AR85" s="788">
        <v>0.3075</v>
      </c>
      <c r="AS85" s="727">
        <v>34.667999999999999</v>
      </c>
      <c r="AT85" s="727">
        <v>56.51</v>
      </c>
      <c r="AU85" s="747">
        <v>0.3075</v>
      </c>
      <c r="AV85" s="727">
        <v>34.667999999999999</v>
      </c>
      <c r="AW85" s="727">
        <v>56.52</v>
      </c>
      <c r="AX85" s="727">
        <v>0.29499999999999998</v>
      </c>
      <c r="AY85" s="727">
        <v>34.667999999999999</v>
      </c>
      <c r="AZ85" s="727">
        <v>52.25</v>
      </c>
      <c r="BA85" s="727">
        <v>0.29499999999999998</v>
      </c>
      <c r="BB85" s="727">
        <v>34.667999999999999</v>
      </c>
      <c r="BC85" s="727">
        <v>46.4</v>
      </c>
      <c r="BD85" s="727">
        <v>0.29499999999999998</v>
      </c>
      <c r="BE85" s="727">
        <v>34.667999999999999</v>
      </c>
      <c r="BF85" s="727">
        <v>41.19</v>
      </c>
      <c r="BG85" s="746">
        <v>0.29499999999999998</v>
      </c>
      <c r="BH85" s="727">
        <v>34.667999999999999</v>
      </c>
      <c r="BI85" s="727">
        <v>38.729999999999997</v>
      </c>
      <c r="BJ85" s="727">
        <v>0.28249999999999997</v>
      </c>
      <c r="BK85" s="726">
        <v>34.667999999999999</v>
      </c>
      <c r="BL85" s="726">
        <v>44.32</v>
      </c>
      <c r="BM85" s="726">
        <v>0.28249999999999997</v>
      </c>
      <c r="BN85" s="727">
        <v>34.667999999999999</v>
      </c>
      <c r="BO85" s="727">
        <v>45.61</v>
      </c>
      <c r="BP85" s="727">
        <v>0.28249999999999997</v>
      </c>
      <c r="BQ85" s="727">
        <v>34.667999999999999</v>
      </c>
      <c r="BR85" s="727">
        <v>37.26</v>
      </c>
      <c r="BS85" s="727">
        <v>0.28249999999999997</v>
      </c>
      <c r="BT85" s="727">
        <v>34.667999999999999</v>
      </c>
      <c r="BU85" s="727">
        <v>39.51</v>
      </c>
      <c r="BV85" s="727">
        <v>0.2717</v>
      </c>
      <c r="BW85" s="768">
        <v>34.667999999999999</v>
      </c>
      <c r="BX85" s="768">
        <v>39.229999999999997</v>
      </c>
      <c r="BY85" s="768">
        <v>0.2717</v>
      </c>
      <c r="BZ85" s="727">
        <f>23.114*1.5</f>
        <v>34.670999999999999</v>
      </c>
      <c r="CA85" s="727">
        <f>57.71/1.5</f>
        <v>38.473333333333336</v>
      </c>
      <c r="CB85" s="727">
        <f>0.4076/1.5</f>
        <v>0.27173333333333333</v>
      </c>
      <c r="CC85" s="727">
        <f>23.114*1.5</f>
        <v>34.670999999999999</v>
      </c>
      <c r="CD85" s="727">
        <f>54.55/1.5</f>
        <v>36.366666666666667</v>
      </c>
      <c r="CE85" s="746">
        <f>0.4076/1.5</f>
        <v>0.27173333333333333</v>
      </c>
      <c r="CF85" s="727">
        <f>23.114*1.5</f>
        <v>34.670999999999999</v>
      </c>
      <c r="CG85" s="727">
        <f>54.76/1.5</f>
        <v>36.506666666666668</v>
      </c>
      <c r="CH85" s="727">
        <f>0.3951/1.5</f>
        <v>0.26340000000000002</v>
      </c>
      <c r="CI85" s="726">
        <f>23.114*1.5</f>
        <v>34.670999999999999</v>
      </c>
      <c r="CJ85" s="726">
        <f>55.44/1.5</f>
        <v>36.96</v>
      </c>
      <c r="CK85" s="726">
        <f>0.3951/1.5</f>
        <v>0.26340000000000002</v>
      </c>
      <c r="CL85" s="727">
        <f>23.114*1.5</f>
        <v>34.670999999999999</v>
      </c>
      <c r="CM85" s="727">
        <f>50.95/1.5</f>
        <v>33.966666666666669</v>
      </c>
      <c r="CN85" s="727">
        <f>0.3951/1.5</f>
        <v>0.26340000000000002</v>
      </c>
      <c r="CO85" s="727">
        <f>23.114*1.5</f>
        <v>34.670999999999999</v>
      </c>
      <c r="CP85" s="727">
        <f>52.99/1.5</f>
        <v>35.326666666666668</v>
      </c>
      <c r="CQ85" s="746">
        <f>0.3951/1.5</f>
        <v>0.26340000000000002</v>
      </c>
      <c r="CR85" s="727">
        <f>23.114*1.5</f>
        <v>34.670999999999999</v>
      </c>
      <c r="CS85" s="727">
        <f>47.3/1.5</f>
        <v>31.533333333333331</v>
      </c>
      <c r="CT85" s="727">
        <f>0.3826/1.5</f>
        <v>0.25506666666666666</v>
      </c>
      <c r="CU85" s="726">
        <f>23.114*1.5</f>
        <v>34.670999999999999</v>
      </c>
      <c r="CV85" s="726">
        <f>44.37/1.5</f>
        <v>29.58</v>
      </c>
      <c r="CW85" s="726">
        <f>0.3826/1.5</f>
        <v>0.25506666666666666</v>
      </c>
      <c r="CX85" s="727">
        <f>23.114*1.5</f>
        <v>34.670999999999999</v>
      </c>
      <c r="CY85" s="727">
        <f>46.77/1.5</f>
        <v>31.180000000000003</v>
      </c>
      <c r="CZ85" s="727">
        <f>0.3826/1.5</f>
        <v>0.25506666666666666</v>
      </c>
      <c r="DA85" s="727">
        <f>23.114*1.5</f>
        <v>34.670999999999999</v>
      </c>
      <c r="DB85" s="727">
        <f>40.67/1.5</f>
        <v>27.113333333333333</v>
      </c>
      <c r="DC85" s="747">
        <f>0.3826/1.5</f>
        <v>0.25506666666666666</v>
      </c>
      <c r="DD85" s="727">
        <f>23.114*1.5</f>
        <v>34.670999999999999</v>
      </c>
      <c r="DE85" s="727">
        <f>40.5/1.5</f>
        <v>27</v>
      </c>
      <c r="DF85" s="727">
        <f>0.3751/1.5</f>
        <v>0.25006666666666666</v>
      </c>
      <c r="DG85" s="727">
        <f>23.114*1.5</f>
        <v>34.670999999999999</v>
      </c>
      <c r="DH85" s="727">
        <f>40.49/1.5</f>
        <v>26.993333333333336</v>
      </c>
      <c r="DI85" s="727">
        <f>0.3751/1.5</f>
        <v>0.25006666666666666</v>
      </c>
      <c r="DJ85" s="727">
        <f>23.114*1.5</f>
        <v>34.670999999999999</v>
      </c>
      <c r="DK85" s="727">
        <f>42.76/1.5</f>
        <v>28.506666666666664</v>
      </c>
      <c r="DL85" s="727">
        <f>0.3751/1.5</f>
        <v>0.25006666666666666</v>
      </c>
      <c r="DM85" s="727">
        <f>23.114*1.5</f>
        <v>34.670999999999999</v>
      </c>
      <c r="DN85" s="727">
        <f>39.59/1.5</f>
        <v>26.393333333333334</v>
      </c>
      <c r="DO85" s="727">
        <f>0.3751/1.5</f>
        <v>0.25006666666666666</v>
      </c>
      <c r="DP85" s="727">
        <f>23.114*1.5</f>
        <v>34.670999999999999</v>
      </c>
      <c r="DQ85" s="727">
        <f>36.04/1.5</f>
        <v>24.026666666666667</v>
      </c>
      <c r="DR85" s="727">
        <f>0.3684/1.5</f>
        <v>0.24560000000000001</v>
      </c>
      <c r="DS85" s="727">
        <f>23.114*1.5</f>
        <v>34.670999999999999</v>
      </c>
      <c r="DT85" s="748">
        <f>35.36/1.5</f>
        <v>23.573333333333334</v>
      </c>
      <c r="DU85" s="727">
        <f>0.3684/1.5</f>
        <v>0.24560000000000001</v>
      </c>
      <c r="DV85" s="727">
        <f>23.114*1.5</f>
        <v>34.670999999999999</v>
      </c>
      <c r="DW85" s="727">
        <f>35.74/1.5</f>
        <v>23.826666666666668</v>
      </c>
      <c r="DX85" s="727">
        <f>0.3684/1.5</f>
        <v>0.24560000000000001</v>
      </c>
      <c r="DY85" s="727">
        <f>23.095*1.5</f>
        <v>34.642499999999998</v>
      </c>
      <c r="DZ85" s="727">
        <f>36.48/1.5</f>
        <v>24.319999999999997</v>
      </c>
      <c r="EA85" s="727">
        <f>0.3684/1.5</f>
        <v>0.24560000000000001</v>
      </c>
      <c r="EB85" s="727">
        <f>22.956*1.5</f>
        <v>34.433999999999997</v>
      </c>
      <c r="EC85" s="727">
        <f>33.55/1.5</f>
        <v>22.366666666666664</v>
      </c>
      <c r="ED85" s="727">
        <f>0.3617/1.5</f>
        <v>0.24113333333333334</v>
      </c>
      <c r="EE85" s="727">
        <f>22.46*1.5</f>
        <v>33.69</v>
      </c>
      <c r="EF85" s="727">
        <f>31.37/1.5</f>
        <v>20.913333333333334</v>
      </c>
      <c r="EG85" s="727">
        <f>0.3617/1.5</f>
        <v>0.24113333333333334</v>
      </c>
      <c r="EH85" s="727">
        <f>22.23*1.5</f>
        <v>33.344999999999999</v>
      </c>
      <c r="EI85" s="727">
        <f>33/1.5</f>
        <v>22</v>
      </c>
      <c r="EJ85" s="727">
        <f>0.3617/1.5</f>
        <v>0.24113333333333334</v>
      </c>
      <c r="EK85" s="727">
        <v>22.105</v>
      </c>
      <c r="EL85" s="727">
        <v>35.549999999999997</v>
      </c>
      <c r="EM85" s="727">
        <v>0.36170000000000002</v>
      </c>
      <c r="EN85" s="727">
        <v>21.989000000000001</v>
      </c>
      <c r="EO85" s="727">
        <v>32.619999999999997</v>
      </c>
      <c r="EP85" s="727">
        <v>0.35499999999999998</v>
      </c>
      <c r="EQ85" s="727">
        <v>21.52</v>
      </c>
      <c r="ER85" s="727">
        <v>34.06</v>
      </c>
      <c r="ES85" s="727">
        <v>0.35499999999999998</v>
      </c>
      <c r="ET85" s="727">
        <v>21.78</v>
      </c>
      <c r="EU85" s="727">
        <v>35.47</v>
      </c>
      <c r="EV85" s="727">
        <v>0.35499999999999998</v>
      </c>
      <c r="EW85" s="727">
        <v>21.375</v>
      </c>
      <c r="EX85" s="727">
        <v>33.44</v>
      </c>
      <c r="EY85" s="727">
        <v>0.35499999999999998</v>
      </c>
      <c r="EZ85" s="727">
        <v>21.026</v>
      </c>
      <c r="FA85" s="727">
        <v>32.67</v>
      </c>
      <c r="FB85" s="727">
        <v>0.3483</v>
      </c>
      <c r="FC85" s="723">
        <v>20.564</v>
      </c>
      <c r="FD85" s="741">
        <v>35.46</v>
      </c>
      <c r="FE85" s="723">
        <v>0.3483</v>
      </c>
      <c r="FF85" s="769">
        <v>20.468</v>
      </c>
      <c r="FG85" s="727">
        <v>36.58</v>
      </c>
      <c r="FH85" s="727">
        <v>0.3483</v>
      </c>
      <c r="FI85" s="727">
        <v>20.468</v>
      </c>
      <c r="FJ85" s="727">
        <v>32.380000000000003</v>
      </c>
      <c r="FK85" s="770">
        <v>0.3483</v>
      </c>
      <c r="FL85" s="727">
        <v>20.454000000000001</v>
      </c>
      <c r="FM85" s="727">
        <v>31.15</v>
      </c>
      <c r="FN85" s="727">
        <v>0.34499999999999997</v>
      </c>
      <c r="FO85" s="727">
        <v>20.446000000000002</v>
      </c>
      <c r="FP85" s="727">
        <v>33.18</v>
      </c>
      <c r="FQ85" s="727">
        <v>0.34499999999999997</v>
      </c>
      <c r="FR85" s="727">
        <v>20.437999999999999</v>
      </c>
      <c r="FS85" s="742">
        <v>33.909999999999997</v>
      </c>
      <c r="FT85" s="626">
        <f>1.38/4</f>
        <v>0.34499999999999997</v>
      </c>
      <c r="FU85" s="727">
        <v>20.440999999999999</v>
      </c>
      <c r="FV85" s="727">
        <v>36.51</v>
      </c>
      <c r="FW85" s="727">
        <v>0.34499999999999997</v>
      </c>
      <c r="FX85" s="727">
        <v>20.420999999999999</v>
      </c>
      <c r="FY85" s="727">
        <v>36.380000000000003</v>
      </c>
      <c r="FZ85" s="727">
        <v>0.34250000000000003</v>
      </c>
      <c r="GA85" s="727">
        <v>19.079999999999998</v>
      </c>
      <c r="GB85" s="727">
        <v>33.15</v>
      </c>
      <c r="GC85" s="727">
        <v>0.34250000000000003</v>
      </c>
      <c r="GD85" s="750">
        <v>19.079999999999998</v>
      </c>
      <c r="GE85" s="741">
        <v>36.03</v>
      </c>
      <c r="GF85" s="751">
        <v>0.34250000000000003</v>
      </c>
      <c r="GG85" s="750">
        <v>18.657</v>
      </c>
      <c r="GH85" s="727">
        <v>31.82</v>
      </c>
      <c r="GI85" s="727">
        <v>0.34250000000000003</v>
      </c>
      <c r="GJ85" s="727">
        <v>18.425999999999998</v>
      </c>
      <c r="GK85" s="727">
        <v>32.630000000000003</v>
      </c>
      <c r="GL85" s="727">
        <v>0.33750000000000002</v>
      </c>
      <c r="GM85" s="727">
        <v>18.193999999999999</v>
      </c>
      <c r="GN85" s="727">
        <v>30.85</v>
      </c>
      <c r="GO85" s="727">
        <v>0.33750000000000002</v>
      </c>
      <c r="GP85" s="727">
        <v>17.957000000000001</v>
      </c>
      <c r="GQ85" s="727">
        <v>31.45</v>
      </c>
      <c r="GR85" s="727">
        <v>0.33750000000000002</v>
      </c>
      <c r="GS85" s="727">
        <v>17.786999999999999</v>
      </c>
      <c r="GT85" s="727">
        <v>30.25</v>
      </c>
      <c r="GU85" s="727">
        <v>0.33750000000000002</v>
      </c>
      <c r="GV85" s="727">
        <v>17.632999999999999</v>
      </c>
      <c r="GW85" s="727">
        <v>31.37</v>
      </c>
      <c r="GX85" s="727">
        <v>0.33500000000000002</v>
      </c>
      <c r="GY85" s="727">
        <v>17.311</v>
      </c>
      <c r="GZ85" s="727">
        <v>26.48</v>
      </c>
      <c r="HA85" s="727">
        <v>0.33500000000000002</v>
      </c>
      <c r="HB85" s="727">
        <v>17.373301999999999</v>
      </c>
      <c r="HC85" s="727">
        <v>26.77</v>
      </c>
      <c r="HD85" s="727">
        <v>0.33500000000000002</v>
      </c>
      <c r="HE85" s="727">
        <v>17.244589000000001</v>
      </c>
      <c r="HF85" s="727">
        <v>25.66</v>
      </c>
      <c r="HG85" s="727">
        <v>0.33500000000000002</v>
      </c>
      <c r="HH85" s="727">
        <v>17.12</v>
      </c>
      <c r="HI85" s="727">
        <v>27.85</v>
      </c>
      <c r="HJ85" s="727">
        <v>0.33300000000000002</v>
      </c>
      <c r="HK85" s="727">
        <v>16.818999999999999</v>
      </c>
      <c r="HL85" s="727">
        <v>28.42</v>
      </c>
      <c r="HM85" s="727">
        <v>0.33250000000000002</v>
      </c>
      <c r="HN85" s="727">
        <v>16.863</v>
      </c>
      <c r="HO85" s="727">
        <v>26.45</v>
      </c>
      <c r="HP85" s="727">
        <v>0.33250000000000002</v>
      </c>
      <c r="HQ85" s="727">
        <v>16.762</v>
      </c>
      <c r="HR85" s="727">
        <v>25.15</v>
      </c>
      <c r="HS85" s="727">
        <v>0.33250000000000002</v>
      </c>
      <c r="HT85" s="727">
        <v>16.655999999999999</v>
      </c>
      <c r="HU85" s="727">
        <v>27.8</v>
      </c>
      <c r="HV85" s="727">
        <v>0.33</v>
      </c>
      <c r="HW85" s="727">
        <v>16.547999999999998</v>
      </c>
      <c r="HX85" s="727">
        <v>23.38</v>
      </c>
      <c r="HY85" s="727">
        <v>0.33</v>
      </c>
      <c r="HZ85" s="727">
        <v>16.443999999999999</v>
      </c>
      <c r="IA85" s="727">
        <v>22.625</v>
      </c>
      <c r="IB85" s="727">
        <v>0.33</v>
      </c>
      <c r="IC85" s="727">
        <v>16.332000000000001</v>
      </c>
      <c r="ID85" s="727">
        <v>22.75</v>
      </c>
      <c r="IE85" s="727">
        <v>0.33</v>
      </c>
      <c r="IF85" s="727">
        <v>16.2</v>
      </c>
      <c r="IG85" s="727">
        <v>19.75</v>
      </c>
      <c r="IH85" s="727">
        <v>0.32750000000000001</v>
      </c>
      <c r="II85" s="727">
        <v>16.084</v>
      </c>
      <c r="IJ85" s="722">
        <v>17.875</v>
      </c>
      <c r="IK85" s="722">
        <v>0.32750000000000001</v>
      </c>
      <c r="IL85" s="722">
        <v>16.079999999999998</v>
      </c>
      <c r="IM85" s="727">
        <v>20.125</v>
      </c>
      <c r="IN85" s="722">
        <v>0.32750000000000001</v>
      </c>
      <c r="IO85" s="722">
        <v>16.079999999999998</v>
      </c>
      <c r="IP85" s="727">
        <v>19.875</v>
      </c>
      <c r="IQ85" s="722">
        <v>0.32750000000000001</v>
      </c>
      <c r="IR85" s="721">
        <v>16.079999999999998</v>
      </c>
      <c r="IS85" s="721">
        <v>20.5</v>
      </c>
      <c r="IT85" s="721">
        <v>0.32500000000000001</v>
      </c>
      <c r="IU85" s="721">
        <v>16.079999999999998</v>
      </c>
      <c r="IV85" s="721">
        <v>19.5</v>
      </c>
      <c r="IW85" s="721">
        <v>0.32500000000000001</v>
      </c>
      <c r="IX85" s="721">
        <v>16.079999999999998</v>
      </c>
      <c r="IY85" s="721">
        <v>22.75</v>
      </c>
      <c r="IZ85" s="721">
        <v>0.32500000000000001</v>
      </c>
      <c r="JA85" s="721">
        <v>16.079999999999998</v>
      </c>
      <c r="JB85" s="721">
        <v>23</v>
      </c>
      <c r="JC85" s="721">
        <v>0.32500000000000001</v>
      </c>
      <c r="JD85" s="721">
        <v>16.079999999999998</v>
      </c>
      <c r="JE85" s="721">
        <v>22.875</v>
      </c>
      <c r="JF85" s="721">
        <v>0.32300000000000001</v>
      </c>
      <c r="JG85" s="721">
        <v>16.079999999999998</v>
      </c>
      <c r="JH85" s="721">
        <v>21.75</v>
      </c>
      <c r="JI85" s="721">
        <v>0.32</v>
      </c>
      <c r="JJ85" s="721">
        <v>16.079999999999998</v>
      </c>
      <c r="JK85" s="721">
        <v>23</v>
      </c>
      <c r="JL85" s="721">
        <v>0.32</v>
      </c>
      <c r="JM85" s="721">
        <v>16.079999999999998</v>
      </c>
      <c r="JN85" s="721">
        <v>20.4375</v>
      </c>
      <c r="JO85" s="721">
        <v>0.32</v>
      </c>
      <c r="JP85" s="721">
        <v>16.079999999999998</v>
      </c>
      <c r="JQ85" s="721">
        <v>20.5</v>
      </c>
      <c r="JR85" s="721">
        <v>0.32</v>
      </c>
      <c r="JS85" s="721">
        <v>16.079999999999998</v>
      </c>
      <c r="JT85" s="721">
        <v>20.25</v>
      </c>
      <c r="JU85" s="721">
        <v>0.32</v>
      </c>
      <c r="JV85" s="721">
        <v>16.078499999999998</v>
      </c>
      <c r="JW85" s="721">
        <v>20.25</v>
      </c>
      <c r="JX85" s="721">
        <v>0.32</v>
      </c>
      <c r="JY85" s="721">
        <v>16.078499999999998</v>
      </c>
      <c r="JZ85" s="721">
        <v>22.375</v>
      </c>
      <c r="KA85" s="721">
        <v>0.3175</v>
      </c>
      <c r="KB85" s="721">
        <v>16.078499999999998</v>
      </c>
      <c r="KC85" s="721">
        <v>21.5</v>
      </c>
      <c r="KD85" s="721">
        <v>0.3175</v>
      </c>
      <c r="KE85" s="721">
        <v>16.078499999999998</v>
      </c>
      <c r="KF85" s="721">
        <v>25</v>
      </c>
      <c r="KG85" s="721">
        <v>0.3175</v>
      </c>
      <c r="KH85" s="721">
        <v>16.078499999999998</v>
      </c>
      <c r="KI85" s="721">
        <v>23.332999999999998</v>
      </c>
      <c r="KJ85" s="721">
        <v>0.31666666666666599</v>
      </c>
      <c r="KK85" s="721">
        <v>16.078499999999998</v>
      </c>
      <c r="KL85" s="721">
        <v>22.167000000000002</v>
      </c>
      <c r="KM85" s="721">
        <v>0.31333333333333302</v>
      </c>
      <c r="KN85" s="721">
        <v>16.078499999999998</v>
      </c>
      <c r="KO85" s="721">
        <v>20.167000000000002</v>
      </c>
      <c r="KP85" s="721">
        <v>0.31333333333333302</v>
      </c>
      <c r="KQ85" s="721">
        <v>16.078499999999998</v>
      </c>
      <c r="KR85" s="721">
        <v>22</v>
      </c>
      <c r="KS85" s="721">
        <v>0.31333333333333302</v>
      </c>
      <c r="KT85" s="721">
        <v>16.078499999999998</v>
      </c>
      <c r="KU85" s="721">
        <v>21.6666666666666</v>
      </c>
      <c r="KV85" s="721">
        <v>0.31333333333333302</v>
      </c>
      <c r="KW85" s="721">
        <v>16.078499999999998</v>
      </c>
      <c r="KX85" s="721">
        <v>22.1666666666666</v>
      </c>
      <c r="KY85" s="721">
        <v>0.31</v>
      </c>
      <c r="KZ85" s="721">
        <v>16.078499999999998</v>
      </c>
      <c r="LA85" s="721">
        <v>22.3333333333333</v>
      </c>
      <c r="LB85" s="721">
        <v>0.31</v>
      </c>
      <c r="LC85" s="721">
        <v>16.054500000000001</v>
      </c>
      <c r="LD85" s="721">
        <v>21.6666666666666</v>
      </c>
      <c r="LE85" s="721">
        <v>0.31</v>
      </c>
      <c r="LF85" s="721">
        <v>16.054500000000001</v>
      </c>
      <c r="LG85" s="721">
        <v>22.5</v>
      </c>
      <c r="LH85" s="721">
        <v>0.31</v>
      </c>
      <c r="LI85" s="721">
        <v>16.054500000000001</v>
      </c>
      <c r="LJ85" s="721">
        <v>24</v>
      </c>
      <c r="LK85" s="721">
        <v>0.31</v>
      </c>
      <c r="LL85" s="721">
        <v>16.045500000000001</v>
      </c>
      <c r="LM85" s="721">
        <v>22.3333333333333</v>
      </c>
      <c r="LN85" s="721">
        <v>0.30333333333333301</v>
      </c>
      <c r="LO85" s="721">
        <v>16.045500000000001</v>
      </c>
      <c r="LP85" s="721">
        <v>22.8333333333333</v>
      </c>
      <c r="LQ85" s="721">
        <v>0.30333333333333301</v>
      </c>
      <c r="LR85" s="721">
        <v>16.045999999999999</v>
      </c>
      <c r="LS85" s="721">
        <v>21.67</v>
      </c>
      <c r="LT85" s="721">
        <v>0.3</v>
      </c>
      <c r="LU85" s="721">
        <v>16.045999999999999</v>
      </c>
      <c r="LV85" s="721">
        <v>21.67</v>
      </c>
      <c r="LW85" s="721">
        <v>0.3</v>
      </c>
      <c r="LX85" s="721">
        <v>16.045999999999999</v>
      </c>
      <c r="LY85" s="721">
        <v>19.670000000000002</v>
      </c>
      <c r="LZ85" s="721">
        <v>0.28999999999999998</v>
      </c>
      <c r="MA85" s="721">
        <v>16.045999999999999</v>
      </c>
      <c r="MB85" s="721">
        <v>20.170000000000002</v>
      </c>
      <c r="MC85" s="721">
        <v>0.28999999999999998</v>
      </c>
      <c r="MD85" s="721">
        <v>16.038</v>
      </c>
      <c r="ME85" s="721">
        <v>20.440000000000001</v>
      </c>
      <c r="MF85" s="721">
        <v>0.28999999999999998</v>
      </c>
      <c r="MG85" s="721">
        <v>16.045000000000002</v>
      </c>
      <c r="MH85" s="721">
        <v>17.440000000000001</v>
      </c>
      <c r="MI85" s="721">
        <v>0.28999999999999998</v>
      </c>
      <c r="MJ85" s="721">
        <v>16.042999999999999</v>
      </c>
      <c r="MK85" s="721">
        <v>16.670000000000002</v>
      </c>
      <c r="ML85" s="721">
        <v>0.28999999999999998</v>
      </c>
      <c r="MM85" s="721">
        <v>16.038</v>
      </c>
      <c r="MN85" s="721">
        <v>16.11</v>
      </c>
      <c r="MO85" s="721">
        <v>0.28999999999999998</v>
      </c>
      <c r="MP85" s="721">
        <v>15.795</v>
      </c>
      <c r="MQ85" s="721">
        <v>14.89</v>
      </c>
    </row>
    <row r="86" spans="1:355">
      <c r="B86" s="723" t="s">
        <v>287</v>
      </c>
      <c r="C86" s="886"/>
      <c r="D86" s="886"/>
      <c r="E86" s="886"/>
      <c r="F86" s="788"/>
      <c r="G86" s="788"/>
      <c r="H86" s="788"/>
      <c r="I86" s="788"/>
      <c r="J86" s="788"/>
      <c r="K86" s="788"/>
      <c r="L86" s="828"/>
      <c r="M86" s="829"/>
      <c r="N86" s="828"/>
      <c r="O86" s="828"/>
      <c r="P86" s="828"/>
      <c r="Q86" s="828"/>
      <c r="R86" s="828"/>
      <c r="S86" s="828"/>
      <c r="T86" s="828"/>
      <c r="U86" s="788"/>
      <c r="V86" s="827"/>
      <c r="W86" s="788"/>
      <c r="X86" s="832"/>
      <c r="Y86" s="788"/>
      <c r="Z86" s="788"/>
      <c r="AA86" s="788"/>
      <c r="AB86" s="788"/>
      <c r="AC86" s="788"/>
      <c r="AJ86" s="788"/>
      <c r="AK86" s="788"/>
      <c r="AL86" s="788"/>
      <c r="AM86" s="828"/>
      <c r="AN86" s="828"/>
      <c r="AO86" s="828"/>
      <c r="AP86" s="788"/>
      <c r="AQ86" s="788"/>
      <c r="AR86" s="788"/>
      <c r="AV86" s="723"/>
      <c r="AW86" s="723"/>
      <c r="AX86" s="723"/>
      <c r="AY86" s="723"/>
      <c r="AZ86" s="723"/>
      <c r="BA86" s="723"/>
      <c r="BB86" s="723"/>
      <c r="BC86" s="723"/>
      <c r="BD86" s="723"/>
      <c r="BE86" s="723"/>
      <c r="BF86" s="723"/>
      <c r="BG86" s="723"/>
      <c r="BH86" s="723"/>
      <c r="BI86" s="723"/>
      <c r="BJ86" s="723"/>
      <c r="BK86" s="723"/>
      <c r="BL86" s="723"/>
      <c r="BM86" s="723"/>
      <c r="BN86" s="723"/>
      <c r="BO86" s="723"/>
      <c r="BP86" s="723"/>
      <c r="BQ86" s="723"/>
      <c r="BR86" s="723"/>
      <c r="BS86" s="723"/>
      <c r="BT86" s="723"/>
      <c r="BU86" s="723"/>
      <c r="BV86" s="723"/>
      <c r="BW86" s="728"/>
      <c r="BX86" s="728"/>
      <c r="BY86" s="728"/>
      <c r="BZ86" s="723"/>
      <c r="CA86" s="723"/>
      <c r="CB86" s="723"/>
      <c r="CC86" s="723"/>
      <c r="CD86" s="723"/>
      <c r="CE86" s="723"/>
      <c r="CF86" s="723"/>
      <c r="CG86" s="723"/>
      <c r="CH86" s="723"/>
      <c r="CI86" s="723"/>
      <c r="CJ86" s="723"/>
      <c r="CK86" s="723"/>
      <c r="CL86" s="723"/>
      <c r="CM86" s="723"/>
      <c r="CN86" s="723"/>
      <c r="CO86" s="723"/>
      <c r="CP86" s="723"/>
      <c r="CQ86" s="723"/>
      <c r="CR86" s="723"/>
      <c r="CS86" s="723"/>
      <c r="CT86" s="723"/>
      <c r="CU86" s="723"/>
      <c r="CV86" s="723"/>
      <c r="CW86" s="723"/>
      <c r="CX86" s="722"/>
      <c r="CY86" s="723"/>
      <c r="CZ86" s="723"/>
      <c r="DA86" s="723"/>
      <c r="DB86" s="723"/>
      <c r="DC86" s="735"/>
      <c r="DD86" s="723"/>
      <c r="DE86" s="723"/>
      <c r="DF86" s="723"/>
      <c r="DG86" s="723"/>
      <c r="DH86" s="723"/>
      <c r="DI86" s="723"/>
      <c r="DJ86" s="723"/>
      <c r="DK86" s="723"/>
      <c r="DL86" s="723"/>
      <c r="DM86" s="723"/>
      <c r="DN86" s="723"/>
      <c r="DO86" s="723"/>
      <c r="DP86" s="723"/>
      <c r="DQ86" s="723"/>
      <c r="DR86" s="723"/>
      <c r="DS86" s="723"/>
      <c r="DT86" s="725"/>
      <c r="DU86" s="723"/>
      <c r="DV86" s="723"/>
      <c r="DW86" s="723"/>
      <c r="DX86" s="723"/>
      <c r="DY86" s="723"/>
      <c r="DZ86" s="723"/>
      <c r="EA86" s="723"/>
      <c r="EB86" s="723"/>
      <c r="EC86" s="723"/>
      <c r="ED86" s="723"/>
      <c r="EE86" s="723"/>
      <c r="EF86" s="723"/>
      <c r="EG86" s="723"/>
      <c r="EH86" s="723"/>
      <c r="EI86" s="723"/>
      <c r="EJ86" s="723"/>
      <c r="EK86" s="723"/>
      <c r="EL86" s="723"/>
      <c r="EM86" s="723"/>
      <c r="EN86" s="723"/>
      <c r="EO86" s="723"/>
      <c r="EP86" s="723"/>
      <c r="EQ86" s="723"/>
      <c r="ER86" s="723"/>
      <c r="ES86" s="723"/>
      <c r="ET86" s="722"/>
      <c r="EU86" s="722"/>
      <c r="EV86" s="722"/>
      <c r="EW86" s="723"/>
      <c r="EX86" s="723"/>
      <c r="EY86" s="723"/>
      <c r="EZ86" s="723"/>
      <c r="FA86" s="723"/>
      <c r="FB86" s="723"/>
      <c r="FC86" s="723"/>
      <c r="FD86" s="741"/>
      <c r="FE86" s="723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742"/>
      <c r="FT86" s="626"/>
      <c r="FU86" s="727"/>
      <c r="FV86" s="727"/>
      <c r="FW86" s="727"/>
      <c r="FX86" s="727"/>
      <c r="FY86" s="727"/>
      <c r="FZ86" s="727"/>
      <c r="GA86" s="727"/>
      <c r="GB86" s="727"/>
      <c r="GC86" s="727"/>
      <c r="GD86" s="750"/>
      <c r="GE86" s="741"/>
      <c r="GF86" s="751"/>
      <c r="GG86" s="750"/>
      <c r="GH86" s="727"/>
      <c r="GI86" s="727"/>
      <c r="GJ86" s="727"/>
      <c r="GK86" s="727"/>
      <c r="GL86" s="727"/>
      <c r="GM86" s="727"/>
      <c r="GN86" s="727"/>
      <c r="GO86" s="727"/>
      <c r="GP86" s="727"/>
      <c r="GQ86" s="727"/>
      <c r="GR86" s="727"/>
      <c r="GS86" s="727"/>
      <c r="GT86" s="727"/>
      <c r="GU86" s="752"/>
      <c r="GV86" s="727"/>
      <c r="GW86" s="727"/>
      <c r="GX86" s="727"/>
      <c r="GY86" s="727"/>
      <c r="GZ86" s="727"/>
      <c r="HA86" s="727"/>
      <c r="HB86" s="727"/>
      <c r="HC86" s="727"/>
      <c r="HD86" s="727"/>
      <c r="HE86" s="727"/>
      <c r="HF86" s="727"/>
      <c r="HG86" s="727"/>
      <c r="HH86" s="727"/>
      <c r="HI86" s="727"/>
      <c r="HJ86" s="727"/>
      <c r="HK86" s="727"/>
      <c r="HL86" s="727"/>
      <c r="HM86" s="727"/>
      <c r="HN86" s="727"/>
      <c r="HO86" s="752"/>
      <c r="HP86" s="752"/>
      <c r="HQ86" s="727"/>
      <c r="HR86" s="727"/>
      <c r="HS86" s="727"/>
      <c r="HT86" s="727"/>
      <c r="HU86" s="727"/>
      <c r="HV86" s="727"/>
      <c r="HW86" s="727"/>
      <c r="HX86" s="727"/>
      <c r="HY86" s="727"/>
      <c r="HZ86" s="727"/>
      <c r="IA86" s="727"/>
      <c r="IB86" s="727"/>
      <c r="IC86" s="727"/>
      <c r="ID86" s="727"/>
      <c r="IE86" s="727"/>
      <c r="IF86" s="727"/>
      <c r="IG86" s="727"/>
      <c r="IH86" s="727"/>
      <c r="II86" s="727"/>
      <c r="IJ86" s="722"/>
      <c r="IK86" s="722"/>
      <c r="IL86" s="722"/>
      <c r="IM86" s="727"/>
      <c r="IN86" s="722"/>
      <c r="IO86" s="722"/>
      <c r="IP86" s="727" t="s">
        <v>103</v>
      </c>
      <c r="IQ86" s="722"/>
      <c r="IR86" s="721"/>
      <c r="IS86" s="721"/>
      <c r="IT86" s="721"/>
      <c r="IU86" s="721">
        <v>94.1</v>
      </c>
      <c r="IV86" s="721">
        <v>28</v>
      </c>
      <c r="IW86" s="721">
        <v>0.3</v>
      </c>
      <c r="IX86" s="721">
        <v>94.1</v>
      </c>
      <c r="IY86" s="721">
        <v>26.875</v>
      </c>
      <c r="IZ86" s="721">
        <v>0.3</v>
      </c>
      <c r="JA86" s="721">
        <v>94.86</v>
      </c>
      <c r="JB86" s="721">
        <v>26.437999999999999</v>
      </c>
      <c r="JC86" s="721">
        <v>0.3</v>
      </c>
      <c r="JD86" s="721">
        <v>94.86</v>
      </c>
      <c r="JE86" s="721">
        <v>21.625</v>
      </c>
      <c r="JF86" s="721">
        <v>0.3</v>
      </c>
      <c r="JG86" s="721">
        <v>97.1</v>
      </c>
      <c r="JH86" s="721">
        <v>22.6875</v>
      </c>
      <c r="JI86" s="721">
        <v>0.3</v>
      </c>
      <c r="JJ86" s="721">
        <v>97.096999999999994</v>
      </c>
      <c r="JK86" s="721">
        <v>22</v>
      </c>
      <c r="JL86" s="721">
        <v>0.3</v>
      </c>
      <c r="JM86" s="721">
        <v>100.458</v>
      </c>
      <c r="JN86" s="721">
        <v>17.25</v>
      </c>
      <c r="JO86" s="721">
        <v>0.3</v>
      </c>
      <c r="JP86" s="721">
        <v>100.458</v>
      </c>
      <c r="JQ86" s="721">
        <v>17.312999999999999</v>
      </c>
      <c r="JR86" s="721">
        <v>0.3</v>
      </c>
      <c r="JS86" s="721">
        <v>100.752</v>
      </c>
      <c r="JT86" s="721">
        <v>17.125</v>
      </c>
      <c r="JU86" s="721">
        <v>0.3</v>
      </c>
      <c r="JV86" s="721">
        <v>100.752</v>
      </c>
      <c r="JW86" s="721">
        <v>15.875</v>
      </c>
      <c r="JX86" s="721">
        <v>0.3</v>
      </c>
      <c r="JY86" s="721">
        <v>100.752</v>
      </c>
      <c r="JZ86" s="721">
        <v>15.875</v>
      </c>
      <c r="KA86" s="721">
        <v>0.3</v>
      </c>
      <c r="KB86" s="721">
        <v>100.752</v>
      </c>
      <c r="KC86" s="721">
        <v>17.25</v>
      </c>
      <c r="KD86" s="721">
        <v>0.3</v>
      </c>
      <c r="KE86" s="721">
        <v>100.752</v>
      </c>
      <c r="KF86" s="721">
        <v>17.875</v>
      </c>
      <c r="KG86" s="721">
        <v>0.3</v>
      </c>
      <c r="KH86" s="721">
        <v>100.752</v>
      </c>
      <c r="KI86" s="721">
        <v>16.75</v>
      </c>
      <c r="KJ86" s="721">
        <v>0.3</v>
      </c>
      <c r="KK86" s="721">
        <v>56.021999999999998</v>
      </c>
      <c r="KL86" s="721">
        <v>15.375</v>
      </c>
      <c r="KM86" s="721">
        <v>0.3</v>
      </c>
      <c r="KN86" s="721">
        <v>56.021999999999998</v>
      </c>
      <c r="KO86" s="721">
        <v>14.875</v>
      </c>
      <c r="KP86" s="721">
        <v>0.28999999999999998</v>
      </c>
      <c r="KQ86" s="721">
        <v>56.021999999999998</v>
      </c>
      <c r="KR86" s="721">
        <v>14.125</v>
      </c>
      <c r="KS86" s="721">
        <v>0.28999999999999998</v>
      </c>
      <c r="KT86" s="721">
        <v>54.634999999999998</v>
      </c>
      <c r="KU86" s="721">
        <v>13.75</v>
      </c>
      <c r="KV86" s="721">
        <v>0.28999999999999998</v>
      </c>
      <c r="KW86" s="721">
        <v>54.634999999999998</v>
      </c>
      <c r="KX86" s="721">
        <v>14.125</v>
      </c>
      <c r="KY86" s="721">
        <v>0.28999999999999998</v>
      </c>
      <c r="KZ86" s="721">
        <v>54.634999999999998</v>
      </c>
      <c r="LA86" s="721">
        <v>14.5</v>
      </c>
      <c r="LB86" s="721">
        <v>0.28999999999999998</v>
      </c>
      <c r="LC86" s="721">
        <v>54.634999999999998</v>
      </c>
      <c r="LD86" s="721">
        <v>16</v>
      </c>
      <c r="LE86" s="721">
        <v>0.28999999999999998</v>
      </c>
      <c r="LF86" s="721">
        <v>54.634999999999998</v>
      </c>
      <c r="LG86" s="721">
        <v>18</v>
      </c>
      <c r="LH86" s="721">
        <v>0.28999999999999998</v>
      </c>
      <c r="LI86" s="721">
        <v>54.634999999999998</v>
      </c>
      <c r="LJ86" s="721">
        <v>19.5</v>
      </c>
      <c r="LK86" s="721">
        <v>0.28999999999999998</v>
      </c>
      <c r="LL86" s="721">
        <v>54.634999999999998</v>
      </c>
      <c r="LM86" s="721">
        <v>18.5</v>
      </c>
      <c r="LN86" s="721">
        <v>0.28999999999999998</v>
      </c>
      <c r="LO86" s="721">
        <v>54.634999999999998</v>
      </c>
      <c r="LP86" s="721">
        <v>17.625</v>
      </c>
      <c r="LQ86" s="721">
        <v>0.28999999999999998</v>
      </c>
      <c r="LR86" s="721">
        <v>54.267000000000003</v>
      </c>
      <c r="LS86" s="721">
        <v>16</v>
      </c>
      <c r="LT86" s="721">
        <v>0.28999999999999998</v>
      </c>
      <c r="LU86" s="721">
        <v>54.267000000000003</v>
      </c>
      <c r="LV86" s="721">
        <v>17.25</v>
      </c>
      <c r="LW86" s="721">
        <v>0.28999999999999998</v>
      </c>
      <c r="LX86" s="721">
        <v>54.109000000000002</v>
      </c>
      <c r="LY86" s="721">
        <v>20.25</v>
      </c>
      <c r="LZ86" s="721">
        <v>0.39</v>
      </c>
      <c r="MA86" s="721">
        <v>53.88</v>
      </c>
      <c r="MB86" s="721">
        <v>19.75</v>
      </c>
      <c r="MC86" s="721">
        <v>0.39</v>
      </c>
      <c r="MD86" s="721">
        <v>50.393000000000001</v>
      </c>
      <c r="ME86" s="721">
        <v>20</v>
      </c>
      <c r="MF86" s="721">
        <v>0.39</v>
      </c>
      <c r="MG86" s="721">
        <v>50.057000000000002</v>
      </c>
      <c r="MH86" s="721">
        <v>20.5</v>
      </c>
      <c r="MI86" s="721">
        <v>0.39</v>
      </c>
      <c r="MJ86" s="721">
        <v>50.012</v>
      </c>
      <c r="MK86" s="721">
        <v>19.63</v>
      </c>
      <c r="ML86" s="721">
        <v>0.39</v>
      </c>
      <c r="MM86" s="721">
        <v>50.011000000000003</v>
      </c>
      <c r="MN86" s="721">
        <v>19.5</v>
      </c>
      <c r="MO86" s="721">
        <v>0.39</v>
      </c>
      <c r="MP86" s="721">
        <v>50.018999999999998</v>
      </c>
      <c r="MQ86" s="721">
        <v>18.38</v>
      </c>
    </row>
    <row r="87" spans="1:355">
      <c r="A87" s="633" t="s">
        <v>43</v>
      </c>
      <c r="B87" s="726" t="s">
        <v>153</v>
      </c>
      <c r="C87" s="885">
        <v>51.6</v>
      </c>
      <c r="D87" s="885">
        <v>60.68</v>
      </c>
      <c r="E87" s="887">
        <v>0.61750000000000005</v>
      </c>
      <c r="F87" s="828">
        <v>51.7</v>
      </c>
      <c r="G87" s="828">
        <v>81.17</v>
      </c>
      <c r="H87" s="828">
        <v>0.58750000000000002</v>
      </c>
      <c r="I87" s="828">
        <v>51.6</v>
      </c>
      <c r="J87" s="828">
        <v>87.41</v>
      </c>
      <c r="K87" s="828">
        <v>0.58750000000000002</v>
      </c>
      <c r="L87" s="828">
        <v>51.6</v>
      </c>
      <c r="M87" s="829">
        <v>83.21</v>
      </c>
      <c r="N87" s="828">
        <v>0.58750000000000002</v>
      </c>
      <c r="O87" s="828">
        <v>51.3</v>
      </c>
      <c r="P87" s="828">
        <v>82.23</v>
      </c>
      <c r="Q87" s="839">
        <v>0.58750000000000002</v>
      </c>
      <c r="R87" s="828">
        <v>51.4</v>
      </c>
      <c r="S87" s="828">
        <v>76.22</v>
      </c>
      <c r="T87" s="828">
        <v>0.56000000000000005</v>
      </c>
      <c r="U87" s="828">
        <v>51.3</v>
      </c>
      <c r="V87" s="829">
        <v>75.010000000000005</v>
      </c>
      <c r="W87" s="828">
        <v>0.56000000000000005</v>
      </c>
      <c r="X87" s="832">
        <v>51.2</v>
      </c>
      <c r="Y87" s="788">
        <v>77.41</v>
      </c>
      <c r="Z87" s="788">
        <v>0.56000000000000005</v>
      </c>
      <c r="AA87" s="788">
        <v>51.1</v>
      </c>
      <c r="AB87" s="788">
        <v>72.25</v>
      </c>
      <c r="AC87" s="801">
        <v>0.56000000000000005</v>
      </c>
      <c r="AD87" s="788">
        <v>51</v>
      </c>
      <c r="AE87" s="788">
        <v>74.36</v>
      </c>
      <c r="AF87" s="788">
        <v>0.53500000000000003</v>
      </c>
      <c r="AG87" s="788">
        <v>50.9</v>
      </c>
      <c r="AH87" s="788">
        <v>77.290000000000006</v>
      </c>
      <c r="AI87" s="788">
        <v>0.53500000000000003</v>
      </c>
      <c r="AJ87" s="788">
        <v>50.2</v>
      </c>
      <c r="AK87" s="788">
        <v>71.680000000000007</v>
      </c>
      <c r="AL87" s="788">
        <v>0.53500000000000003</v>
      </c>
      <c r="AM87" s="828">
        <v>49.3</v>
      </c>
      <c r="AN87" s="828">
        <v>67.709999999999994</v>
      </c>
      <c r="AO87" s="830">
        <v>0.53500000000000003</v>
      </c>
      <c r="AP87" s="788">
        <v>49.4</v>
      </c>
      <c r="AQ87" s="788">
        <v>64.19</v>
      </c>
      <c r="AR87" s="788">
        <v>0.52</v>
      </c>
      <c r="AS87" s="727">
        <v>49.3</v>
      </c>
      <c r="AT87" s="727">
        <v>59.62</v>
      </c>
      <c r="AU87" s="727">
        <v>0.52</v>
      </c>
      <c r="AV87" s="727">
        <v>49.2</v>
      </c>
      <c r="AW87" s="727">
        <v>64.63</v>
      </c>
      <c r="AX87" s="727">
        <v>0.52</v>
      </c>
      <c r="AY87" s="727">
        <v>48.3</v>
      </c>
      <c r="AZ87" s="727">
        <v>56.07</v>
      </c>
      <c r="BA87" s="747">
        <v>0.52</v>
      </c>
      <c r="BB87" s="727">
        <v>48.8</v>
      </c>
      <c r="BC87" s="727">
        <v>50.83</v>
      </c>
      <c r="BD87" s="727">
        <v>0.505</v>
      </c>
      <c r="BE87" s="727">
        <v>48.6</v>
      </c>
      <c r="BF87" s="727">
        <v>50.49</v>
      </c>
      <c r="BG87" s="727">
        <v>0.505</v>
      </c>
      <c r="BH87" s="727">
        <v>46.9</v>
      </c>
      <c r="BI87" s="727">
        <v>46.39</v>
      </c>
      <c r="BJ87" s="727">
        <v>0.505</v>
      </c>
      <c r="BK87" s="726">
        <v>45.2</v>
      </c>
      <c r="BL87" s="726">
        <v>52.76</v>
      </c>
      <c r="BM87" s="761">
        <v>0.505</v>
      </c>
      <c r="BN87" s="727">
        <v>42.9</v>
      </c>
      <c r="BO87" s="727">
        <v>55.14</v>
      </c>
      <c r="BP87" s="727">
        <v>0.49</v>
      </c>
      <c r="BQ87" s="727">
        <v>42.1</v>
      </c>
      <c r="BR87" s="727">
        <v>44.39</v>
      </c>
      <c r="BS87" s="727">
        <v>0.49</v>
      </c>
      <c r="BT87" s="727">
        <v>41.4</v>
      </c>
      <c r="BU87" s="727">
        <v>51.35</v>
      </c>
      <c r="BV87" s="727">
        <v>0.49</v>
      </c>
      <c r="BW87" s="726">
        <v>39.700000000000003</v>
      </c>
      <c r="BX87" s="726">
        <v>52.42</v>
      </c>
      <c r="BY87" s="761">
        <v>0.49</v>
      </c>
      <c r="BZ87" s="727">
        <v>39.799999999999997</v>
      </c>
      <c r="CA87" s="727">
        <v>49.88</v>
      </c>
      <c r="CB87" s="727">
        <v>0.47499999999999998</v>
      </c>
      <c r="CC87" s="727">
        <v>39.4</v>
      </c>
      <c r="CD87" s="727">
        <v>48.3</v>
      </c>
      <c r="CE87" s="727">
        <v>0.47499999999999998</v>
      </c>
      <c r="CF87" s="727">
        <v>38.9</v>
      </c>
      <c r="CG87" s="727">
        <v>49.85</v>
      </c>
      <c r="CH87" s="727">
        <v>0.47499999999999998</v>
      </c>
      <c r="CI87" s="726">
        <v>37.6</v>
      </c>
      <c r="CJ87" s="726">
        <v>49.02</v>
      </c>
      <c r="CK87" s="761">
        <v>0.47499999999999998</v>
      </c>
      <c r="CL87" s="727">
        <v>37.700000000000003</v>
      </c>
      <c r="CM87" s="727">
        <v>40.98</v>
      </c>
      <c r="CN87" s="727">
        <v>0.46</v>
      </c>
      <c r="CO87" s="727">
        <v>37.299999999999997</v>
      </c>
      <c r="CP87" s="727">
        <v>41.74</v>
      </c>
      <c r="CQ87" s="727">
        <v>0.46</v>
      </c>
      <c r="CR87" s="727">
        <v>36.799999999999997</v>
      </c>
      <c r="CS87" s="727">
        <v>41.79</v>
      </c>
      <c r="CT87" s="727">
        <v>0.46</v>
      </c>
      <c r="CU87" s="726">
        <v>35.299999999999997</v>
      </c>
      <c r="CV87" s="726">
        <v>41.49</v>
      </c>
      <c r="CW87" s="761">
        <v>0.46</v>
      </c>
      <c r="CX87" s="727">
        <v>35.6</v>
      </c>
      <c r="CY87" s="727">
        <v>41.98</v>
      </c>
      <c r="CZ87" s="727">
        <v>0.44500000000000001</v>
      </c>
      <c r="DA87" s="727">
        <v>35</v>
      </c>
      <c r="DB87" s="727">
        <v>36.6</v>
      </c>
      <c r="DC87" s="727">
        <v>0.44500000000000001</v>
      </c>
      <c r="DD87" s="727">
        <v>34.6</v>
      </c>
      <c r="DE87" s="727">
        <v>41.04</v>
      </c>
      <c r="DF87" s="727">
        <v>0.44500000000000001</v>
      </c>
      <c r="DG87" s="727">
        <v>34.5</v>
      </c>
      <c r="DH87" s="727">
        <v>38.97</v>
      </c>
      <c r="DI87" s="747">
        <v>0.44500000000000001</v>
      </c>
      <c r="DJ87" s="727">
        <v>34.4</v>
      </c>
      <c r="DK87" s="727">
        <v>37.26</v>
      </c>
      <c r="DL87" s="727">
        <v>0.44</v>
      </c>
      <c r="DM87" s="727">
        <v>34.1</v>
      </c>
      <c r="DN87" s="727">
        <v>36.43</v>
      </c>
      <c r="DO87" s="727">
        <v>0.44</v>
      </c>
      <c r="DP87" s="727">
        <v>33.799999999999997</v>
      </c>
      <c r="DQ87" s="727">
        <v>34.24</v>
      </c>
      <c r="DR87" s="727">
        <v>0.44</v>
      </c>
      <c r="DS87" s="727">
        <v>33.4</v>
      </c>
      <c r="DT87" s="748">
        <v>33.479999999999997</v>
      </c>
      <c r="DU87" s="727">
        <v>0.44</v>
      </c>
      <c r="DV87" s="727">
        <v>32.799999999999997</v>
      </c>
      <c r="DW87" s="727">
        <v>32.68</v>
      </c>
      <c r="DX87" s="727">
        <v>0.44</v>
      </c>
      <c r="DY87" s="727">
        <v>31.8</v>
      </c>
      <c r="DZ87" s="727">
        <v>33.57</v>
      </c>
      <c r="EA87" s="727">
        <v>0.44</v>
      </c>
      <c r="EB87" s="727">
        <v>30.9</v>
      </c>
      <c r="EC87" s="727">
        <v>28.75</v>
      </c>
      <c r="ED87" s="727">
        <v>0.44</v>
      </c>
      <c r="EE87" s="727">
        <v>30.1</v>
      </c>
      <c r="EF87" s="727">
        <v>26.69</v>
      </c>
      <c r="EG87" s="727">
        <v>0.44</v>
      </c>
      <c r="EH87" s="727">
        <v>29.1</v>
      </c>
      <c r="EI87" s="727">
        <v>32.270000000000003</v>
      </c>
      <c r="EJ87" s="727">
        <v>0.43</v>
      </c>
      <c r="EK87" s="727">
        <v>28.8</v>
      </c>
      <c r="EL87" s="727">
        <v>44.5</v>
      </c>
      <c r="EM87" s="727">
        <v>0.43</v>
      </c>
      <c r="EN87" s="727">
        <v>28.7</v>
      </c>
      <c r="EO87" s="727">
        <v>42</v>
      </c>
      <c r="EP87" s="727">
        <v>0.43</v>
      </c>
      <c r="EQ87" s="727">
        <v>28.3</v>
      </c>
      <c r="ER87" s="727">
        <v>38.619999999999997</v>
      </c>
      <c r="ES87" s="727">
        <v>0.43</v>
      </c>
      <c r="ET87" s="727">
        <v>28.5</v>
      </c>
      <c r="EU87" s="727">
        <v>39.58</v>
      </c>
      <c r="EV87" s="727">
        <v>0.41</v>
      </c>
      <c r="EW87" s="727">
        <v>28.2</v>
      </c>
      <c r="EX87" s="727">
        <v>44.76</v>
      </c>
      <c r="EY87" s="727">
        <v>0.41</v>
      </c>
      <c r="EZ87" s="727">
        <v>28.1</v>
      </c>
      <c r="FA87" s="727">
        <v>47.05</v>
      </c>
      <c r="FB87" s="727">
        <v>0.41</v>
      </c>
      <c r="FC87" s="723">
        <v>27.8</v>
      </c>
      <c r="FD87" s="741">
        <v>46.62</v>
      </c>
      <c r="FE87" s="723">
        <v>0.41</v>
      </c>
      <c r="FF87" s="727">
        <v>27.8</v>
      </c>
      <c r="FG87" s="727">
        <v>46.54</v>
      </c>
      <c r="FH87" s="727">
        <v>0.36249999999999999</v>
      </c>
      <c r="FI87" s="727">
        <v>27.7</v>
      </c>
      <c r="FJ87" s="727">
        <v>43.45</v>
      </c>
      <c r="FK87" s="727">
        <v>0.36249999999999999</v>
      </c>
      <c r="FL87" s="727">
        <v>27.6</v>
      </c>
      <c r="FM87" s="727">
        <v>47.35</v>
      </c>
      <c r="FN87" s="727">
        <v>0.36249999999999999</v>
      </c>
      <c r="FO87" s="727">
        <v>27.5</v>
      </c>
      <c r="FP87" s="727">
        <v>46.6</v>
      </c>
      <c r="FQ87" s="727">
        <v>0.36249999999999999</v>
      </c>
      <c r="FR87" s="727">
        <v>27.4</v>
      </c>
      <c r="FS87" s="742">
        <v>44</v>
      </c>
      <c r="FT87" s="626">
        <f>1.26/4</f>
        <v>0.315</v>
      </c>
      <c r="FU87" s="727">
        <v>27.2</v>
      </c>
      <c r="FV87" s="727">
        <v>45.81</v>
      </c>
      <c r="FW87" s="727">
        <v>0.315</v>
      </c>
      <c r="FX87" s="727">
        <v>27.2</v>
      </c>
      <c r="FY87" s="727">
        <v>49.9</v>
      </c>
      <c r="FZ87" s="727">
        <v>0.315</v>
      </c>
      <c r="GA87" s="727">
        <v>28.5</v>
      </c>
      <c r="GB87" s="727">
        <v>41.85</v>
      </c>
      <c r="GC87" s="727">
        <v>0.3</v>
      </c>
      <c r="GD87" s="750">
        <v>28.5</v>
      </c>
      <c r="GE87" s="741">
        <v>36.75</v>
      </c>
      <c r="GF87" s="751">
        <v>0.3</v>
      </c>
      <c r="GG87" s="750">
        <v>28.3383</v>
      </c>
      <c r="GH87" s="727">
        <v>32.5</v>
      </c>
      <c r="GI87" s="727">
        <v>0.3362</v>
      </c>
      <c r="GJ87" s="727">
        <v>28.1</v>
      </c>
      <c r="GK87" s="727">
        <v>39.627000000000002</v>
      </c>
      <c r="GL87" s="727">
        <v>0.3362</v>
      </c>
      <c r="GM87" s="727">
        <v>27.87</v>
      </c>
      <c r="GN87" s="727">
        <v>41.76</v>
      </c>
      <c r="GO87" s="727">
        <v>0.3362</v>
      </c>
      <c r="GP87" s="727">
        <v>27.67</v>
      </c>
      <c r="GQ87" s="727">
        <v>36.414000000000001</v>
      </c>
      <c r="GR87" s="727">
        <v>0.3362</v>
      </c>
      <c r="GS87" s="727">
        <v>27.53</v>
      </c>
      <c r="GT87" s="727">
        <v>32.58</v>
      </c>
      <c r="GU87" s="727">
        <v>0.3362</v>
      </c>
      <c r="GV87" s="727">
        <v>27.4</v>
      </c>
      <c r="GW87" s="727">
        <v>31.59</v>
      </c>
      <c r="GX87" s="727">
        <v>0.3362</v>
      </c>
      <c r="GY87" s="727">
        <v>27.27</v>
      </c>
      <c r="GZ87" s="727">
        <v>24.704000000000001</v>
      </c>
      <c r="HA87" s="727">
        <v>0.3362</v>
      </c>
      <c r="HB87" s="727">
        <v>27.17</v>
      </c>
      <c r="HC87" s="727">
        <v>26.99</v>
      </c>
      <c r="HD87" s="727">
        <v>0.32729999999999998</v>
      </c>
      <c r="HE87" s="727">
        <v>27</v>
      </c>
      <c r="HF87" s="727">
        <v>25.704000000000001</v>
      </c>
      <c r="HG87" s="727">
        <v>0.32729999999999998</v>
      </c>
      <c r="HH87" s="727">
        <v>26.8</v>
      </c>
      <c r="HI87" s="727">
        <v>32.25</v>
      </c>
      <c r="HJ87" s="727">
        <v>0.32729999999999998</v>
      </c>
      <c r="HK87" s="727">
        <v>26.53</v>
      </c>
      <c r="HL87" s="727">
        <v>34.619999999999997</v>
      </c>
      <c r="HM87" s="727">
        <v>0.32729999999999998</v>
      </c>
      <c r="HN87" s="727">
        <v>26.33</v>
      </c>
      <c r="HO87" s="727">
        <v>29.99</v>
      </c>
      <c r="HP87" s="727">
        <v>0.31830000000000003</v>
      </c>
      <c r="HQ87" s="727">
        <v>24.47</v>
      </c>
      <c r="HR87" s="727">
        <v>30.51</v>
      </c>
      <c r="HS87" s="727">
        <v>0.31830000000000003</v>
      </c>
      <c r="HT87" s="727">
        <v>25.2</v>
      </c>
      <c r="HU87" s="727">
        <v>26.78</v>
      </c>
      <c r="HV87" s="727">
        <v>0.31830000000000003</v>
      </c>
      <c r="HW87" s="727">
        <v>24.9</v>
      </c>
      <c r="HX87" s="727">
        <v>30.73</v>
      </c>
      <c r="HY87" s="727">
        <v>0.31830000000000003</v>
      </c>
      <c r="HZ87" s="727">
        <v>23.33</v>
      </c>
      <c r="IA87" s="727">
        <v>29.53</v>
      </c>
      <c r="IB87" s="727">
        <v>0.31830000000000003</v>
      </c>
      <c r="IC87" s="727">
        <v>24.486999999999998</v>
      </c>
      <c r="ID87" s="727">
        <v>26.33</v>
      </c>
      <c r="IE87" s="727">
        <v>0.31830000000000003</v>
      </c>
      <c r="IF87" s="727">
        <v>23.03</v>
      </c>
      <c r="IG87" s="727">
        <v>20.6</v>
      </c>
      <c r="IH87" s="727">
        <v>0.31830000000000003</v>
      </c>
      <c r="II87" s="727">
        <v>24.5</v>
      </c>
      <c r="IJ87" s="722">
        <v>19.78</v>
      </c>
      <c r="IK87" s="722">
        <v>0.31830000000000003</v>
      </c>
      <c r="IL87" s="722">
        <v>22.87</v>
      </c>
      <c r="IM87" s="727">
        <v>20.16</v>
      </c>
      <c r="IN87" s="722">
        <v>0.31830000000000003</v>
      </c>
      <c r="IO87" s="722">
        <v>22.73</v>
      </c>
      <c r="IP87" s="727">
        <v>20.9</v>
      </c>
      <c r="IQ87" s="722">
        <v>0.31830000000000003</v>
      </c>
      <c r="IR87" s="721">
        <v>22.6</v>
      </c>
      <c r="IS87" s="721">
        <v>23.65</v>
      </c>
      <c r="IT87" s="721">
        <v>0.31830000000000003</v>
      </c>
      <c r="IU87" s="721">
        <v>21.33</v>
      </c>
      <c r="IV87" s="721">
        <v>23.5</v>
      </c>
      <c r="IW87" s="721">
        <v>0.31830000000000003</v>
      </c>
      <c r="IX87" s="721">
        <v>21.33</v>
      </c>
      <c r="IY87" s="721">
        <v>26.18</v>
      </c>
      <c r="IZ87" s="721">
        <v>0.30349999999999999</v>
      </c>
      <c r="JA87" s="721">
        <v>62.2</v>
      </c>
      <c r="JB87" s="721">
        <f>44.063/2</f>
        <v>22.031500000000001</v>
      </c>
      <c r="JC87" s="721">
        <v>0.30349999999999999</v>
      </c>
      <c r="JD87" s="721">
        <v>62.2</v>
      </c>
      <c r="JE87" s="721">
        <f>39.75/2</f>
        <v>19.875</v>
      </c>
      <c r="JF87" s="721">
        <v>0.30349999999999999</v>
      </c>
      <c r="JG87" s="721">
        <f>30.73*2</f>
        <v>61.46</v>
      </c>
      <c r="JH87" s="721">
        <f>42.5/2</f>
        <v>21.25</v>
      </c>
      <c r="JI87" s="721">
        <v>0.30349999999999999</v>
      </c>
      <c r="JJ87" s="721">
        <f>30.725*2</f>
        <v>61.45</v>
      </c>
      <c r="JK87" s="721">
        <f>43.5625/2</f>
        <v>21.78125</v>
      </c>
      <c r="JL87" s="721">
        <v>0.30349999999999999</v>
      </c>
      <c r="JM87" s="721">
        <f>30.223*2</f>
        <v>60.445999999999998</v>
      </c>
      <c r="JN87" s="721">
        <f>36.1875/2</f>
        <v>18.09375</v>
      </c>
      <c r="JO87" s="721">
        <v>0.30349999999999999</v>
      </c>
      <c r="JP87" s="721">
        <f>30.223*2</f>
        <v>60.445999999999998</v>
      </c>
      <c r="JQ87" s="721">
        <f>30.375/2</f>
        <v>15.1875</v>
      </c>
      <c r="JR87" s="721">
        <v>0.30349999999999999</v>
      </c>
      <c r="JS87" s="721">
        <f>29.428*2</f>
        <v>58.856000000000002</v>
      </c>
      <c r="JT87" s="721">
        <f>27.875/2</f>
        <v>13.9375</v>
      </c>
      <c r="JU87" s="721">
        <v>0.30349999999999999</v>
      </c>
      <c r="JV87" s="721">
        <f>29.428*2</f>
        <v>58.856000000000002</v>
      </c>
      <c r="JW87" s="721">
        <f>27.5/2</f>
        <v>13.75</v>
      </c>
      <c r="JX87" s="721">
        <f>0.51/2</f>
        <v>0.255</v>
      </c>
      <c r="JY87" s="721">
        <f>28.368*2</f>
        <v>56.735999999999997</v>
      </c>
      <c r="JZ87" s="721">
        <f>26.625/2</f>
        <v>13.3125</v>
      </c>
      <c r="KA87" s="721">
        <f>0.51/2</f>
        <v>0.255</v>
      </c>
      <c r="KB87" s="721">
        <f>28.368*2</f>
        <v>56.735999999999997</v>
      </c>
      <c r="KC87" s="721">
        <f>29/2</f>
        <v>14.5</v>
      </c>
      <c r="KD87" s="721">
        <f>0.51/2</f>
        <v>0.255</v>
      </c>
      <c r="KE87" s="721">
        <f>28.368*2</f>
        <v>56.735999999999997</v>
      </c>
      <c r="KF87" s="721">
        <f>27.875/2</f>
        <v>13.9375</v>
      </c>
      <c r="KG87" s="721">
        <f>0.51/2</f>
        <v>0.255</v>
      </c>
      <c r="KH87" s="721">
        <f>28.368*2</f>
        <v>56.735999999999997</v>
      </c>
      <c r="KI87" s="721">
        <f>28.375/2</f>
        <v>14.1875</v>
      </c>
      <c r="KJ87" s="721">
        <f>0.51/2</f>
        <v>0.255</v>
      </c>
      <c r="KK87" s="721">
        <f>28.368*2</f>
        <v>56.735999999999997</v>
      </c>
      <c r="KL87" s="721">
        <f>27.875/2</f>
        <v>13.9375</v>
      </c>
      <c r="KM87" s="721">
        <f>0.51/2</f>
        <v>0.255</v>
      </c>
      <c r="KN87" s="721">
        <f>28.368*2</f>
        <v>56.735999999999997</v>
      </c>
      <c r="KO87" s="721">
        <f>27.25/2</f>
        <v>13.625</v>
      </c>
      <c r="KP87" s="721">
        <f>0.51/2</f>
        <v>0.255</v>
      </c>
      <c r="KQ87" s="721">
        <f>28.368*2</f>
        <v>56.735999999999997</v>
      </c>
      <c r="KR87" s="721">
        <f>25.25/2</f>
        <v>12.625</v>
      </c>
      <c r="KS87" s="721">
        <f>0.51/2</f>
        <v>0.255</v>
      </c>
      <c r="KT87" s="721">
        <f>28.195*2</f>
        <v>56.39</v>
      </c>
      <c r="KU87" s="721">
        <f>25.25/2</f>
        <v>12.625</v>
      </c>
      <c r="KV87" s="721">
        <f>0.505/2</f>
        <v>0.2525</v>
      </c>
      <c r="KW87" s="721">
        <f>28.195*2</f>
        <v>56.39</v>
      </c>
      <c r="KX87" s="721">
        <f>26.125/2</f>
        <v>13.0625</v>
      </c>
      <c r="KY87" s="721">
        <f>0.505/2</f>
        <v>0.2525</v>
      </c>
      <c r="KZ87" s="721">
        <f>28.195*2</f>
        <v>56.39</v>
      </c>
      <c r="LA87" s="721">
        <f>25.875/2</f>
        <v>12.9375</v>
      </c>
      <c r="LB87" s="721">
        <f>0.505/2</f>
        <v>0.2525</v>
      </c>
      <c r="LC87" s="721">
        <v>60.38</v>
      </c>
      <c r="LD87" s="721">
        <f>29.5/2</f>
        <v>14.75</v>
      </c>
      <c r="LE87" s="721">
        <f>0.505/2</f>
        <v>0.2525</v>
      </c>
      <c r="LF87" s="721">
        <v>60.38</v>
      </c>
      <c r="LG87" s="721">
        <f>32.75/2</f>
        <v>16.375</v>
      </c>
      <c r="LH87" s="721">
        <f>0.495/2</f>
        <v>0.2475</v>
      </c>
      <c r="LI87" s="721">
        <v>60.38</v>
      </c>
      <c r="LJ87" s="721">
        <f>35.5/2</f>
        <v>17.75</v>
      </c>
      <c r="LK87" s="721">
        <f>0.495/2</f>
        <v>0.2475</v>
      </c>
      <c r="LL87" s="721">
        <f>29.675*2</f>
        <v>59.35</v>
      </c>
      <c r="LM87" s="721">
        <f>35.25/2</f>
        <v>17.625</v>
      </c>
      <c r="LN87" s="721">
        <f>0.495/2</f>
        <v>0.2475</v>
      </c>
      <c r="LO87" s="721">
        <f>29.489*2</f>
        <v>58.978000000000002</v>
      </c>
      <c r="LP87" s="721">
        <f>35.875/2</f>
        <v>17.9375</v>
      </c>
      <c r="LQ87" s="721">
        <f>0.495/2</f>
        <v>0.2475</v>
      </c>
      <c r="LR87" s="721">
        <f>29.489*2</f>
        <v>58.978000000000002</v>
      </c>
      <c r="LS87" s="721">
        <f>34.25/2</f>
        <v>17.125</v>
      </c>
      <c r="LT87" s="721">
        <f>0.49/2</f>
        <v>0.245</v>
      </c>
      <c r="LU87" s="721">
        <f>29.489*2</f>
        <v>58.978000000000002</v>
      </c>
      <c r="LV87" s="721">
        <f>33.75/2</f>
        <v>16.875</v>
      </c>
      <c r="LW87" s="721">
        <f>0.49/2</f>
        <v>0.245</v>
      </c>
      <c r="LX87" s="721">
        <f>29.489*2</f>
        <v>58.978000000000002</v>
      </c>
      <c r="LY87" s="721">
        <f>31.63/2</f>
        <v>15.815</v>
      </c>
      <c r="LZ87" s="721">
        <f>0.49/2</f>
        <v>0.245</v>
      </c>
      <c r="MA87" s="721">
        <f>29.489*2</f>
        <v>58.978000000000002</v>
      </c>
      <c r="MB87" s="721">
        <f>30.63/2</f>
        <v>15.315</v>
      </c>
      <c r="MC87" s="721">
        <f>0.49/2</f>
        <v>0.245</v>
      </c>
      <c r="MD87" s="721">
        <f>30.362*2</f>
        <v>60.723999999999997</v>
      </c>
      <c r="ME87" s="721">
        <f>32.5/2</f>
        <v>16.25</v>
      </c>
      <c r="MF87" s="721">
        <v>0.24</v>
      </c>
      <c r="MG87" s="721">
        <f>30.615*2</f>
        <v>61.23</v>
      </c>
      <c r="MH87" s="721">
        <f>29/2</f>
        <v>14.5</v>
      </c>
      <c r="MI87" s="721">
        <v>0.24</v>
      </c>
      <c r="MJ87" s="721">
        <f>31.027*2</f>
        <v>62.054000000000002</v>
      </c>
      <c r="MK87" s="721">
        <f>26.63/2</f>
        <v>13.315</v>
      </c>
      <c r="ML87" s="721">
        <v>0.24</v>
      </c>
      <c r="MM87" s="721">
        <f>31.538*2</f>
        <v>63.076000000000001</v>
      </c>
      <c r="MN87" s="721">
        <f>27.25/2</f>
        <v>13.625</v>
      </c>
      <c r="MO87" s="721">
        <v>0.24</v>
      </c>
      <c r="MP87" s="721">
        <v>59.2</v>
      </c>
      <c r="MQ87" s="721">
        <f>26.25/2</f>
        <v>13.125</v>
      </c>
    </row>
    <row r="88" spans="1:355">
      <c r="B88" s="723" t="s">
        <v>288</v>
      </c>
      <c r="C88" s="886"/>
      <c r="D88" s="886"/>
      <c r="E88" s="886"/>
      <c r="F88" s="788"/>
      <c r="G88" s="788"/>
      <c r="H88" s="788"/>
      <c r="I88" s="788"/>
      <c r="J88" s="788"/>
      <c r="K88" s="788"/>
      <c r="L88" s="828"/>
      <c r="M88" s="829"/>
      <c r="N88" s="828"/>
      <c r="O88" s="828"/>
      <c r="P88" s="828"/>
      <c r="Q88" s="828"/>
      <c r="R88" s="828"/>
      <c r="S88" s="828"/>
      <c r="T88" s="828"/>
      <c r="U88" s="788"/>
      <c r="V88" s="827"/>
      <c r="W88" s="788"/>
      <c r="X88" s="832"/>
      <c r="Y88" s="788"/>
      <c r="Z88" s="788"/>
      <c r="AA88" s="788"/>
      <c r="AB88" s="788"/>
      <c r="AC88" s="788"/>
      <c r="AJ88" s="788"/>
      <c r="AK88" s="788"/>
      <c r="AL88" s="788"/>
      <c r="AM88" s="828"/>
      <c r="AN88" s="828"/>
      <c r="AO88" s="828"/>
      <c r="AP88" s="788"/>
      <c r="AQ88" s="788"/>
      <c r="AR88" s="788"/>
      <c r="AV88" s="723"/>
      <c r="AW88" s="723"/>
      <c r="AX88" s="723"/>
      <c r="AY88" s="723"/>
      <c r="AZ88" s="723"/>
      <c r="BA88" s="723"/>
      <c r="BB88" s="723"/>
      <c r="BC88" s="723"/>
      <c r="BD88" s="723"/>
      <c r="BE88" s="723"/>
      <c r="BF88" s="723"/>
      <c r="BG88" s="723"/>
      <c r="BH88" s="723"/>
      <c r="BI88" s="723"/>
      <c r="BJ88" s="723"/>
      <c r="BK88" s="723"/>
      <c r="BL88" s="723"/>
      <c r="BM88" s="723"/>
      <c r="BN88" s="723"/>
      <c r="BO88" s="723"/>
      <c r="BP88" s="723"/>
      <c r="BQ88" s="723"/>
      <c r="BR88" s="723"/>
      <c r="BS88" s="723"/>
      <c r="BT88" s="723"/>
      <c r="BU88" s="723"/>
      <c r="BV88" s="723"/>
      <c r="BW88" s="728"/>
      <c r="BX88" s="728"/>
      <c r="BY88" s="728"/>
      <c r="BZ88" s="723"/>
      <c r="CA88" s="723"/>
      <c r="CB88" s="723"/>
      <c r="CC88" s="723"/>
      <c r="CD88" s="723"/>
      <c r="CE88" s="723"/>
      <c r="CF88" s="723"/>
      <c r="CG88" s="723"/>
      <c r="CH88" s="723"/>
      <c r="CI88" s="723"/>
      <c r="CJ88" s="723"/>
      <c r="CK88" s="723"/>
      <c r="CL88" s="723"/>
      <c r="CM88" s="723"/>
      <c r="CN88" s="723"/>
      <c r="CO88" s="723"/>
      <c r="CP88" s="723"/>
      <c r="CQ88" s="723"/>
      <c r="CR88" s="723"/>
      <c r="CS88" s="723"/>
      <c r="CT88" s="723"/>
      <c r="CU88" s="723"/>
      <c r="CV88" s="723"/>
      <c r="CW88" s="723"/>
      <c r="CX88" s="722"/>
      <c r="CY88" s="723"/>
      <c r="CZ88" s="723"/>
      <c r="DA88" s="723"/>
      <c r="DB88" s="723"/>
      <c r="DC88" s="735"/>
      <c r="DD88" s="723"/>
      <c r="DE88" s="723"/>
      <c r="DF88" s="723"/>
      <c r="DG88" s="723"/>
      <c r="DH88" s="723"/>
      <c r="DI88" s="723"/>
      <c r="DJ88" s="723"/>
      <c r="DK88" s="723"/>
      <c r="DL88" s="723"/>
      <c r="DM88" s="723"/>
      <c r="DN88" s="723"/>
      <c r="DO88" s="723"/>
      <c r="DP88" s="723"/>
      <c r="DQ88" s="723"/>
      <c r="DR88" s="723"/>
      <c r="DS88" s="723"/>
      <c r="DT88" s="725"/>
      <c r="DU88" s="723"/>
      <c r="DV88" s="723"/>
      <c r="DW88" s="723"/>
      <c r="DX88" s="723"/>
      <c r="DY88" s="723"/>
      <c r="DZ88" s="723"/>
      <c r="EA88" s="723"/>
      <c r="EB88" s="723"/>
      <c r="EC88" s="723"/>
      <c r="ED88" s="723"/>
      <c r="EE88" s="723"/>
      <c r="EF88" s="723"/>
      <c r="EG88" s="723"/>
      <c r="EH88" s="723"/>
      <c r="EI88" s="723"/>
      <c r="EJ88" s="723"/>
      <c r="EK88" s="723"/>
      <c r="EL88" s="723"/>
      <c r="EM88" s="723"/>
      <c r="EN88" s="723"/>
      <c r="EO88" s="723"/>
      <c r="EP88" s="723"/>
      <c r="EQ88" s="723"/>
      <c r="ER88" s="723"/>
      <c r="ES88" s="723"/>
      <c r="ET88" s="722"/>
      <c r="EU88" s="722"/>
      <c r="EV88" s="722"/>
      <c r="EW88" s="723"/>
      <c r="EX88" s="723"/>
      <c r="EY88" s="723"/>
      <c r="EZ88" s="723"/>
      <c r="FA88" s="723"/>
      <c r="FB88" s="723"/>
      <c r="FC88" s="723"/>
      <c r="FD88" s="741"/>
      <c r="FE88" s="723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742"/>
      <c r="FT88" s="626"/>
      <c r="FU88" s="727"/>
      <c r="FV88" s="727"/>
      <c r="FW88" s="727"/>
      <c r="FX88" s="727"/>
      <c r="FY88" s="727"/>
      <c r="FZ88" s="727"/>
      <c r="GA88" s="727"/>
      <c r="GB88" s="727"/>
      <c r="GC88" s="727"/>
      <c r="GD88" s="750"/>
      <c r="GE88" s="741"/>
      <c r="GF88" s="751"/>
      <c r="GG88" s="750"/>
      <c r="GH88" s="727"/>
      <c r="GI88" s="727"/>
      <c r="GJ88" s="727"/>
      <c r="GK88" s="727"/>
      <c r="GL88" s="727"/>
      <c r="GM88" s="727"/>
      <c r="GN88" s="727"/>
      <c r="GO88" s="727"/>
      <c r="GP88" s="727"/>
      <c r="GQ88" s="727"/>
      <c r="GR88" s="727"/>
      <c r="GS88" s="727"/>
      <c r="GT88" s="727"/>
      <c r="GU88" s="752"/>
      <c r="GV88" s="727"/>
      <c r="GW88" s="727"/>
      <c r="GX88" s="727"/>
      <c r="GY88" s="727"/>
      <c r="GZ88" s="727"/>
      <c r="HA88" s="727"/>
      <c r="HB88" s="727"/>
      <c r="HC88" s="727"/>
      <c r="HD88" s="727"/>
      <c r="HE88" s="727"/>
      <c r="HF88" s="727"/>
      <c r="HG88" s="727"/>
      <c r="HH88" s="727"/>
      <c r="HI88" s="727"/>
      <c r="HJ88" s="727"/>
      <c r="HK88" s="727"/>
      <c r="HL88" s="727"/>
      <c r="HM88" s="727"/>
      <c r="HN88" s="727">
        <v>103.77500000000001</v>
      </c>
      <c r="HO88" s="727">
        <v>5.75</v>
      </c>
      <c r="HP88" s="727">
        <v>0</v>
      </c>
      <c r="HQ88" s="727">
        <v>103.76900000000001</v>
      </c>
      <c r="HR88" s="727">
        <v>5.25</v>
      </c>
      <c r="HS88" s="727">
        <v>0.15</v>
      </c>
      <c r="HT88" s="727">
        <v>103.753</v>
      </c>
      <c r="HU88" s="727">
        <v>11.6</v>
      </c>
      <c r="HV88" s="727">
        <v>0.15</v>
      </c>
      <c r="HW88" s="727">
        <v>105.027</v>
      </c>
      <c r="HX88" s="727">
        <v>14.1</v>
      </c>
      <c r="HY88" s="727">
        <v>0.15</v>
      </c>
      <c r="HZ88" s="727">
        <v>105.628</v>
      </c>
      <c r="IA88" s="727">
        <v>20.75</v>
      </c>
      <c r="IB88" s="727">
        <v>0.2</v>
      </c>
      <c r="IC88" s="727">
        <v>105.598</v>
      </c>
      <c r="ID88" s="727">
        <v>33.375</v>
      </c>
      <c r="IE88" s="727">
        <v>0.2</v>
      </c>
      <c r="IF88" s="727">
        <v>105.55200000000001</v>
      </c>
      <c r="IG88" s="727">
        <v>35.5</v>
      </c>
      <c r="IH88" s="727">
        <v>0.2</v>
      </c>
      <c r="II88" s="727">
        <v>108.64700000000001</v>
      </c>
      <c r="IJ88" s="722">
        <v>64</v>
      </c>
      <c r="IK88" s="722">
        <v>0.2</v>
      </c>
      <c r="IL88" s="722">
        <v>110.15900000000001</v>
      </c>
      <c r="IM88" s="727">
        <v>36.0625</v>
      </c>
      <c r="IN88" s="722">
        <v>0.2</v>
      </c>
      <c r="IO88" s="722">
        <f>55.058*2</f>
        <v>110.116</v>
      </c>
      <c r="IP88" s="727">
        <v>30.4375</v>
      </c>
      <c r="IQ88" s="722">
        <v>0.2</v>
      </c>
      <c r="IR88" s="721">
        <f>55.1*2</f>
        <v>110.2</v>
      </c>
      <c r="IS88" s="721">
        <f>0.5*70.5</f>
        <v>35.25</v>
      </c>
      <c r="IT88" s="721">
        <f>0.4/2</f>
        <v>0.2</v>
      </c>
      <c r="IU88" s="721">
        <f>55*2</f>
        <v>110</v>
      </c>
      <c r="IV88" s="721">
        <f>0.5*73.5625</f>
        <v>36.78125</v>
      </c>
      <c r="IW88" s="721">
        <f>0.4/2</f>
        <v>0.2</v>
      </c>
      <c r="IX88" s="721">
        <f>55*2</f>
        <v>110</v>
      </c>
      <c r="IY88" s="721">
        <f>0.5*56.563</f>
        <v>28.281500000000001</v>
      </c>
      <c r="IZ88" s="721">
        <f>0.4/2</f>
        <v>0.2</v>
      </c>
      <c r="JA88" s="721">
        <f>54.88*2</f>
        <v>109.76</v>
      </c>
      <c r="JB88" s="721">
        <f>0.5*44.563</f>
        <v>22.281500000000001</v>
      </c>
      <c r="JC88" s="721">
        <f>0.4/2</f>
        <v>0.2</v>
      </c>
      <c r="JD88" s="721">
        <f>54.88*2</f>
        <v>109.76</v>
      </c>
      <c r="JE88" s="721">
        <f>0.5*34.75</f>
        <v>17.375</v>
      </c>
      <c r="JF88" s="721">
        <f>0.4/2</f>
        <v>0.2</v>
      </c>
      <c r="JG88" s="721">
        <f>54.65*2</f>
        <v>109.3</v>
      </c>
      <c r="JH88" s="721">
        <f>0.5*36.0625</f>
        <v>18.03125</v>
      </c>
      <c r="JI88" s="721">
        <f>0.4/2</f>
        <v>0.2</v>
      </c>
      <c r="JJ88" s="721">
        <f>54.645*2</f>
        <v>109.29</v>
      </c>
      <c r="JK88" s="721">
        <f>0.5*31.75</f>
        <v>15.875</v>
      </c>
      <c r="JL88" s="721">
        <f>0.4/2</f>
        <v>0.2</v>
      </c>
      <c r="JM88" s="721">
        <f>2*54.632</f>
        <v>109.264</v>
      </c>
      <c r="JN88" s="721">
        <f>0.5*26.625</f>
        <v>13.3125</v>
      </c>
      <c r="JO88" s="721">
        <f>0.4/2</f>
        <v>0.2</v>
      </c>
      <c r="JP88" s="721">
        <f>2*54.632</f>
        <v>109.264</v>
      </c>
      <c r="JQ88" s="721">
        <f>0.5*23.188</f>
        <v>11.593999999999999</v>
      </c>
      <c r="JR88" s="721">
        <f>0.4/2</f>
        <v>0.2</v>
      </c>
      <c r="JS88" s="721">
        <f>2*54.632</f>
        <v>109.264</v>
      </c>
      <c r="JT88" s="721">
        <f>0.5*21.5</f>
        <v>10.75</v>
      </c>
      <c r="JU88" s="721">
        <f>0.4/2</f>
        <v>0.2</v>
      </c>
      <c r="JV88" s="721">
        <f>2*54.632</f>
        <v>109.264</v>
      </c>
      <c r="JW88" s="721">
        <f>0.5*21.375</f>
        <v>10.6875</v>
      </c>
      <c r="JX88" s="721">
        <f>0.4/2</f>
        <v>0.2</v>
      </c>
      <c r="JY88" s="721">
        <f>2*53.738</f>
        <v>107.476</v>
      </c>
      <c r="JZ88" s="721">
        <f>0.5*21.375</f>
        <v>10.6875</v>
      </c>
      <c r="KA88" s="721">
        <f>0.4/2</f>
        <v>0.2</v>
      </c>
      <c r="KB88" s="721">
        <f>2*53.738</f>
        <v>107.476</v>
      </c>
      <c r="KC88" s="721">
        <f>0.5*22.25</f>
        <v>11.125</v>
      </c>
      <c r="KD88" s="721">
        <f>0.4/2</f>
        <v>0.2</v>
      </c>
      <c r="KE88" s="721">
        <f>2*53.738</f>
        <v>107.476</v>
      </c>
      <c r="KF88" s="721">
        <f>0.5*21.625</f>
        <v>10.8125</v>
      </c>
      <c r="KG88" s="721">
        <f>0.4/2</f>
        <v>0.2</v>
      </c>
      <c r="KH88" s="721">
        <f>2*53.738</f>
        <v>107.476</v>
      </c>
      <c r="KI88" s="721">
        <f>0.5*22.625</f>
        <v>11.3125</v>
      </c>
      <c r="KJ88" s="721">
        <f>0.4/2</f>
        <v>0.2</v>
      </c>
      <c r="KK88" s="721">
        <f>2*53.738</f>
        <v>107.476</v>
      </c>
      <c r="KL88" s="721">
        <f>0.5*23.25</f>
        <v>11.625</v>
      </c>
      <c r="KM88" s="721">
        <f>0.4/2</f>
        <v>0.2</v>
      </c>
      <c r="KN88" s="721">
        <f>2*53.738</f>
        <v>107.476</v>
      </c>
      <c r="KO88" s="721">
        <f>0.5*23</f>
        <v>11.5</v>
      </c>
      <c r="KP88" s="721">
        <f>0.4/2</f>
        <v>0.2</v>
      </c>
      <c r="KQ88" s="721">
        <f>2*53.738</f>
        <v>107.476</v>
      </c>
      <c r="KR88" s="721">
        <f>0.5*22.75</f>
        <v>11.375</v>
      </c>
      <c r="KS88" s="721">
        <f>0.4/2</f>
        <v>0.2</v>
      </c>
      <c r="KT88" s="721">
        <f>2*52.876</f>
        <v>105.752</v>
      </c>
      <c r="KU88" s="721">
        <f>0.5*23</f>
        <v>11.5</v>
      </c>
      <c r="KV88" s="721">
        <f>0.4/2</f>
        <v>0.2</v>
      </c>
      <c r="KW88" s="721">
        <f>2*52.876</f>
        <v>105.752</v>
      </c>
      <c r="KX88" s="721">
        <f>0.5*23.25</f>
        <v>11.625</v>
      </c>
      <c r="KY88" s="721">
        <f>0.4/2</f>
        <v>0.2</v>
      </c>
      <c r="KZ88" s="721">
        <f>2*52.876</f>
        <v>105.752</v>
      </c>
      <c r="LA88" s="721">
        <f>0.5*22.375</f>
        <v>11.1875</v>
      </c>
      <c r="LB88" s="721">
        <f>0.4/2</f>
        <v>0.2</v>
      </c>
      <c r="LC88" s="721">
        <f>2*52.162</f>
        <v>104.324</v>
      </c>
      <c r="LD88" s="721">
        <f>0.5*24.625</f>
        <v>12.3125</v>
      </c>
      <c r="LE88" s="721">
        <f>0.4/2</f>
        <v>0.2</v>
      </c>
      <c r="LF88" s="721">
        <f>2*52.162</f>
        <v>104.324</v>
      </c>
      <c r="LG88" s="721">
        <f>0.5*25.75</f>
        <v>12.875</v>
      </c>
      <c r="LH88" s="721">
        <f>0.4/2</f>
        <v>0.2</v>
      </c>
      <c r="LI88" s="721">
        <f>2*52.162</f>
        <v>104.324</v>
      </c>
      <c r="LJ88" s="721">
        <f>0.5*27.375</f>
        <v>13.6875</v>
      </c>
      <c r="LK88" s="721">
        <f>0.5*0.395</f>
        <v>0.19750000000000001</v>
      </c>
      <c r="LL88" s="721">
        <f>2*51.903</f>
        <v>103.806</v>
      </c>
      <c r="LM88" s="721">
        <f>0.5*26.75</f>
        <v>13.375</v>
      </c>
      <c r="LN88" s="721">
        <f>0.5*0.395</f>
        <v>0.19750000000000001</v>
      </c>
      <c r="LO88" s="721">
        <f>2*51.689</f>
        <v>103.378</v>
      </c>
      <c r="LP88" s="721">
        <f>0.5*27.625</f>
        <v>13.8125</v>
      </c>
      <c r="LQ88" s="721">
        <f>0.5*0.395</f>
        <v>0.19750000000000001</v>
      </c>
      <c r="LR88" s="721">
        <f>2*51.015</f>
        <v>102.03</v>
      </c>
      <c r="LS88" s="721">
        <f>0.5*26.38</f>
        <v>13.19</v>
      </c>
      <c r="LT88" s="721">
        <f>0.5*0.39</f>
        <v>0.19500000000000001</v>
      </c>
      <c r="LU88" s="721">
        <f>2*51.015</f>
        <v>102.03</v>
      </c>
      <c r="LV88" s="721">
        <f>0.5*25.75</f>
        <v>12.875</v>
      </c>
      <c r="LW88" s="721">
        <f>0.5*0.39</f>
        <v>0.19500000000000001</v>
      </c>
      <c r="LX88" s="721">
        <f>2*50.906</f>
        <v>101.812</v>
      </c>
      <c r="LY88" s="721">
        <f>0.5*26.25</f>
        <v>13.125</v>
      </c>
      <c r="LZ88" s="721">
        <f>0.5*0.39</f>
        <v>0.19500000000000001</v>
      </c>
      <c r="MA88" s="721">
        <f>2*50.79</f>
        <v>101.58</v>
      </c>
      <c r="MB88" s="721">
        <f>0.5*24</f>
        <v>12</v>
      </c>
      <c r="MC88" s="721">
        <f>0.5*0.39</f>
        <v>0.19500000000000001</v>
      </c>
      <c r="MD88" s="721">
        <f>2*50.317</f>
        <v>100.634</v>
      </c>
      <c r="ME88" s="721">
        <f>0.5*28.25</f>
        <v>14.125</v>
      </c>
      <c r="MF88" s="721">
        <f>0.5*0.37</f>
        <v>0.185</v>
      </c>
      <c r="MG88" s="721">
        <f>2*50.225</f>
        <v>100.45</v>
      </c>
      <c r="MH88" s="721">
        <f>0.5*23.75</f>
        <v>11.875</v>
      </c>
      <c r="MI88" s="721">
        <f>0.5*0.37</f>
        <v>0.185</v>
      </c>
      <c r="MJ88" s="721">
        <f>2*50.14</f>
        <v>100.28</v>
      </c>
      <c r="MK88" s="721">
        <f>0.5*22.38</f>
        <v>11.19</v>
      </c>
      <c r="ML88" s="721">
        <f>0.5*0.37</f>
        <v>0.185</v>
      </c>
      <c r="MM88" s="721">
        <f>2*50.06</f>
        <v>100.12</v>
      </c>
      <c r="MN88" s="721">
        <f>0.5*21.88</f>
        <v>10.94</v>
      </c>
      <c r="MO88" s="721">
        <f>0.5*0.37</f>
        <v>0.185</v>
      </c>
      <c r="MP88" s="721">
        <f>2*49.657</f>
        <v>99.313999999999993</v>
      </c>
      <c r="MQ88" s="721">
        <f>0.5*20.25</f>
        <v>10.125</v>
      </c>
    </row>
    <row r="89" spans="1:355">
      <c r="A89" s="633" t="s">
        <v>25</v>
      </c>
      <c r="B89" s="726" t="s">
        <v>154</v>
      </c>
      <c r="C89" s="885">
        <v>374.65</v>
      </c>
      <c r="D89" s="885">
        <v>24.97</v>
      </c>
      <c r="E89" s="887">
        <v>0.21</v>
      </c>
      <c r="F89" s="828">
        <v>374.1</v>
      </c>
      <c r="G89" s="828">
        <v>27.84</v>
      </c>
      <c r="H89" s="828">
        <v>0.2</v>
      </c>
      <c r="I89" s="828">
        <v>373.89800000000002</v>
      </c>
      <c r="J89" s="828">
        <v>29.92</v>
      </c>
      <c r="K89" s="828">
        <v>0.2</v>
      </c>
      <c r="L89" s="828">
        <v>373.35599999999999</v>
      </c>
      <c r="M89" s="829">
        <v>28.8</v>
      </c>
      <c r="N89" s="828">
        <v>0.2</v>
      </c>
      <c r="O89" s="828">
        <v>356.5</v>
      </c>
      <c r="P89" s="828">
        <v>28.66</v>
      </c>
      <c r="Q89" s="839">
        <v>0.2</v>
      </c>
      <c r="R89" s="828">
        <v>363.9</v>
      </c>
      <c r="S89" s="828">
        <v>25.35</v>
      </c>
      <c r="T89" s="828">
        <v>0.19500000000000001</v>
      </c>
      <c r="U89" s="828">
        <v>354.22899999999998</v>
      </c>
      <c r="V89" s="829">
        <v>24.92</v>
      </c>
      <c r="W89" s="828">
        <v>0.19500000000000001</v>
      </c>
      <c r="X89" s="832">
        <v>338.012</v>
      </c>
      <c r="Y89" s="788">
        <v>26.28</v>
      </c>
      <c r="Z89" s="788">
        <v>0.19500000000000001</v>
      </c>
      <c r="AA89" s="788">
        <v>337.5</v>
      </c>
      <c r="AB89" s="788">
        <v>23.91</v>
      </c>
      <c r="AC89" s="801">
        <v>0.19500000000000001</v>
      </c>
      <c r="AD89" s="788">
        <v>331.13900000000001</v>
      </c>
      <c r="AE89" s="788">
        <v>25.67</v>
      </c>
      <c r="AF89" s="788">
        <v>0.17499999999999999</v>
      </c>
      <c r="AG89" s="788">
        <v>325.10000000000002</v>
      </c>
      <c r="AH89" s="788">
        <v>25.59</v>
      </c>
      <c r="AI89" s="788">
        <v>0.17499999999999999</v>
      </c>
      <c r="AJ89" s="788">
        <v>323.68099999999998</v>
      </c>
      <c r="AK89" s="788">
        <v>25.36</v>
      </c>
      <c r="AL89" s="788">
        <v>0.17499999999999999</v>
      </c>
      <c r="AM89" s="828">
        <v>321.80500000000001</v>
      </c>
      <c r="AN89" s="828">
        <v>23.79</v>
      </c>
      <c r="AO89" s="830">
        <v>0.17499999999999999</v>
      </c>
      <c r="AP89" s="788">
        <v>322.31799999999998</v>
      </c>
      <c r="AQ89" s="788">
        <v>22.14</v>
      </c>
      <c r="AR89" s="788">
        <v>0.16500000000000001</v>
      </c>
      <c r="AS89" s="727">
        <v>321.72500000000002</v>
      </c>
      <c r="AT89" s="727">
        <v>24.11</v>
      </c>
      <c r="AU89" s="727">
        <v>0.16500000000000001</v>
      </c>
      <c r="AV89" s="727">
        <v>320.28100000000001</v>
      </c>
      <c r="AW89" s="727">
        <v>26.52</v>
      </c>
      <c r="AX89" s="727">
        <v>0.16500000000000001</v>
      </c>
      <c r="AY89" s="727">
        <v>317.74599999999998</v>
      </c>
      <c r="AZ89" s="727">
        <v>23.56</v>
      </c>
      <c r="BA89" s="727">
        <v>0.155</v>
      </c>
      <c r="BB89" s="727">
        <v>318.08999999999997</v>
      </c>
      <c r="BC89" s="727">
        <v>19.510000000000002</v>
      </c>
      <c r="BD89" s="727">
        <v>0.155</v>
      </c>
      <c r="BE89" s="727">
        <v>317.5</v>
      </c>
      <c r="BF89" s="727">
        <v>18.55</v>
      </c>
      <c r="BG89" s="746">
        <v>0.155</v>
      </c>
      <c r="BH89" s="727">
        <v>316.58699999999999</v>
      </c>
      <c r="BI89" s="727">
        <v>45.59</v>
      </c>
      <c r="BJ89" s="727">
        <v>0.26</v>
      </c>
      <c r="BK89" s="726">
        <v>315.8</v>
      </c>
      <c r="BL89" s="726">
        <v>44.16</v>
      </c>
      <c r="BM89" s="726">
        <v>0.26</v>
      </c>
      <c r="BN89" s="727">
        <v>315.41800000000001</v>
      </c>
      <c r="BO89" s="727">
        <v>42.42</v>
      </c>
      <c r="BP89" s="727">
        <v>0.26</v>
      </c>
      <c r="BQ89" s="727">
        <v>315.01299999999998</v>
      </c>
      <c r="BR89" s="727">
        <v>40.98</v>
      </c>
      <c r="BS89" s="727">
        <v>0.26</v>
      </c>
      <c r="BT89" s="727">
        <v>314.22199999999998</v>
      </c>
      <c r="BU89" s="727">
        <v>39.340000000000003</v>
      </c>
      <c r="BV89" s="746">
        <v>0.26</v>
      </c>
      <c r="BW89" s="726">
        <v>312.40199999999999</v>
      </c>
      <c r="BX89" s="726">
        <v>35.53</v>
      </c>
      <c r="BY89" s="726">
        <v>0.25</v>
      </c>
      <c r="BZ89" s="727">
        <v>312.84199999999998</v>
      </c>
      <c r="CA89" s="727">
        <v>32.880000000000003</v>
      </c>
      <c r="CB89" s="727">
        <v>0.25</v>
      </c>
      <c r="CC89" s="727">
        <v>312.17700000000002</v>
      </c>
      <c r="CD89" s="727">
        <v>30.89</v>
      </c>
      <c r="CE89" s="727">
        <v>0.25</v>
      </c>
      <c r="CF89" s="727">
        <v>311.12</v>
      </c>
      <c r="CG89" s="727">
        <v>28.64</v>
      </c>
      <c r="CH89" s="746">
        <v>0.25</v>
      </c>
      <c r="CI89" s="726">
        <v>291.92700000000002</v>
      </c>
      <c r="CJ89" s="726">
        <v>29.34</v>
      </c>
      <c r="CK89" s="726">
        <v>0.24</v>
      </c>
      <c r="CL89" s="727">
        <v>290.32799999999997</v>
      </c>
      <c r="CM89" s="727">
        <v>24.89</v>
      </c>
      <c r="CN89" s="727">
        <v>0.24</v>
      </c>
      <c r="CO89" s="727">
        <v>284.37</v>
      </c>
      <c r="CP89" s="727">
        <v>25.48</v>
      </c>
      <c r="CQ89" s="727">
        <v>0.24</v>
      </c>
      <c r="CR89" s="727">
        <v>282.92500000000001</v>
      </c>
      <c r="CS89" s="727">
        <v>24.75</v>
      </c>
      <c r="CT89" s="746">
        <v>0.24</v>
      </c>
      <c r="CU89" s="726">
        <v>280.44200000000001</v>
      </c>
      <c r="CV89" s="726">
        <v>24.35</v>
      </c>
      <c r="CW89" s="726">
        <v>0.23</v>
      </c>
      <c r="CX89" s="727">
        <v>280.76499999999999</v>
      </c>
      <c r="CY89" s="727">
        <v>23.81</v>
      </c>
      <c r="CZ89" s="727">
        <v>0.23</v>
      </c>
      <c r="DA89" s="727">
        <v>280.21699999999998</v>
      </c>
      <c r="DB89" s="727">
        <v>21.38</v>
      </c>
      <c r="DC89" s="727">
        <v>0.23</v>
      </c>
      <c r="DD89" s="727">
        <v>279.339</v>
      </c>
      <c r="DE89" s="727">
        <v>20.25</v>
      </c>
      <c r="DF89" s="727">
        <v>0.23</v>
      </c>
      <c r="DG89" s="727">
        <v>278.60000000000002</v>
      </c>
      <c r="DH89" s="727">
        <v>19.18</v>
      </c>
      <c r="DI89" s="727">
        <v>0.23</v>
      </c>
      <c r="DJ89" s="727">
        <v>278.08800000000002</v>
      </c>
      <c r="DK89" s="727">
        <v>17.62</v>
      </c>
      <c r="DL89" s="727">
        <v>0.23</v>
      </c>
      <c r="DM89" s="727">
        <v>277.56599999999997</v>
      </c>
      <c r="DN89" s="727">
        <v>17.399999999999999</v>
      </c>
      <c r="DO89" s="727">
        <v>0.23</v>
      </c>
      <c r="DP89" s="727">
        <v>276.947</v>
      </c>
      <c r="DQ89" s="727">
        <v>14.5</v>
      </c>
      <c r="DR89" s="727">
        <v>0.23</v>
      </c>
      <c r="DS89" s="727">
        <v>276</v>
      </c>
      <c r="DT89" s="748">
        <v>15.8</v>
      </c>
      <c r="DU89" s="727">
        <v>0.23</v>
      </c>
      <c r="DV89" s="727">
        <v>275.39999999999998</v>
      </c>
      <c r="DW89" s="727">
        <v>15.38</v>
      </c>
      <c r="DX89" s="727">
        <v>0.23</v>
      </c>
      <c r="DY89" s="727">
        <v>274.7</v>
      </c>
      <c r="DZ89" s="727">
        <v>13.89</v>
      </c>
      <c r="EA89" s="727">
        <v>0.23</v>
      </c>
      <c r="EB89" s="727">
        <v>274.19600000000003</v>
      </c>
      <c r="EC89" s="727">
        <v>11.66</v>
      </c>
      <c r="ED89" s="727">
        <v>0.23</v>
      </c>
      <c r="EE89" s="727">
        <v>274</v>
      </c>
      <c r="EF89" s="727">
        <v>9.8000000000000007</v>
      </c>
      <c r="EG89" s="727">
        <v>0.23</v>
      </c>
      <c r="EH89" s="727">
        <v>273.99200000000002</v>
      </c>
      <c r="EI89" s="727">
        <v>10.97</v>
      </c>
      <c r="EJ89" s="727">
        <v>0.23</v>
      </c>
      <c r="EK89" s="727">
        <v>273.97300000000001</v>
      </c>
      <c r="EL89" s="727">
        <v>14.76</v>
      </c>
      <c r="EM89" s="727">
        <v>0.23</v>
      </c>
      <c r="EN89" s="727">
        <v>273.92200000000003</v>
      </c>
      <c r="EO89" s="727">
        <v>17.920000000000002</v>
      </c>
      <c r="EP89" s="727">
        <v>0.23</v>
      </c>
      <c r="EQ89" s="727">
        <v>273.79700000000003</v>
      </c>
      <c r="ER89" s="727">
        <v>17.239999999999998</v>
      </c>
      <c r="ES89" s="727">
        <v>0.23</v>
      </c>
      <c r="ET89" s="727">
        <v>273.88099999999997</v>
      </c>
      <c r="EU89" s="727">
        <v>18.89</v>
      </c>
      <c r="EV89" s="727">
        <v>0.23</v>
      </c>
      <c r="EW89" s="727">
        <v>273.81700000000001</v>
      </c>
      <c r="EX89" s="727">
        <v>19.14</v>
      </c>
      <c r="EY89" s="727">
        <v>0.23</v>
      </c>
      <c r="EZ89" s="727">
        <v>273.59399999999999</v>
      </c>
      <c r="FA89" s="727">
        <v>20.71</v>
      </c>
      <c r="FB89" s="727">
        <v>0.23</v>
      </c>
      <c r="FC89" s="723">
        <v>272.56</v>
      </c>
      <c r="FD89" s="741">
        <v>24.44</v>
      </c>
      <c r="FE89" s="723">
        <v>0.23</v>
      </c>
      <c r="FF89" s="727">
        <v>272.548</v>
      </c>
      <c r="FG89" s="727">
        <v>24.1</v>
      </c>
      <c r="FH89" s="727">
        <v>0.23</v>
      </c>
      <c r="FI89" s="727">
        <v>272.39999999999998</v>
      </c>
      <c r="FJ89" s="727">
        <v>21.74</v>
      </c>
      <c r="FK89" s="727">
        <v>0.23</v>
      </c>
      <c r="FL89" s="727">
        <v>272.3</v>
      </c>
      <c r="FM89" s="727">
        <v>21.84</v>
      </c>
      <c r="FN89" s="727">
        <v>0.23</v>
      </c>
      <c r="FO89" s="727">
        <v>271.89999999999998</v>
      </c>
      <c r="FP89" s="727">
        <v>20.22</v>
      </c>
      <c r="FQ89" s="727">
        <v>0.23</v>
      </c>
      <c r="FR89" s="727">
        <v>271.7</v>
      </c>
      <c r="FS89" s="742">
        <v>20.86</v>
      </c>
      <c r="FT89" s="626">
        <f>0.92/4</f>
        <v>0.23</v>
      </c>
      <c r="FU89" s="727">
        <v>271.17200000000003</v>
      </c>
      <c r="FV89" s="727">
        <v>24.25</v>
      </c>
      <c r="FW89" s="727">
        <v>0.23</v>
      </c>
      <c r="FX89" s="727">
        <v>270.327</v>
      </c>
      <c r="FY89" s="727">
        <v>24.73</v>
      </c>
      <c r="FZ89" s="727">
        <v>0.23</v>
      </c>
      <c r="GA89" s="727">
        <v>262.7</v>
      </c>
      <c r="GB89" s="727">
        <v>22.79</v>
      </c>
      <c r="GC89" s="727">
        <v>0.23</v>
      </c>
      <c r="GD89" s="750">
        <v>262.7</v>
      </c>
      <c r="GE89" s="741">
        <v>22.78</v>
      </c>
      <c r="GF89" s="751">
        <v>0.23</v>
      </c>
      <c r="GG89" s="750">
        <v>262.54300000000001</v>
      </c>
      <c r="GH89" s="727">
        <v>21.01</v>
      </c>
      <c r="GI89" s="727">
        <v>0.23</v>
      </c>
      <c r="GJ89" s="727">
        <v>262.28699999999998</v>
      </c>
      <c r="GK89" s="727">
        <v>20.62</v>
      </c>
      <c r="GL89" s="727">
        <v>0.23</v>
      </c>
      <c r="GM89" s="727">
        <v>261.60000000000002</v>
      </c>
      <c r="GN89" s="727">
        <v>21.25</v>
      </c>
      <c r="GO89" s="727">
        <v>0.23</v>
      </c>
      <c r="GP89" s="727">
        <v>261.44</v>
      </c>
      <c r="GQ89" s="727">
        <v>21.94</v>
      </c>
      <c r="GR89" s="727">
        <v>0.23</v>
      </c>
      <c r="GS89" s="727">
        <v>261.25900000000001</v>
      </c>
      <c r="GT89" s="727">
        <v>19.98</v>
      </c>
      <c r="GU89" s="727">
        <v>0.23</v>
      </c>
      <c r="GV89" s="727">
        <v>253.84700000000001</v>
      </c>
      <c r="GW89" s="727">
        <v>19</v>
      </c>
      <c r="GX89" s="727">
        <v>0.28999999999999998</v>
      </c>
      <c r="GY89" s="727">
        <v>227</v>
      </c>
      <c r="GZ89" s="727">
        <v>18.2</v>
      </c>
      <c r="HA89" s="727">
        <v>0.28999999999999998</v>
      </c>
      <c r="HB89" s="727">
        <v>205.71199999999999</v>
      </c>
      <c r="HC89" s="727">
        <v>20</v>
      </c>
      <c r="HD89" s="727">
        <v>0.28999999999999998</v>
      </c>
      <c r="HE89" s="727">
        <v>205.64500000000001</v>
      </c>
      <c r="HF89" s="727">
        <v>17.23</v>
      </c>
      <c r="HG89" s="727">
        <v>0.28999999999999998</v>
      </c>
      <c r="HH89" s="727">
        <v>205.536</v>
      </c>
      <c r="HI89" s="727">
        <v>21.83</v>
      </c>
      <c r="HJ89" s="727">
        <v>0.28999999999999998</v>
      </c>
      <c r="HK89" s="727">
        <v>205.5</v>
      </c>
      <c r="HL89" s="727">
        <v>22.95</v>
      </c>
      <c r="HM89" s="727">
        <v>0.28999999999999998</v>
      </c>
      <c r="HN89" s="727">
        <v>205.4</v>
      </c>
      <c r="HO89" s="727">
        <v>23.06</v>
      </c>
      <c r="HP89" s="727">
        <v>0.28999999999999998</v>
      </c>
      <c r="HQ89" s="727">
        <v>205.3</v>
      </c>
      <c r="HR89" s="727">
        <v>23.31</v>
      </c>
      <c r="HS89" s="727">
        <v>0.28999999999999998</v>
      </c>
      <c r="HT89" s="727">
        <v>205</v>
      </c>
      <c r="HU89" s="727">
        <v>27.33</v>
      </c>
      <c r="HV89" s="727">
        <v>0.28999999999999998</v>
      </c>
      <c r="HW89" s="727">
        <v>121.4</v>
      </c>
      <c r="HX89" s="727">
        <v>31.12</v>
      </c>
      <c r="HY89" s="727">
        <v>0.28999999999999998</v>
      </c>
      <c r="HZ89" s="727">
        <v>121.3</v>
      </c>
      <c r="IA89" s="727">
        <v>30.75</v>
      </c>
      <c r="IB89" s="727">
        <v>0.27</v>
      </c>
      <c r="IC89" s="727">
        <v>120.56953</v>
      </c>
      <c r="ID89" s="727">
        <v>24.4375</v>
      </c>
      <c r="IE89" s="727">
        <v>0.27</v>
      </c>
      <c r="IF89" s="727">
        <v>124.304233</v>
      </c>
      <c r="IG89" s="727">
        <v>18.625</v>
      </c>
      <c r="IH89" s="727">
        <v>0.27</v>
      </c>
      <c r="II89" s="727">
        <v>124.71451</v>
      </c>
      <c r="IJ89" s="722">
        <v>16.875</v>
      </c>
      <c r="IK89" s="722">
        <v>0.27</v>
      </c>
      <c r="IL89" s="722">
        <v>125</v>
      </c>
      <c r="IM89" s="727">
        <v>17.875</v>
      </c>
      <c r="IN89" s="722">
        <v>0.27</v>
      </c>
      <c r="IO89" s="722">
        <v>124.95132099999999</v>
      </c>
      <c r="IP89" s="727">
        <v>22.125</v>
      </c>
      <c r="IQ89" s="722">
        <v>0.255</v>
      </c>
      <c r="IR89" s="721">
        <v>120.78</v>
      </c>
      <c r="IS89" s="721">
        <v>25.8125</v>
      </c>
      <c r="IT89" s="721">
        <v>0.255</v>
      </c>
      <c r="IU89" s="721">
        <v>119.5</v>
      </c>
      <c r="IV89" s="721">
        <v>27</v>
      </c>
      <c r="IW89" s="721">
        <v>0.255</v>
      </c>
      <c r="IX89" s="721">
        <v>119.5</v>
      </c>
      <c r="IY89" s="721">
        <v>30.437999999999999</v>
      </c>
      <c r="IZ89" s="721">
        <v>0.255</v>
      </c>
      <c r="JA89" s="721">
        <v>123.87</v>
      </c>
      <c r="JB89" s="721">
        <v>32.875</v>
      </c>
      <c r="JC89" s="721">
        <v>0.24</v>
      </c>
      <c r="JD89" s="721">
        <v>123.87</v>
      </c>
      <c r="JE89" s="721">
        <v>28</v>
      </c>
      <c r="JF89" s="721">
        <v>0.24</v>
      </c>
      <c r="JG89" s="721">
        <v>125.5</v>
      </c>
      <c r="JH89" s="721">
        <v>24.718800000000002</v>
      </c>
      <c r="JI89" s="721">
        <v>0.24</v>
      </c>
      <c r="JJ89" s="721">
        <v>125.496</v>
      </c>
      <c r="JK89" s="721">
        <v>24.718800000000002</v>
      </c>
      <c r="JL89" s="721">
        <v>0.24</v>
      </c>
      <c r="JM89" s="721">
        <v>119.116</v>
      </c>
      <c r="JN89" s="721">
        <v>21.0625</v>
      </c>
      <c r="JO89" s="721">
        <v>0.22500000000000001</v>
      </c>
      <c r="JP89" s="721">
        <v>119.116</v>
      </c>
      <c r="JQ89" s="721">
        <v>20.655999999999999</v>
      </c>
      <c r="JR89" s="721">
        <v>0.22500000000000001</v>
      </c>
      <c r="JS89" s="721">
        <v>122.122</v>
      </c>
      <c r="JT89" s="721">
        <v>19.625</v>
      </c>
      <c r="JU89" s="721">
        <v>0.22500000000000001</v>
      </c>
      <c r="JV89" s="721">
        <v>122.122</v>
      </c>
      <c r="JW89" s="721">
        <v>19.812999999999999</v>
      </c>
      <c r="JX89" s="721">
        <v>0.22500000000000001</v>
      </c>
      <c r="JY89" s="721">
        <v>128.20599999999999</v>
      </c>
      <c r="JZ89" s="721">
        <v>17.875</v>
      </c>
      <c r="KA89" s="721">
        <v>0.21</v>
      </c>
      <c r="KB89" s="721">
        <v>128.20599999999999</v>
      </c>
      <c r="KC89" s="721">
        <v>20.125</v>
      </c>
      <c r="KD89" s="721">
        <v>0.21</v>
      </c>
      <c r="KE89" s="721">
        <v>128.20599999999999</v>
      </c>
      <c r="KF89" s="721">
        <v>18.625</v>
      </c>
      <c r="KG89" s="721">
        <v>0.21</v>
      </c>
      <c r="KH89" s="721">
        <v>128.20599999999999</v>
      </c>
      <c r="KI89" s="721">
        <v>19.125</v>
      </c>
      <c r="KJ89" s="721">
        <v>0.21</v>
      </c>
      <c r="KK89" s="721">
        <v>128.20599999999999</v>
      </c>
      <c r="KL89" s="721">
        <v>17.437999999999999</v>
      </c>
      <c r="KM89" s="721">
        <v>0.19500000000000001</v>
      </c>
      <c r="KN89" s="721">
        <v>128.20599999999999</v>
      </c>
      <c r="KO89" s="721">
        <v>17</v>
      </c>
      <c r="KP89" s="721">
        <v>0.19500000000000001</v>
      </c>
      <c r="KQ89" s="721">
        <v>128.20599999999999</v>
      </c>
      <c r="KR89" s="721">
        <v>15.5625</v>
      </c>
      <c r="KS89" s="721">
        <v>0.19500000000000001</v>
      </c>
      <c r="KT89" s="721">
        <v>130.76400000000001</v>
      </c>
      <c r="KU89" s="721">
        <v>14.875</v>
      </c>
      <c r="KV89" s="721">
        <v>0.19500000000000001</v>
      </c>
      <c r="KW89" s="721">
        <v>130.76400000000001</v>
      </c>
      <c r="KX89" s="721">
        <v>13.688000000000001</v>
      </c>
      <c r="KY89" s="721">
        <v>0.18</v>
      </c>
      <c r="KZ89" s="721">
        <v>130.76400000000001</v>
      </c>
      <c r="LA89" s="721">
        <v>14.75</v>
      </c>
      <c r="LB89" s="721">
        <v>0.18</v>
      </c>
      <c r="LC89" s="721">
        <v>132.52799999999999</v>
      </c>
      <c r="LD89" s="721">
        <v>15.125</v>
      </c>
      <c r="LE89" s="721">
        <v>0.18</v>
      </c>
      <c r="LF89" s="721">
        <v>132.52799999999999</v>
      </c>
      <c r="LG89" s="721">
        <v>16.4375</v>
      </c>
      <c r="LH89" s="721">
        <v>0.18</v>
      </c>
      <c r="LI89" s="721">
        <v>132.52799999999999</v>
      </c>
      <c r="LJ89" s="721">
        <v>17</v>
      </c>
      <c r="LK89" s="721">
        <v>0.16500000000000001</v>
      </c>
      <c r="LL89" s="721">
        <v>133.26400000000001</v>
      </c>
      <c r="LM89" s="721">
        <v>16.3125</v>
      </c>
      <c r="LN89" s="721">
        <v>0.16500000000000001</v>
      </c>
      <c r="LO89" s="721">
        <v>131.37</v>
      </c>
      <c r="LP89" s="721">
        <v>15.125</v>
      </c>
      <c r="LQ89" s="721">
        <v>0.16500000000000001</v>
      </c>
      <c r="LR89" s="721">
        <v>133.672</v>
      </c>
      <c r="LS89" s="721">
        <v>13.25</v>
      </c>
      <c r="LT89" s="721">
        <v>0.16</v>
      </c>
      <c r="LU89" s="721">
        <v>133.672</v>
      </c>
      <c r="LV89" s="721">
        <v>13.13</v>
      </c>
      <c r="LW89" s="721">
        <v>0.16</v>
      </c>
      <c r="LX89" s="721">
        <v>133.738</v>
      </c>
      <c r="LY89" s="721">
        <v>12.56</v>
      </c>
      <c r="LZ89" s="721">
        <v>0.16</v>
      </c>
      <c r="MA89" s="721">
        <v>133.762</v>
      </c>
      <c r="MB89" s="721">
        <v>11.38</v>
      </c>
      <c r="MC89" s="721">
        <v>0.16</v>
      </c>
      <c r="MD89" s="721">
        <v>134.07</v>
      </c>
      <c r="ME89" s="721">
        <v>12.88</v>
      </c>
      <c r="MF89" s="721">
        <v>0.15</v>
      </c>
      <c r="MG89" s="721">
        <v>134.28399999999999</v>
      </c>
      <c r="MH89" s="721">
        <v>12.25</v>
      </c>
      <c r="MI89" s="721">
        <v>0.15</v>
      </c>
      <c r="MJ89" s="721">
        <v>134.52799999999999</v>
      </c>
      <c r="MK89" s="721">
        <v>10.25</v>
      </c>
      <c r="ML89" s="721">
        <v>0.15</v>
      </c>
      <c r="MM89" s="721">
        <v>135.684</v>
      </c>
      <c r="MN89" s="721">
        <v>9.94</v>
      </c>
      <c r="MO89" s="721">
        <v>0.15</v>
      </c>
      <c r="MP89" s="721">
        <v>138.13999999999999</v>
      </c>
      <c r="MQ89" s="721">
        <v>9.44</v>
      </c>
    </row>
    <row r="90" spans="1:355">
      <c r="B90" s="723" t="s">
        <v>289</v>
      </c>
      <c r="C90" s="886"/>
      <c r="D90" s="886"/>
      <c r="E90" s="886"/>
      <c r="F90" s="788"/>
      <c r="G90" s="788"/>
      <c r="H90" s="788"/>
      <c r="I90" s="788"/>
      <c r="J90" s="788"/>
      <c r="K90" s="788"/>
      <c r="L90" s="828"/>
      <c r="M90" s="829"/>
      <c r="N90" s="828"/>
      <c r="O90" s="828"/>
      <c r="P90" s="828"/>
      <c r="Q90" s="828"/>
      <c r="R90" s="828"/>
      <c r="S90" s="828"/>
      <c r="T90" s="828"/>
      <c r="U90" s="788"/>
      <c r="V90" s="827"/>
      <c r="W90" s="788"/>
      <c r="X90" s="832"/>
      <c r="Y90" s="788"/>
      <c r="Z90" s="788"/>
      <c r="AA90" s="788"/>
      <c r="AB90" s="788"/>
      <c r="AC90" s="788"/>
      <c r="AJ90" s="788"/>
      <c r="AK90" s="788"/>
      <c r="AL90" s="788"/>
      <c r="AM90" s="828"/>
      <c r="AN90" s="828"/>
      <c r="AO90" s="828"/>
      <c r="AP90" s="788"/>
      <c r="AQ90" s="788"/>
      <c r="AR90" s="788"/>
      <c r="AV90" s="723"/>
      <c r="AW90" s="723"/>
      <c r="AX90" s="723"/>
      <c r="AY90" s="723"/>
      <c r="AZ90" s="723"/>
      <c r="BA90" s="723"/>
      <c r="BB90" s="723"/>
      <c r="BC90" s="723"/>
      <c r="BD90" s="723"/>
      <c r="BE90" s="723"/>
      <c r="BF90" s="723"/>
      <c r="BG90" s="723"/>
      <c r="BH90" s="723"/>
      <c r="BI90" s="723"/>
      <c r="BJ90" s="723"/>
      <c r="BK90" s="723"/>
      <c r="BL90" s="723"/>
      <c r="BM90" s="723"/>
      <c r="BN90" s="723"/>
      <c r="BO90" s="723"/>
      <c r="BP90" s="723"/>
      <c r="BQ90" s="723"/>
      <c r="BR90" s="723"/>
      <c r="BS90" s="723"/>
      <c r="BT90" s="723"/>
      <c r="BU90" s="723"/>
      <c r="BV90" s="723"/>
      <c r="BW90" s="728"/>
      <c r="BX90" s="728"/>
      <c r="BY90" s="728"/>
      <c r="BZ90" s="723"/>
      <c r="CA90" s="723"/>
      <c r="CB90" s="723"/>
      <c r="CC90" s="723"/>
      <c r="CD90" s="723"/>
      <c r="CE90" s="723"/>
      <c r="CF90" s="723"/>
      <c r="CG90" s="723"/>
      <c r="CH90" s="723"/>
      <c r="CI90" s="723"/>
      <c r="CJ90" s="723"/>
      <c r="CK90" s="723"/>
      <c r="CL90" s="723"/>
      <c r="CM90" s="723"/>
      <c r="CN90" s="723"/>
      <c r="CO90" s="723"/>
      <c r="CP90" s="723"/>
      <c r="CQ90" s="723"/>
      <c r="CR90" s="723"/>
      <c r="CS90" s="723"/>
      <c r="CT90" s="723"/>
      <c r="CU90" s="723"/>
      <c r="CV90" s="723"/>
      <c r="CW90" s="723"/>
      <c r="CX90" s="722"/>
      <c r="CY90" s="723"/>
      <c r="CZ90" s="723"/>
      <c r="DA90" s="723"/>
      <c r="DB90" s="723"/>
      <c r="DC90" s="735"/>
      <c r="DD90" s="723"/>
      <c r="DE90" s="723"/>
      <c r="DF90" s="723"/>
      <c r="DG90" s="723"/>
      <c r="DH90" s="723"/>
      <c r="DI90" s="723"/>
      <c r="DJ90" s="723"/>
      <c r="DK90" s="723"/>
      <c r="DL90" s="723"/>
      <c r="DM90" s="723"/>
      <c r="DN90" s="723"/>
      <c r="DO90" s="723"/>
      <c r="DP90" s="723"/>
      <c r="DQ90" s="723"/>
      <c r="DR90" s="723"/>
      <c r="DS90" s="723"/>
      <c r="DT90" s="725"/>
      <c r="DU90" s="723"/>
      <c r="DV90" s="723"/>
      <c r="DW90" s="723"/>
      <c r="DX90" s="723"/>
      <c r="DY90" s="723"/>
      <c r="DZ90" s="723"/>
      <c r="EA90" s="723"/>
      <c r="EB90" s="723"/>
      <c r="EC90" s="723"/>
      <c r="ED90" s="723"/>
      <c r="EE90" s="723"/>
      <c r="EF90" s="723"/>
      <c r="EG90" s="723"/>
      <c r="EH90" s="723"/>
      <c r="EI90" s="723"/>
      <c r="EJ90" s="723"/>
      <c r="EK90" s="723"/>
      <c r="EL90" s="723"/>
      <c r="EM90" s="723"/>
      <c r="EN90" s="723">
        <v>157.09</v>
      </c>
      <c r="EO90" s="723">
        <v>24.72</v>
      </c>
      <c r="EP90" s="723">
        <v>0.31</v>
      </c>
      <c r="EQ90" s="723">
        <v>154.80099999999999</v>
      </c>
      <c r="ER90" s="723">
        <v>24.12</v>
      </c>
      <c r="ES90" s="723">
        <v>0.31</v>
      </c>
      <c r="ET90" s="722">
        <v>157.221</v>
      </c>
      <c r="EU90" s="722">
        <v>27.21</v>
      </c>
      <c r="EV90" s="722">
        <v>0.31</v>
      </c>
      <c r="EW90" s="723">
        <v>157.11199999999999</v>
      </c>
      <c r="EX90" s="723">
        <v>27.05</v>
      </c>
      <c r="EY90" s="723">
        <v>0.3</v>
      </c>
      <c r="EZ90" s="723">
        <v>147.517</v>
      </c>
      <c r="FA90" s="723">
        <v>26.09</v>
      </c>
      <c r="FB90" s="723">
        <v>0.3</v>
      </c>
      <c r="FC90" s="723">
        <v>146.96199999999999</v>
      </c>
      <c r="FD90" s="741">
        <v>24.36</v>
      </c>
      <c r="FE90" s="723">
        <v>0.3</v>
      </c>
      <c r="FF90" s="727">
        <v>146.90299999999999</v>
      </c>
      <c r="FG90" s="727">
        <v>24.8</v>
      </c>
      <c r="FH90" s="749">
        <v>0.3</v>
      </c>
      <c r="FI90" s="727">
        <v>146.90299999999999</v>
      </c>
      <c r="FJ90" s="727">
        <v>23.72</v>
      </c>
      <c r="FK90" s="727">
        <v>0.28999999999999998</v>
      </c>
      <c r="FL90" s="727">
        <v>147.03399999999999</v>
      </c>
      <c r="FM90" s="727">
        <v>23.93</v>
      </c>
      <c r="FN90" s="727">
        <v>0.28999999999999998</v>
      </c>
      <c r="FO90" s="727">
        <v>147.125</v>
      </c>
      <c r="FP90" s="727">
        <v>24.3</v>
      </c>
      <c r="FQ90" s="727">
        <v>0.28999999999999998</v>
      </c>
      <c r="FR90" s="727">
        <v>147.00800000000001</v>
      </c>
      <c r="FS90" s="742">
        <v>22.8</v>
      </c>
      <c r="FT90" s="626">
        <f>1.16/4</f>
        <v>0.28999999999999998</v>
      </c>
      <c r="FU90" s="727">
        <v>146.83099999999999</v>
      </c>
      <c r="FV90" s="727">
        <v>25.19</v>
      </c>
      <c r="FW90" s="727">
        <v>0.27500000000000002</v>
      </c>
      <c r="FX90" s="727">
        <v>146.875</v>
      </c>
      <c r="FY90" s="727">
        <v>28.98</v>
      </c>
      <c r="FZ90" s="727">
        <v>0.27500000000000002</v>
      </c>
      <c r="GA90" s="727">
        <v>146.38499999999999</v>
      </c>
      <c r="GB90" s="727">
        <v>26.22</v>
      </c>
      <c r="GC90" s="727">
        <v>0.27500000000000002</v>
      </c>
      <c r="GD90" s="750">
        <v>146.38499999999999</v>
      </c>
      <c r="GE90" s="741">
        <v>26.68</v>
      </c>
      <c r="GF90" s="751">
        <v>0.27500000000000002</v>
      </c>
      <c r="GG90" s="750">
        <v>146.148</v>
      </c>
      <c r="GH90" s="727">
        <v>25.18</v>
      </c>
      <c r="GI90" s="727">
        <v>0.26</v>
      </c>
      <c r="GJ90" s="727">
        <v>146.08500000000001</v>
      </c>
      <c r="GK90" s="727">
        <v>24.25</v>
      </c>
      <c r="GL90" s="727">
        <v>0.26</v>
      </c>
      <c r="GM90" s="727">
        <v>145.93600000000001</v>
      </c>
      <c r="GN90" s="727">
        <v>25.36</v>
      </c>
      <c r="GO90" s="727">
        <v>0.26</v>
      </c>
      <c r="GP90" s="727">
        <v>145.684</v>
      </c>
      <c r="GQ90" s="727">
        <v>22.4</v>
      </c>
      <c r="GR90" s="727">
        <v>0.25</v>
      </c>
      <c r="GS90" s="727">
        <v>145.41499999999999</v>
      </c>
      <c r="GT90" s="727">
        <v>22.43</v>
      </c>
      <c r="GU90" s="727">
        <v>0.25</v>
      </c>
      <c r="GV90" s="727">
        <v>145.096</v>
      </c>
      <c r="GW90" s="727">
        <v>20.76</v>
      </c>
      <c r="GX90" s="727">
        <v>0.25</v>
      </c>
      <c r="GY90" s="727">
        <v>144.84899999999999</v>
      </c>
      <c r="GZ90" s="727">
        <v>17.8</v>
      </c>
      <c r="HA90" s="727">
        <v>0.25</v>
      </c>
      <c r="HB90" s="727">
        <v>144.62100000000001</v>
      </c>
      <c r="HC90" s="727">
        <v>22.09</v>
      </c>
      <c r="HD90" s="727">
        <v>0.24</v>
      </c>
      <c r="HE90" s="727">
        <v>117.82</v>
      </c>
      <c r="HF90" s="727">
        <v>19.809999999999999</v>
      </c>
      <c r="HG90" s="727">
        <v>0.24</v>
      </c>
      <c r="HH90" s="727">
        <v>116.72</v>
      </c>
      <c r="HI90" s="727">
        <v>22.6</v>
      </c>
      <c r="HJ90" s="727">
        <v>0.24</v>
      </c>
      <c r="HK90" s="727">
        <v>116.623</v>
      </c>
      <c r="HL90" s="727">
        <v>21.75</v>
      </c>
      <c r="HM90" s="727">
        <v>0.24</v>
      </c>
      <c r="HN90" s="727">
        <v>116.43600000000001</v>
      </c>
      <c r="HO90" s="727">
        <v>18.989999999999998</v>
      </c>
      <c r="HP90" s="727">
        <v>0.23</v>
      </c>
      <c r="HQ90" s="727">
        <v>116.399</v>
      </c>
      <c r="HR90" s="727">
        <v>20.11</v>
      </c>
      <c r="HS90" s="727">
        <v>0.23</v>
      </c>
      <c r="HT90" s="727">
        <v>117.386</v>
      </c>
      <c r="HU90" s="727">
        <v>20.91</v>
      </c>
      <c r="HV90" s="727">
        <v>0.23</v>
      </c>
      <c r="HW90" s="727">
        <v>117.95</v>
      </c>
      <c r="HX90" s="727">
        <v>17.350000000000001</v>
      </c>
      <c r="HY90" s="727">
        <v>0.23</v>
      </c>
      <c r="HZ90" s="727">
        <v>112.812</v>
      </c>
      <c r="IA90" s="727">
        <v>19.6875</v>
      </c>
      <c r="IB90" s="727">
        <v>0.22</v>
      </c>
      <c r="IC90" s="727">
        <v>113.39700000000001</v>
      </c>
      <c r="ID90" s="727">
        <v>22.625</v>
      </c>
      <c r="IE90" s="727">
        <v>0.22</v>
      </c>
      <c r="IF90" s="727">
        <v>112.777</v>
      </c>
      <c r="IG90" s="727">
        <v>19.0625</v>
      </c>
      <c r="IH90" s="727">
        <v>0.22</v>
      </c>
      <c r="II90" s="727">
        <v>111.64700000000001</v>
      </c>
      <c r="IJ90" s="722">
        <v>19.8125</v>
      </c>
      <c r="IK90" s="722">
        <v>0.22</v>
      </c>
      <c r="IL90" s="722">
        <v>129</v>
      </c>
      <c r="IM90" s="727">
        <v>20.8125</v>
      </c>
      <c r="IN90" s="722">
        <v>0.21</v>
      </c>
      <c r="IO90" s="722">
        <v>129</v>
      </c>
      <c r="IP90" s="727">
        <v>23.75</v>
      </c>
      <c r="IQ90" s="722">
        <v>0.21</v>
      </c>
      <c r="IR90" s="721">
        <v>122.94</v>
      </c>
      <c r="IS90" s="721">
        <v>26</v>
      </c>
      <c r="IT90" s="721">
        <v>0.21</v>
      </c>
      <c r="IU90" s="721">
        <f>63.67*2</f>
        <v>127.34</v>
      </c>
      <c r="IV90" s="721">
        <f>52.5625/2</f>
        <v>26.28125</v>
      </c>
      <c r="IW90" s="721">
        <f>0.42/2</f>
        <v>0.21</v>
      </c>
      <c r="IX90" s="721">
        <f>63.67*2</f>
        <v>127.34</v>
      </c>
      <c r="IY90" s="721">
        <f>56.5/2</f>
        <v>28.25</v>
      </c>
      <c r="IZ90" s="721">
        <f>0.4/2</f>
        <v>0.2</v>
      </c>
      <c r="JA90" s="721">
        <f>66.41*2</f>
        <v>132.82</v>
      </c>
      <c r="JB90" s="721">
        <f>51/2</f>
        <v>25.5</v>
      </c>
      <c r="JC90" s="721">
        <f>0.4/2</f>
        <v>0.2</v>
      </c>
      <c r="JD90" s="721">
        <f>66.41*2</f>
        <v>132.82</v>
      </c>
      <c r="JE90" s="721">
        <f>41.625/2</f>
        <v>20.8125</v>
      </c>
      <c r="JF90" s="721">
        <f>0.4/2</f>
        <v>0.2</v>
      </c>
      <c r="JG90" s="721">
        <f>67.5*2</f>
        <v>135</v>
      </c>
      <c r="JH90" s="721">
        <f>39.875/2</f>
        <v>19.9375</v>
      </c>
      <c r="JI90" s="721">
        <f>0.35/2</f>
        <v>0.17499999999999999</v>
      </c>
      <c r="JJ90" s="721">
        <f>67.503*2</f>
        <v>135.006</v>
      </c>
      <c r="JK90" s="721">
        <f>35.5/2</f>
        <v>17.75</v>
      </c>
      <c r="JL90" s="721">
        <f>0.35/2</f>
        <v>0.17499999999999999</v>
      </c>
      <c r="JM90" s="721">
        <f>69.353*2</f>
        <v>138.70599999999999</v>
      </c>
      <c r="JN90" s="721">
        <f>26.875/2</f>
        <v>13.4375</v>
      </c>
      <c r="JO90" s="721">
        <f>0.35/2</f>
        <v>0.17499999999999999</v>
      </c>
      <c r="JP90" s="721">
        <f>138.706*2/2</f>
        <v>138.70599999999999</v>
      </c>
      <c r="JQ90" s="721">
        <f>20.875/2</f>
        <v>10.4375</v>
      </c>
      <c r="JR90" s="721">
        <f>0.35/2</f>
        <v>0.17499999999999999</v>
      </c>
      <c r="JS90" s="721">
        <f>70.369*2</f>
        <v>140.738</v>
      </c>
      <c r="JT90" s="721">
        <f>21.5/2</f>
        <v>10.75</v>
      </c>
      <c r="JU90" s="721">
        <f>0.35/2</f>
        <v>0.17499999999999999</v>
      </c>
      <c r="JV90" s="721">
        <f>70.369*2</f>
        <v>140.738</v>
      </c>
      <c r="JW90" s="721">
        <f>21.625/2</f>
        <v>10.8125</v>
      </c>
      <c r="JX90" s="721">
        <f>0.35/2</f>
        <v>0.17499999999999999</v>
      </c>
      <c r="JY90" s="721">
        <f>70.369*2</f>
        <v>140.738</v>
      </c>
      <c r="JZ90" s="721">
        <f>22/2</f>
        <v>11</v>
      </c>
      <c r="KA90" s="721">
        <f>0.35/2</f>
        <v>0.17499999999999999</v>
      </c>
      <c r="KB90" s="721">
        <f>70.369*2</f>
        <v>140.738</v>
      </c>
      <c r="KC90" s="721">
        <f>24.5/2</f>
        <v>12.25</v>
      </c>
      <c r="KD90" s="721">
        <f>0.35/2</f>
        <v>0.17499999999999999</v>
      </c>
      <c r="KE90" s="721">
        <f>70.369*2</f>
        <v>140.738</v>
      </c>
      <c r="KF90" s="721">
        <f>23.5/2</f>
        <v>11.75</v>
      </c>
      <c r="KG90" s="721">
        <f>0.35/2</f>
        <v>0.17499999999999999</v>
      </c>
      <c r="KH90" s="721">
        <f>70.369*2</f>
        <v>140.738</v>
      </c>
      <c r="KI90" s="721">
        <f>25.875/2</f>
        <v>12.9375</v>
      </c>
      <c r="KJ90" s="721">
        <f>0.35/2</f>
        <v>0.17499999999999999</v>
      </c>
      <c r="KK90" s="721">
        <f>70.369*2</f>
        <v>140.738</v>
      </c>
      <c r="KL90" s="721">
        <f>26.25/2</f>
        <v>13.125</v>
      </c>
      <c r="KM90" s="721">
        <f>0.35/2</f>
        <v>0.17499999999999999</v>
      </c>
      <c r="KN90" s="721">
        <f>70.369*2</f>
        <v>140.738</v>
      </c>
      <c r="KO90" s="721">
        <f>23.375/2</f>
        <v>11.6875</v>
      </c>
      <c r="KP90" s="721">
        <f>0.35/2</f>
        <v>0.17499999999999999</v>
      </c>
      <c r="KQ90" s="721">
        <f>70.369*2</f>
        <v>140.738</v>
      </c>
      <c r="KR90" s="721">
        <f>21.375/2</f>
        <v>10.6875</v>
      </c>
      <c r="KS90" s="721">
        <f>0.35/2</f>
        <v>0.17499999999999999</v>
      </c>
      <c r="KT90" s="721">
        <f>70.369*2</f>
        <v>140.738</v>
      </c>
      <c r="KU90" s="721">
        <f>19/2</f>
        <v>9.5</v>
      </c>
      <c r="KV90" s="721">
        <f>0.35/2</f>
        <v>0.17499999999999999</v>
      </c>
      <c r="KW90" s="721">
        <f>70.369*2</f>
        <v>140.738</v>
      </c>
      <c r="KX90" s="721">
        <f>18.625/2</f>
        <v>9.3125</v>
      </c>
      <c r="KY90" s="721">
        <f>0.55/2</f>
        <v>0.27500000000000002</v>
      </c>
      <c r="KZ90" s="721">
        <f>70.369*2</f>
        <v>140.738</v>
      </c>
      <c r="LA90" s="721">
        <f>23.75/2</f>
        <v>11.875</v>
      </c>
      <c r="LB90" s="721">
        <f>0.55/2</f>
        <v>0.27500000000000002</v>
      </c>
      <c r="LC90" s="721">
        <f>70.119*2</f>
        <v>140.238</v>
      </c>
      <c r="LD90" s="721">
        <f>26.75/2</f>
        <v>13.375</v>
      </c>
      <c r="LE90" s="721">
        <f>0.55/2</f>
        <v>0.27500000000000002</v>
      </c>
      <c r="LF90" s="721">
        <f>70.119*2</f>
        <v>140.238</v>
      </c>
      <c r="LG90" s="721">
        <f>30.75/2</f>
        <v>15.375</v>
      </c>
      <c r="LH90" s="721">
        <f>0.55/2</f>
        <v>0.27500000000000002</v>
      </c>
      <c r="LI90" s="721">
        <f>70.119*2</f>
        <v>140.238</v>
      </c>
      <c r="LJ90" s="721">
        <f>34.875/2</f>
        <v>17.4375</v>
      </c>
      <c r="LK90" s="721">
        <f>0.55/2</f>
        <v>0.27500000000000002</v>
      </c>
      <c r="LL90" s="721">
        <f>69.836*2</f>
        <v>139.672</v>
      </c>
      <c r="LM90" s="721">
        <f>35.25/2</f>
        <v>17.625</v>
      </c>
      <c r="LN90" s="721">
        <f>0.54/2</f>
        <v>0.27</v>
      </c>
      <c r="LO90" s="721">
        <f>69.561*2</f>
        <v>139.12200000000001</v>
      </c>
      <c r="LP90" s="721">
        <f>34.875/2</f>
        <v>17.4375</v>
      </c>
      <c r="LQ90" s="721">
        <f>0.54/2</f>
        <v>0.27</v>
      </c>
      <c r="LR90" s="721">
        <f>67.52*2</f>
        <v>135.04</v>
      </c>
      <c r="LS90" s="721">
        <f>32.5/2</f>
        <v>16.25</v>
      </c>
      <c r="LT90" s="721">
        <f>0.54/2</f>
        <v>0.27</v>
      </c>
      <c r="LU90" s="721">
        <f>67.52*2</f>
        <v>135.04</v>
      </c>
      <c r="LV90" s="721">
        <f>31.63/2</f>
        <v>15.815</v>
      </c>
      <c r="LW90" s="721">
        <f>0.54/2</f>
        <v>0.27</v>
      </c>
      <c r="LX90" s="721">
        <f>66.741*2</f>
        <v>133.482</v>
      </c>
      <c r="LY90" s="721">
        <f>29.38/2</f>
        <v>14.69</v>
      </c>
      <c r="LZ90" s="721">
        <f>0.53/2</f>
        <v>0.26500000000000001</v>
      </c>
      <c r="MA90" s="721">
        <f>64.682*2</f>
        <v>129.364</v>
      </c>
      <c r="MB90" s="721">
        <f>27.38/2</f>
        <v>13.69</v>
      </c>
      <c r="MC90" s="721">
        <f>0.53/2</f>
        <v>0.26500000000000001</v>
      </c>
      <c r="MD90" s="721">
        <f>62.906*2</f>
        <v>125.812</v>
      </c>
      <c r="ME90" s="721">
        <f>29/2</f>
        <v>14.5</v>
      </c>
      <c r="MF90" s="721">
        <f>0.53/2</f>
        <v>0.26500000000000001</v>
      </c>
      <c r="MG90" s="721">
        <f>62.782*2</f>
        <v>125.56399999999999</v>
      </c>
      <c r="MH90" s="721">
        <f>27.5/2</f>
        <v>13.75</v>
      </c>
      <c r="MI90" s="721">
        <f>0.53/2</f>
        <v>0.26500000000000001</v>
      </c>
      <c r="MJ90" s="721">
        <f>62.659*2</f>
        <v>125.318</v>
      </c>
      <c r="MK90" s="721">
        <f>24.63/2</f>
        <v>12.315</v>
      </c>
      <c r="ML90" s="721">
        <f>0.52/2</f>
        <v>0.26</v>
      </c>
      <c r="MM90" s="721">
        <f>62.542*2</f>
        <v>125.084</v>
      </c>
      <c r="MN90" s="721">
        <f>26.13/2</f>
        <v>13.065</v>
      </c>
      <c r="MO90" s="721">
        <f>0.52/2</f>
        <v>0.26</v>
      </c>
      <c r="MP90" s="721">
        <f>58.678*2</f>
        <v>117.35599999999999</v>
      </c>
      <c r="MQ90" s="721">
        <f>26/2</f>
        <v>13</v>
      </c>
    </row>
    <row r="91" spans="1:355" ht="13.8" thickBot="1">
      <c r="B91" s="723" t="s">
        <v>290</v>
      </c>
      <c r="C91" s="886"/>
      <c r="D91" s="886"/>
      <c r="E91" s="886"/>
      <c r="F91" s="788"/>
      <c r="G91" s="788"/>
      <c r="H91" s="788"/>
      <c r="I91" s="788"/>
      <c r="J91" s="788"/>
      <c r="K91" s="788"/>
      <c r="L91" s="828"/>
      <c r="M91" s="829"/>
      <c r="N91" s="828"/>
      <c r="O91" s="828"/>
      <c r="P91" s="828"/>
      <c r="Q91" s="828"/>
      <c r="R91" s="828"/>
      <c r="S91" s="828"/>
      <c r="T91" s="828"/>
      <c r="U91" s="788"/>
      <c r="V91" s="827"/>
      <c r="W91" s="788"/>
      <c r="X91" s="832"/>
      <c r="Y91" s="788"/>
      <c r="Z91" s="788"/>
      <c r="AA91" s="788"/>
      <c r="AB91" s="788"/>
      <c r="AC91" s="788"/>
      <c r="AJ91" s="788"/>
      <c r="AK91" s="788"/>
      <c r="AL91" s="788"/>
      <c r="AM91" s="828"/>
      <c r="AN91" s="828"/>
      <c r="AO91" s="828"/>
      <c r="AP91" s="788"/>
      <c r="AQ91" s="788"/>
      <c r="AR91" s="788"/>
      <c r="AV91" s="723"/>
      <c r="AW91" s="723"/>
      <c r="AX91" s="723"/>
      <c r="AY91" s="723"/>
      <c r="AZ91" s="723"/>
      <c r="BA91" s="723"/>
      <c r="BB91" s="723"/>
      <c r="BC91" s="723"/>
      <c r="BD91" s="723"/>
      <c r="BE91" s="723"/>
      <c r="BF91" s="723"/>
      <c r="BG91" s="723"/>
      <c r="BH91" s="723"/>
      <c r="BI91" s="723"/>
      <c r="BJ91" s="723"/>
      <c r="BK91" s="723"/>
      <c r="BL91" s="723"/>
      <c r="BM91" s="723"/>
      <c r="BN91" s="723"/>
      <c r="BO91" s="723"/>
      <c r="BP91" s="723"/>
      <c r="BQ91" s="723"/>
      <c r="BR91" s="723"/>
      <c r="BS91" s="723"/>
      <c r="BT91" s="723"/>
      <c r="BU91" s="723"/>
      <c r="BV91" s="723"/>
      <c r="BW91" s="728"/>
      <c r="BX91" s="728"/>
      <c r="BY91" s="728"/>
      <c r="BZ91" s="723"/>
      <c r="CA91" s="723"/>
      <c r="CB91" s="723"/>
      <c r="CC91" s="723"/>
      <c r="CD91" s="723"/>
      <c r="CE91" s="723"/>
      <c r="CF91" s="723"/>
      <c r="CG91" s="723"/>
      <c r="CH91" s="723"/>
      <c r="CI91" s="723"/>
      <c r="CJ91" s="723"/>
      <c r="CK91" s="723"/>
      <c r="CL91" s="723"/>
      <c r="CM91" s="723"/>
      <c r="CN91" s="723"/>
      <c r="CO91" s="723"/>
      <c r="CP91" s="723"/>
      <c r="CQ91" s="723"/>
      <c r="CR91" s="723"/>
      <c r="CS91" s="723"/>
      <c r="CT91" s="723"/>
      <c r="CU91" s="723"/>
      <c r="CV91" s="723"/>
      <c r="CW91" s="723"/>
      <c r="CX91" s="722"/>
      <c r="CY91" s="723"/>
      <c r="CZ91" s="723"/>
      <c r="DA91" s="723"/>
      <c r="DB91" s="723"/>
      <c r="DC91" s="735"/>
      <c r="DD91" s="723"/>
      <c r="DE91" s="723"/>
      <c r="DF91" s="723"/>
      <c r="DG91" s="723"/>
      <c r="DH91" s="723"/>
      <c r="DI91" s="723"/>
      <c r="DJ91" s="723"/>
      <c r="DK91" s="723"/>
      <c r="DL91" s="723"/>
      <c r="DM91" s="723"/>
      <c r="DN91" s="723"/>
      <c r="DO91" s="723"/>
      <c r="DP91" s="723"/>
      <c r="DQ91" s="723"/>
      <c r="DR91" s="723"/>
      <c r="DS91" s="723"/>
      <c r="DT91" s="725"/>
      <c r="DU91" s="723"/>
      <c r="DV91" s="723"/>
      <c r="DW91" s="723"/>
      <c r="DX91" s="723"/>
      <c r="DY91" s="723"/>
      <c r="DZ91" s="723"/>
      <c r="EA91" s="723"/>
      <c r="EB91" s="723"/>
      <c r="EC91" s="723"/>
      <c r="ED91" s="723"/>
      <c r="EE91" s="723"/>
      <c r="EF91" s="723"/>
      <c r="EG91" s="723"/>
      <c r="EH91" s="723"/>
      <c r="EI91" s="723"/>
      <c r="EJ91" s="723"/>
      <c r="EK91" s="723"/>
      <c r="EL91" s="723"/>
      <c r="EM91" s="723"/>
      <c r="EN91" s="723"/>
      <c r="EO91" s="723"/>
      <c r="EP91" s="723"/>
      <c r="EQ91" s="723"/>
      <c r="ER91" s="723"/>
      <c r="ES91" s="723"/>
      <c r="ET91" s="722"/>
      <c r="EU91" s="722"/>
      <c r="EV91" s="722"/>
      <c r="EW91" s="723"/>
      <c r="EX91" s="723"/>
      <c r="EY91" s="723"/>
      <c r="EZ91" s="723"/>
      <c r="FA91" s="723"/>
      <c r="FB91" s="723"/>
      <c r="FC91" s="723"/>
      <c r="FD91" s="741"/>
      <c r="FE91" s="723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742"/>
      <c r="FT91" s="626"/>
      <c r="FU91" s="727"/>
      <c r="FV91" s="727"/>
      <c r="FW91" s="727"/>
      <c r="FX91" s="727"/>
      <c r="FY91" s="727"/>
      <c r="FZ91" s="727"/>
      <c r="GA91" s="727"/>
      <c r="GB91" s="727"/>
      <c r="GC91" s="727"/>
      <c r="GD91" s="750"/>
      <c r="GE91" s="741"/>
      <c r="GF91" s="751"/>
      <c r="GG91" s="750"/>
      <c r="GH91" s="727"/>
      <c r="GI91" s="727"/>
      <c r="GJ91" s="727"/>
      <c r="GK91" s="727"/>
      <c r="GL91" s="727"/>
      <c r="GM91" s="727"/>
      <c r="GN91" s="727"/>
      <c r="GO91" s="727"/>
      <c r="GP91" s="727"/>
      <c r="GQ91" s="727"/>
      <c r="GR91" s="727"/>
      <c r="GS91" s="727"/>
      <c r="GT91" s="727"/>
      <c r="GU91" s="752"/>
      <c r="GV91" s="727"/>
      <c r="GW91" s="727"/>
      <c r="GX91" s="727"/>
      <c r="GY91" s="727"/>
      <c r="GZ91" s="727"/>
      <c r="HA91" s="727"/>
      <c r="HB91" s="727"/>
      <c r="HC91" s="727"/>
      <c r="HD91" s="727"/>
      <c r="HE91" s="727"/>
      <c r="HF91" s="727"/>
      <c r="HG91" s="727"/>
      <c r="HH91" s="727"/>
      <c r="HI91" s="727"/>
      <c r="HJ91" s="727"/>
      <c r="HK91" s="727"/>
      <c r="HL91" s="727"/>
      <c r="HM91" s="727"/>
      <c r="HN91" s="727">
        <v>160.24</v>
      </c>
      <c r="HO91" s="727">
        <v>17.73</v>
      </c>
      <c r="HP91" s="727">
        <v>0</v>
      </c>
      <c r="HQ91" s="727">
        <v>160.24</v>
      </c>
      <c r="HR91" s="727">
        <v>16.97</v>
      </c>
      <c r="HS91" s="727">
        <v>0</v>
      </c>
      <c r="HT91" s="727">
        <v>160.24</v>
      </c>
      <c r="HU91" s="727">
        <v>17.690000000000001</v>
      </c>
      <c r="HV91" s="727">
        <v>0</v>
      </c>
      <c r="HW91" s="727">
        <v>160.24</v>
      </c>
      <c r="HX91" s="727">
        <v>16.899999999999999</v>
      </c>
      <c r="HY91" s="727">
        <v>0</v>
      </c>
      <c r="HZ91" s="727">
        <v>161.001</v>
      </c>
      <c r="IA91" s="727">
        <v>16.6875</v>
      </c>
      <c r="IB91" s="727">
        <v>0</v>
      </c>
      <c r="IC91" s="727">
        <v>171.08799999999999</v>
      </c>
      <c r="ID91" s="727">
        <v>15.75</v>
      </c>
      <c r="IE91" s="727">
        <v>0</v>
      </c>
      <c r="IF91" s="727">
        <v>177.352</v>
      </c>
      <c r="IG91" s="727">
        <v>13.9375</v>
      </c>
      <c r="IH91" s="727">
        <v>0</v>
      </c>
      <c r="II91" s="727">
        <v>184.684</v>
      </c>
      <c r="IJ91" s="722">
        <v>13.5</v>
      </c>
      <c r="IK91" s="722">
        <v>0</v>
      </c>
      <c r="IL91" s="722">
        <v>187.36500000000001</v>
      </c>
      <c r="IM91" s="727">
        <v>13.9375</v>
      </c>
      <c r="IN91" s="722">
        <v>0</v>
      </c>
      <c r="IO91" s="722">
        <v>187.36500000000001</v>
      </c>
      <c r="IP91" s="727">
        <v>15.5625</v>
      </c>
      <c r="IQ91" s="722">
        <v>0</v>
      </c>
      <c r="IR91" s="721">
        <v>187.36</v>
      </c>
      <c r="IS91" s="721">
        <v>16.0625</v>
      </c>
      <c r="IT91" s="721">
        <v>0</v>
      </c>
      <c r="IU91" s="721">
        <v>187.34</v>
      </c>
      <c r="IV91" s="721">
        <v>13.4375</v>
      </c>
      <c r="IW91" s="721">
        <v>0</v>
      </c>
      <c r="IX91" s="721">
        <v>187.34</v>
      </c>
      <c r="IY91" s="721">
        <v>16.125</v>
      </c>
      <c r="IZ91" s="721">
        <v>0</v>
      </c>
      <c r="JA91" s="721">
        <v>144.41999999999999</v>
      </c>
      <c r="JB91" s="721">
        <v>15.375</v>
      </c>
      <c r="JC91" s="721">
        <v>0</v>
      </c>
      <c r="JD91" s="721">
        <v>144.41999999999999</v>
      </c>
      <c r="JE91" s="721">
        <v>14.938000000000001</v>
      </c>
      <c r="JF91" s="721">
        <v>0</v>
      </c>
      <c r="JG91" s="721">
        <v>144.41999999999999</v>
      </c>
      <c r="JH91" s="721">
        <v>13</v>
      </c>
      <c r="JI91" s="721">
        <v>0</v>
      </c>
      <c r="JJ91" s="721">
        <v>144.417</v>
      </c>
      <c r="JK91" s="721">
        <v>10.5</v>
      </c>
      <c r="JL91" s="721">
        <v>0</v>
      </c>
      <c r="JM91" s="721">
        <v>144.38900000000001</v>
      </c>
      <c r="JN91" s="721">
        <v>9.5625</v>
      </c>
      <c r="JO91" s="721">
        <v>0</v>
      </c>
      <c r="JP91" s="721">
        <v>144.38900000000001</v>
      </c>
      <c r="JQ91" s="721">
        <v>8.5630000000000006</v>
      </c>
      <c r="JR91" s="721">
        <v>0</v>
      </c>
      <c r="JS91" s="721">
        <v>144.32400000000001</v>
      </c>
      <c r="JT91" s="721">
        <v>8.5</v>
      </c>
      <c r="JU91" s="721">
        <v>0</v>
      </c>
      <c r="JV91" s="721">
        <v>144.32400000000001</v>
      </c>
      <c r="JW91" s="721">
        <v>9.875</v>
      </c>
      <c r="JX91" s="721">
        <v>0</v>
      </c>
      <c r="JY91" s="721">
        <v>144.32400000000001</v>
      </c>
      <c r="JZ91" s="721">
        <v>8</v>
      </c>
      <c r="KA91" s="721">
        <v>0</v>
      </c>
      <c r="KB91" s="721">
        <v>144.32400000000001</v>
      </c>
      <c r="KC91" s="721">
        <v>7.75</v>
      </c>
      <c r="KD91" s="721">
        <v>0</v>
      </c>
      <c r="KE91" s="721">
        <v>144.32400000000001</v>
      </c>
      <c r="KF91" s="721">
        <v>6.625</v>
      </c>
      <c r="KG91" s="721">
        <v>0</v>
      </c>
      <c r="KH91" s="721">
        <v>144.32400000000001</v>
      </c>
      <c r="KI91" s="721">
        <v>9.5</v>
      </c>
      <c r="KJ91" s="721">
        <v>0.28000000000000003</v>
      </c>
      <c r="KK91" s="721">
        <v>144.32400000000001</v>
      </c>
      <c r="KL91" s="721">
        <v>13.125</v>
      </c>
      <c r="KM91" s="721">
        <v>0.28000000000000003</v>
      </c>
      <c r="KN91" s="721">
        <v>144.32400000000001</v>
      </c>
      <c r="KO91" s="721">
        <v>14.625</v>
      </c>
      <c r="KP91" s="721">
        <v>0.28000000000000003</v>
      </c>
      <c r="KQ91" s="721">
        <v>144.32400000000001</v>
      </c>
      <c r="KR91" s="721">
        <v>13.75</v>
      </c>
      <c r="KS91" s="721">
        <v>0.28000000000000003</v>
      </c>
      <c r="KT91" s="721">
        <v>142.405</v>
      </c>
      <c r="KU91" s="721">
        <v>14.25</v>
      </c>
      <c r="KV91" s="721">
        <v>0.28000000000000003</v>
      </c>
      <c r="KW91" s="721">
        <v>142.405</v>
      </c>
      <c r="KX91" s="721">
        <v>13.375</v>
      </c>
      <c r="KY91" s="721">
        <v>0.28000000000000003</v>
      </c>
      <c r="KZ91" s="721">
        <v>142.405</v>
      </c>
      <c r="LA91" s="721">
        <v>15.125</v>
      </c>
      <c r="LB91" s="721">
        <v>0.28000000000000003</v>
      </c>
      <c r="LC91" s="721">
        <v>142.012</v>
      </c>
      <c r="LD91" s="721">
        <v>17.875</v>
      </c>
      <c r="LE91" s="721">
        <v>0.28000000000000003</v>
      </c>
      <c r="LF91" s="721">
        <v>142.012</v>
      </c>
      <c r="LG91" s="721">
        <v>20.25</v>
      </c>
      <c r="LH91" s="721">
        <v>0.25</v>
      </c>
      <c r="LI91" s="721">
        <v>142.012</v>
      </c>
      <c r="LJ91" s="721">
        <v>23.875</v>
      </c>
      <c r="LK91" s="721">
        <v>0.25</v>
      </c>
      <c r="LL91" s="721">
        <v>140.16999999999999</v>
      </c>
      <c r="LM91" s="721">
        <v>24.125</v>
      </c>
      <c r="LN91" s="721">
        <v>0.25</v>
      </c>
      <c r="LO91" s="721">
        <v>137.208</v>
      </c>
      <c r="LP91" s="721">
        <v>22.375</v>
      </c>
      <c r="LQ91" s="721">
        <v>0.2</v>
      </c>
      <c r="LR91" s="721">
        <v>136.404</v>
      </c>
      <c r="LS91" s="721">
        <v>19.13</v>
      </c>
      <c r="LT91" s="721">
        <v>0.2</v>
      </c>
      <c r="LU91" s="721">
        <v>136.404</v>
      </c>
      <c r="LV91" s="721">
        <v>19.63</v>
      </c>
      <c r="LW91" s="721">
        <v>0.2</v>
      </c>
      <c r="LX91" s="721">
        <v>136.19399999999999</v>
      </c>
      <c r="LY91" s="721">
        <v>19</v>
      </c>
      <c r="LZ91" s="721">
        <v>0.2</v>
      </c>
      <c r="MA91" s="721">
        <v>136.1</v>
      </c>
      <c r="MB91" s="721">
        <v>18.25</v>
      </c>
      <c r="MC91" s="721">
        <v>0.16</v>
      </c>
      <c r="MD91" s="721">
        <v>136.1</v>
      </c>
      <c r="ME91" s="721">
        <v>17.88</v>
      </c>
      <c r="MF91" s="721">
        <v>0.16</v>
      </c>
      <c r="MG91" s="721">
        <v>136.1</v>
      </c>
      <c r="MH91" s="721">
        <v>17</v>
      </c>
      <c r="MI91" s="721">
        <v>0.16</v>
      </c>
      <c r="MJ91" s="721">
        <v>136.1</v>
      </c>
      <c r="MK91" s="721">
        <v>15.38</v>
      </c>
      <c r="ML91" s="721">
        <v>0</v>
      </c>
      <c r="MM91" s="721">
        <v>136.1</v>
      </c>
      <c r="MN91" s="721">
        <v>14.75</v>
      </c>
      <c r="MO91" s="721">
        <v>0</v>
      </c>
      <c r="MP91" s="721">
        <v>136.1</v>
      </c>
      <c r="MQ91" s="721">
        <v>13.13</v>
      </c>
    </row>
    <row r="92" spans="1:355" ht="13.8" thickBot="1">
      <c r="A92" s="633" t="s">
        <v>24</v>
      </c>
      <c r="B92" s="726" t="s">
        <v>155</v>
      </c>
      <c r="C92" s="885">
        <v>519</v>
      </c>
      <c r="D92" s="885">
        <v>60.3</v>
      </c>
      <c r="E92" s="887">
        <v>0.43</v>
      </c>
      <c r="F92" s="828">
        <v>519</v>
      </c>
      <c r="G92" s="828">
        <v>63.49</v>
      </c>
      <c r="H92" s="828">
        <v>0.40500000000000003</v>
      </c>
      <c r="I92" s="828">
        <v>516</v>
      </c>
      <c r="J92" s="828">
        <v>64.89</v>
      </c>
      <c r="K92" s="828">
        <v>0.40500000000000003</v>
      </c>
      <c r="L92" s="828">
        <v>515</v>
      </c>
      <c r="M92" s="829">
        <v>59.49</v>
      </c>
      <c r="N92" s="828">
        <v>0.40500000000000003</v>
      </c>
      <c r="O92" s="828">
        <v>511</v>
      </c>
      <c r="P92" s="828">
        <v>56.21</v>
      </c>
      <c r="Q92" s="839">
        <v>0.40500000000000003</v>
      </c>
      <c r="R92" s="828">
        <v>510</v>
      </c>
      <c r="S92" s="828">
        <v>49.27</v>
      </c>
      <c r="T92" s="828">
        <v>0.38</v>
      </c>
      <c r="U92" s="828">
        <v>510</v>
      </c>
      <c r="V92" s="829">
        <v>47.21</v>
      </c>
      <c r="W92" s="828">
        <v>0.38</v>
      </c>
      <c r="X92" s="832">
        <v>509</v>
      </c>
      <c r="Y92" s="788">
        <v>45.68</v>
      </c>
      <c r="Z92" s="788">
        <v>0.38</v>
      </c>
      <c r="AA92" s="788">
        <v>509</v>
      </c>
      <c r="AB92" s="788">
        <v>45.48</v>
      </c>
      <c r="AC92" s="801">
        <v>0.38</v>
      </c>
      <c r="AD92" s="788">
        <v>508.58100000000002</v>
      </c>
      <c r="AE92" s="788">
        <v>48.11</v>
      </c>
      <c r="AF92" s="788">
        <v>0.36</v>
      </c>
      <c r="AG92" s="788">
        <v>508.54199999999997</v>
      </c>
      <c r="AH92" s="788">
        <v>47.32</v>
      </c>
      <c r="AI92" s="788">
        <v>0.36</v>
      </c>
      <c r="AJ92" s="788">
        <v>508.27800000000002</v>
      </c>
      <c r="AK92" s="788">
        <v>45.88</v>
      </c>
      <c r="AL92" s="788">
        <v>0.36</v>
      </c>
      <c r="AM92" s="828">
        <v>508.79399999999998</v>
      </c>
      <c r="AN92" s="828">
        <v>44.45</v>
      </c>
      <c r="AO92" s="830">
        <v>0.36</v>
      </c>
      <c r="AP92" s="788">
        <v>508.94099999999997</v>
      </c>
      <c r="AQ92" s="788">
        <v>40.700000000000003</v>
      </c>
      <c r="AR92" s="788">
        <v>0.34</v>
      </c>
      <c r="AS92" s="727">
        <v>508.93</v>
      </c>
      <c r="AT92" s="727">
        <v>41.14</v>
      </c>
      <c r="AU92" s="727">
        <v>0.34</v>
      </c>
      <c r="AV92" s="727">
        <v>508.66699999999997</v>
      </c>
      <c r="AW92" s="727">
        <v>44.78</v>
      </c>
      <c r="AX92" s="727">
        <v>0.34</v>
      </c>
      <c r="AY92" s="727">
        <v>507.76799999999997</v>
      </c>
      <c r="AZ92" s="727">
        <v>41.82</v>
      </c>
      <c r="BA92" s="747">
        <v>0.34</v>
      </c>
      <c r="BB92" s="727">
        <v>508.03100000000001</v>
      </c>
      <c r="BC92" s="727">
        <v>35.909999999999997</v>
      </c>
      <c r="BD92" s="727">
        <v>0.32</v>
      </c>
      <c r="BE92" s="727">
        <v>507.70699999999999</v>
      </c>
      <c r="BF92" s="727">
        <v>35.409999999999997</v>
      </c>
      <c r="BG92" s="727">
        <v>0.32</v>
      </c>
      <c r="BH92" s="727">
        <v>506.983</v>
      </c>
      <c r="BI92" s="727">
        <v>32.18</v>
      </c>
      <c r="BJ92" s="727">
        <v>0.32</v>
      </c>
      <c r="BK92" s="726">
        <v>506.411</v>
      </c>
      <c r="BL92" s="726">
        <v>34.81</v>
      </c>
      <c r="BM92" s="761">
        <v>0.32</v>
      </c>
      <c r="BN92" s="727">
        <v>506.08199999999999</v>
      </c>
      <c r="BO92" s="727">
        <v>35.92</v>
      </c>
      <c r="BP92" s="727">
        <v>0.3</v>
      </c>
      <c r="BQ92" s="727">
        <v>503.27199999999999</v>
      </c>
      <c r="BR92" s="727">
        <v>30.4</v>
      </c>
      <c r="BS92" s="727">
        <v>0.3</v>
      </c>
      <c r="BT92" s="727">
        <v>499.52300000000002</v>
      </c>
      <c r="BU92" s="727">
        <v>32.229999999999997</v>
      </c>
      <c r="BV92" s="727">
        <v>0.3</v>
      </c>
      <c r="BW92" s="726">
        <v>496.07299999999998</v>
      </c>
      <c r="BX92" s="726">
        <v>30.36</v>
      </c>
      <c r="BY92" s="761">
        <v>0.3</v>
      </c>
      <c r="BZ92" s="727">
        <v>498.149</v>
      </c>
      <c r="CA92" s="727">
        <v>27.94</v>
      </c>
      <c r="CB92" s="727">
        <v>0.28000000000000003</v>
      </c>
      <c r="CC92" s="727">
        <v>497.74700000000001</v>
      </c>
      <c r="CD92" s="727">
        <v>27.61</v>
      </c>
      <c r="CE92" s="727">
        <v>0.28000000000000003</v>
      </c>
      <c r="CF92" s="727">
        <v>489.78100000000001</v>
      </c>
      <c r="CG92" s="727">
        <v>28.34</v>
      </c>
      <c r="CH92" s="746">
        <v>0.28000000000000003</v>
      </c>
      <c r="CI92" s="726">
        <v>487.899</v>
      </c>
      <c r="CJ92" s="726">
        <v>29.7</v>
      </c>
      <c r="CK92" s="726">
        <v>0.27</v>
      </c>
      <c r="CL92" s="727">
        <v>488.084</v>
      </c>
      <c r="CM92" s="727">
        <v>26.71</v>
      </c>
      <c r="CN92" s="727">
        <v>0.27</v>
      </c>
      <c r="CO92" s="727">
        <v>487.71699999999998</v>
      </c>
      <c r="CP92" s="727">
        <v>27.71</v>
      </c>
      <c r="CQ92" s="727">
        <v>0.27</v>
      </c>
      <c r="CR92" s="727">
        <v>487.36</v>
      </c>
      <c r="CS92" s="727">
        <v>28.41</v>
      </c>
      <c r="CT92" s="746">
        <v>0.27</v>
      </c>
      <c r="CU92" s="726">
        <v>485.03899999999999</v>
      </c>
      <c r="CV92" s="726">
        <v>26.47</v>
      </c>
      <c r="CW92" s="726">
        <v>0.26</v>
      </c>
      <c r="CX92" s="727">
        <v>485.34399999999999</v>
      </c>
      <c r="CY92" s="727">
        <v>27.64</v>
      </c>
      <c r="CZ92" s="727">
        <v>0.26</v>
      </c>
      <c r="DA92" s="727">
        <v>484.91800000000001</v>
      </c>
      <c r="DB92" s="727">
        <v>24.69</v>
      </c>
      <c r="DC92" s="727">
        <v>0.26</v>
      </c>
      <c r="DD92" s="727">
        <v>483.64100000000002</v>
      </c>
      <c r="DE92" s="727">
        <v>24.3</v>
      </c>
      <c r="DF92" s="747">
        <v>0.26</v>
      </c>
      <c r="DG92" s="727">
        <v>468.68599999999998</v>
      </c>
      <c r="DH92" s="727">
        <v>23.89</v>
      </c>
      <c r="DI92" s="727">
        <v>0.2525</v>
      </c>
      <c r="DJ92" s="727">
        <v>460.471</v>
      </c>
      <c r="DK92" s="727">
        <v>23.56</v>
      </c>
      <c r="DL92" s="727">
        <v>0.2525</v>
      </c>
      <c r="DM92" s="727">
        <v>460.041</v>
      </c>
      <c r="DN92" s="727">
        <v>22.97</v>
      </c>
      <c r="DO92" s="727">
        <v>0.2525</v>
      </c>
      <c r="DP92" s="727">
        <v>458.91800000000001</v>
      </c>
      <c r="DQ92" s="727">
        <v>20.61</v>
      </c>
      <c r="DR92" s="727">
        <v>0.2525</v>
      </c>
      <c r="DS92" s="727">
        <v>457.43400000000003</v>
      </c>
      <c r="DT92" s="748">
        <v>21.2</v>
      </c>
      <c r="DU92" s="727">
        <v>0.245</v>
      </c>
      <c r="DV92" s="727">
        <v>456.76900000000001</v>
      </c>
      <c r="DW92" s="727">
        <v>21.22</v>
      </c>
      <c r="DX92" s="727">
        <v>0.245</v>
      </c>
      <c r="DY92" s="727">
        <v>456.30700000000002</v>
      </c>
      <c r="DZ92" s="727">
        <v>19.239999999999998</v>
      </c>
      <c r="EA92" s="727">
        <v>0.245</v>
      </c>
      <c r="EB92" s="727">
        <v>455.19200000000001</v>
      </c>
      <c r="EC92" s="727">
        <v>18.41</v>
      </c>
      <c r="ED92" s="727">
        <v>0.245</v>
      </c>
      <c r="EE92" s="727">
        <v>451.74799999999999</v>
      </c>
      <c r="EF92" s="727">
        <v>18.63</v>
      </c>
      <c r="EG92" s="727">
        <v>0.23749999999999999</v>
      </c>
      <c r="EH92" s="727">
        <v>434.13099999999997</v>
      </c>
      <c r="EI92" s="727">
        <v>18.55</v>
      </c>
      <c r="EJ92" s="727">
        <v>0.23749999999999999</v>
      </c>
      <c r="EK92" s="727">
        <v>430.81099999999998</v>
      </c>
      <c r="EL92" s="727">
        <v>19.989999999999998</v>
      </c>
      <c r="EM92" s="727">
        <v>0.23749999999999999</v>
      </c>
      <c r="EN92" s="727">
        <v>429.56299999999999</v>
      </c>
      <c r="EO92" s="727">
        <v>20.07</v>
      </c>
      <c r="EP92" s="746">
        <v>0.23749999999999999</v>
      </c>
      <c r="EQ92" s="727">
        <v>416.13900000000001</v>
      </c>
      <c r="ER92" s="727">
        <v>19.95</v>
      </c>
      <c r="ES92" s="727">
        <v>0.23</v>
      </c>
      <c r="ET92" s="727">
        <v>419.822</v>
      </c>
      <c r="EU92" s="727">
        <v>22.57</v>
      </c>
      <c r="EV92" s="727">
        <v>0.23</v>
      </c>
      <c r="EW92" s="727">
        <v>412.71</v>
      </c>
      <c r="EX92" s="727">
        <v>21.54</v>
      </c>
      <c r="EY92" s="727">
        <v>0.23</v>
      </c>
      <c r="EZ92" s="727">
        <v>408.00299999999999</v>
      </c>
      <c r="FA92" s="727">
        <v>20.47</v>
      </c>
      <c r="FB92" s="727">
        <v>0.23</v>
      </c>
      <c r="FC92" s="723">
        <v>405.68900000000002</v>
      </c>
      <c r="FD92" s="741">
        <v>24.69</v>
      </c>
      <c r="FE92" s="723">
        <v>0.2225</v>
      </c>
      <c r="FF92" s="727">
        <v>406.12299999999999</v>
      </c>
      <c r="FG92" s="727">
        <v>23.06</v>
      </c>
      <c r="FH92" s="727">
        <v>0.2225</v>
      </c>
      <c r="FI92" s="727">
        <v>405.43400000000003</v>
      </c>
      <c r="FJ92" s="727">
        <v>20.65</v>
      </c>
      <c r="FK92" s="727">
        <v>0.2225</v>
      </c>
      <c r="FL92" s="727">
        <v>404.125</v>
      </c>
      <c r="FM92" s="727">
        <v>19.18</v>
      </c>
      <c r="FN92" s="727">
        <v>0.2225</v>
      </c>
      <c r="FO92" s="727">
        <v>403.22899999999998</v>
      </c>
      <c r="FP92" s="727">
        <v>18.149999999999999</v>
      </c>
      <c r="FQ92" s="727">
        <v>0.215</v>
      </c>
      <c r="FR92" s="727">
        <v>402.73500000000001</v>
      </c>
      <c r="FS92" s="742">
        <v>18.46</v>
      </c>
      <c r="FT92" s="626">
        <f>0.86/4</f>
        <v>0.215</v>
      </c>
      <c r="FU92" s="727">
        <v>402.214</v>
      </c>
      <c r="FV92" s="727">
        <v>19.61</v>
      </c>
      <c r="FW92" s="727">
        <v>0.215</v>
      </c>
      <c r="FX92" s="727">
        <v>401.11599999999999</v>
      </c>
      <c r="FY92" s="727">
        <v>19.52</v>
      </c>
      <c r="FZ92" s="727">
        <v>0.215</v>
      </c>
      <c r="GA92" s="727">
        <v>399.74599999999998</v>
      </c>
      <c r="GB92" s="727">
        <v>17.18</v>
      </c>
      <c r="GC92" s="727">
        <v>0.20749999999999999</v>
      </c>
      <c r="GD92" s="750">
        <v>399.74599999999998</v>
      </c>
      <c r="GE92" s="741">
        <v>18.2</v>
      </c>
      <c r="GF92" s="751">
        <v>0.20749999999999999</v>
      </c>
      <c r="GG92" s="750">
        <v>399.21699999999998</v>
      </c>
      <c r="GH92" s="727">
        <v>17.32</v>
      </c>
      <c r="GI92" s="727">
        <v>0.20749999999999999</v>
      </c>
      <c r="GJ92" s="727">
        <v>398.58300000000003</v>
      </c>
      <c r="GK92" s="727">
        <v>16.71</v>
      </c>
      <c r="GL92" s="727">
        <v>0.20749999999999999</v>
      </c>
      <c r="GM92" s="727">
        <v>398.87400000000002</v>
      </c>
      <c r="GN92" s="727">
        <v>17.809999999999999</v>
      </c>
      <c r="GO92" s="727">
        <v>0.1875</v>
      </c>
      <c r="GP92" s="727">
        <v>398.75099999999998</v>
      </c>
      <c r="GQ92" s="727">
        <v>16.98</v>
      </c>
      <c r="GR92" s="727">
        <v>0.1875</v>
      </c>
      <c r="GS92" s="727">
        <v>398.71699999999998</v>
      </c>
      <c r="GT92" s="727">
        <v>15.47</v>
      </c>
      <c r="GU92" s="727">
        <v>0</v>
      </c>
      <c r="GV92" s="727">
        <v>398.714</v>
      </c>
      <c r="GW92" s="727">
        <v>15.04</v>
      </c>
      <c r="GX92" s="727">
        <v>0.375</v>
      </c>
      <c r="GY92" s="727">
        <v>398</v>
      </c>
      <c r="GZ92" s="727">
        <v>12.81</v>
      </c>
      <c r="HA92" s="727">
        <v>0</v>
      </c>
      <c r="HB92" s="727">
        <v>397.40499999999997</v>
      </c>
      <c r="HC92" s="727">
        <v>11</v>
      </c>
      <c r="HD92" s="727">
        <v>0.1875</v>
      </c>
      <c r="HE92" s="727">
        <v>377.983</v>
      </c>
      <c r="HF92" s="727">
        <v>9.31</v>
      </c>
      <c r="HG92" s="758">
        <v>0.1875</v>
      </c>
      <c r="HH92" s="727">
        <v>353.827</v>
      </c>
      <c r="HI92" s="727">
        <v>16.77</v>
      </c>
      <c r="HJ92" s="727">
        <v>0.375</v>
      </c>
      <c r="HK92" s="727">
        <v>345</v>
      </c>
      <c r="HL92" s="727">
        <v>25.35</v>
      </c>
      <c r="HM92" s="727">
        <v>0.375</v>
      </c>
      <c r="HN92" s="727">
        <v>343.77</v>
      </c>
      <c r="HO92" s="727">
        <v>27.74</v>
      </c>
      <c r="HP92" s="727">
        <v>0.375</v>
      </c>
      <c r="HQ92" s="727">
        <v>342.553</v>
      </c>
      <c r="HR92" s="727">
        <v>28.15</v>
      </c>
      <c r="HS92" s="727">
        <v>0.375</v>
      </c>
      <c r="HT92" s="727">
        <v>341.47199999999998</v>
      </c>
      <c r="HU92" s="727">
        <v>28.45</v>
      </c>
      <c r="HV92" s="727">
        <v>0.375</v>
      </c>
      <c r="HW92" s="727">
        <v>339.45400000000001</v>
      </c>
      <c r="HX92" s="727">
        <v>30.11</v>
      </c>
      <c r="HY92" s="727">
        <v>0.375</v>
      </c>
      <c r="HZ92" s="727">
        <v>338.87599999999998</v>
      </c>
      <c r="IA92" s="727">
        <v>29.0625</v>
      </c>
      <c r="IB92" s="727">
        <v>0.375</v>
      </c>
      <c r="IC92" s="727">
        <v>154.358</v>
      </c>
      <c r="ID92" s="727">
        <v>27.5</v>
      </c>
      <c r="IE92" s="727">
        <v>0.36749999999999999</v>
      </c>
      <c r="IF92" s="727">
        <v>156.6</v>
      </c>
      <c r="IG92" s="727">
        <v>20.1875</v>
      </c>
      <c r="IH92" s="727">
        <v>0.36749999999999999</v>
      </c>
      <c r="II92" s="727">
        <v>154.4</v>
      </c>
      <c r="IJ92" s="722">
        <v>19.875</v>
      </c>
      <c r="IK92" s="722">
        <v>0.36249999999999999</v>
      </c>
      <c r="IL92" s="722">
        <v>153.66200000000001</v>
      </c>
      <c r="IM92" s="727">
        <v>19.5</v>
      </c>
      <c r="IN92" s="722">
        <v>0.36249999999999999</v>
      </c>
      <c r="IO92" s="722">
        <v>153.012</v>
      </c>
      <c r="IP92" s="727">
        <v>21.5625</v>
      </c>
      <c r="IQ92" s="722">
        <v>0.36249999999999999</v>
      </c>
      <c r="IR92" s="721">
        <v>150.5</v>
      </c>
      <c r="IS92" s="721">
        <v>24.1875</v>
      </c>
      <c r="IT92" s="721">
        <v>0.36249999999999999</v>
      </c>
      <c r="IU92" s="721">
        <v>151</v>
      </c>
      <c r="IV92" s="721">
        <v>23.1875</v>
      </c>
      <c r="IW92" s="721">
        <v>0.35749999999999998</v>
      </c>
      <c r="IX92" s="721">
        <v>151</v>
      </c>
      <c r="IY92" s="721">
        <v>27.75</v>
      </c>
      <c r="IZ92" s="721">
        <v>0.35299999999999998</v>
      </c>
      <c r="JA92" s="721">
        <v>149.21</v>
      </c>
      <c r="JB92" s="721">
        <v>28.062999999999999</v>
      </c>
      <c r="JC92" s="721">
        <v>0.35299999999999998</v>
      </c>
      <c r="JD92" s="721">
        <v>149.21</v>
      </c>
      <c r="JE92" s="721">
        <v>28.625</v>
      </c>
      <c r="JF92" s="721">
        <v>0.35299999999999998</v>
      </c>
      <c r="JG92" s="721">
        <v>139.11000000000001</v>
      </c>
      <c r="JH92" s="721">
        <v>29.5</v>
      </c>
      <c r="JI92" s="721">
        <v>0.35249999999999998</v>
      </c>
      <c r="JJ92" s="721">
        <v>139.11199999999999</v>
      </c>
      <c r="JK92" s="721">
        <v>29.125</v>
      </c>
      <c r="JL92" s="721">
        <v>0.35249999999999998</v>
      </c>
      <c r="JM92" s="721">
        <v>137.654</v>
      </c>
      <c r="JN92" s="721">
        <v>24.875</v>
      </c>
      <c r="JO92" s="721">
        <v>0.35249999999999998</v>
      </c>
      <c r="JP92" s="721">
        <v>137.654</v>
      </c>
      <c r="JQ92" s="721">
        <v>25.875</v>
      </c>
      <c r="JR92" s="721">
        <v>0.35249999999999998</v>
      </c>
      <c r="JS92" s="721">
        <v>137.89599999999999</v>
      </c>
      <c r="JT92" s="721">
        <v>23.687999999999999</v>
      </c>
      <c r="JU92" s="721">
        <v>0.34499999999999997</v>
      </c>
      <c r="JV92" s="721">
        <v>137.89599999999999</v>
      </c>
      <c r="JW92" s="721">
        <v>22.937999999999999</v>
      </c>
      <c r="JX92" s="721">
        <v>0.34499999999999997</v>
      </c>
      <c r="JY92" s="721">
        <v>133.53</v>
      </c>
      <c r="JZ92" s="721">
        <v>23.312999999999999</v>
      </c>
      <c r="KA92" s="721">
        <v>0.34499999999999997</v>
      </c>
      <c r="KB92" s="721">
        <v>133.53</v>
      </c>
      <c r="KC92" s="721">
        <v>24.687999999999999</v>
      </c>
      <c r="KD92" s="721">
        <v>0.34499999999999997</v>
      </c>
      <c r="KE92" s="721">
        <v>133.53</v>
      </c>
      <c r="KF92" s="721">
        <v>24.375</v>
      </c>
      <c r="KG92" s="721">
        <v>0.33750000000000002</v>
      </c>
      <c r="KH92" s="721">
        <v>133.53</v>
      </c>
      <c r="KI92" s="721">
        <v>24.562999999999999</v>
      </c>
      <c r="KJ92" s="721">
        <v>0.33750000000000002</v>
      </c>
      <c r="KK92" s="721">
        <v>133.53</v>
      </c>
      <c r="KL92" s="721">
        <v>22.687999999999999</v>
      </c>
      <c r="KM92" s="721">
        <v>0.33750000000000002</v>
      </c>
      <c r="KN92" s="721">
        <v>133.53</v>
      </c>
      <c r="KO92" s="721">
        <v>23.062999999999999</v>
      </c>
      <c r="KP92" s="721">
        <v>0.33750000000000002</v>
      </c>
      <c r="KQ92" s="721">
        <f>133.53</f>
        <v>133.53</v>
      </c>
      <c r="KR92" s="721">
        <v>22</v>
      </c>
      <c r="KS92" s="721">
        <v>0.33</v>
      </c>
      <c r="KT92" s="721">
        <v>133.53</v>
      </c>
      <c r="KU92" s="721">
        <v>22</v>
      </c>
      <c r="KV92" s="721">
        <v>0.33</v>
      </c>
      <c r="KW92" s="721">
        <v>133.53</v>
      </c>
      <c r="KX92" s="721">
        <v>21.125</v>
      </c>
      <c r="KY92" s="721">
        <v>0.33</v>
      </c>
      <c r="KZ92" s="721">
        <v>133.53</v>
      </c>
      <c r="LA92" s="721">
        <v>20.5</v>
      </c>
      <c r="LB92" s="721">
        <v>0.32250000000000001</v>
      </c>
      <c r="LC92" s="721">
        <v>133.01</v>
      </c>
      <c r="LD92" s="721">
        <v>20.4375</v>
      </c>
      <c r="LE92" s="721">
        <v>0.32250000000000001</v>
      </c>
      <c r="LF92" s="721">
        <v>133.01</v>
      </c>
      <c r="LG92" s="721">
        <v>21.5625</v>
      </c>
      <c r="LH92" s="721">
        <v>0.32250000000000001</v>
      </c>
      <c r="LI92" s="721">
        <v>133.01</v>
      </c>
      <c r="LJ92" s="721">
        <v>23.1875</v>
      </c>
      <c r="LK92" s="721">
        <v>0.32250000000000001</v>
      </c>
      <c r="LL92" s="721">
        <v>129.16999999999999</v>
      </c>
      <c r="LM92" s="721">
        <v>22.9375</v>
      </c>
      <c r="LN92" s="721">
        <v>0.315</v>
      </c>
      <c r="LO92" s="721">
        <v>125.726</v>
      </c>
      <c r="LP92" s="721">
        <v>23.3125</v>
      </c>
      <c r="LQ92" s="721">
        <v>0.315</v>
      </c>
      <c r="LR92" s="721">
        <v>125.262</v>
      </c>
      <c r="LS92" s="721">
        <v>21.63</v>
      </c>
      <c r="LT92" s="721">
        <v>0.32</v>
      </c>
      <c r="LU92" s="721">
        <v>125.262</v>
      </c>
      <c r="LV92" s="721">
        <v>21.5</v>
      </c>
      <c r="LW92" s="721">
        <v>0.32</v>
      </c>
      <c r="LX92" s="721">
        <v>125.25</v>
      </c>
      <c r="LY92" s="721">
        <v>20.75</v>
      </c>
      <c r="LZ92" s="721">
        <v>0.3</v>
      </c>
      <c r="MA92" s="721">
        <v>125.238</v>
      </c>
      <c r="MB92" s="721">
        <v>19.63</v>
      </c>
      <c r="MC92" s="721">
        <v>0.3</v>
      </c>
      <c r="MD92" s="721">
        <v>125.08199999999999</v>
      </c>
      <c r="ME92" s="721">
        <v>21.5</v>
      </c>
      <c r="MF92" s="721">
        <v>0.3</v>
      </c>
      <c r="MG92" s="721">
        <v>125.08199999999999</v>
      </c>
      <c r="MH92" s="721">
        <v>19.690000000000001</v>
      </c>
      <c r="MI92" s="721">
        <v>0.3</v>
      </c>
      <c r="MJ92" s="721">
        <v>125.08199999999999</v>
      </c>
      <c r="MK92" s="721">
        <v>17.309999999999999</v>
      </c>
      <c r="ML92" s="721">
        <v>0.28999999999999998</v>
      </c>
      <c r="MM92" s="721">
        <v>125.08199999999999</v>
      </c>
      <c r="MN92" s="721">
        <v>17.75</v>
      </c>
      <c r="MO92" s="721">
        <v>0.28999999999999998</v>
      </c>
      <c r="MP92" s="721">
        <v>125.08199999999999</v>
      </c>
      <c r="MQ92" s="721">
        <v>17</v>
      </c>
    </row>
    <row r="93" spans="1:355">
      <c r="A93" s="633" t="s">
        <v>170</v>
      </c>
      <c r="B93" s="728" t="s">
        <v>156</v>
      </c>
      <c r="C93" s="885">
        <v>50.428559999999997</v>
      </c>
      <c r="D93" s="885">
        <v>59.83</v>
      </c>
      <c r="E93" s="887">
        <v>0.6</v>
      </c>
      <c r="F93" s="828">
        <v>50.443866</v>
      </c>
      <c r="G93" s="828">
        <v>71.67</v>
      </c>
      <c r="H93" s="828">
        <v>0.57499999999999996</v>
      </c>
      <c r="I93" s="828">
        <v>50.440685000000002</v>
      </c>
      <c r="J93" s="828">
        <v>75.05</v>
      </c>
      <c r="K93" s="828">
        <v>0.57499999999999996</v>
      </c>
      <c r="L93" s="828">
        <v>50.380839000000002</v>
      </c>
      <c r="M93" s="829">
        <v>72.150000000000006</v>
      </c>
      <c r="N93" s="828">
        <v>0.57499999999999996</v>
      </c>
      <c r="O93" s="828">
        <v>49.984561999999997</v>
      </c>
      <c r="P93" s="828">
        <v>70.41</v>
      </c>
      <c r="Q93" s="839">
        <v>0.57499999999999996</v>
      </c>
      <c r="R93" s="828">
        <v>50.317813000000001</v>
      </c>
      <c r="S93" s="828">
        <v>59.44</v>
      </c>
      <c r="T93" s="828">
        <v>0.55000000000000004</v>
      </c>
      <c r="U93" s="828">
        <v>49.869176000000003</v>
      </c>
      <c r="V93" s="829">
        <v>58.66</v>
      </c>
      <c r="W93" s="828">
        <v>0.55000000000000004</v>
      </c>
      <c r="X93" s="832">
        <v>49.416229999999999</v>
      </c>
      <c r="Y93" s="788">
        <v>57.25</v>
      </c>
      <c r="Z93" s="788">
        <v>0.55000000000000004</v>
      </c>
      <c r="AA93" s="788">
        <v>48.902000000000001</v>
      </c>
      <c r="AB93" s="788">
        <v>53.8</v>
      </c>
      <c r="AC93" s="801">
        <v>0.55000000000000004</v>
      </c>
      <c r="AD93" s="788">
        <v>48.486899000000001</v>
      </c>
      <c r="AE93" s="788">
        <v>59.7</v>
      </c>
      <c r="AF93" s="788">
        <v>0.52500000000000002</v>
      </c>
      <c r="AG93" s="788">
        <v>48.450639000000002</v>
      </c>
      <c r="AH93" s="788">
        <v>56.94</v>
      </c>
      <c r="AI93" s="788">
        <v>0.52500000000000002</v>
      </c>
      <c r="AJ93" s="788">
        <v>48.385738000000003</v>
      </c>
      <c r="AK93" s="788">
        <v>61.02</v>
      </c>
      <c r="AL93" s="788">
        <v>0.52500000000000002</v>
      </c>
      <c r="AM93" s="828">
        <v>48.298895999999999</v>
      </c>
      <c r="AN93" s="828">
        <v>58.7</v>
      </c>
      <c r="AO93" s="830">
        <v>0.52500000000000002</v>
      </c>
      <c r="AP93" s="788">
        <v>48.314782999999998</v>
      </c>
      <c r="AQ93" s="788">
        <v>56.87</v>
      </c>
      <c r="AR93" s="788">
        <v>0.5</v>
      </c>
      <c r="AS93" s="723">
        <v>48.308655999999999</v>
      </c>
      <c r="AT93" s="723">
        <v>57.53</v>
      </c>
      <c r="AU93" s="723">
        <v>0.5</v>
      </c>
      <c r="AV93" s="723">
        <v>48.242306999999997</v>
      </c>
      <c r="AW93" s="723">
        <v>63.07</v>
      </c>
      <c r="AX93" s="723">
        <v>0.5</v>
      </c>
      <c r="AY93" s="723">
        <v>47.298349999999999</v>
      </c>
      <c r="AZ93" s="723">
        <v>61.75</v>
      </c>
      <c r="BA93" s="753">
        <v>0.5</v>
      </c>
      <c r="BB93" s="723">
        <v>47.065081999999997</v>
      </c>
      <c r="BC93" s="723">
        <v>54.25</v>
      </c>
      <c r="BD93" s="723">
        <v>0.48</v>
      </c>
      <c r="BE93" s="723">
        <v>47.043734999999998</v>
      </c>
      <c r="BF93" s="723">
        <v>53.83</v>
      </c>
      <c r="BG93" s="723">
        <v>0.48</v>
      </c>
      <c r="BH93" s="723">
        <v>46.976989000000003</v>
      </c>
      <c r="BI93" s="723">
        <v>48.75</v>
      </c>
      <c r="BJ93" s="723">
        <v>0.48</v>
      </c>
      <c r="BK93" s="728">
        <v>43.451000000000001</v>
      </c>
      <c r="BL93" s="728">
        <v>53.79</v>
      </c>
      <c r="BM93" s="754">
        <v>0.48</v>
      </c>
      <c r="BN93" s="723">
        <v>39.141148000000001</v>
      </c>
      <c r="BO93" s="723">
        <v>56.58</v>
      </c>
      <c r="BP93" s="723">
        <v>0.4</v>
      </c>
      <c r="BQ93" s="723">
        <v>39.137307</v>
      </c>
      <c r="BR93" s="723">
        <v>45.36</v>
      </c>
      <c r="BS93" s="723">
        <v>0.4</v>
      </c>
      <c r="BT93" s="723">
        <v>38.855778999999998</v>
      </c>
      <c r="BU93" s="723">
        <v>52.19</v>
      </c>
      <c r="BV93" s="723">
        <v>0.4</v>
      </c>
      <c r="BW93" s="728">
        <v>38.144852</v>
      </c>
      <c r="BX93" s="728">
        <v>47.43</v>
      </c>
      <c r="BY93" s="754">
        <v>0.4</v>
      </c>
      <c r="BZ93" s="723">
        <v>38.459484000000003</v>
      </c>
      <c r="CA93" s="723">
        <v>43.32</v>
      </c>
      <c r="CB93" s="723">
        <v>0.38</v>
      </c>
      <c r="CC93" s="723">
        <v>38.092292</v>
      </c>
      <c r="CD93" s="723">
        <v>44.92</v>
      </c>
      <c r="CE93" s="723">
        <v>0.38</v>
      </c>
      <c r="CF93" s="723">
        <v>37.384428999999997</v>
      </c>
      <c r="CG93" s="723">
        <v>39.9</v>
      </c>
      <c r="CH93" s="723">
        <v>0.38</v>
      </c>
      <c r="CI93" s="728">
        <v>36.847427000000003</v>
      </c>
      <c r="CJ93" s="728">
        <v>39.86</v>
      </c>
      <c r="CK93" s="754">
        <v>0.38</v>
      </c>
      <c r="CL93" s="723">
        <v>37.201051</v>
      </c>
      <c r="CM93" s="723">
        <v>34.729999999999997</v>
      </c>
      <c r="CN93" s="723">
        <v>0.37</v>
      </c>
      <c r="CO93" s="723">
        <v>36.634653</v>
      </c>
      <c r="CP93" s="723">
        <v>36.229999999999997</v>
      </c>
      <c r="CQ93" s="723">
        <v>0.37</v>
      </c>
      <c r="CR93" s="723">
        <v>36.328360000000004</v>
      </c>
      <c r="CS93" s="723">
        <v>36.700000000000003</v>
      </c>
      <c r="CT93" s="723">
        <v>0.37</v>
      </c>
      <c r="CU93" s="728">
        <v>36.258462999999999</v>
      </c>
      <c r="CV93" s="728">
        <v>35.46</v>
      </c>
      <c r="CW93" s="754">
        <v>0.37</v>
      </c>
      <c r="CX93" s="722">
        <v>36.262245999999998</v>
      </c>
      <c r="CY93" s="723">
        <v>35.79</v>
      </c>
      <c r="CZ93" s="723">
        <v>0.36</v>
      </c>
      <c r="DA93" s="723">
        <v>36.258104000000003</v>
      </c>
      <c r="DB93" s="723">
        <v>31.94</v>
      </c>
      <c r="DC93" s="722">
        <v>0.36</v>
      </c>
      <c r="DD93" s="723">
        <v>36.241903999999998</v>
      </c>
      <c r="DE93" s="723">
        <v>33.11</v>
      </c>
      <c r="DF93" s="723">
        <v>0.36</v>
      </c>
      <c r="DG93" s="723">
        <v>36.216999999999999</v>
      </c>
      <c r="DH93" s="723">
        <v>30.3</v>
      </c>
      <c r="DI93" s="753">
        <v>0.36</v>
      </c>
      <c r="DJ93" s="723">
        <v>36.195582999999999</v>
      </c>
      <c r="DK93" s="723">
        <v>28.83</v>
      </c>
      <c r="DL93" s="723">
        <v>0.34</v>
      </c>
      <c r="DM93" s="723">
        <v>36.179133</v>
      </c>
      <c r="DN93" s="723">
        <v>28.5</v>
      </c>
      <c r="DO93" s="723">
        <v>0.34</v>
      </c>
      <c r="DP93" s="723">
        <v>36.168703000000001</v>
      </c>
      <c r="DQ93" s="723">
        <v>26.2</v>
      </c>
      <c r="DR93" s="723">
        <v>0.34</v>
      </c>
      <c r="DS93" s="723">
        <v>36.142000000000003</v>
      </c>
      <c r="DT93" s="725">
        <v>26.81</v>
      </c>
      <c r="DU93" s="723">
        <v>0.34</v>
      </c>
      <c r="DV93" s="723">
        <v>35.967875999999997</v>
      </c>
      <c r="DW93" s="723">
        <v>26.02</v>
      </c>
      <c r="DX93" s="723">
        <v>0.33500000000000002</v>
      </c>
      <c r="DY93" s="723">
        <v>35.940007999999999</v>
      </c>
      <c r="DZ93" s="723">
        <v>24.43</v>
      </c>
      <c r="EA93" s="723">
        <v>0.33500000000000002</v>
      </c>
      <c r="EB93" s="723">
        <v>35.933900000000001</v>
      </c>
      <c r="EC93" s="723">
        <v>22.76</v>
      </c>
      <c r="ED93" s="723">
        <v>0.33500000000000002</v>
      </c>
      <c r="EE93" s="723">
        <v>35.92</v>
      </c>
      <c r="EF93" s="723">
        <v>21.48</v>
      </c>
      <c r="EG93" s="723">
        <v>0.33500000000000002</v>
      </c>
      <c r="EH93" s="723">
        <v>38.057346000000003</v>
      </c>
      <c r="EI93" s="723">
        <v>23.47</v>
      </c>
      <c r="EJ93" s="723">
        <v>0.33</v>
      </c>
      <c r="EK93" s="723">
        <v>38.972551000000003</v>
      </c>
      <c r="EL93" s="723">
        <v>25.13</v>
      </c>
      <c r="EM93" s="723">
        <v>0.33</v>
      </c>
      <c r="EN93" s="723">
        <v>38.972507</v>
      </c>
      <c r="EO93" s="723">
        <v>24.82</v>
      </c>
      <c r="EP93" s="723">
        <v>0.33</v>
      </c>
      <c r="EQ93" s="723">
        <v>36.622546999999997</v>
      </c>
      <c r="ER93" s="723">
        <v>24.37</v>
      </c>
      <c r="ES93" s="723">
        <v>0.33</v>
      </c>
      <c r="ET93" s="722">
        <v>36.471145999999997</v>
      </c>
      <c r="EU93" s="722">
        <v>29.5</v>
      </c>
      <c r="EV93" s="722">
        <v>0.33</v>
      </c>
      <c r="EW93" s="723">
        <v>35.988340000000001</v>
      </c>
      <c r="EX93" s="723">
        <v>27.17</v>
      </c>
      <c r="EY93" s="723">
        <v>0.33</v>
      </c>
      <c r="EZ93" s="723">
        <v>35.719980999999997</v>
      </c>
      <c r="FA93" s="723">
        <v>31.81</v>
      </c>
      <c r="FB93" s="723">
        <v>0.31</v>
      </c>
      <c r="FC93" s="723">
        <v>35.554498000000002</v>
      </c>
      <c r="FD93" s="741">
        <v>35.43</v>
      </c>
      <c r="FE93" s="723">
        <v>0.31</v>
      </c>
      <c r="FF93" s="727">
        <v>35.510466999999998</v>
      </c>
      <c r="FG93" s="727">
        <v>35.380000000000003</v>
      </c>
      <c r="FH93" s="727">
        <v>0.31</v>
      </c>
      <c r="FI93" s="727">
        <v>35.510759999999998</v>
      </c>
      <c r="FJ93" s="727">
        <v>34.979999999999997</v>
      </c>
      <c r="FK93" s="727">
        <v>0.31</v>
      </c>
      <c r="FL93" s="727">
        <v>35.584266999999997</v>
      </c>
      <c r="FM93" s="727">
        <v>34.35</v>
      </c>
      <c r="FN93" s="727">
        <v>0.31</v>
      </c>
      <c r="FO93" s="727">
        <v>35.700000000000003</v>
      </c>
      <c r="FP93" s="727">
        <v>31.14</v>
      </c>
      <c r="FQ93" s="727">
        <v>0.31</v>
      </c>
      <c r="FR93" s="727">
        <v>35.643037</v>
      </c>
      <c r="FS93" s="742">
        <v>31.07</v>
      </c>
      <c r="FT93" s="626">
        <f>1.24/4</f>
        <v>0.31</v>
      </c>
      <c r="FU93" s="727">
        <v>35.606762000000003</v>
      </c>
      <c r="FV93" s="727">
        <v>30.19</v>
      </c>
      <c r="FW93" s="749">
        <v>0.25</v>
      </c>
      <c r="FX93" s="727">
        <v>35.611026000000003</v>
      </c>
      <c r="FY93" s="727">
        <v>31.52</v>
      </c>
      <c r="FZ93" s="727">
        <v>0.11</v>
      </c>
      <c r="GA93" s="727">
        <v>37.396762000000003</v>
      </c>
      <c r="GB93" s="727">
        <v>26.37</v>
      </c>
      <c r="GC93" s="727">
        <v>0.22</v>
      </c>
      <c r="GD93" s="727">
        <v>37.396762000000003</v>
      </c>
      <c r="GE93" s="741">
        <v>28</v>
      </c>
      <c r="GF93" s="751">
        <v>0</v>
      </c>
      <c r="GG93" s="750"/>
      <c r="GH93" s="727"/>
      <c r="GI93" s="727"/>
      <c r="GJ93" s="727"/>
      <c r="GK93" s="727"/>
      <c r="GL93" s="727"/>
      <c r="GM93" s="727"/>
      <c r="GN93" s="727"/>
      <c r="GO93" s="727"/>
      <c r="GP93" s="727"/>
      <c r="GQ93" s="727"/>
      <c r="GR93" s="727"/>
      <c r="GS93" s="727">
        <v>37.396762000000003</v>
      </c>
      <c r="GT93" s="727">
        <v>0.3</v>
      </c>
      <c r="GU93" s="727">
        <v>0</v>
      </c>
      <c r="GV93" s="727">
        <v>37.396762000000003</v>
      </c>
      <c r="GW93" s="727">
        <v>2</v>
      </c>
      <c r="GX93" s="727">
        <v>0</v>
      </c>
      <c r="GY93" s="727">
        <v>27.396999999999998</v>
      </c>
      <c r="GZ93" s="727">
        <v>2.1</v>
      </c>
      <c r="HA93" s="727">
        <v>0</v>
      </c>
      <c r="HB93" s="727">
        <v>27.396999999999998</v>
      </c>
      <c r="HC93" s="727">
        <v>5.08</v>
      </c>
      <c r="HD93" s="727">
        <v>0.3175</v>
      </c>
      <c r="HE93" s="727">
        <v>27.396761999999999</v>
      </c>
      <c r="HF93" s="727">
        <v>9.76</v>
      </c>
      <c r="HG93" s="727">
        <v>0.3175</v>
      </c>
      <c r="HH93" s="727">
        <v>27.396999999999998</v>
      </c>
      <c r="HI93" s="727">
        <v>16.95</v>
      </c>
      <c r="HJ93" s="727">
        <v>0.3175</v>
      </c>
      <c r="HK93" s="727">
        <v>26.724</v>
      </c>
      <c r="HL93" s="727">
        <v>22</v>
      </c>
      <c r="HM93" s="727">
        <v>0.3175</v>
      </c>
      <c r="HN93" s="727">
        <v>23.706</v>
      </c>
      <c r="HO93" s="727">
        <v>21.05</v>
      </c>
      <c r="HP93" s="727">
        <v>0.3175</v>
      </c>
      <c r="HQ93" s="727">
        <v>23.669</v>
      </c>
      <c r="HR93" s="727">
        <v>22</v>
      </c>
      <c r="HS93" s="727">
        <v>0.29749999999999999</v>
      </c>
      <c r="HT93" s="727">
        <v>23.433</v>
      </c>
      <c r="HU93" s="727">
        <v>22.4</v>
      </c>
      <c r="HV93" s="727">
        <v>0.29749999999999999</v>
      </c>
      <c r="HW93" s="727">
        <v>23.216000000000001</v>
      </c>
      <c r="HX93" s="727">
        <v>24.5</v>
      </c>
      <c r="HY93" s="727">
        <v>0.29749999999999999</v>
      </c>
      <c r="HZ93" s="727">
        <v>23.119</v>
      </c>
      <c r="IA93" s="727">
        <v>23.125</v>
      </c>
      <c r="IB93" s="727">
        <v>0.29749999999999999</v>
      </c>
      <c r="IC93" s="727">
        <v>23.117000000000001</v>
      </c>
      <c r="ID93" s="727">
        <v>19.5</v>
      </c>
      <c r="IE93" s="727">
        <v>0.27750000000000002</v>
      </c>
      <c r="IF93" s="727">
        <v>23.109000000000002</v>
      </c>
      <c r="IG93" s="727">
        <v>23.125</v>
      </c>
      <c r="IH93" s="727">
        <v>0.27750000000000002</v>
      </c>
      <c r="II93" s="727">
        <v>23.109000000000002</v>
      </c>
      <c r="IJ93" s="722">
        <v>20.625</v>
      </c>
      <c r="IK93" s="722">
        <v>0.27750000000000002</v>
      </c>
      <c r="IL93" s="722">
        <v>23.1</v>
      </c>
      <c r="IM93" s="727">
        <v>22</v>
      </c>
      <c r="IN93" s="722">
        <v>0.27750000000000002</v>
      </c>
      <c r="IO93" s="722">
        <v>23.1</v>
      </c>
      <c r="IP93" s="727">
        <v>22.75</v>
      </c>
      <c r="IQ93" s="722">
        <v>0.25750000000000001</v>
      </c>
      <c r="IR93" s="721">
        <v>18.66</v>
      </c>
      <c r="IS93" s="721">
        <v>24.1875</v>
      </c>
      <c r="IT93" s="721">
        <v>0.25750000000000001</v>
      </c>
      <c r="IU93" s="721">
        <v>17.86</v>
      </c>
      <c r="IV93" s="721">
        <v>25.9375</v>
      </c>
      <c r="IW93" s="721">
        <v>0.25800000000000001</v>
      </c>
      <c r="IX93" s="721">
        <v>17.86</v>
      </c>
      <c r="IY93" s="721">
        <v>26.437999999999999</v>
      </c>
      <c r="IZ93" s="721">
        <v>0.25800000000000001</v>
      </c>
      <c r="JA93" s="721">
        <v>17.84</v>
      </c>
      <c r="JB93" s="721">
        <v>26</v>
      </c>
      <c r="JC93" s="721">
        <v>0.24299999999999999</v>
      </c>
      <c r="JD93" s="721">
        <v>17.84</v>
      </c>
      <c r="JE93" s="721">
        <v>25</v>
      </c>
      <c r="JF93" s="721">
        <v>0.24299999999999999</v>
      </c>
      <c r="JG93" s="721">
        <v>17.84</v>
      </c>
      <c r="JH93" s="721">
        <v>22.9375</v>
      </c>
      <c r="JI93" s="721">
        <v>0.24299999999999999</v>
      </c>
      <c r="JJ93" s="721">
        <v>17.843</v>
      </c>
      <c r="JK93" s="721">
        <v>23</v>
      </c>
      <c r="JL93" s="721">
        <v>0.24299999999999999</v>
      </c>
      <c r="JM93" s="721">
        <v>17.843599999999999</v>
      </c>
      <c r="JN93" s="721">
        <v>18.4375</v>
      </c>
      <c r="JO93" s="721">
        <v>0.23</v>
      </c>
      <c r="JP93" s="721">
        <v>17.843599999999999</v>
      </c>
      <c r="JQ93" s="721">
        <v>21.5</v>
      </c>
      <c r="JR93" s="721">
        <v>0.23</v>
      </c>
      <c r="JS93" s="721">
        <v>17.84</v>
      </c>
      <c r="JT93" s="721">
        <v>19</v>
      </c>
      <c r="JU93" s="721">
        <v>0.23</v>
      </c>
      <c r="JV93" s="721">
        <v>17.84</v>
      </c>
      <c r="JW93" s="721">
        <v>17.125</v>
      </c>
      <c r="JX93" s="721">
        <v>0.22</v>
      </c>
      <c r="JY93" s="721">
        <v>15.353999999999999</v>
      </c>
      <c r="JZ93" s="721">
        <v>14.938000000000001</v>
      </c>
      <c r="KA93" s="721">
        <v>0.22</v>
      </c>
      <c r="KB93" s="721">
        <v>15.353999999999999</v>
      </c>
      <c r="KC93" s="721">
        <v>13.438000000000001</v>
      </c>
      <c r="KD93" s="721">
        <v>0.22</v>
      </c>
      <c r="KE93" s="721">
        <v>15.353999999999999</v>
      </c>
      <c r="KF93" s="721">
        <v>14.5</v>
      </c>
      <c r="KG93" s="721">
        <v>0.22</v>
      </c>
      <c r="KH93" s="721">
        <v>15.353999999999999</v>
      </c>
      <c r="KI93" s="721">
        <v>14</v>
      </c>
      <c r="KJ93" s="721">
        <v>0.22</v>
      </c>
      <c r="KK93" s="721">
        <v>15.353999999999999</v>
      </c>
      <c r="KL93" s="721">
        <v>12.75</v>
      </c>
      <c r="KM93" s="721">
        <v>0.21249999999999999</v>
      </c>
      <c r="KN93" s="721">
        <v>15.353999999999999</v>
      </c>
      <c r="KO93" s="721">
        <v>12.813000000000001</v>
      </c>
      <c r="KP93" s="721">
        <v>0.21249999999999999</v>
      </c>
      <c r="KQ93" s="721">
        <v>15.353999999999999</v>
      </c>
      <c r="KR93" s="721">
        <v>12.75</v>
      </c>
      <c r="KS93" s="721">
        <v>0.21249999999999999</v>
      </c>
      <c r="KT93" s="721">
        <v>15.353999999999999</v>
      </c>
      <c r="KU93" s="721">
        <v>13.375</v>
      </c>
      <c r="KV93" s="721">
        <v>0.21249999999999999</v>
      </c>
      <c r="KW93" s="721">
        <v>15.353999999999999</v>
      </c>
      <c r="KX93" s="721">
        <v>14.5</v>
      </c>
      <c r="KY93" s="721">
        <v>0.20749999999999999</v>
      </c>
      <c r="KZ93" s="721">
        <v>15.353999999999999</v>
      </c>
      <c r="LA93" s="721">
        <v>13.75</v>
      </c>
      <c r="LB93" s="721">
        <v>0.20749999999999999</v>
      </c>
      <c r="LC93" s="721">
        <v>15.353999999999999</v>
      </c>
      <c r="LD93" s="721">
        <v>13.5</v>
      </c>
      <c r="LE93" s="721">
        <v>0.20749999999999999</v>
      </c>
      <c r="LF93" s="721">
        <v>15.353999999999999</v>
      </c>
      <c r="LG93" s="721">
        <v>14.375</v>
      </c>
      <c r="LH93" s="721">
        <v>0.20749999999999999</v>
      </c>
      <c r="LI93" s="721">
        <v>15.353999999999999</v>
      </c>
      <c r="LJ93" s="721">
        <v>16.0625</v>
      </c>
      <c r="LK93" s="721">
        <v>0.20250000000000001</v>
      </c>
      <c r="LL93" s="721">
        <v>15.353999999999999</v>
      </c>
      <c r="LM93" s="721">
        <v>14.625</v>
      </c>
      <c r="LN93" s="721">
        <v>0.20250000000000001</v>
      </c>
      <c r="LO93" s="721">
        <v>15.353999999999999</v>
      </c>
      <c r="LP93" s="721">
        <v>14.625</v>
      </c>
      <c r="LQ93" s="721">
        <v>0.20250000000000001</v>
      </c>
      <c r="LR93" s="721">
        <v>15.353999999999999</v>
      </c>
      <c r="LS93" s="721">
        <v>14</v>
      </c>
      <c r="LT93" s="721">
        <v>0.21</v>
      </c>
      <c r="LU93" s="721">
        <v>15.353999999999999</v>
      </c>
      <c r="LV93" s="721">
        <v>13.25</v>
      </c>
      <c r="LW93" s="721">
        <v>0.2</v>
      </c>
      <c r="LX93" s="721">
        <v>15.353999999999999</v>
      </c>
      <c r="LY93" s="721">
        <v>12.5</v>
      </c>
      <c r="LZ93" s="721">
        <v>0.2</v>
      </c>
      <c r="MA93" s="721">
        <v>15.353999999999999</v>
      </c>
      <c r="MB93" s="721">
        <v>13.69</v>
      </c>
      <c r="MC93" s="721">
        <v>0.2</v>
      </c>
      <c r="MD93" s="721">
        <v>15.353999999999999</v>
      </c>
      <c r="ME93" s="721">
        <v>12.94</v>
      </c>
      <c r="MF93" s="721">
        <v>0.2</v>
      </c>
      <c r="MG93" s="721">
        <v>15.353999999999999</v>
      </c>
      <c r="MH93" s="721">
        <v>12.81</v>
      </c>
      <c r="MI93" s="721">
        <v>0.19</v>
      </c>
      <c r="MJ93" s="721">
        <v>15.353999999999999</v>
      </c>
      <c r="MK93" s="721">
        <v>12.44</v>
      </c>
      <c r="ML93" s="721">
        <v>0.19</v>
      </c>
      <c r="MM93" s="721">
        <v>15.353999999999999</v>
      </c>
      <c r="MN93" s="721">
        <v>12.5</v>
      </c>
      <c r="MO93" s="721">
        <v>0.19</v>
      </c>
      <c r="MP93" s="721">
        <v>15.353999999999999</v>
      </c>
      <c r="MQ93" s="721">
        <v>10.25</v>
      </c>
    </row>
    <row r="94" spans="1:355">
      <c r="B94" s="723" t="s">
        <v>291</v>
      </c>
      <c r="C94" s="886"/>
      <c r="D94" s="886"/>
      <c r="E94" s="886"/>
      <c r="F94" s="788"/>
      <c r="G94" s="788"/>
      <c r="H94" s="788"/>
      <c r="I94" s="788"/>
      <c r="J94" s="788"/>
      <c r="K94" s="788"/>
      <c r="L94" s="828"/>
      <c r="M94" s="829"/>
      <c r="N94" s="828"/>
      <c r="O94" s="828"/>
      <c r="P94" s="828"/>
      <c r="Q94" s="828"/>
      <c r="R94" s="828"/>
      <c r="S94" s="828"/>
      <c r="T94" s="828"/>
      <c r="U94" s="788"/>
      <c r="V94" s="827"/>
      <c r="W94" s="788"/>
      <c r="X94" s="832"/>
      <c r="Y94" s="788"/>
      <c r="Z94" s="788"/>
      <c r="AA94" s="788"/>
      <c r="AB94" s="788"/>
      <c r="AC94" s="788"/>
      <c r="AJ94" s="788"/>
      <c r="AK94" s="788"/>
      <c r="AL94" s="788"/>
      <c r="AM94" s="828"/>
      <c r="AN94" s="828"/>
      <c r="AO94" s="828"/>
      <c r="AP94" s="788"/>
      <c r="AQ94" s="788"/>
      <c r="AR94" s="788"/>
      <c r="AV94" s="723"/>
      <c r="AW94" s="723"/>
      <c r="AX94" s="723"/>
      <c r="AY94" s="723"/>
      <c r="AZ94" s="723"/>
      <c r="BA94" s="723"/>
      <c r="BB94" s="723"/>
      <c r="BC94" s="723"/>
      <c r="BD94" s="723"/>
      <c r="BE94" s="723"/>
      <c r="BF94" s="723"/>
      <c r="BG94" s="723"/>
      <c r="BH94" s="723"/>
      <c r="BI94" s="723"/>
      <c r="BJ94" s="723"/>
      <c r="BK94" s="723"/>
      <c r="BL94" s="723"/>
      <c r="BM94" s="723"/>
      <c r="BN94" s="723"/>
      <c r="BO94" s="723"/>
      <c r="BP94" s="723"/>
      <c r="BQ94" s="723"/>
      <c r="BR94" s="723"/>
      <c r="BS94" s="723"/>
      <c r="BT94" s="723"/>
      <c r="BU94" s="723"/>
      <c r="BV94" s="723"/>
      <c r="BW94" s="728"/>
      <c r="BX94" s="728"/>
      <c r="BY94" s="728"/>
      <c r="BZ94" s="723"/>
      <c r="CA94" s="723"/>
      <c r="CB94" s="723"/>
      <c r="CC94" s="723"/>
      <c r="CD94" s="723"/>
      <c r="CE94" s="723"/>
      <c r="CF94" s="723"/>
      <c r="CG94" s="723"/>
      <c r="CH94" s="723"/>
      <c r="CI94" s="723"/>
      <c r="CJ94" s="723"/>
      <c r="CK94" s="723"/>
      <c r="CL94" s="723"/>
      <c r="CM94" s="723"/>
      <c r="CN94" s="723"/>
      <c r="CO94" s="723"/>
      <c r="CP94" s="723"/>
      <c r="CQ94" s="723"/>
      <c r="CR94" s="723"/>
      <c r="CS94" s="723"/>
      <c r="CT94" s="723"/>
      <c r="CU94" s="723"/>
      <c r="CV94" s="723"/>
      <c r="CW94" s="723"/>
      <c r="CX94" s="722"/>
      <c r="CY94" s="723"/>
      <c r="CZ94" s="723"/>
      <c r="DA94" s="723"/>
      <c r="DB94" s="723"/>
      <c r="DC94" s="735"/>
      <c r="DD94" s="723"/>
      <c r="DE94" s="723"/>
      <c r="DF94" s="723"/>
      <c r="DG94" s="723"/>
      <c r="DH94" s="723"/>
      <c r="DI94" s="723"/>
      <c r="DJ94" s="723"/>
      <c r="DK94" s="723"/>
      <c r="DL94" s="723"/>
      <c r="DM94" s="723"/>
      <c r="DN94" s="723"/>
      <c r="DO94" s="723"/>
      <c r="DP94" s="723"/>
      <c r="DQ94" s="723"/>
      <c r="DR94" s="723"/>
      <c r="DS94" s="723"/>
      <c r="DT94" s="725"/>
      <c r="DU94" s="723"/>
      <c r="DV94" s="723"/>
      <c r="DW94" s="723"/>
      <c r="DX94" s="723"/>
      <c r="DY94" s="723"/>
      <c r="DZ94" s="723"/>
      <c r="EA94" s="723"/>
      <c r="EB94" s="723"/>
      <c r="EC94" s="723"/>
      <c r="ED94" s="723"/>
      <c r="EE94" s="723"/>
      <c r="EF94" s="723"/>
      <c r="EG94" s="723"/>
      <c r="EH94" s="723"/>
      <c r="EI94" s="723"/>
      <c r="EJ94" s="723"/>
      <c r="EK94" s="723"/>
      <c r="EL94" s="723"/>
      <c r="EM94" s="723"/>
      <c r="EN94" s="723"/>
      <c r="EO94" s="723"/>
      <c r="EP94" s="723"/>
      <c r="EQ94" s="723"/>
      <c r="ER94" s="723"/>
      <c r="ES94" s="723"/>
      <c r="ET94" s="722"/>
      <c r="EU94" s="722"/>
      <c r="EV94" s="722"/>
      <c r="EW94" s="723"/>
      <c r="EX94" s="723"/>
      <c r="EY94" s="723"/>
      <c r="EZ94" s="723"/>
      <c r="FA94" s="723"/>
      <c r="FB94" s="723"/>
      <c r="FC94" s="723"/>
      <c r="FD94" s="741"/>
      <c r="FE94" s="723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742"/>
      <c r="FT94" s="626"/>
      <c r="FU94" s="727"/>
      <c r="FV94" s="727"/>
      <c r="FW94" s="727"/>
      <c r="FX94" s="727"/>
      <c r="FY94" s="727"/>
      <c r="FZ94" s="727"/>
      <c r="GA94" s="727"/>
      <c r="GB94" s="727"/>
      <c r="GC94" s="727"/>
      <c r="GD94" s="750"/>
      <c r="GE94" s="741"/>
      <c r="GF94" s="751"/>
      <c r="GG94" s="750"/>
      <c r="GH94" s="727"/>
      <c r="GI94" s="727"/>
      <c r="GJ94" s="727"/>
      <c r="GK94" s="727"/>
      <c r="GL94" s="727"/>
      <c r="GM94" s="727"/>
      <c r="GN94" s="727"/>
      <c r="GO94" s="727"/>
      <c r="GP94" s="727"/>
      <c r="GQ94" s="727"/>
      <c r="GR94" s="727"/>
      <c r="GS94" s="727"/>
      <c r="GT94" s="727"/>
      <c r="GU94" s="752"/>
      <c r="GV94" s="727"/>
      <c r="GW94" s="727"/>
      <c r="GX94" s="727"/>
      <c r="GY94" s="727"/>
      <c r="GZ94" s="727"/>
      <c r="HA94" s="727"/>
      <c r="HB94" s="727"/>
      <c r="HC94" s="727"/>
      <c r="HD94" s="727"/>
      <c r="HE94" s="727"/>
      <c r="HF94" s="727"/>
      <c r="HG94" s="727"/>
      <c r="HH94" s="727"/>
      <c r="HI94" s="727"/>
      <c r="HJ94" s="727"/>
      <c r="HK94" s="727"/>
      <c r="HL94" s="727"/>
      <c r="HM94" s="727"/>
      <c r="HN94" s="727"/>
      <c r="HO94" s="752"/>
      <c r="HP94" s="752"/>
      <c r="HQ94" s="727"/>
      <c r="HR94" s="727"/>
      <c r="HS94" s="727"/>
      <c r="HT94" s="727"/>
      <c r="HU94" s="727"/>
      <c r="HV94" s="727"/>
      <c r="HW94" s="727"/>
      <c r="HX94" s="727"/>
      <c r="HY94" s="727"/>
      <c r="HZ94" s="727"/>
      <c r="IA94" s="727"/>
      <c r="IB94" s="727"/>
      <c r="IC94" s="727"/>
      <c r="ID94" s="727"/>
      <c r="IE94" s="727"/>
      <c r="IF94" s="727"/>
      <c r="IG94" s="727"/>
      <c r="IH94" s="727"/>
      <c r="II94" s="727"/>
      <c r="IJ94" s="722"/>
      <c r="IK94" s="722"/>
      <c r="IL94" s="722"/>
      <c r="IM94" s="727"/>
      <c r="IN94" s="722"/>
      <c r="IO94" s="722"/>
      <c r="IP94" s="727"/>
      <c r="IQ94" s="722"/>
      <c r="IR94" s="721">
        <v>13.52</v>
      </c>
      <c r="IS94" s="721">
        <v>58.375</v>
      </c>
      <c r="IT94" s="721">
        <v>0.48499999999999999</v>
      </c>
      <c r="IU94" s="721">
        <v>13.52</v>
      </c>
      <c r="IV94" s="721">
        <v>57.4375</v>
      </c>
      <c r="IW94" s="721">
        <v>0.64500000000000002</v>
      </c>
      <c r="IX94" s="721">
        <v>13.52</v>
      </c>
      <c r="IY94" s="721">
        <v>57</v>
      </c>
      <c r="IZ94" s="721">
        <v>0.64500000000000002</v>
      </c>
      <c r="JA94" s="721">
        <v>13.52</v>
      </c>
      <c r="JB94" s="721">
        <v>54.813000000000002</v>
      </c>
      <c r="JC94" s="721">
        <v>0.64500000000000002</v>
      </c>
      <c r="JD94" s="721">
        <v>13.52</v>
      </c>
      <c r="JE94" s="721">
        <v>53.688000000000002</v>
      </c>
      <c r="JF94" s="721">
        <v>0.64500000000000002</v>
      </c>
      <c r="JG94" s="721">
        <v>13.65</v>
      </c>
      <c r="JH94" s="721">
        <v>44.875</v>
      </c>
      <c r="JI94" s="721">
        <v>0.64500000000000002</v>
      </c>
      <c r="JJ94" s="721">
        <v>13.654</v>
      </c>
      <c r="JK94" s="721">
        <v>46.5625</v>
      </c>
      <c r="JL94" s="721">
        <v>0.64500000000000002</v>
      </c>
      <c r="JM94" s="721">
        <v>13.654</v>
      </c>
      <c r="JN94" s="721">
        <v>37.4375</v>
      </c>
      <c r="JO94" s="721">
        <v>0.64500000000000002</v>
      </c>
      <c r="JP94" s="721">
        <v>13.654</v>
      </c>
      <c r="JQ94" s="721">
        <v>33.625</v>
      </c>
      <c r="JR94" s="721">
        <v>0.64500000000000002</v>
      </c>
      <c r="JS94" s="721">
        <v>13.654</v>
      </c>
      <c r="JT94" s="721">
        <v>35.625</v>
      </c>
      <c r="JU94" s="721">
        <v>0.64500000000000002</v>
      </c>
      <c r="JV94" s="721">
        <v>13.54</v>
      </c>
      <c r="JW94" s="721">
        <v>35.875</v>
      </c>
      <c r="JX94" s="721">
        <v>0.64500000000000002</v>
      </c>
      <c r="JY94" s="721">
        <v>13.54</v>
      </c>
      <c r="JZ94" s="721">
        <v>35</v>
      </c>
      <c r="KA94" s="721">
        <v>0.64500000000000002</v>
      </c>
      <c r="KB94" s="721">
        <v>13.54</v>
      </c>
      <c r="KC94" s="721">
        <v>36.75</v>
      </c>
      <c r="KD94" s="721">
        <v>0.64500000000000002</v>
      </c>
      <c r="KE94" s="721">
        <v>13.54</v>
      </c>
      <c r="KF94" s="721">
        <v>35.875</v>
      </c>
      <c r="KG94" s="721">
        <v>0.64500000000000002</v>
      </c>
      <c r="KH94" s="721">
        <v>13.54</v>
      </c>
      <c r="KI94" s="721">
        <v>35.75</v>
      </c>
      <c r="KJ94" s="721">
        <v>0.64500000000000002</v>
      </c>
      <c r="KK94" s="721">
        <v>13.54</v>
      </c>
      <c r="KL94" s="721">
        <v>35.625</v>
      </c>
      <c r="KM94" s="721">
        <v>0.64500000000000002</v>
      </c>
      <c r="KN94" s="721">
        <v>13.54</v>
      </c>
      <c r="KO94" s="721">
        <v>33.625</v>
      </c>
      <c r="KP94" s="721">
        <v>0.64500000000000002</v>
      </c>
      <c r="KQ94" s="721">
        <v>13.54</v>
      </c>
      <c r="KR94" s="721">
        <v>32.25</v>
      </c>
      <c r="KS94" s="721">
        <v>0.64</v>
      </c>
      <c r="KT94" s="721">
        <v>13.54</v>
      </c>
      <c r="KU94" s="721">
        <v>32.5</v>
      </c>
      <c r="KV94" s="721">
        <v>0.64</v>
      </c>
      <c r="KW94" s="721">
        <v>13.54</v>
      </c>
      <c r="KX94" s="721">
        <v>30.375</v>
      </c>
      <c r="KY94" s="721">
        <v>0.64</v>
      </c>
      <c r="KZ94" s="721">
        <v>13.54</v>
      </c>
      <c r="LA94" s="721">
        <v>31.25</v>
      </c>
      <c r="LB94" s="721">
        <v>0.63</v>
      </c>
      <c r="LC94" s="721">
        <v>13.532</v>
      </c>
      <c r="LD94" s="721">
        <v>32.875</v>
      </c>
      <c r="LE94" s="721">
        <v>0.63</v>
      </c>
      <c r="LF94" s="721">
        <v>13.532</v>
      </c>
      <c r="LG94" s="721">
        <v>40.625</v>
      </c>
      <c r="LH94" s="721">
        <v>0.63</v>
      </c>
      <c r="LI94" s="721">
        <v>13.532</v>
      </c>
      <c r="LJ94" s="721">
        <v>45.375</v>
      </c>
      <c r="LK94" s="721">
        <v>0.63</v>
      </c>
      <c r="LL94" s="721">
        <v>13.532</v>
      </c>
      <c r="LM94" s="721">
        <v>45.75</v>
      </c>
      <c r="LN94" s="721">
        <v>0.61499999999999999</v>
      </c>
      <c r="LO94" s="721">
        <v>13.531000000000001</v>
      </c>
      <c r="LP94" s="721">
        <v>45.125</v>
      </c>
      <c r="LQ94" s="721">
        <v>0.61499999999999999</v>
      </c>
      <c r="LR94" s="721">
        <v>13.413</v>
      </c>
      <c r="LS94" s="721">
        <v>41.63</v>
      </c>
      <c r="LT94" s="721">
        <v>0.62</v>
      </c>
      <c r="LU94" s="721">
        <v>13.413</v>
      </c>
      <c r="LV94" s="721">
        <v>39.5</v>
      </c>
      <c r="LW94" s="721">
        <v>0.62</v>
      </c>
      <c r="LX94" s="721">
        <v>13.387</v>
      </c>
      <c r="LY94" s="721">
        <v>37.630000000000003</v>
      </c>
      <c r="LZ94" s="721">
        <v>0.6</v>
      </c>
      <c r="MA94" s="721">
        <v>13.36</v>
      </c>
      <c r="MB94" s="721">
        <v>35.380000000000003</v>
      </c>
      <c r="MC94" s="721">
        <v>0.6</v>
      </c>
      <c r="MD94" s="721">
        <v>13.238</v>
      </c>
      <c r="ME94" s="721">
        <v>38.630000000000003</v>
      </c>
      <c r="MF94" s="721">
        <v>0.6</v>
      </c>
      <c r="MG94" s="721">
        <v>13.214</v>
      </c>
      <c r="MH94" s="721">
        <v>38.130000000000003</v>
      </c>
      <c r="MI94" s="721">
        <v>0.6</v>
      </c>
      <c r="MJ94" s="721">
        <v>13.189</v>
      </c>
      <c r="MK94" s="721">
        <v>35</v>
      </c>
      <c r="ML94" s="721">
        <v>0.59</v>
      </c>
      <c r="MM94" s="721">
        <v>13.164</v>
      </c>
      <c r="MN94" s="721">
        <v>32.880000000000003</v>
      </c>
      <c r="MO94" s="721">
        <v>0.59</v>
      </c>
      <c r="MP94" s="721">
        <v>13.04</v>
      </c>
      <c r="MQ94" s="721">
        <v>31.38</v>
      </c>
    </row>
    <row r="95" spans="1:355">
      <c r="A95" s="633" t="s">
        <v>109</v>
      </c>
      <c r="B95" s="728" t="s">
        <v>157</v>
      </c>
      <c r="C95" s="885">
        <v>528</v>
      </c>
      <c r="D95" s="885">
        <v>8.99</v>
      </c>
      <c r="E95" s="885">
        <v>0</v>
      </c>
      <c r="F95" s="828">
        <v>529</v>
      </c>
      <c r="G95" s="828">
        <v>10.87</v>
      </c>
      <c r="H95" s="828">
        <v>0</v>
      </c>
      <c r="I95" s="828">
        <v>529</v>
      </c>
      <c r="J95" s="828">
        <v>10</v>
      </c>
      <c r="K95" s="828">
        <v>0</v>
      </c>
      <c r="L95" s="828">
        <v>526</v>
      </c>
      <c r="M95" s="829">
        <v>22.92</v>
      </c>
      <c r="N95" s="828">
        <v>0</v>
      </c>
      <c r="O95" s="828">
        <v>517</v>
      </c>
      <c r="P95" s="829">
        <v>17.8</v>
      </c>
      <c r="Q95" s="828">
        <v>0</v>
      </c>
      <c r="R95" s="828">
        <v>517</v>
      </c>
      <c r="S95" s="828">
        <v>23.75</v>
      </c>
      <c r="T95" s="828">
        <v>0</v>
      </c>
      <c r="U95" s="828">
        <v>516</v>
      </c>
      <c r="V95" s="829">
        <v>46.01</v>
      </c>
      <c r="W95" s="828">
        <v>0</v>
      </c>
      <c r="X95" s="832">
        <v>515</v>
      </c>
      <c r="Y95" s="788">
        <v>42.56</v>
      </c>
      <c r="Z95" s="788">
        <v>0</v>
      </c>
      <c r="AA95" s="788">
        <v>515</v>
      </c>
      <c r="AB95" s="788">
        <v>43.93</v>
      </c>
      <c r="AC95" s="788">
        <v>0</v>
      </c>
      <c r="AD95" s="788">
        <v>513</v>
      </c>
      <c r="AE95" s="788">
        <v>44.83</v>
      </c>
      <c r="AF95" s="788">
        <v>0.53</v>
      </c>
      <c r="AG95" s="788">
        <v>511</v>
      </c>
      <c r="AH95" s="788">
        <v>68.09</v>
      </c>
      <c r="AI95" s="788">
        <v>0.53</v>
      </c>
      <c r="AJ95" s="788">
        <v>508</v>
      </c>
      <c r="AK95" s="788">
        <v>66.37</v>
      </c>
      <c r="AL95" s="801">
        <v>0.53</v>
      </c>
      <c r="AM95" s="828">
        <v>499</v>
      </c>
      <c r="AN95" s="828">
        <v>66.36</v>
      </c>
      <c r="AO95" s="828">
        <v>0.49</v>
      </c>
      <c r="AP95" s="788">
        <v>501</v>
      </c>
      <c r="AQ95" s="788">
        <v>60.77</v>
      </c>
      <c r="AR95" s="788">
        <v>0.49</v>
      </c>
      <c r="AS95" s="723">
        <v>497</v>
      </c>
      <c r="AT95" s="723">
        <v>61.17</v>
      </c>
      <c r="AU95" s="723">
        <v>0.49</v>
      </c>
      <c r="AV95" s="723">
        <v>493</v>
      </c>
      <c r="AW95" s="723">
        <v>63.92</v>
      </c>
      <c r="AX95" s="723">
        <v>0.49</v>
      </c>
      <c r="AY95" s="723">
        <v>484</v>
      </c>
      <c r="AZ95" s="723">
        <v>59.72</v>
      </c>
      <c r="BA95" s="723">
        <v>0.45500000000000002</v>
      </c>
      <c r="BB95" s="723">
        <v>486</v>
      </c>
      <c r="BC95" s="723">
        <v>53.19</v>
      </c>
      <c r="BD95" s="723">
        <v>0.45500000000000002</v>
      </c>
      <c r="BE95" s="723">
        <v>480</v>
      </c>
      <c r="BF95" s="723">
        <v>52.8</v>
      </c>
      <c r="BG95" s="723">
        <v>0.45500000000000002</v>
      </c>
      <c r="BH95" s="723">
        <v>477</v>
      </c>
      <c r="BI95" s="723">
        <v>49.1</v>
      </c>
      <c r="BJ95" s="723">
        <v>0.45500000000000002</v>
      </c>
      <c r="BK95" s="728">
        <v>474</v>
      </c>
      <c r="BL95" s="728">
        <v>53.07</v>
      </c>
      <c r="BM95" s="728">
        <v>0.45500000000000002</v>
      </c>
      <c r="BN95" s="723">
        <v>472</v>
      </c>
      <c r="BO95" s="723">
        <v>53.24</v>
      </c>
      <c r="BP95" s="723">
        <v>0.45500000000000002</v>
      </c>
      <c r="BQ95" s="723">
        <v>467</v>
      </c>
      <c r="BR95" s="723">
        <v>45.04</v>
      </c>
      <c r="BS95" s="723">
        <v>0.45500000000000002</v>
      </c>
      <c r="BT95" s="723">
        <v>459</v>
      </c>
      <c r="BU95" s="723">
        <v>48.02</v>
      </c>
      <c r="BV95" s="723">
        <v>0.45500000000000002</v>
      </c>
      <c r="BW95" s="728">
        <v>444</v>
      </c>
      <c r="BX95" s="728">
        <v>43.2</v>
      </c>
      <c r="BY95" s="728">
        <v>0.45500000000000002</v>
      </c>
      <c r="BZ95" s="723">
        <v>446</v>
      </c>
      <c r="CA95" s="723">
        <v>40.28</v>
      </c>
      <c r="CB95" s="723">
        <v>0.45500000000000002</v>
      </c>
      <c r="CC95" s="723">
        <v>442</v>
      </c>
      <c r="CD95" s="723">
        <v>40.92</v>
      </c>
      <c r="CE95" s="723">
        <v>0.45500000000000002</v>
      </c>
      <c r="CF95" s="723">
        <v>434</v>
      </c>
      <c r="CG95" s="723">
        <v>45.73</v>
      </c>
      <c r="CH95" s="723">
        <v>0.45500000000000002</v>
      </c>
      <c r="CI95" s="728">
        <v>424</v>
      </c>
      <c r="CJ95" s="728">
        <v>44.53</v>
      </c>
      <c r="CK95" s="728">
        <v>0.45500000000000002</v>
      </c>
      <c r="CL95" s="723">
        <v>428</v>
      </c>
      <c r="CM95" s="723">
        <v>40.18</v>
      </c>
      <c r="CN95" s="723">
        <v>0.45500000000000002</v>
      </c>
      <c r="CO95" s="723">
        <v>423</v>
      </c>
      <c r="CP95" s="723">
        <v>42.67</v>
      </c>
      <c r="CQ95" s="723">
        <v>0.45500000000000002</v>
      </c>
      <c r="CR95" s="723">
        <v>414</v>
      </c>
      <c r="CS95" s="723">
        <v>45.27</v>
      </c>
      <c r="CT95" s="723">
        <v>0.45500000000000002</v>
      </c>
      <c r="CU95" s="728">
        <v>401</v>
      </c>
      <c r="CV95" s="728">
        <v>43.41</v>
      </c>
      <c r="CW95" s="728">
        <v>0.45500000000000002</v>
      </c>
      <c r="CX95" s="722">
        <v>403</v>
      </c>
      <c r="CY95" s="723">
        <v>41.22</v>
      </c>
      <c r="CZ95" s="723">
        <v>0.45500000000000002</v>
      </c>
      <c r="DA95" s="723">
        <v>399</v>
      </c>
      <c r="DB95" s="723">
        <v>42.3</v>
      </c>
      <c r="DC95" s="722">
        <v>0.45500000000000002</v>
      </c>
      <c r="DD95" s="723">
        <v>396</v>
      </c>
      <c r="DE95" s="723">
        <v>42.03</v>
      </c>
      <c r="DF95" s="723">
        <v>0.45500000000000002</v>
      </c>
      <c r="DG95" s="723">
        <v>394</v>
      </c>
      <c r="DH95" s="723">
        <v>44.18</v>
      </c>
      <c r="DI95" s="723">
        <v>0.45500000000000002</v>
      </c>
      <c r="DJ95" s="723">
        <v>390</v>
      </c>
      <c r="DK95" s="723">
        <v>47.84</v>
      </c>
      <c r="DL95" s="723">
        <v>0.45500000000000002</v>
      </c>
      <c r="DM95" s="723">
        <v>373</v>
      </c>
      <c r="DN95" s="723">
        <v>45.42</v>
      </c>
      <c r="DO95" s="723">
        <v>0.45500000000000002</v>
      </c>
      <c r="DP95" s="723">
        <v>371</v>
      </c>
      <c r="DQ95" s="723">
        <v>41.1</v>
      </c>
      <c r="DR95" s="723">
        <v>0.45500000000000002</v>
      </c>
      <c r="DS95" s="723">
        <v>371</v>
      </c>
      <c r="DT95" s="725">
        <v>42.42</v>
      </c>
      <c r="DU95" s="723">
        <v>0.45500000000000002</v>
      </c>
      <c r="DV95" s="723">
        <v>370</v>
      </c>
      <c r="DW95" s="723">
        <v>44.65</v>
      </c>
      <c r="DX95" s="723">
        <v>0.42</v>
      </c>
      <c r="DY95" s="723">
        <v>368</v>
      </c>
      <c r="DZ95" s="723">
        <v>40.49</v>
      </c>
      <c r="EA95" s="723">
        <v>0.42</v>
      </c>
      <c r="EB95" s="723">
        <v>364</v>
      </c>
      <c r="EC95" s="723">
        <v>38.44</v>
      </c>
      <c r="ED95" s="723">
        <v>0.42</v>
      </c>
      <c r="EE95" s="723">
        <v>360</v>
      </c>
      <c r="EF95" s="723">
        <v>38.22</v>
      </c>
      <c r="EG95" s="723">
        <v>0.42</v>
      </c>
      <c r="EH95" s="723">
        <v>357</v>
      </c>
      <c r="EI95" s="723">
        <v>38.71</v>
      </c>
      <c r="EJ95" s="723">
        <v>0.39</v>
      </c>
      <c r="EK95" s="723">
        <v>356</v>
      </c>
      <c r="EL95" s="723">
        <v>37.450000000000003</v>
      </c>
      <c r="EM95" s="723">
        <v>0.39</v>
      </c>
      <c r="EN95" s="723">
        <v>355</v>
      </c>
      <c r="EO95" s="723">
        <v>39.69</v>
      </c>
      <c r="EP95" s="723">
        <v>0.39</v>
      </c>
      <c r="EQ95" s="723">
        <v>351</v>
      </c>
      <c r="ER95" s="723">
        <v>36.82</v>
      </c>
      <c r="ES95" s="723">
        <v>0.39</v>
      </c>
      <c r="ET95" s="722">
        <v>352</v>
      </c>
      <c r="EU95" s="722">
        <v>43.09</v>
      </c>
      <c r="EV95" s="722">
        <v>0.36</v>
      </c>
      <c r="EW95" s="723">
        <v>350</v>
      </c>
      <c r="EX95" s="723">
        <v>47.8</v>
      </c>
      <c r="EY95" s="723">
        <v>0.36</v>
      </c>
      <c r="EZ95" s="723">
        <v>349</v>
      </c>
      <c r="FA95" s="723">
        <v>45.3</v>
      </c>
      <c r="FB95" s="723">
        <v>0.36</v>
      </c>
      <c r="FC95" s="723">
        <v>346</v>
      </c>
      <c r="FD95" s="741">
        <v>48.27</v>
      </c>
      <c r="FE95" s="723">
        <v>0.36</v>
      </c>
      <c r="FF95" s="727">
        <v>347</v>
      </c>
      <c r="FG95" s="727">
        <v>47.33</v>
      </c>
      <c r="FH95" s="727">
        <v>0.33</v>
      </c>
      <c r="FI95" s="727">
        <v>346</v>
      </c>
      <c r="FJ95" s="727">
        <v>41.65</v>
      </c>
      <c r="FK95" s="727">
        <v>0.33</v>
      </c>
      <c r="FL95" s="727">
        <v>344</v>
      </c>
      <c r="FM95" s="727">
        <v>39.28</v>
      </c>
      <c r="FN95" s="727">
        <v>0.33</v>
      </c>
      <c r="FO95" s="727">
        <v>359</v>
      </c>
      <c r="FP95" s="727">
        <v>38.9</v>
      </c>
      <c r="FQ95" s="727">
        <v>0.33</v>
      </c>
      <c r="FR95" s="727">
        <v>372</v>
      </c>
      <c r="FS95" s="742">
        <v>37.119999999999997</v>
      </c>
      <c r="FT95" s="626">
        <v>0.33</v>
      </c>
      <c r="FU95" s="727">
        <v>370</v>
      </c>
      <c r="FV95" s="727">
        <v>39.25</v>
      </c>
      <c r="FW95" s="749">
        <v>0.22500000000000001</v>
      </c>
      <c r="FX95" s="727">
        <v>388</v>
      </c>
      <c r="FY95" s="727">
        <v>37.54</v>
      </c>
      <c r="FZ95" s="727">
        <v>0.15</v>
      </c>
      <c r="GA95" s="727">
        <v>418</v>
      </c>
      <c r="GB95" s="727">
        <v>34.1</v>
      </c>
      <c r="GC95" s="727">
        <v>7.4999999999999997E-2</v>
      </c>
      <c r="GD95" s="750">
        <v>418</v>
      </c>
      <c r="GE95" s="741">
        <v>33.28</v>
      </c>
      <c r="GF95" s="751">
        <v>0</v>
      </c>
      <c r="GG95" s="750">
        <v>397</v>
      </c>
      <c r="GH95" s="727">
        <v>30.4</v>
      </c>
      <c r="GI95" s="727">
        <v>0</v>
      </c>
      <c r="GJ95" s="727">
        <v>393</v>
      </c>
      <c r="GK95" s="727">
        <v>27.94</v>
      </c>
      <c r="GL95" s="727">
        <v>0</v>
      </c>
      <c r="GM95" s="727">
        <v>388</v>
      </c>
      <c r="GN95" s="727">
        <v>28.97</v>
      </c>
      <c r="GO95" s="727">
        <v>0</v>
      </c>
      <c r="GP95" s="727">
        <v>387</v>
      </c>
      <c r="GQ95" s="727">
        <v>27.77</v>
      </c>
      <c r="GR95" s="727">
        <v>0</v>
      </c>
      <c r="GS95" s="727">
        <v>384</v>
      </c>
      <c r="GT95" s="727">
        <v>23.9</v>
      </c>
      <c r="GU95" s="727">
        <v>0</v>
      </c>
      <c r="GV95" s="727">
        <v>382</v>
      </c>
      <c r="GW95" s="727">
        <v>21.15</v>
      </c>
      <c r="GX95" s="727">
        <v>0</v>
      </c>
      <c r="GY95" s="727">
        <v>381</v>
      </c>
      <c r="GZ95" s="727">
        <v>13.45</v>
      </c>
      <c r="HA95" s="727">
        <v>0</v>
      </c>
      <c r="HB95" s="727">
        <v>373</v>
      </c>
      <c r="HC95" s="727">
        <v>13.9</v>
      </c>
      <c r="HD95" s="727">
        <v>0</v>
      </c>
      <c r="HE95" s="727">
        <v>366</v>
      </c>
      <c r="HF95" s="727">
        <v>11.26</v>
      </c>
      <c r="HG95" s="727">
        <v>0</v>
      </c>
      <c r="HH95" s="727">
        <v>364</v>
      </c>
      <c r="HI95" s="727">
        <v>17.89</v>
      </c>
      <c r="HJ95" s="727">
        <v>0</v>
      </c>
      <c r="HK95" s="727">
        <v>387.9</v>
      </c>
      <c r="HL95" s="727">
        <v>23.56</v>
      </c>
      <c r="HM95" s="727">
        <v>0</v>
      </c>
      <c r="HN95" s="727">
        <v>363</v>
      </c>
      <c r="HO95" s="727">
        <v>19.239999999999998</v>
      </c>
      <c r="HP95" s="727">
        <v>0</v>
      </c>
      <c r="HQ95" s="727">
        <v>363</v>
      </c>
      <c r="HR95" s="727">
        <v>15.2</v>
      </c>
      <c r="HS95" s="727">
        <v>0</v>
      </c>
      <c r="HT95" s="727">
        <v>387.2</v>
      </c>
      <c r="HU95" s="727">
        <v>11.2</v>
      </c>
      <c r="HV95" s="727">
        <v>0</v>
      </c>
      <c r="HW95" s="727">
        <v>386.7</v>
      </c>
      <c r="HX95" s="727">
        <v>12.45</v>
      </c>
      <c r="HY95" s="727">
        <v>0</v>
      </c>
      <c r="HZ95" s="727">
        <v>386.7</v>
      </c>
      <c r="IA95" s="727">
        <v>20</v>
      </c>
      <c r="IB95" s="727">
        <v>0.3</v>
      </c>
      <c r="IC95" s="727">
        <v>361</v>
      </c>
      <c r="ID95" s="727">
        <v>24.1875</v>
      </c>
      <c r="IE95" s="727">
        <v>0.3</v>
      </c>
      <c r="IF95" s="727">
        <v>361</v>
      </c>
      <c r="IG95" s="727">
        <v>24.625</v>
      </c>
      <c r="IH95" s="727">
        <v>0.3</v>
      </c>
      <c r="II95" s="727">
        <v>384.4</v>
      </c>
      <c r="IJ95" s="722">
        <v>21</v>
      </c>
      <c r="IK95" s="722">
        <v>0.3</v>
      </c>
      <c r="IL95" s="722">
        <v>367</v>
      </c>
      <c r="IM95" s="727">
        <v>20.5</v>
      </c>
      <c r="IN95" s="722">
        <v>0.3</v>
      </c>
      <c r="IO95" s="722">
        <v>367</v>
      </c>
      <c r="IP95" s="727">
        <v>25.875</v>
      </c>
      <c r="IQ95" s="722">
        <v>0.3</v>
      </c>
      <c r="IR95" s="721">
        <v>381.91</v>
      </c>
      <c r="IS95" s="721">
        <v>32.4375</v>
      </c>
      <c r="IT95" s="721">
        <v>0.3</v>
      </c>
      <c r="IU95" s="721">
        <v>382</v>
      </c>
      <c r="IV95" s="721">
        <v>31.0625</v>
      </c>
      <c r="IW95" s="721">
        <v>0.3</v>
      </c>
      <c r="IX95" s="721">
        <v>382</v>
      </c>
      <c r="IY95" s="721">
        <v>31.5</v>
      </c>
      <c r="IZ95" s="721">
        <v>0.3</v>
      </c>
      <c r="JA95" s="721">
        <v>381</v>
      </c>
      <c r="JB95" s="721">
        <v>31.875</v>
      </c>
      <c r="JC95" s="721">
        <v>0.3</v>
      </c>
      <c r="JD95" s="721">
        <v>381</v>
      </c>
      <c r="JE95" s="721">
        <v>31.562999999999999</v>
      </c>
      <c r="JF95" s="721">
        <v>0.3</v>
      </c>
      <c r="JG95" s="721">
        <v>414.36</v>
      </c>
      <c r="JH95" s="721">
        <v>33</v>
      </c>
      <c r="JI95" s="721">
        <v>0.3</v>
      </c>
      <c r="JJ95" s="721">
        <v>414.358</v>
      </c>
      <c r="JK95" s="721">
        <v>30.3125</v>
      </c>
      <c r="JL95" s="721">
        <v>0.3</v>
      </c>
      <c r="JM95" s="721">
        <v>408.52600000000001</v>
      </c>
      <c r="JN95" s="721">
        <v>23.1875</v>
      </c>
      <c r="JO95" s="721">
        <v>0.3</v>
      </c>
      <c r="JP95" s="721">
        <v>408.52600000000001</v>
      </c>
      <c r="JQ95" s="721">
        <v>24.25</v>
      </c>
      <c r="JR95" s="721">
        <v>0.3</v>
      </c>
      <c r="JS95" s="721">
        <v>411.75900000000001</v>
      </c>
      <c r="JT95" s="721">
        <v>23.5</v>
      </c>
      <c r="JU95" s="721">
        <v>0.3</v>
      </c>
      <c r="JV95" s="721">
        <v>411.75900000000001</v>
      </c>
      <c r="JW95" s="721">
        <v>21</v>
      </c>
      <c r="JX95" s="721">
        <v>0.3</v>
      </c>
      <c r="JY95" s="721">
        <v>421.57799999999997</v>
      </c>
      <c r="JZ95" s="721">
        <v>21.75</v>
      </c>
      <c r="KA95" s="721">
        <v>0.49</v>
      </c>
      <c r="KB95" s="721">
        <v>421.57799999999997</v>
      </c>
      <c r="KC95" s="721">
        <v>23.25</v>
      </c>
      <c r="KD95" s="721">
        <v>0.49</v>
      </c>
      <c r="KE95" s="721">
        <v>421.57799999999997</v>
      </c>
      <c r="KF95" s="721">
        <v>22.375</v>
      </c>
      <c r="KG95" s="721">
        <v>0.49</v>
      </c>
      <c r="KH95" s="721">
        <v>421.57799999999997</v>
      </c>
      <c r="KI95" s="721">
        <v>28.375</v>
      </c>
      <c r="KJ95" s="721">
        <v>0.49</v>
      </c>
      <c r="KK95" s="721">
        <v>430.08600000000001</v>
      </c>
      <c r="KL95" s="721">
        <v>30</v>
      </c>
      <c r="KM95" s="721">
        <v>0.49</v>
      </c>
      <c r="KN95" s="721">
        <v>430.08600000000001</v>
      </c>
      <c r="KO95" s="721">
        <v>29</v>
      </c>
      <c r="KP95" s="721">
        <v>0.49</v>
      </c>
      <c r="KQ95" s="721">
        <v>430.08600000000001</v>
      </c>
      <c r="KR95" s="721">
        <v>24.875</v>
      </c>
      <c r="KS95" s="721">
        <v>0.49</v>
      </c>
      <c r="KT95" s="721">
        <v>429.15</v>
      </c>
      <c r="KU95" s="721">
        <v>24.375</v>
      </c>
      <c r="KV95" s="721">
        <v>0.49</v>
      </c>
      <c r="KW95" s="721">
        <v>429.15</v>
      </c>
      <c r="KX95" s="721">
        <v>22.75</v>
      </c>
      <c r="KY95" s="721">
        <v>0.49</v>
      </c>
      <c r="KZ95" s="721">
        <v>429.15</v>
      </c>
      <c r="LA95" s="721">
        <v>23.75</v>
      </c>
      <c r="LB95" s="721">
        <v>0.49</v>
      </c>
      <c r="LC95" s="721">
        <v>432.47199999999998</v>
      </c>
      <c r="LD95" s="721">
        <v>29</v>
      </c>
      <c r="LE95" s="721">
        <v>0.49</v>
      </c>
      <c r="LF95" s="721">
        <v>432.47199999999998</v>
      </c>
      <c r="LG95" s="721">
        <v>35.125</v>
      </c>
      <c r="LH95" s="721">
        <v>0.47</v>
      </c>
      <c r="LI95" s="721">
        <v>432.47199999999998</v>
      </c>
      <c r="LJ95" s="721">
        <v>35.375</v>
      </c>
      <c r="LK95" s="721">
        <v>0.47</v>
      </c>
      <c r="LL95" s="721">
        <v>430.63900000000001</v>
      </c>
      <c r="LM95" s="721">
        <v>33.375</v>
      </c>
      <c r="LN95" s="721">
        <v>0.47</v>
      </c>
      <c r="LO95" s="721">
        <v>428.42599999999999</v>
      </c>
      <c r="LP95" s="721">
        <v>34.625</v>
      </c>
      <c r="LQ95" s="721">
        <v>0.47</v>
      </c>
      <c r="LR95" s="721">
        <v>421.553</v>
      </c>
      <c r="LS95" s="721">
        <v>33.130000000000003</v>
      </c>
      <c r="LT95" s="721">
        <v>0.44</v>
      </c>
      <c r="LU95" s="721">
        <v>421.553</v>
      </c>
      <c r="LV95" s="721">
        <v>32.25</v>
      </c>
      <c r="LW95" s="721">
        <v>0.44</v>
      </c>
      <c r="LX95" s="721">
        <v>420.37599999999998</v>
      </c>
      <c r="LY95" s="721">
        <v>32.25</v>
      </c>
      <c r="LZ95" s="721">
        <v>0.44</v>
      </c>
      <c r="MA95" s="721">
        <v>419.15800000000002</v>
      </c>
      <c r="MB95" s="721">
        <v>29.75</v>
      </c>
      <c r="MC95" s="721">
        <v>0.41</v>
      </c>
      <c r="MD95" s="721">
        <v>417.96499999999997</v>
      </c>
      <c r="ME95" s="721">
        <v>32.5</v>
      </c>
      <c r="MF95" s="721">
        <v>0.41</v>
      </c>
      <c r="MG95" s="721">
        <v>418.26600000000002</v>
      </c>
      <c r="MH95" s="721">
        <v>29.25</v>
      </c>
      <c r="MI95" s="721">
        <v>0.41</v>
      </c>
      <c r="MJ95" s="721">
        <v>418.96300000000002</v>
      </c>
      <c r="MK95" s="721">
        <v>25.25</v>
      </c>
      <c r="ML95" s="721">
        <v>0.41</v>
      </c>
      <c r="MM95" s="721">
        <v>419.99400000000003</v>
      </c>
      <c r="MN95" s="721">
        <v>26.13</v>
      </c>
      <c r="MO95" s="721">
        <v>0.38</v>
      </c>
      <c r="MP95" s="721">
        <v>423.75900000000001</v>
      </c>
      <c r="MQ95" s="721">
        <v>25</v>
      </c>
    </row>
    <row r="96" spans="1:355">
      <c r="B96" s="723" t="s">
        <v>292</v>
      </c>
      <c r="C96" s="886"/>
      <c r="D96" s="886"/>
      <c r="E96" s="886"/>
      <c r="F96" s="788"/>
      <c r="G96" s="788"/>
      <c r="H96" s="788"/>
      <c r="I96" s="788"/>
      <c r="J96" s="788"/>
      <c r="K96" s="788"/>
      <c r="L96" s="828"/>
      <c r="M96" s="829"/>
      <c r="N96" s="828"/>
      <c r="O96" s="828"/>
      <c r="P96" s="828"/>
      <c r="Q96" s="828"/>
      <c r="R96" s="828"/>
      <c r="S96" s="828"/>
      <c r="T96" s="828"/>
      <c r="U96" s="788"/>
      <c r="V96" s="827"/>
      <c r="W96" s="788"/>
      <c r="X96" s="832"/>
      <c r="Y96" s="788"/>
      <c r="Z96" s="788"/>
      <c r="AA96" s="788"/>
      <c r="AB96" s="788"/>
      <c r="AC96" s="788"/>
      <c r="AJ96" s="788"/>
      <c r="AK96" s="788"/>
      <c r="AL96" s="788"/>
      <c r="AM96" s="828"/>
      <c r="AN96" s="828"/>
      <c r="AO96" s="828"/>
      <c r="AP96" s="788"/>
      <c r="AQ96" s="788"/>
      <c r="AR96" s="788"/>
      <c r="AV96" s="723"/>
      <c r="AW96" s="723"/>
      <c r="AX96" s="723"/>
      <c r="AY96" s="723"/>
      <c r="AZ96" s="723"/>
      <c r="BA96" s="723"/>
      <c r="BB96" s="723"/>
      <c r="BC96" s="723"/>
      <c r="BD96" s="723"/>
      <c r="BE96" s="723"/>
      <c r="BF96" s="723"/>
      <c r="BG96" s="723"/>
      <c r="BH96" s="723"/>
      <c r="BI96" s="723"/>
      <c r="BJ96" s="723"/>
      <c r="BK96" s="723"/>
      <c r="BL96" s="723"/>
      <c r="BM96" s="723"/>
      <c r="BN96" s="723"/>
      <c r="BO96" s="723"/>
      <c r="BP96" s="723"/>
      <c r="BQ96" s="723"/>
      <c r="BR96" s="723"/>
      <c r="BS96" s="723"/>
      <c r="BT96" s="723"/>
      <c r="BU96" s="723"/>
      <c r="BV96" s="723"/>
      <c r="BW96" s="728"/>
      <c r="BX96" s="728"/>
      <c r="BY96" s="728"/>
      <c r="BZ96" s="723"/>
      <c r="CA96" s="723"/>
      <c r="CB96" s="723"/>
      <c r="CC96" s="723"/>
      <c r="CD96" s="723"/>
      <c r="CE96" s="723"/>
      <c r="CF96" s="723"/>
      <c r="CG96" s="723"/>
      <c r="CH96" s="723"/>
      <c r="CI96" s="723"/>
      <c r="CJ96" s="723"/>
      <c r="CK96" s="723"/>
      <c r="CL96" s="723"/>
      <c r="CM96" s="723"/>
      <c r="CN96" s="723"/>
      <c r="CO96" s="723"/>
      <c r="CP96" s="723"/>
      <c r="CQ96" s="723"/>
      <c r="CR96" s="723"/>
      <c r="CS96" s="723"/>
      <c r="CT96" s="723"/>
      <c r="CU96" s="723"/>
      <c r="CV96" s="723"/>
      <c r="CW96" s="723"/>
      <c r="CX96" s="722"/>
      <c r="CY96" s="723"/>
      <c r="CZ96" s="723"/>
      <c r="DA96" s="723"/>
      <c r="DB96" s="723"/>
      <c r="DC96" s="735"/>
      <c r="DD96" s="723"/>
      <c r="DE96" s="723"/>
      <c r="DF96" s="723"/>
      <c r="DG96" s="723"/>
      <c r="DH96" s="723"/>
      <c r="DI96" s="723"/>
      <c r="DJ96" s="723"/>
      <c r="DK96" s="723"/>
      <c r="DL96" s="723"/>
      <c r="DM96" s="723"/>
      <c r="DN96" s="723"/>
      <c r="DO96" s="723"/>
      <c r="DP96" s="723"/>
      <c r="DQ96" s="723"/>
      <c r="DR96" s="723"/>
      <c r="DS96" s="723"/>
      <c r="DT96" s="725"/>
      <c r="DU96" s="723"/>
      <c r="DV96" s="723"/>
      <c r="DW96" s="723"/>
      <c r="DX96" s="723"/>
      <c r="DY96" s="723"/>
      <c r="DZ96" s="723"/>
      <c r="EA96" s="723"/>
      <c r="EB96" s="723"/>
      <c r="EC96" s="723"/>
      <c r="ED96" s="723"/>
      <c r="EE96" s="723"/>
      <c r="EF96" s="723"/>
      <c r="EG96" s="723"/>
      <c r="EH96" s="723"/>
      <c r="EI96" s="723"/>
      <c r="EJ96" s="723"/>
      <c r="EK96" s="723"/>
      <c r="EL96" s="723"/>
      <c r="EM96" s="723"/>
      <c r="EN96" s="723"/>
      <c r="EO96" s="723"/>
      <c r="EP96" s="723"/>
      <c r="EQ96" s="723"/>
      <c r="ER96" s="723"/>
      <c r="ES96" s="723"/>
      <c r="ET96" s="722"/>
      <c r="EU96" s="722"/>
      <c r="EV96" s="722"/>
      <c r="EW96" s="723"/>
      <c r="EX96" s="723"/>
      <c r="EY96" s="723"/>
      <c r="EZ96" s="723"/>
      <c r="FA96" s="723"/>
      <c r="FB96" s="723"/>
      <c r="FC96" s="723"/>
      <c r="FD96" s="741"/>
      <c r="FE96" s="723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742"/>
      <c r="FT96" s="626"/>
      <c r="FU96" s="727"/>
      <c r="FV96" s="727"/>
      <c r="FW96" s="727"/>
      <c r="FX96" s="727"/>
      <c r="FY96" s="727"/>
      <c r="FZ96" s="727"/>
      <c r="GA96" s="727"/>
      <c r="GB96" s="727"/>
      <c r="GC96" s="727"/>
      <c r="GD96" s="750"/>
      <c r="GE96" s="741"/>
      <c r="GF96" s="751"/>
      <c r="GG96" s="750"/>
      <c r="GH96" s="727"/>
      <c r="GI96" s="727"/>
      <c r="GJ96" s="727"/>
      <c r="GK96" s="727"/>
      <c r="GL96" s="727"/>
      <c r="GM96" s="727"/>
      <c r="GN96" s="727"/>
      <c r="GO96" s="727"/>
      <c r="GP96" s="727"/>
      <c r="GQ96" s="727"/>
      <c r="GR96" s="727"/>
      <c r="GS96" s="727"/>
      <c r="GT96" s="727"/>
      <c r="GU96" s="752"/>
      <c r="GV96" s="727"/>
      <c r="GW96" s="727"/>
      <c r="GX96" s="727"/>
      <c r="GY96" s="727"/>
      <c r="GZ96" s="727"/>
      <c r="HA96" s="727"/>
      <c r="HB96" s="727"/>
      <c r="HC96" s="727"/>
      <c r="HD96" s="727"/>
      <c r="HE96" s="727"/>
      <c r="HF96" s="727"/>
      <c r="HG96" s="727"/>
      <c r="HH96" s="727"/>
      <c r="HI96" s="727"/>
      <c r="HJ96" s="727"/>
      <c r="HK96" s="727"/>
      <c r="HL96" s="727"/>
      <c r="HM96" s="727"/>
      <c r="HN96" s="727"/>
      <c r="HO96" s="752"/>
      <c r="HP96" s="752"/>
      <c r="HQ96" s="727"/>
      <c r="HR96" s="727"/>
      <c r="HS96" s="727"/>
      <c r="HT96" s="727"/>
      <c r="HU96" s="727"/>
      <c r="HV96" s="727"/>
      <c r="HW96" s="727"/>
      <c r="HX96" s="727"/>
      <c r="HY96" s="727"/>
      <c r="HZ96" s="727"/>
      <c r="IA96" s="727"/>
      <c r="IB96" s="727"/>
      <c r="IC96" s="727"/>
      <c r="ID96" s="727"/>
      <c r="IE96" s="727"/>
      <c r="IF96" s="727"/>
      <c r="IG96" s="727"/>
      <c r="IH96" s="727"/>
      <c r="II96" s="727"/>
      <c r="IJ96" s="722"/>
      <c r="IK96" s="722"/>
      <c r="IL96" s="722"/>
      <c r="IM96" s="727"/>
      <c r="IN96" s="722"/>
      <c r="IO96" s="722">
        <v>297.3</v>
      </c>
      <c r="IP96" s="727">
        <v>20.125</v>
      </c>
      <c r="IQ96" s="722">
        <v>0.27</v>
      </c>
      <c r="IR96" s="721">
        <v>297.23</v>
      </c>
      <c r="IS96" s="721">
        <v>18.375</v>
      </c>
      <c r="IT96" s="721">
        <v>0.27</v>
      </c>
      <c r="IU96" s="721">
        <v>297.27</v>
      </c>
      <c r="IV96" s="721">
        <v>17.25</v>
      </c>
      <c r="IW96" s="721">
        <v>0.3</v>
      </c>
      <c r="IX96" s="721">
        <v>297.27</v>
      </c>
      <c r="IY96" s="721">
        <v>21.062999999999999</v>
      </c>
      <c r="IZ96" s="721">
        <v>0.27</v>
      </c>
      <c r="JA96" s="721">
        <v>297.06</v>
      </c>
      <c r="JB96" s="721">
        <v>19.25</v>
      </c>
      <c r="JC96" s="721">
        <v>0.27</v>
      </c>
      <c r="JD96" s="721">
        <v>297.06</v>
      </c>
      <c r="JE96" s="721">
        <v>22.625</v>
      </c>
      <c r="JF96" s="721">
        <v>0.27</v>
      </c>
      <c r="JG96" s="721">
        <v>296.35000000000002</v>
      </c>
      <c r="JH96" s="721">
        <v>24.625</v>
      </c>
      <c r="JI96" s="721">
        <v>0.27</v>
      </c>
      <c r="JJ96" s="721">
        <v>296.34699999999998</v>
      </c>
      <c r="JK96" s="721">
        <v>27.3125</v>
      </c>
      <c r="JL96" s="721">
        <v>0.27</v>
      </c>
      <c r="JM96" s="721">
        <v>295.39299999999997</v>
      </c>
      <c r="JN96" s="721">
        <v>22.375</v>
      </c>
      <c r="JO96" s="721">
        <v>0.27</v>
      </c>
      <c r="JP96" s="721">
        <v>295.39299999999997</v>
      </c>
      <c r="JQ96" s="721">
        <v>22</v>
      </c>
      <c r="JR96" s="721">
        <v>0.27</v>
      </c>
      <c r="JS96" s="721">
        <v>294.39600000000002</v>
      </c>
      <c r="JT96" s="721">
        <v>21.125</v>
      </c>
      <c r="JU96" s="721">
        <v>0.27</v>
      </c>
      <c r="JV96" s="721">
        <v>294.39600000000002</v>
      </c>
      <c r="JW96" s="721">
        <v>20.5</v>
      </c>
      <c r="JX96" s="721">
        <v>0.27</v>
      </c>
      <c r="JY96" s="721">
        <v>284.26</v>
      </c>
      <c r="JZ96" s="721">
        <v>20.655000000000001</v>
      </c>
      <c r="KA96" s="721">
        <v>0.27</v>
      </c>
      <c r="KB96" s="721">
        <v>284.26</v>
      </c>
      <c r="KC96" s="721">
        <v>22.25</v>
      </c>
      <c r="KD96" s="721">
        <v>0.27</v>
      </c>
      <c r="KE96" s="721">
        <v>284.26</v>
      </c>
      <c r="KF96" s="721">
        <v>20.75</v>
      </c>
      <c r="KG96" s="721">
        <v>0.27</v>
      </c>
      <c r="KH96" s="721">
        <v>284.26</v>
      </c>
      <c r="KI96" s="721">
        <v>21.125</v>
      </c>
      <c r="KJ96" s="721">
        <v>0.27</v>
      </c>
      <c r="KK96" s="721">
        <v>284.26</v>
      </c>
      <c r="KL96" s="721">
        <v>19</v>
      </c>
      <c r="KM96" s="721">
        <v>0.27</v>
      </c>
      <c r="KN96" s="721">
        <v>284.26</v>
      </c>
      <c r="KO96" s="721">
        <v>18.75</v>
      </c>
      <c r="KP96" s="721">
        <v>0.27</v>
      </c>
      <c r="KQ96" s="721">
        <v>284.26</v>
      </c>
      <c r="KR96" s="721">
        <v>19.375</v>
      </c>
      <c r="KS96" s="721">
        <v>0.27</v>
      </c>
      <c r="KT96" s="721">
        <v>279.55900000000003</v>
      </c>
      <c r="KU96" s="721">
        <v>18.5</v>
      </c>
      <c r="KV96" s="721">
        <v>0.27</v>
      </c>
      <c r="KW96" s="721">
        <v>279.55900000000003</v>
      </c>
      <c r="KX96" s="721">
        <v>16.875</v>
      </c>
      <c r="KY96" s="721">
        <v>0.27</v>
      </c>
      <c r="KZ96" s="721">
        <v>279.55900000000003</v>
      </c>
      <c r="LA96" s="721">
        <v>16.875</v>
      </c>
      <c r="LB96" s="721">
        <v>0.27</v>
      </c>
      <c r="LC96" s="721">
        <v>273.81799999999998</v>
      </c>
      <c r="LD96" s="721">
        <v>17.625</v>
      </c>
      <c r="LE96" s="721">
        <v>0.27</v>
      </c>
      <c r="LF96" s="721">
        <v>273.81799999999998</v>
      </c>
      <c r="LG96" s="721">
        <v>19.25</v>
      </c>
      <c r="LH96" s="721">
        <v>0.27</v>
      </c>
      <c r="LI96" s="721">
        <v>273.81799999999998</v>
      </c>
      <c r="LJ96" s="721">
        <v>19.625</v>
      </c>
      <c r="LK96" s="721">
        <v>0.27</v>
      </c>
      <c r="LL96" s="721">
        <v>272.54199999999997</v>
      </c>
      <c r="LM96" s="721">
        <v>19</v>
      </c>
      <c r="LN96" s="721">
        <v>0.27</v>
      </c>
      <c r="LO96" s="721">
        <v>271.15199999999999</v>
      </c>
      <c r="LP96" s="721">
        <v>18.125</v>
      </c>
      <c r="LQ96" s="721">
        <v>0.38500000000000001</v>
      </c>
      <c r="LR96" s="721">
        <v>265.38600000000002</v>
      </c>
      <c r="LS96" s="721">
        <v>19.75</v>
      </c>
      <c r="LT96" s="721">
        <v>0.39</v>
      </c>
      <c r="LU96" s="721">
        <v>265.38600000000002</v>
      </c>
      <c r="LV96" s="721">
        <v>23</v>
      </c>
      <c r="LW96" s="721">
        <v>0.39</v>
      </c>
      <c r="LX96" s="721">
        <v>263.93</v>
      </c>
      <c r="LY96" s="721">
        <v>22.25</v>
      </c>
      <c r="LZ96" s="721">
        <v>0.38</v>
      </c>
      <c r="MA96" s="721">
        <v>263.03500000000003</v>
      </c>
      <c r="MB96" s="721">
        <v>21.5</v>
      </c>
      <c r="MC96" s="721">
        <v>0.38</v>
      </c>
      <c r="MD96" s="721">
        <v>258.35000000000002</v>
      </c>
      <c r="ME96" s="721">
        <v>25.13</v>
      </c>
      <c r="MF96" s="721">
        <v>0.38</v>
      </c>
      <c r="MG96" s="721">
        <v>257.52999999999997</v>
      </c>
      <c r="MH96" s="721">
        <v>23.25</v>
      </c>
      <c r="MI96" s="721">
        <v>0.38</v>
      </c>
      <c r="MJ96" s="721">
        <v>256.41399999999999</v>
      </c>
      <c r="MK96" s="721">
        <v>21</v>
      </c>
      <c r="ML96" s="721">
        <v>0.36</v>
      </c>
      <c r="MM96" s="721">
        <v>253.88</v>
      </c>
      <c r="MN96" s="721">
        <v>22</v>
      </c>
      <c r="MO96" s="721">
        <v>0.36</v>
      </c>
      <c r="MP96" s="721">
        <v>244.46700000000001</v>
      </c>
      <c r="MQ96" s="721">
        <v>22.38</v>
      </c>
    </row>
    <row r="97" spans="1:355">
      <c r="A97" s="633" t="s">
        <v>10</v>
      </c>
      <c r="B97" s="731" t="s">
        <v>158</v>
      </c>
      <c r="C97" s="885">
        <v>973</v>
      </c>
      <c r="D97" s="885">
        <v>36.81</v>
      </c>
      <c r="E97" s="887">
        <v>0.38250000000000001</v>
      </c>
      <c r="F97" s="828">
        <v>973</v>
      </c>
      <c r="G97" s="828">
        <v>45.59</v>
      </c>
      <c r="H97" s="828">
        <v>0.36249999999999999</v>
      </c>
      <c r="I97" s="828">
        <v>972</v>
      </c>
      <c r="J97" s="828">
        <v>48.31</v>
      </c>
      <c r="K97" s="828">
        <v>0.36249999999999999</v>
      </c>
      <c r="L97" s="828">
        <v>971</v>
      </c>
      <c r="M97" s="829">
        <v>47.94</v>
      </c>
      <c r="N97" s="828">
        <v>0.36249999999999999</v>
      </c>
      <c r="O97" s="828">
        <v>967</v>
      </c>
      <c r="P97" s="828">
        <v>50.13</v>
      </c>
      <c r="Q97" s="839">
        <v>0.36249999999999999</v>
      </c>
      <c r="R97" s="828">
        <v>968</v>
      </c>
      <c r="S97" s="828">
        <v>45.1</v>
      </c>
      <c r="T97" s="828">
        <v>0.34499999999999997</v>
      </c>
      <c r="U97" s="828">
        <v>967</v>
      </c>
      <c r="V97" s="829">
        <v>43.66</v>
      </c>
      <c r="W97" s="828">
        <v>0.34499999999999997</v>
      </c>
      <c r="X97" s="832">
        <v>966</v>
      </c>
      <c r="Y97" s="788">
        <v>42.6</v>
      </c>
      <c r="Z97" s="788">
        <v>0.34499999999999997</v>
      </c>
      <c r="AA97" s="788">
        <v>964</v>
      </c>
      <c r="AB97" s="788">
        <v>39.01</v>
      </c>
      <c r="AC97" s="801">
        <v>0.34499999999999997</v>
      </c>
      <c r="AD97" s="788">
        <v>962</v>
      </c>
      <c r="AE97" s="788">
        <v>39.409999999999997</v>
      </c>
      <c r="AF97" s="788">
        <v>0.32750000000000001</v>
      </c>
      <c r="AG97" s="788">
        <v>934</v>
      </c>
      <c r="AH97" s="788">
        <v>37.67</v>
      </c>
      <c r="AI97" s="788">
        <v>0.32750000000000001</v>
      </c>
      <c r="AJ97" s="788">
        <v>928</v>
      </c>
      <c r="AK97" s="788">
        <v>36.07</v>
      </c>
      <c r="AL97" s="788">
        <v>0.32750000000000001</v>
      </c>
      <c r="AM97" s="828">
        <v>924</v>
      </c>
      <c r="AN97" s="828">
        <v>35.979999999999997</v>
      </c>
      <c r="AO97" s="830">
        <v>0.32750000000000001</v>
      </c>
      <c r="AP97" s="788">
        <v>925</v>
      </c>
      <c r="AQ97" s="788">
        <v>35.49</v>
      </c>
      <c r="AR97" s="788">
        <v>0.318</v>
      </c>
      <c r="AS97" s="729">
        <v>924</v>
      </c>
      <c r="AT97" s="729">
        <v>33.29</v>
      </c>
      <c r="AU97" s="729">
        <v>0.318</v>
      </c>
      <c r="AV97" s="729">
        <v>923</v>
      </c>
      <c r="AW97" s="729">
        <v>36.36</v>
      </c>
      <c r="AX97" s="729">
        <v>0.318</v>
      </c>
      <c r="AY97" s="729">
        <v>890</v>
      </c>
      <c r="AZ97" s="729">
        <v>35.86</v>
      </c>
      <c r="BA97" s="729">
        <v>0.31</v>
      </c>
      <c r="BB97" s="729">
        <v>913</v>
      </c>
      <c r="BC97" s="729">
        <v>27.77</v>
      </c>
      <c r="BD97" s="729">
        <v>0.31</v>
      </c>
      <c r="BE97" s="729">
        <v>863</v>
      </c>
      <c r="BF97" s="729">
        <v>29.7</v>
      </c>
      <c r="BG97" s="729">
        <v>0.31</v>
      </c>
      <c r="BH97" s="729">
        <v>862</v>
      </c>
      <c r="BI97" s="729">
        <v>31.42</v>
      </c>
      <c r="BJ97" s="729">
        <v>0.31</v>
      </c>
      <c r="BK97" s="731">
        <v>861</v>
      </c>
      <c r="BL97" s="731">
        <v>33.61</v>
      </c>
      <c r="BM97" s="731">
        <v>0.31</v>
      </c>
      <c r="BN97" s="729">
        <v>861</v>
      </c>
      <c r="BO97" s="729">
        <v>37.08</v>
      </c>
      <c r="BP97" s="729">
        <v>0.31</v>
      </c>
      <c r="BQ97" s="729">
        <v>860</v>
      </c>
      <c r="BR97" s="729">
        <v>34.090000000000003</v>
      </c>
      <c r="BS97" s="729">
        <v>0.31</v>
      </c>
      <c r="BT97" s="729">
        <v>858</v>
      </c>
      <c r="BU97" s="729">
        <v>36.479999999999997</v>
      </c>
      <c r="BV97" s="729">
        <v>0.31</v>
      </c>
      <c r="BW97" s="731">
        <v>856</v>
      </c>
      <c r="BX97" s="731">
        <v>33.56</v>
      </c>
      <c r="BY97" s="731">
        <v>0.31</v>
      </c>
      <c r="BZ97" s="729">
        <v>857</v>
      </c>
      <c r="CA97" s="729">
        <v>27.39</v>
      </c>
      <c r="CB97" s="729">
        <v>0.31</v>
      </c>
      <c r="CC97" s="729">
        <v>856</v>
      </c>
      <c r="CD97" s="729">
        <v>29.64</v>
      </c>
      <c r="CE97" s="729">
        <v>0.31</v>
      </c>
      <c r="CF97" s="729">
        <v>855</v>
      </c>
      <c r="CG97" s="729">
        <v>30.88</v>
      </c>
      <c r="CH97" s="771">
        <v>0.31</v>
      </c>
      <c r="CI97" s="731">
        <v>816</v>
      </c>
      <c r="CJ97" s="731">
        <v>34.479999999999997</v>
      </c>
      <c r="CK97" s="731">
        <v>0.52500000000000002</v>
      </c>
      <c r="CL97" s="729">
        <v>854</v>
      </c>
      <c r="CM97" s="729">
        <v>29.74</v>
      </c>
      <c r="CN97" s="729">
        <v>0.52500000000000002</v>
      </c>
      <c r="CO97" s="729">
        <v>853</v>
      </c>
      <c r="CP97" s="729">
        <v>35.58</v>
      </c>
      <c r="CQ97" s="729">
        <v>0.52500000000000002</v>
      </c>
      <c r="CR97" s="729">
        <v>705</v>
      </c>
      <c r="CS97" s="729">
        <v>37.625</v>
      </c>
      <c r="CT97" s="729">
        <v>0.52429999999999999</v>
      </c>
      <c r="CU97" s="731">
        <v>663</v>
      </c>
      <c r="CV97" s="731">
        <v>39.21</v>
      </c>
      <c r="CW97" s="731">
        <v>0.52500000000000002</v>
      </c>
      <c r="CX97" s="727">
        <v>663</v>
      </c>
      <c r="CY97" s="729">
        <v>43.37</v>
      </c>
      <c r="CZ97" s="729">
        <v>0.52500000000000002</v>
      </c>
      <c r="DA97" s="729">
        <v>663</v>
      </c>
      <c r="DB97" s="729">
        <v>42.61</v>
      </c>
      <c r="DC97" s="727">
        <v>0.52500000000000002</v>
      </c>
      <c r="DD97" s="729">
        <v>662</v>
      </c>
      <c r="DE97" s="729">
        <v>42.84</v>
      </c>
      <c r="DF97" s="729">
        <v>0.52500000000000002</v>
      </c>
      <c r="DG97" s="729">
        <v>662</v>
      </c>
      <c r="DH97" s="729">
        <v>41.24</v>
      </c>
      <c r="DI97" s="729">
        <v>0.52500000000000002</v>
      </c>
      <c r="DJ97" s="729">
        <v>662</v>
      </c>
      <c r="DK97" s="729">
        <v>41.65</v>
      </c>
      <c r="DL97" s="729">
        <v>0.52500000000000002</v>
      </c>
      <c r="DM97" s="729">
        <v>661</v>
      </c>
      <c r="DN97" s="729">
        <v>42.58</v>
      </c>
      <c r="DO97" s="729">
        <v>0.52500000000000002</v>
      </c>
      <c r="DP97" s="729">
        <v>661</v>
      </c>
      <c r="DQ97" s="729">
        <v>37.97</v>
      </c>
      <c r="DR97" s="729">
        <v>0.52500000000000002</v>
      </c>
      <c r="DS97" s="729">
        <v>660</v>
      </c>
      <c r="DT97" s="755">
        <v>43.81</v>
      </c>
      <c r="DU97" s="729">
        <v>0.52500000000000002</v>
      </c>
      <c r="DV97" s="729">
        <v>660</v>
      </c>
      <c r="DW97" s="729">
        <v>48.87</v>
      </c>
      <c r="DX97" s="729">
        <v>0.52500000000000002</v>
      </c>
      <c r="DY97" s="729">
        <v>659</v>
      </c>
      <c r="DZ97" s="729">
        <v>49.62</v>
      </c>
      <c r="EA97" s="729">
        <v>0.52500000000000002</v>
      </c>
      <c r="EB97" s="729">
        <v>659</v>
      </c>
      <c r="EC97" s="729">
        <v>51.21</v>
      </c>
      <c r="ED97" s="729">
        <v>0.52500000000000002</v>
      </c>
      <c r="EE97" s="729">
        <v>658</v>
      </c>
      <c r="EF97" s="729">
        <v>45.39</v>
      </c>
      <c r="EG97" s="729">
        <v>0.52500000000000002</v>
      </c>
      <c r="EH97" s="729">
        <v>658</v>
      </c>
      <c r="EI97" s="729">
        <v>55.61</v>
      </c>
      <c r="EJ97" s="729">
        <v>0.52500000000000002</v>
      </c>
      <c r="EK97" s="729">
        <v>657</v>
      </c>
      <c r="EL97" s="729">
        <v>62.62</v>
      </c>
      <c r="EM97" s="729">
        <v>0.5</v>
      </c>
      <c r="EN97" s="729">
        <v>659</v>
      </c>
      <c r="EO97" s="729">
        <v>89.96</v>
      </c>
      <c r="EP97" s="729">
        <v>0.5</v>
      </c>
      <c r="EQ97" s="729">
        <v>670</v>
      </c>
      <c r="ER97" s="729">
        <v>81.27</v>
      </c>
      <c r="ES97" s="729">
        <v>0.5</v>
      </c>
      <c r="ET97" s="727">
        <v>673</v>
      </c>
      <c r="EU97" s="727">
        <v>81.64</v>
      </c>
      <c r="EV97" s="727">
        <v>0.5</v>
      </c>
      <c r="EW97" s="729">
        <v>675</v>
      </c>
      <c r="EX97" s="729">
        <v>75.36</v>
      </c>
      <c r="EY97" s="729">
        <v>0.44</v>
      </c>
      <c r="EZ97" s="729">
        <v>672</v>
      </c>
      <c r="FA97" s="729">
        <v>72.599999999999994</v>
      </c>
      <c r="FB97" s="729">
        <v>0.44</v>
      </c>
      <c r="FC97" s="723">
        <v>670</v>
      </c>
      <c r="FD97" s="741">
        <v>68.709999999999994</v>
      </c>
      <c r="FE97" s="723">
        <v>0.44</v>
      </c>
      <c r="FF97" s="727">
        <v>671</v>
      </c>
      <c r="FG97" s="727">
        <v>61.89</v>
      </c>
      <c r="FH97" s="749">
        <v>0.44</v>
      </c>
      <c r="FI97" s="727">
        <v>670</v>
      </c>
      <c r="FJ97" s="727">
        <v>60.54</v>
      </c>
      <c r="FK97" s="727">
        <v>0.4</v>
      </c>
      <c r="FL97" s="727">
        <v>669</v>
      </c>
      <c r="FM97" s="727">
        <v>56.83</v>
      </c>
      <c r="FN97" s="727">
        <v>0.4</v>
      </c>
      <c r="FO97" s="727">
        <v>668</v>
      </c>
      <c r="FP97" s="727">
        <v>52.9</v>
      </c>
      <c r="FQ97" s="727">
        <v>0.4</v>
      </c>
      <c r="FR97" s="727">
        <v>670</v>
      </c>
      <c r="FS97" s="742">
        <v>53.14</v>
      </c>
      <c r="FT97" s="626">
        <f>1.6/4</f>
        <v>0.4</v>
      </c>
      <c r="FU97" s="727">
        <v>670</v>
      </c>
      <c r="FV97" s="727">
        <v>53.44</v>
      </c>
      <c r="FW97" s="727">
        <v>0.4</v>
      </c>
      <c r="FX97" s="727">
        <v>666</v>
      </c>
      <c r="FY97" s="727">
        <v>51.33</v>
      </c>
      <c r="FZ97" s="727">
        <v>0.4</v>
      </c>
      <c r="GA97" s="727">
        <v>661</v>
      </c>
      <c r="GB97" s="727">
        <v>45.89</v>
      </c>
      <c r="GC97" s="727">
        <v>0.4</v>
      </c>
      <c r="GD97" s="750">
        <v>661</v>
      </c>
      <c r="GE97" s="741">
        <v>44.07</v>
      </c>
      <c r="GF97" s="751">
        <v>0.4</v>
      </c>
      <c r="GG97" s="750">
        <v>661</v>
      </c>
      <c r="GH97" s="727">
        <v>36.69</v>
      </c>
      <c r="GI97" s="727">
        <v>0.30499999999999999</v>
      </c>
      <c r="GJ97" s="727">
        <v>660</v>
      </c>
      <c r="GK97" s="727">
        <v>33.29</v>
      </c>
      <c r="GL97" s="727">
        <v>0.27500000000000002</v>
      </c>
      <c r="GM97" s="727">
        <v>656</v>
      </c>
      <c r="GN97" s="727">
        <v>34.435000000000002</v>
      </c>
      <c r="GO97" s="727">
        <v>0.27500000000000002</v>
      </c>
      <c r="GP97" s="727">
        <v>652</v>
      </c>
      <c r="GQ97" s="727">
        <v>33.18</v>
      </c>
      <c r="GR97" s="727">
        <v>0.25</v>
      </c>
      <c r="GS97" s="727">
        <v>650</v>
      </c>
      <c r="GT97" s="727">
        <v>31.75</v>
      </c>
      <c r="GU97" s="727">
        <v>0.25</v>
      </c>
      <c r="GV97" s="727">
        <v>648</v>
      </c>
      <c r="GW97" s="727">
        <v>29.905000000000001</v>
      </c>
      <c r="GX97" s="727">
        <v>0.23</v>
      </c>
      <c r="GY97" s="727">
        <v>646</v>
      </c>
      <c r="GZ97" s="727">
        <v>25.204999999999998</v>
      </c>
      <c r="HA97" s="727">
        <v>0.23</v>
      </c>
      <c r="HB97" s="727">
        <v>646</v>
      </c>
      <c r="HC97" s="727">
        <v>26.385000000000002</v>
      </c>
      <c r="HD97" s="727">
        <v>0.22</v>
      </c>
      <c r="HE97" s="727">
        <v>644</v>
      </c>
      <c r="HF97" s="727">
        <v>23.75</v>
      </c>
      <c r="HG97" s="727">
        <v>0.22</v>
      </c>
      <c r="HH97" s="727">
        <v>642</v>
      </c>
      <c r="HI97" s="727">
        <v>26.15</v>
      </c>
      <c r="HJ97" s="727">
        <v>0.22</v>
      </c>
      <c r="HK97" s="727">
        <v>642</v>
      </c>
      <c r="HL97" s="727">
        <v>26.484999999999999</v>
      </c>
      <c r="HM97" s="727">
        <v>0.22</v>
      </c>
      <c r="HN97" s="727">
        <v>642</v>
      </c>
      <c r="HO97" s="727">
        <v>23.94</v>
      </c>
      <c r="HP97" s="727">
        <v>0.21124999999999999</v>
      </c>
      <c r="HQ97" s="727">
        <v>642</v>
      </c>
      <c r="HR97" s="727">
        <v>22.3</v>
      </c>
      <c r="HS97" s="727">
        <v>0.21124999999999999</v>
      </c>
      <c r="HT97" s="727">
        <v>640</v>
      </c>
      <c r="HU97" s="727">
        <v>32.06</v>
      </c>
      <c r="HV97" s="727">
        <v>0.21124999999999999</v>
      </c>
      <c r="HW97" s="727">
        <v>638.13</v>
      </c>
      <c r="HX97" s="727">
        <v>32.799999999999997</v>
      </c>
      <c r="HY97" s="727">
        <v>0.15125</v>
      </c>
      <c r="HZ97" s="726">
        <v>340</v>
      </c>
      <c r="IA97" s="726">
        <v>35.104999999999997</v>
      </c>
      <c r="IB97" s="726">
        <v>0.21124999999999999</v>
      </c>
      <c r="IC97" s="727">
        <v>348</v>
      </c>
      <c r="ID97" s="727">
        <v>30.28125</v>
      </c>
      <c r="IE97" s="727">
        <v>0.125</v>
      </c>
      <c r="IF97" s="727">
        <v>362</v>
      </c>
      <c r="IG97" s="727">
        <v>20.15625</v>
      </c>
      <c r="IH97" s="727">
        <v>0.125</v>
      </c>
      <c r="II97" s="727">
        <v>371.6</v>
      </c>
      <c r="IJ97" s="722">
        <v>18.4375</v>
      </c>
      <c r="IK97" s="722">
        <v>0.125</v>
      </c>
      <c r="IL97" s="722">
        <v>373.2</v>
      </c>
      <c r="IM97" s="727">
        <v>17.375</v>
      </c>
      <c r="IN97" s="722">
        <v>0.125</v>
      </c>
      <c r="IO97" s="722">
        <v>384</v>
      </c>
      <c r="IP97" s="727">
        <v>18.75</v>
      </c>
      <c r="IQ97" s="722">
        <v>0.125</v>
      </c>
      <c r="IR97" s="721">
        <v>446.44</v>
      </c>
      <c r="IS97" s="721">
        <v>41.875</v>
      </c>
      <c r="IT97" s="721">
        <v>0.125</v>
      </c>
      <c r="IU97" s="721">
        <v>223.1</v>
      </c>
      <c r="IV97" s="721">
        <v>46.25</v>
      </c>
      <c r="IW97" s="721">
        <v>0.125</v>
      </c>
      <c r="IX97" s="721">
        <v>223.1</v>
      </c>
      <c r="IY97" s="721">
        <v>41.75</v>
      </c>
      <c r="IZ97" s="721">
        <v>0.125</v>
      </c>
      <c r="JA97" s="721">
        <v>222.5</v>
      </c>
      <c r="JB97" s="721">
        <v>36.75</v>
      </c>
      <c r="JC97" s="721">
        <v>0.125</v>
      </c>
      <c r="JD97" s="721">
        <v>222.5</v>
      </c>
      <c r="JE97" s="721">
        <v>29.187999999999999</v>
      </c>
      <c r="JF97" s="721">
        <v>0.125</v>
      </c>
      <c r="JG97" s="721">
        <v>222.5</v>
      </c>
      <c r="JH97" s="721">
        <v>22.125</v>
      </c>
      <c r="JI97" s="721">
        <v>0.45</v>
      </c>
      <c r="JJ97" s="721">
        <v>222.5</v>
      </c>
      <c r="JK97" s="721">
        <v>24.25</v>
      </c>
      <c r="JL97" s="721">
        <v>0.45</v>
      </c>
      <c r="JM97" s="721">
        <v>222.5</v>
      </c>
      <c r="JN97" s="721">
        <v>23.4375</v>
      </c>
      <c r="JO97" s="721">
        <v>0.45</v>
      </c>
      <c r="JP97" s="721">
        <v>222.5</v>
      </c>
      <c r="JQ97" s="721">
        <v>21</v>
      </c>
      <c r="JR97" s="721">
        <v>0.45</v>
      </c>
      <c r="JS97" s="721">
        <v>221.5</v>
      </c>
      <c r="JT97" s="721">
        <v>20.375</v>
      </c>
      <c r="JU97" s="721">
        <v>0.45</v>
      </c>
      <c r="JV97" s="721">
        <v>221.5</v>
      </c>
      <c r="JW97" s="721">
        <v>25.25</v>
      </c>
      <c r="JX97" s="721">
        <v>0.435</v>
      </c>
      <c r="JY97" s="721">
        <v>221.5</v>
      </c>
      <c r="JZ97" s="721">
        <v>23.75</v>
      </c>
      <c r="KA97" s="721">
        <v>0.435</v>
      </c>
      <c r="KB97" s="721">
        <v>221.5</v>
      </c>
      <c r="KC97" s="721">
        <v>26</v>
      </c>
      <c r="KD97" s="721">
        <v>0.435</v>
      </c>
      <c r="KE97" s="721">
        <v>221.5</v>
      </c>
      <c r="KF97" s="721">
        <v>26.625</v>
      </c>
      <c r="KG97" s="721">
        <v>0.435</v>
      </c>
      <c r="KH97" s="721">
        <v>221.5</v>
      </c>
      <c r="KI97" s="721">
        <v>30.125</v>
      </c>
      <c r="KJ97" s="721">
        <v>0.435</v>
      </c>
      <c r="KK97" s="721">
        <v>221.5</v>
      </c>
      <c r="KL97" s="721">
        <v>28.625</v>
      </c>
      <c r="KM97" s="721">
        <v>0.40500000000000003</v>
      </c>
      <c r="KN97" s="721">
        <v>221.5</v>
      </c>
      <c r="KO97" s="721">
        <v>27.625</v>
      </c>
      <c r="KP97" s="721">
        <v>0.40500000000000003</v>
      </c>
      <c r="KQ97" s="721">
        <v>221.5</v>
      </c>
      <c r="KR97" s="721">
        <v>25.125</v>
      </c>
      <c r="KS97" s="721">
        <v>0.40500000000000003</v>
      </c>
      <c r="KT97" s="721">
        <v>221.5</v>
      </c>
      <c r="KU97" s="721">
        <v>24.5</v>
      </c>
      <c r="KV97" s="721">
        <v>0.40500000000000003</v>
      </c>
      <c r="KW97" s="721">
        <v>221.5</v>
      </c>
      <c r="KX97" s="721">
        <v>25.375</v>
      </c>
      <c r="KY97" s="721">
        <v>0.38</v>
      </c>
      <c r="KZ97" s="721">
        <v>221.5</v>
      </c>
      <c r="LA97" s="721">
        <v>26.25</v>
      </c>
      <c r="LB97" s="721">
        <v>0.38</v>
      </c>
      <c r="LC97" s="721">
        <v>221.31800000000001</v>
      </c>
      <c r="LD97" s="721">
        <v>27.75</v>
      </c>
      <c r="LE97" s="721">
        <v>0.38</v>
      </c>
      <c r="LF97" s="721">
        <v>221.31800000000001</v>
      </c>
      <c r="LG97" s="721">
        <v>30.125</v>
      </c>
      <c r="LH97" s="721">
        <v>0.38</v>
      </c>
      <c r="LI97" s="721">
        <v>221.31800000000001</v>
      </c>
      <c r="LJ97" s="721">
        <v>32.75</v>
      </c>
      <c r="LK97" s="721">
        <v>0.35</v>
      </c>
      <c r="LL97" s="721">
        <v>220.85599999999999</v>
      </c>
      <c r="LM97" s="721">
        <v>30.625</v>
      </c>
      <c r="LN97" s="721">
        <v>0.35</v>
      </c>
      <c r="LO97" s="721">
        <v>220.60900000000001</v>
      </c>
      <c r="LP97" s="721">
        <v>30</v>
      </c>
      <c r="LQ97" s="721">
        <v>0.35</v>
      </c>
      <c r="LR97" s="721">
        <v>220.18899999999999</v>
      </c>
      <c r="LS97" s="721">
        <v>26.13</v>
      </c>
      <c r="LT97" s="721">
        <v>0.33</v>
      </c>
      <c r="LU97" s="721">
        <v>220.18899999999999</v>
      </c>
      <c r="LV97" s="721">
        <v>26.38</v>
      </c>
      <c r="LW97" s="721">
        <v>0.33</v>
      </c>
      <c r="LX97" s="721">
        <v>220.119</v>
      </c>
      <c r="LY97" s="721">
        <v>26.38</v>
      </c>
      <c r="LZ97" s="721">
        <v>0.33</v>
      </c>
      <c r="MA97" s="721">
        <v>220.06800000000001</v>
      </c>
      <c r="MB97" s="721">
        <v>24.63</v>
      </c>
      <c r="MC97" s="721">
        <v>0.33</v>
      </c>
      <c r="MD97" s="721">
        <v>218.23400000000001</v>
      </c>
      <c r="ME97" s="721">
        <v>25.88</v>
      </c>
      <c r="MF97" s="721">
        <v>0.33</v>
      </c>
      <c r="MG97" s="721">
        <v>217.81800000000001</v>
      </c>
      <c r="MH97" s="721">
        <v>22.63</v>
      </c>
      <c r="MI97" s="721">
        <v>0.3</v>
      </c>
      <c r="MJ97" s="721">
        <v>217.41499999999999</v>
      </c>
      <c r="MK97" s="721">
        <v>20.13</v>
      </c>
      <c r="ML97" s="721">
        <v>0.3</v>
      </c>
      <c r="MM97" s="721">
        <v>217.01400000000001</v>
      </c>
      <c r="MN97" s="721">
        <v>19.75</v>
      </c>
      <c r="MO97" s="721">
        <v>0.3</v>
      </c>
      <c r="MP97" s="721">
        <v>214.35599999999999</v>
      </c>
      <c r="MQ97" s="721">
        <v>18</v>
      </c>
    </row>
    <row r="98" spans="1:355">
      <c r="B98" s="729" t="s">
        <v>293</v>
      </c>
      <c r="C98" s="886"/>
      <c r="D98" s="886"/>
      <c r="E98" s="886"/>
      <c r="F98" s="788"/>
      <c r="G98" s="788"/>
      <c r="H98" s="788"/>
      <c r="I98" s="788"/>
      <c r="J98" s="788"/>
      <c r="K98" s="788"/>
      <c r="L98" s="828"/>
      <c r="M98" s="829"/>
      <c r="N98" s="828"/>
      <c r="O98" s="828"/>
      <c r="P98" s="828"/>
      <c r="Q98" s="828"/>
      <c r="R98" s="828"/>
      <c r="S98" s="828"/>
      <c r="T98" s="828"/>
      <c r="U98" s="788"/>
      <c r="V98" s="827"/>
      <c r="W98" s="788"/>
      <c r="X98" s="832"/>
      <c r="Y98" s="788"/>
      <c r="Z98" s="788"/>
      <c r="AA98" s="788"/>
      <c r="AB98" s="788"/>
      <c r="AC98" s="788"/>
      <c r="AJ98" s="788"/>
      <c r="AK98" s="788"/>
      <c r="AL98" s="788"/>
      <c r="AM98" s="828"/>
      <c r="AN98" s="828"/>
      <c r="AO98" s="828"/>
      <c r="AP98" s="788"/>
      <c r="AQ98" s="788"/>
      <c r="AR98" s="788"/>
      <c r="AS98" s="729"/>
      <c r="AT98" s="729"/>
      <c r="AU98" s="729"/>
      <c r="AV98" s="729"/>
      <c r="AW98" s="729"/>
      <c r="AX98" s="729"/>
      <c r="AY98" s="729"/>
      <c r="AZ98" s="729"/>
      <c r="BA98" s="729"/>
      <c r="BB98" s="729"/>
      <c r="BC98" s="729"/>
      <c r="BD98" s="729"/>
      <c r="BE98" s="729"/>
      <c r="BF98" s="729"/>
      <c r="BG98" s="729"/>
      <c r="BH98" s="729"/>
      <c r="BI98" s="729"/>
      <c r="BJ98" s="729"/>
      <c r="BK98" s="729"/>
      <c r="BL98" s="729"/>
      <c r="BM98" s="729"/>
      <c r="BN98" s="729"/>
      <c r="BO98" s="729"/>
      <c r="BP98" s="729"/>
      <c r="BQ98" s="729"/>
      <c r="BR98" s="729"/>
      <c r="BS98" s="729"/>
      <c r="BT98" s="729"/>
      <c r="BU98" s="729"/>
      <c r="BV98" s="729"/>
      <c r="BW98" s="731"/>
      <c r="BX98" s="731"/>
      <c r="BY98" s="731"/>
      <c r="BZ98" s="729"/>
      <c r="CA98" s="729"/>
      <c r="CB98" s="729"/>
      <c r="CC98" s="729"/>
      <c r="CD98" s="729"/>
      <c r="CE98" s="729"/>
      <c r="CF98" s="729"/>
      <c r="CG98" s="729"/>
      <c r="CH98" s="729"/>
      <c r="CI98" s="729"/>
      <c r="CJ98" s="729"/>
      <c r="CK98" s="729"/>
      <c r="CL98" s="729"/>
      <c r="CM98" s="729"/>
      <c r="CN98" s="729"/>
      <c r="CO98" s="729"/>
      <c r="CP98" s="729"/>
      <c r="CQ98" s="729"/>
      <c r="CR98" s="729"/>
      <c r="CS98" s="729"/>
      <c r="CT98" s="729"/>
      <c r="CU98" s="729"/>
      <c r="CV98" s="729"/>
      <c r="CW98" s="729"/>
      <c r="CX98" s="727"/>
      <c r="CY98" s="729"/>
      <c r="CZ98" s="729"/>
      <c r="DA98" s="729"/>
      <c r="DB98" s="729"/>
      <c r="DC98" s="752"/>
      <c r="DD98" s="729"/>
      <c r="DE98" s="729"/>
      <c r="DF98" s="72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55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7"/>
      <c r="EU98" s="727"/>
      <c r="EV98" s="727"/>
      <c r="EW98" s="729"/>
      <c r="EX98" s="729"/>
      <c r="EY98" s="729"/>
      <c r="EZ98" s="729"/>
      <c r="FA98" s="729"/>
      <c r="FB98" s="729"/>
      <c r="FC98" s="723"/>
      <c r="FD98" s="741"/>
      <c r="FE98" s="723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742"/>
      <c r="FT98" s="626"/>
      <c r="FU98" s="727"/>
      <c r="FV98" s="727"/>
      <c r="FW98" s="727"/>
      <c r="FX98" s="727"/>
      <c r="FY98" s="727"/>
      <c r="FZ98" s="727"/>
      <c r="GA98" s="727"/>
      <c r="GB98" s="727"/>
      <c r="GC98" s="727"/>
      <c r="GD98" s="750"/>
      <c r="GE98" s="741"/>
      <c r="GF98" s="751"/>
      <c r="GG98" s="750"/>
      <c r="GH98" s="727"/>
      <c r="GI98" s="727"/>
      <c r="GJ98" s="727"/>
      <c r="GK98" s="727"/>
      <c r="GL98" s="727"/>
      <c r="GM98" s="727"/>
      <c r="GN98" s="727"/>
      <c r="GO98" s="727"/>
      <c r="GP98" s="727"/>
      <c r="GQ98" s="727"/>
      <c r="GR98" s="727"/>
      <c r="GS98" s="727"/>
      <c r="GT98" s="727"/>
      <c r="GU98" s="752"/>
      <c r="GV98" s="727"/>
      <c r="GW98" s="727"/>
      <c r="GX98" s="727"/>
      <c r="GY98" s="727"/>
      <c r="GZ98" s="727"/>
      <c r="HA98" s="727"/>
      <c r="HB98" s="727"/>
      <c r="HC98" s="727"/>
      <c r="HD98" s="727"/>
      <c r="HE98" s="727"/>
      <c r="HF98" s="727"/>
      <c r="HG98" s="727"/>
      <c r="HH98" s="727"/>
      <c r="HI98" s="727"/>
      <c r="HJ98" s="727"/>
      <c r="HK98" s="727"/>
      <c r="HL98" s="727"/>
      <c r="HM98" s="727"/>
      <c r="HN98" s="727"/>
      <c r="HO98" s="752"/>
      <c r="HP98" s="752"/>
      <c r="HQ98" s="727"/>
      <c r="HR98" s="727"/>
      <c r="HS98" s="727"/>
      <c r="HT98" s="727"/>
      <c r="HU98" s="727"/>
      <c r="HV98" s="727"/>
      <c r="HW98" s="727"/>
      <c r="HX98" s="727"/>
      <c r="HY98" s="727"/>
      <c r="HZ98" s="727"/>
      <c r="IA98" s="727"/>
      <c r="IB98" s="727"/>
      <c r="IC98" s="727"/>
      <c r="ID98" s="727"/>
      <c r="IE98" s="727"/>
      <c r="IF98" s="727">
        <v>116.1</v>
      </c>
      <c r="IG98" s="727">
        <v>30</v>
      </c>
      <c r="IH98" s="727">
        <v>0.57999999999999996</v>
      </c>
      <c r="II98" s="727">
        <v>115.8</v>
      </c>
      <c r="IJ98" s="722">
        <v>30.0625</v>
      </c>
      <c r="IK98" s="722">
        <v>0.57999999999999996</v>
      </c>
      <c r="IL98" s="722">
        <v>115.3</v>
      </c>
      <c r="IM98" s="727">
        <v>30.375</v>
      </c>
      <c r="IN98" s="722">
        <v>0.57999999999999996</v>
      </c>
      <c r="IO98" s="722">
        <v>114.881</v>
      </c>
      <c r="IP98" s="727">
        <v>33.4375</v>
      </c>
      <c r="IQ98" s="722">
        <v>0.57999999999999996</v>
      </c>
      <c r="IR98" s="721">
        <v>111.86</v>
      </c>
      <c r="IS98" s="721">
        <v>38.8125</v>
      </c>
      <c r="IT98" s="721">
        <v>0.57999999999999996</v>
      </c>
      <c r="IU98" s="721">
        <v>111.61</v>
      </c>
      <c r="IV98" s="721">
        <v>34.0625</v>
      </c>
      <c r="IW98" s="721">
        <v>0.57999999999999996</v>
      </c>
      <c r="IX98" s="721">
        <v>111.61</v>
      </c>
      <c r="IY98" s="721">
        <v>48.75</v>
      </c>
      <c r="IZ98" s="721">
        <v>0.57999999999999996</v>
      </c>
      <c r="JA98" s="721">
        <v>110.97</v>
      </c>
      <c r="JB98" s="721">
        <v>48.688000000000002</v>
      </c>
      <c r="JC98" s="721">
        <v>0.57999999999999996</v>
      </c>
      <c r="JD98" s="721">
        <v>110.97</v>
      </c>
      <c r="JE98" s="721">
        <v>45.438000000000002</v>
      </c>
      <c r="JF98" s="721">
        <v>0.57999999999999996</v>
      </c>
      <c r="JG98" s="721">
        <v>104.25</v>
      </c>
      <c r="JH98" s="721">
        <v>50.375</v>
      </c>
      <c r="JI98" s="721">
        <v>0.57999999999999996</v>
      </c>
      <c r="JJ98" s="721">
        <v>104.247</v>
      </c>
      <c r="JK98" s="721">
        <v>47.9375</v>
      </c>
      <c r="JL98" s="721">
        <v>0.57999999999999996</v>
      </c>
      <c r="JM98" s="721">
        <v>109</v>
      </c>
      <c r="JN98" s="721">
        <v>41.5625</v>
      </c>
      <c r="JO98" s="721">
        <v>0.57999999999999996</v>
      </c>
      <c r="JP98" s="721">
        <v>65.122</v>
      </c>
      <c r="JQ98" s="721">
        <v>41.563000000000002</v>
      </c>
      <c r="JR98" s="721">
        <v>0.52500000000000002</v>
      </c>
      <c r="JS98" s="721">
        <v>62.512999999999998</v>
      </c>
      <c r="JT98" s="721">
        <v>38.75</v>
      </c>
      <c r="JU98" s="721">
        <v>0.52500000000000002</v>
      </c>
      <c r="JV98" s="721">
        <v>62.512999999999998</v>
      </c>
      <c r="JW98" s="721">
        <v>38.875</v>
      </c>
      <c r="JX98" s="721">
        <v>0.52500000000000002</v>
      </c>
      <c r="JY98" s="721">
        <v>62.512999999999998</v>
      </c>
      <c r="JZ98" s="721">
        <v>35.5</v>
      </c>
      <c r="KA98" s="721">
        <v>0.52500000000000002</v>
      </c>
      <c r="KB98" s="721">
        <v>62.512999999999998</v>
      </c>
      <c r="KC98" s="721">
        <v>36.75</v>
      </c>
      <c r="KD98" s="721">
        <v>0.52500000000000002</v>
      </c>
      <c r="KE98" s="721">
        <v>62.512999999999998</v>
      </c>
      <c r="KF98" s="721">
        <v>35.125</v>
      </c>
      <c r="KG98" s="721">
        <v>0.51</v>
      </c>
      <c r="KH98" s="721">
        <v>62.512999999999998</v>
      </c>
      <c r="KI98" s="721">
        <v>35.375</v>
      </c>
      <c r="KJ98" s="721">
        <v>0.51</v>
      </c>
      <c r="KK98" s="721">
        <v>62.512999999999998</v>
      </c>
      <c r="KL98" s="721">
        <v>34.25</v>
      </c>
      <c r="KM98" s="721">
        <v>0.51</v>
      </c>
      <c r="KN98" s="721">
        <v>62.512999999999998</v>
      </c>
      <c r="KO98" s="721">
        <v>32.5</v>
      </c>
      <c r="KP98" s="721">
        <v>0.51</v>
      </c>
      <c r="KQ98" s="721">
        <v>62.512999999999998</v>
      </c>
      <c r="KR98" s="721">
        <v>30.75</v>
      </c>
      <c r="KS98" s="721">
        <v>0.51</v>
      </c>
      <c r="KT98" s="721">
        <v>61.171999999999997</v>
      </c>
      <c r="KU98" s="721">
        <v>29.375</v>
      </c>
      <c r="KV98" s="721">
        <v>0.5</v>
      </c>
      <c r="KW98" s="721">
        <v>61.171999999999997</v>
      </c>
      <c r="KX98" s="721">
        <v>27</v>
      </c>
      <c r="KY98" s="721">
        <v>0.5</v>
      </c>
      <c r="KZ98" s="721">
        <v>61.171999999999997</v>
      </c>
      <c r="LA98" s="721">
        <v>26.125</v>
      </c>
      <c r="LB98" s="721">
        <v>0.5</v>
      </c>
      <c r="LC98" s="721">
        <v>59.924999999999997</v>
      </c>
      <c r="LD98" s="721">
        <v>29.125</v>
      </c>
      <c r="LE98" s="721">
        <v>0.5</v>
      </c>
      <c r="LF98" s="721">
        <v>59.924999999999997</v>
      </c>
      <c r="LG98" s="721">
        <v>32.125</v>
      </c>
      <c r="LH98" s="721">
        <v>0.5</v>
      </c>
      <c r="LI98" s="721">
        <v>59.924999999999997</v>
      </c>
      <c r="LJ98" s="721">
        <v>31.75</v>
      </c>
      <c r="LK98" s="721">
        <v>0.5</v>
      </c>
      <c r="LL98" s="721">
        <v>59.534999999999997</v>
      </c>
      <c r="LM98" s="721">
        <v>32.875</v>
      </c>
      <c r="LN98" s="721">
        <v>0.5</v>
      </c>
      <c r="LO98" s="721">
        <v>58.997</v>
      </c>
      <c r="LP98" s="721">
        <v>30.25</v>
      </c>
      <c r="LQ98" s="721">
        <v>0.5</v>
      </c>
      <c r="LR98" s="721">
        <v>57.308</v>
      </c>
      <c r="LS98" s="721">
        <v>28.63</v>
      </c>
      <c r="LT98" s="721">
        <v>0.5</v>
      </c>
      <c r="LU98" s="721">
        <v>57.308</v>
      </c>
      <c r="LV98" s="721">
        <v>29.13</v>
      </c>
      <c r="LW98" s="721">
        <v>0.5</v>
      </c>
      <c r="LX98" s="721">
        <v>57.040999999999997</v>
      </c>
      <c r="LY98" s="721">
        <v>26.88</v>
      </c>
      <c r="LZ98" s="721">
        <v>0.5</v>
      </c>
      <c r="MA98" s="721">
        <v>56.701000000000001</v>
      </c>
      <c r="MB98" s="721">
        <v>26.25</v>
      </c>
      <c r="MC98" s="721">
        <v>0.5</v>
      </c>
      <c r="MD98" s="721">
        <v>55.470999999999997</v>
      </c>
      <c r="ME98" s="721">
        <v>27</v>
      </c>
      <c r="MF98" s="721">
        <v>0.5</v>
      </c>
      <c r="MG98" s="721">
        <v>55.244999999999997</v>
      </c>
      <c r="MH98" s="721">
        <v>24.88</v>
      </c>
      <c r="MI98" s="721">
        <v>0.5</v>
      </c>
      <c r="MJ98" s="721">
        <v>55.006</v>
      </c>
      <c r="MK98" s="721">
        <v>22.63</v>
      </c>
      <c r="ML98" s="721">
        <v>0.5</v>
      </c>
      <c r="MM98" s="721">
        <v>54.746000000000002</v>
      </c>
      <c r="MN98" s="721">
        <v>23.25</v>
      </c>
      <c r="MO98" s="721">
        <v>0.5</v>
      </c>
      <c r="MP98" s="721">
        <v>53.625999999999998</v>
      </c>
      <c r="MQ98" s="721">
        <v>23.25</v>
      </c>
    </row>
    <row r="99" spans="1:355">
      <c r="A99" s="633" t="s">
        <v>40</v>
      </c>
      <c r="B99" s="726" t="s">
        <v>159</v>
      </c>
      <c r="C99" s="885">
        <v>79.930999999999997</v>
      </c>
      <c r="D99" s="885">
        <v>38</v>
      </c>
      <c r="E99" s="885">
        <v>0.3075</v>
      </c>
      <c r="F99" s="828">
        <v>80.000506000000001</v>
      </c>
      <c r="G99" s="828">
        <v>50.71</v>
      </c>
      <c r="H99" s="828">
        <v>0.3075</v>
      </c>
      <c r="I99" s="828">
        <v>79.917269000000005</v>
      </c>
      <c r="J99" s="828">
        <v>52.08</v>
      </c>
      <c r="K99" s="828">
        <v>0.28999999999999998</v>
      </c>
      <c r="L99" s="828">
        <v>79.893000000000001</v>
      </c>
      <c r="M99" s="829">
        <v>50.91</v>
      </c>
      <c r="N99" s="828">
        <v>0.28999999999999998</v>
      </c>
      <c r="O99" s="828">
        <v>79.89</v>
      </c>
      <c r="P99" s="828">
        <v>47.34</v>
      </c>
      <c r="Q99" s="828">
        <v>0.28999999999999998</v>
      </c>
      <c r="R99" s="828">
        <v>79.869</v>
      </c>
      <c r="S99" s="828">
        <v>41.09</v>
      </c>
      <c r="T99" s="839">
        <v>0.28999999999999998</v>
      </c>
      <c r="U99" s="828">
        <v>79.864999999999995</v>
      </c>
      <c r="V99" s="829">
        <v>39.450000000000003</v>
      </c>
      <c r="W99" s="828">
        <v>0.26500000000000001</v>
      </c>
      <c r="X99" s="832">
        <v>79.858999999999995</v>
      </c>
      <c r="Y99" s="788">
        <v>38.9</v>
      </c>
      <c r="Z99" s="788">
        <v>0.26500000000000001</v>
      </c>
      <c r="AA99" s="788">
        <v>80.169385000000005</v>
      </c>
      <c r="AB99" s="788">
        <v>38.25</v>
      </c>
      <c r="AC99" s="801">
        <v>0.26500000000000001</v>
      </c>
      <c r="AD99" s="788">
        <v>79.938000000000002</v>
      </c>
      <c r="AE99" s="788">
        <v>40.450000000000003</v>
      </c>
      <c r="AF99" s="788">
        <v>0.24249999999999999</v>
      </c>
      <c r="AG99" s="788">
        <v>79.905000000000001</v>
      </c>
      <c r="AH99" s="788">
        <v>40.299999999999997</v>
      </c>
      <c r="AI99" s="788">
        <v>0.24249999999999999</v>
      </c>
      <c r="AJ99" s="788">
        <v>79.766000000000005</v>
      </c>
      <c r="AK99" s="788">
        <v>38.25</v>
      </c>
      <c r="AL99" s="788">
        <v>0.24249999999999999</v>
      </c>
      <c r="AM99" s="828">
        <v>79.757999999999996</v>
      </c>
      <c r="AN99" s="828">
        <v>37</v>
      </c>
      <c r="AO99" s="828">
        <v>0.24249999999999999</v>
      </c>
      <c r="AP99" s="788">
        <v>79.75</v>
      </c>
      <c r="AQ99" s="788">
        <v>34.299999999999997</v>
      </c>
      <c r="AR99" s="795">
        <v>0.24249999999999999</v>
      </c>
      <c r="AS99" s="727">
        <v>79.751000000000005</v>
      </c>
      <c r="AT99" s="727">
        <v>32.72</v>
      </c>
      <c r="AU99" s="727">
        <v>0.22</v>
      </c>
      <c r="AV99" s="727">
        <v>79.757999999999996</v>
      </c>
      <c r="AW99" s="727">
        <v>35.44</v>
      </c>
      <c r="AX99" s="727">
        <v>0.22</v>
      </c>
      <c r="AY99" s="727">
        <v>79.759</v>
      </c>
      <c r="AZ99" s="727">
        <v>33.72</v>
      </c>
      <c r="BA99" s="727">
        <v>0.22</v>
      </c>
      <c r="BB99" s="727">
        <v>79.754000000000005</v>
      </c>
      <c r="BC99" s="727">
        <v>30.57</v>
      </c>
      <c r="BD99" s="727">
        <v>0.22</v>
      </c>
      <c r="BE99" s="727">
        <v>79.753</v>
      </c>
      <c r="BF99" s="727">
        <v>28.05</v>
      </c>
      <c r="BG99" s="727">
        <v>0.2</v>
      </c>
      <c r="BH99" s="727">
        <v>79.766000000000005</v>
      </c>
      <c r="BI99" s="727">
        <v>24.6</v>
      </c>
      <c r="BJ99" s="727">
        <v>0.2</v>
      </c>
      <c r="BK99" s="726">
        <v>79.787999999999997</v>
      </c>
      <c r="BL99" s="726">
        <v>29.2</v>
      </c>
      <c r="BM99" s="726">
        <v>0.2</v>
      </c>
      <c r="BN99" s="727">
        <v>79.766000000000005</v>
      </c>
      <c r="BO99" s="727">
        <v>29.63</v>
      </c>
      <c r="BP99" s="746">
        <v>0.2</v>
      </c>
      <c r="BQ99" s="727">
        <v>79.763999999999996</v>
      </c>
      <c r="BR99" s="727">
        <v>24.91</v>
      </c>
      <c r="BS99" s="727">
        <v>0.185</v>
      </c>
      <c r="BT99" s="727">
        <v>79.835999999999999</v>
      </c>
      <c r="BU99" s="727">
        <v>29.33</v>
      </c>
      <c r="BV99" s="727">
        <v>0.185</v>
      </c>
      <c r="BW99" s="726">
        <v>79.844999999999999</v>
      </c>
      <c r="BX99" s="726">
        <v>27.03</v>
      </c>
      <c r="BY99" s="726">
        <v>0.185</v>
      </c>
      <c r="BZ99" s="727">
        <v>79.831000000000003</v>
      </c>
      <c r="CA99" s="727">
        <v>24.12</v>
      </c>
      <c r="CB99" s="746">
        <v>0.185</v>
      </c>
      <c r="CC99" s="727">
        <v>79.847999999999999</v>
      </c>
      <c r="CD99" s="727">
        <v>22.63</v>
      </c>
      <c r="CE99" s="727">
        <v>0.16500000000000001</v>
      </c>
      <c r="CF99" s="727">
        <v>79.864999999999995</v>
      </c>
      <c r="CG99" s="727">
        <v>22.19</v>
      </c>
      <c r="CH99" s="727">
        <v>0.16500000000000001</v>
      </c>
      <c r="CI99" s="726">
        <v>79.799000000000007</v>
      </c>
      <c r="CJ99" s="726">
        <v>23.29</v>
      </c>
      <c r="CK99" s="761">
        <v>0.16500000000000001</v>
      </c>
      <c r="CL99" s="727">
        <v>79.768000000000001</v>
      </c>
      <c r="CM99" s="727">
        <v>20.51</v>
      </c>
      <c r="CN99" s="727">
        <v>0.14499999999999999</v>
      </c>
      <c r="CO99" s="727">
        <v>79.808000000000007</v>
      </c>
      <c r="CP99" s="727">
        <v>21.03</v>
      </c>
      <c r="CQ99" s="727">
        <v>0.14499999999999999</v>
      </c>
      <c r="CR99" s="727">
        <v>79.853999999999999</v>
      </c>
      <c r="CS99" s="727">
        <v>19.54</v>
      </c>
      <c r="CT99" s="727">
        <v>0.14499999999999999</v>
      </c>
      <c r="CU99" s="726">
        <v>89.200999999999993</v>
      </c>
      <c r="CV99" s="726">
        <v>18.3</v>
      </c>
      <c r="CW99" s="761">
        <v>0.14499999999999999</v>
      </c>
      <c r="CX99" s="727">
        <v>91.2</v>
      </c>
      <c r="CY99" s="727">
        <v>18.239999999999998</v>
      </c>
      <c r="CZ99" s="727">
        <v>0.125</v>
      </c>
      <c r="DA99" s="727">
        <v>91.589994000000004</v>
      </c>
      <c r="DB99" s="727">
        <v>16.43</v>
      </c>
      <c r="DC99" s="727">
        <v>0.125</v>
      </c>
      <c r="DD99" s="727">
        <v>91.632999999999996</v>
      </c>
      <c r="DE99" s="727">
        <v>16.739999999999998</v>
      </c>
      <c r="DF99" s="727">
        <v>0.125</v>
      </c>
      <c r="DG99" s="727">
        <v>91.571920000000006</v>
      </c>
      <c r="DH99" s="727">
        <v>14.92</v>
      </c>
      <c r="DI99" s="727">
        <v>0.125</v>
      </c>
      <c r="DJ99" s="727">
        <v>91.561999999999998</v>
      </c>
      <c r="DK99" s="727">
        <v>13.02</v>
      </c>
      <c r="DL99" s="727">
        <v>0.125</v>
      </c>
      <c r="DM99" s="727">
        <v>91.56</v>
      </c>
      <c r="DN99" s="727">
        <v>11.37</v>
      </c>
      <c r="DO99" s="727">
        <v>0.125</v>
      </c>
      <c r="DP99" s="727">
        <v>91.546000000000006</v>
      </c>
      <c r="DQ99" s="727">
        <v>11.18</v>
      </c>
      <c r="DR99" s="727">
        <v>0.125</v>
      </c>
      <c r="DS99" s="727">
        <v>91.546000000000006</v>
      </c>
      <c r="DT99" s="748">
        <v>12.53</v>
      </c>
      <c r="DU99" s="727">
        <v>0.125</v>
      </c>
      <c r="DV99" s="727">
        <v>91.450999999999993</v>
      </c>
      <c r="DW99" s="727">
        <v>12.65</v>
      </c>
      <c r="DX99" s="727">
        <v>0.125</v>
      </c>
      <c r="DY99" s="727">
        <v>91.41</v>
      </c>
      <c r="DZ99" s="727">
        <v>11.68</v>
      </c>
      <c r="EA99" s="727">
        <v>0.125</v>
      </c>
      <c r="EB99" s="727">
        <v>91.331999999999994</v>
      </c>
      <c r="EC99" s="727">
        <v>10.71</v>
      </c>
      <c r="ED99" s="727">
        <v>0.125</v>
      </c>
      <c r="EE99" s="727">
        <v>88.87</v>
      </c>
      <c r="EF99" s="727">
        <v>8.26</v>
      </c>
      <c r="EG99" s="727">
        <v>0.125</v>
      </c>
      <c r="EH99" s="730">
        <v>86.408000000000001</v>
      </c>
      <c r="EI99" s="727">
        <v>10.08</v>
      </c>
      <c r="EJ99" s="727">
        <v>0.125</v>
      </c>
      <c r="EK99" s="727">
        <v>81.697999999999993</v>
      </c>
      <c r="EL99" s="727">
        <v>10.24</v>
      </c>
      <c r="EM99" s="727">
        <v>0.125</v>
      </c>
      <c r="EN99" s="727">
        <v>76.849999999999994</v>
      </c>
      <c r="EO99" s="727">
        <v>11.96</v>
      </c>
      <c r="EP99" s="727">
        <v>0.23</v>
      </c>
      <c r="EQ99" s="727">
        <v>76.718999999999994</v>
      </c>
      <c r="ER99" s="727">
        <v>12.47</v>
      </c>
      <c r="ES99" s="727">
        <v>0.23</v>
      </c>
      <c r="ET99" s="727">
        <v>76.736000000000004</v>
      </c>
      <c r="EU99" s="727">
        <v>21.45</v>
      </c>
      <c r="EV99" s="727">
        <v>0.23</v>
      </c>
      <c r="EW99" s="727">
        <v>76.694999999999993</v>
      </c>
      <c r="EX99" s="727">
        <v>23.28</v>
      </c>
      <c r="EY99" s="727">
        <v>0.23</v>
      </c>
      <c r="EZ99" s="727">
        <v>76.659000000000006</v>
      </c>
      <c r="FA99" s="727">
        <v>27.79</v>
      </c>
      <c r="FB99" s="727">
        <v>0.23</v>
      </c>
      <c r="FC99" s="723">
        <v>69.828999999999994</v>
      </c>
      <c r="FD99" s="741">
        <v>32.299999999999997</v>
      </c>
      <c r="FE99" s="723">
        <v>0.23</v>
      </c>
      <c r="FF99" s="727">
        <v>69.725999999999999</v>
      </c>
      <c r="FG99" s="727">
        <v>31.1</v>
      </c>
      <c r="FH99" s="727">
        <v>0.22</v>
      </c>
      <c r="FI99" s="727">
        <v>68.852000000000004</v>
      </c>
      <c r="FJ99" s="727">
        <v>27.57</v>
      </c>
      <c r="FK99" s="727">
        <v>0.22</v>
      </c>
      <c r="FL99" s="727">
        <v>68.787000000000006</v>
      </c>
      <c r="FM99" s="727">
        <v>24.96</v>
      </c>
      <c r="FN99" s="727">
        <v>0.22</v>
      </c>
      <c r="FO99" s="727">
        <v>68.742000000000004</v>
      </c>
      <c r="FP99" s="727">
        <v>24.4</v>
      </c>
      <c r="FQ99" s="727">
        <v>0.22</v>
      </c>
      <c r="FR99" s="727">
        <v>68.742000000000004</v>
      </c>
      <c r="FS99" s="742">
        <v>24.49</v>
      </c>
      <c r="FT99" s="626">
        <f>0.8/4</f>
        <v>0.2</v>
      </c>
      <c r="FU99" s="727">
        <v>65.534000000000006</v>
      </c>
      <c r="FV99" s="727">
        <v>28.67</v>
      </c>
      <c r="FW99" s="749">
        <v>0.2</v>
      </c>
      <c r="FX99" s="727">
        <v>60.551000000000002</v>
      </c>
      <c r="FY99" s="727">
        <v>28.81</v>
      </c>
      <c r="FZ99" s="727">
        <v>0.185</v>
      </c>
      <c r="GA99" s="727">
        <v>60.421999999999997</v>
      </c>
      <c r="GB99" s="727">
        <v>26.68</v>
      </c>
      <c r="GC99" s="727">
        <v>0.185</v>
      </c>
      <c r="GD99" s="750">
        <v>60.421999999999997</v>
      </c>
      <c r="GE99" s="741">
        <v>25.29</v>
      </c>
      <c r="GF99" s="751">
        <v>0.185</v>
      </c>
      <c r="GG99" s="750">
        <v>60.404000000000003</v>
      </c>
      <c r="GH99" s="727">
        <v>22.51</v>
      </c>
      <c r="GI99" s="727">
        <v>0.16</v>
      </c>
      <c r="GJ99" s="727">
        <v>60.388500000000001</v>
      </c>
      <c r="GK99" s="727">
        <v>20.77</v>
      </c>
      <c r="GL99" s="727">
        <v>0.16</v>
      </c>
      <c r="GM99" s="727">
        <v>61.099499999999999</v>
      </c>
      <c r="GN99" s="727">
        <v>20.03</v>
      </c>
      <c r="GO99" s="727">
        <v>0.16</v>
      </c>
      <c r="GP99" s="727">
        <v>60.358499999999999</v>
      </c>
      <c r="GQ99" s="727">
        <v>18.73</v>
      </c>
      <c r="GR99" s="727">
        <v>0.15329999999999999</v>
      </c>
      <c r="GS99" s="727">
        <v>59.045999999999999</v>
      </c>
      <c r="GT99" s="727">
        <v>18.690000000000001</v>
      </c>
      <c r="GU99" s="727">
        <v>0.15329999999999999</v>
      </c>
      <c r="GV99" s="727">
        <v>58.677</v>
      </c>
      <c r="GW99" s="727">
        <v>17.829999999999998</v>
      </c>
      <c r="GX99" s="727">
        <v>0.15329999999999999</v>
      </c>
      <c r="GY99" s="727">
        <v>59.085000000000001</v>
      </c>
      <c r="GZ99" s="727">
        <v>14.99</v>
      </c>
      <c r="HA99" s="727">
        <v>0.15329999999999999</v>
      </c>
      <c r="HB99" s="727">
        <v>58.677</v>
      </c>
      <c r="HC99" s="727">
        <v>15.88</v>
      </c>
      <c r="HD99" s="727">
        <v>0.14660000000000001</v>
      </c>
      <c r="HE99" s="727">
        <v>58.677</v>
      </c>
      <c r="HF99" s="727">
        <v>13.2</v>
      </c>
      <c r="HG99" s="727">
        <v>0.14660000000000001</v>
      </c>
      <c r="HH99" s="727">
        <v>58.677</v>
      </c>
      <c r="HI99" s="727">
        <v>16.132999999999999</v>
      </c>
      <c r="HJ99" s="727">
        <v>0.14660000000000001</v>
      </c>
      <c r="HK99" s="727">
        <v>58.677</v>
      </c>
      <c r="HL99" s="727">
        <v>20.440000000000001</v>
      </c>
      <c r="HM99" s="727">
        <v>0.14660000000000001</v>
      </c>
      <c r="HN99" s="727">
        <v>58.677</v>
      </c>
      <c r="HO99" s="727">
        <v>18.63</v>
      </c>
      <c r="HP99" s="727">
        <v>0.1333</v>
      </c>
      <c r="HQ99" s="727">
        <v>58.677</v>
      </c>
      <c r="HR99" s="727">
        <v>16.806999999999999</v>
      </c>
      <c r="HS99" s="727">
        <v>0.1333</v>
      </c>
      <c r="HT99" s="727">
        <v>58.65</v>
      </c>
      <c r="HU99" s="727">
        <v>21.4</v>
      </c>
      <c r="HV99" s="727">
        <v>0.1333</v>
      </c>
      <c r="HW99" s="727">
        <v>58.624499999999998</v>
      </c>
      <c r="HX99" s="727">
        <v>19.34</v>
      </c>
      <c r="HY99" s="727">
        <v>0.1333</v>
      </c>
      <c r="HZ99" s="727">
        <v>59.044499999999999</v>
      </c>
      <c r="IA99" s="727">
        <v>17.875</v>
      </c>
      <c r="IB99" s="727">
        <v>0.1333</v>
      </c>
      <c r="IC99" s="727">
        <v>59.304000000000002</v>
      </c>
      <c r="ID99" s="727">
        <v>17.25</v>
      </c>
      <c r="IE99" s="727">
        <v>0.1333</v>
      </c>
      <c r="IF99" s="727">
        <v>59.959499999999998</v>
      </c>
      <c r="IG99" s="727">
        <v>10.291700000000001</v>
      </c>
      <c r="IH99" s="727">
        <v>0.1333</v>
      </c>
      <c r="II99" s="727">
        <v>61.158000000000001</v>
      </c>
      <c r="IJ99" s="722">
        <v>10.5</v>
      </c>
      <c r="IK99" s="722">
        <v>0.1333</v>
      </c>
      <c r="IL99" s="722">
        <v>61.2</v>
      </c>
      <c r="IM99" s="727">
        <v>10.83</v>
      </c>
      <c r="IN99" s="722">
        <v>0.1333</v>
      </c>
      <c r="IO99" s="722">
        <v>61.277999999999999</v>
      </c>
      <c r="IP99" s="727">
        <v>12.17</v>
      </c>
      <c r="IQ99" s="722">
        <v>0.1333</v>
      </c>
      <c r="IR99" s="721">
        <v>62.655000000000001</v>
      </c>
      <c r="IS99" s="721">
        <v>13.25</v>
      </c>
      <c r="IT99" s="721">
        <v>0.1333</v>
      </c>
      <c r="IU99" s="721">
        <v>41.77</v>
      </c>
      <c r="IV99" s="721">
        <v>17</v>
      </c>
      <c r="IW99" s="721">
        <v>0.2</v>
      </c>
      <c r="IX99" s="721">
        <v>41.77</v>
      </c>
      <c r="IY99" s="721">
        <v>20.437999999999999</v>
      </c>
      <c r="IZ99" s="721">
        <v>0.2</v>
      </c>
      <c r="JA99" s="721">
        <v>41.77</v>
      </c>
      <c r="JB99" s="721">
        <v>22.187999999999999</v>
      </c>
      <c r="JC99" s="721">
        <v>0.2</v>
      </c>
      <c r="JD99" s="721">
        <v>41.77</v>
      </c>
      <c r="JE99" s="721">
        <v>22.687999999999999</v>
      </c>
      <c r="JF99" s="721">
        <v>0.2</v>
      </c>
      <c r="JG99" s="721">
        <v>41.77</v>
      </c>
      <c r="JH99" s="721">
        <v>24.4175</v>
      </c>
      <c r="JI99" s="721">
        <v>0.17</v>
      </c>
      <c r="JJ99" s="721">
        <v>41.774000000000001</v>
      </c>
      <c r="JK99" s="721">
        <v>23.6875</v>
      </c>
      <c r="JL99" s="721">
        <v>0.17</v>
      </c>
      <c r="JM99" s="721">
        <v>41.774000000000001</v>
      </c>
      <c r="JN99" s="721">
        <v>19.3125</v>
      </c>
      <c r="JO99" s="721">
        <v>0.17</v>
      </c>
      <c r="JP99" s="721">
        <v>41.774000000000001</v>
      </c>
      <c r="JQ99" s="721">
        <v>17.875</v>
      </c>
      <c r="JR99" s="721">
        <v>0.17</v>
      </c>
      <c r="JS99" s="721">
        <v>41.774000000000001</v>
      </c>
      <c r="JT99" s="721">
        <v>17.25</v>
      </c>
      <c r="JU99" s="721">
        <v>0.17</v>
      </c>
      <c r="JV99" s="721">
        <v>41.774000000000001</v>
      </c>
      <c r="JW99" s="721">
        <v>19.625</v>
      </c>
      <c r="JX99" s="721">
        <v>0.12</v>
      </c>
      <c r="JY99" s="721">
        <v>41.774000000000001</v>
      </c>
      <c r="JZ99" s="721">
        <v>19.5</v>
      </c>
      <c r="KA99" s="721">
        <v>0.12</v>
      </c>
      <c r="KB99" s="721">
        <v>41.774000000000001</v>
      </c>
      <c r="KC99" s="721">
        <v>20.5</v>
      </c>
      <c r="KD99" s="721">
        <v>0.12</v>
      </c>
      <c r="KE99" s="721">
        <v>41.774000000000001</v>
      </c>
      <c r="KF99" s="721">
        <v>18.625</v>
      </c>
      <c r="KG99" s="721">
        <v>0.12</v>
      </c>
      <c r="KH99" s="721">
        <v>41.774000000000001</v>
      </c>
      <c r="KI99" s="721">
        <v>17.625</v>
      </c>
      <c r="KJ99" s="721">
        <v>0</v>
      </c>
      <c r="KK99" s="721">
        <v>41.774000000000001</v>
      </c>
      <c r="KL99" s="721">
        <v>16.375</v>
      </c>
      <c r="KM99" s="721">
        <v>0</v>
      </c>
      <c r="KN99" s="721">
        <v>41.774000000000001</v>
      </c>
      <c r="KO99" s="721">
        <v>14.25</v>
      </c>
      <c r="KP99" s="721">
        <v>0</v>
      </c>
      <c r="KQ99" s="721">
        <v>41.774000000000001</v>
      </c>
      <c r="KR99" s="721">
        <v>12.5</v>
      </c>
      <c r="KS99" s="721">
        <v>0</v>
      </c>
      <c r="KT99" s="721">
        <v>41.774000000000001</v>
      </c>
      <c r="KU99" s="721">
        <v>12.921875</v>
      </c>
      <c r="KV99" s="721">
        <v>0</v>
      </c>
      <c r="KW99" s="721">
        <v>41.774000000000001</v>
      </c>
      <c r="KX99" s="721">
        <v>12.25</v>
      </c>
      <c r="KY99" s="721">
        <v>0</v>
      </c>
      <c r="KZ99" s="721">
        <v>41.774000000000001</v>
      </c>
      <c r="LA99" s="721">
        <v>11.5</v>
      </c>
      <c r="LB99" s="721">
        <v>0</v>
      </c>
      <c r="LC99" s="721">
        <v>41.774000000000001</v>
      </c>
      <c r="LD99" s="721">
        <v>13.125</v>
      </c>
      <c r="LE99" s="721">
        <v>0</v>
      </c>
      <c r="LF99" s="721">
        <v>41.774000000000001</v>
      </c>
      <c r="LG99" s="721">
        <v>11.25</v>
      </c>
      <c r="LH99" s="721">
        <v>0</v>
      </c>
      <c r="LI99" s="721">
        <v>41.774000000000001</v>
      </c>
      <c r="LJ99" s="721">
        <v>11.5</v>
      </c>
      <c r="LK99" s="721">
        <v>0</v>
      </c>
      <c r="LL99" s="721">
        <v>41.774000000000001</v>
      </c>
      <c r="LM99" s="721">
        <v>13.625</v>
      </c>
      <c r="LN99" s="721">
        <v>0</v>
      </c>
      <c r="LO99" s="721">
        <v>41.774000000000001</v>
      </c>
      <c r="LP99" s="721">
        <v>12</v>
      </c>
      <c r="LQ99" s="721">
        <v>0</v>
      </c>
      <c r="LR99" s="721">
        <v>41.774000000000001</v>
      </c>
      <c r="LS99" s="721">
        <v>12.38</v>
      </c>
      <c r="LT99" s="721">
        <v>0</v>
      </c>
      <c r="LU99" s="721">
        <v>41.774000000000001</v>
      </c>
      <c r="LV99" s="721">
        <v>13.5</v>
      </c>
      <c r="LW99" s="721">
        <v>0</v>
      </c>
      <c r="LX99" s="721">
        <v>41.774000000000001</v>
      </c>
      <c r="LY99" s="721">
        <v>12.88</v>
      </c>
      <c r="LZ99" s="721">
        <v>0</v>
      </c>
      <c r="MA99" s="721">
        <v>41.774000000000001</v>
      </c>
      <c r="MB99" s="721">
        <v>11.38</v>
      </c>
      <c r="MC99" s="721">
        <v>0</v>
      </c>
      <c r="MD99" s="721">
        <v>41.774000000000001</v>
      </c>
      <c r="ME99" s="721">
        <v>9.75</v>
      </c>
      <c r="MF99" s="721">
        <v>0</v>
      </c>
      <c r="MG99" s="721">
        <v>41.774000000000001</v>
      </c>
      <c r="MH99" s="721">
        <v>8.8800000000000008</v>
      </c>
      <c r="MI99" s="721">
        <v>0</v>
      </c>
      <c r="MJ99" s="721">
        <v>41.774000000000001</v>
      </c>
      <c r="MK99" s="721">
        <v>10.25</v>
      </c>
      <c r="ML99" s="721">
        <v>0</v>
      </c>
      <c r="MM99" s="721">
        <v>41.774000000000001</v>
      </c>
      <c r="MN99" s="721">
        <v>9.3800000000000008</v>
      </c>
      <c r="MO99" s="721">
        <v>0</v>
      </c>
      <c r="MP99" s="721">
        <v>41.774000000000001</v>
      </c>
      <c r="MQ99" s="721">
        <v>8.3800000000000008</v>
      </c>
    </row>
    <row r="100" spans="1:355">
      <c r="A100" s="633" t="s">
        <v>17</v>
      </c>
      <c r="B100" s="726" t="s">
        <v>160</v>
      </c>
      <c r="C100" s="885">
        <v>504</v>
      </c>
      <c r="D100" s="885">
        <v>44.91</v>
      </c>
      <c r="E100" s="887">
        <v>0.49</v>
      </c>
      <c r="F100" s="828">
        <v>504</v>
      </c>
      <c r="G100" s="828">
        <v>59.05</v>
      </c>
      <c r="H100" s="828">
        <v>0.47</v>
      </c>
      <c r="I100" s="828">
        <v>504</v>
      </c>
      <c r="J100" s="828">
        <v>62.08</v>
      </c>
      <c r="K100" s="828">
        <v>0.47</v>
      </c>
      <c r="L100" s="828">
        <v>504</v>
      </c>
      <c r="M100" s="829">
        <v>58.82</v>
      </c>
      <c r="N100" s="828">
        <v>0.47</v>
      </c>
      <c r="O100" s="828">
        <v>504</v>
      </c>
      <c r="P100" s="828">
        <v>59.41</v>
      </c>
      <c r="Q100" s="839">
        <v>0.47</v>
      </c>
      <c r="R100" s="828">
        <v>504</v>
      </c>
      <c r="S100" s="828">
        <v>52.05</v>
      </c>
      <c r="T100" s="828">
        <v>0.45</v>
      </c>
      <c r="U100" s="828">
        <v>504</v>
      </c>
      <c r="V100" s="829">
        <v>52.79</v>
      </c>
      <c r="W100" s="828">
        <v>0.45</v>
      </c>
      <c r="X100" s="832">
        <v>504</v>
      </c>
      <c r="Y100" s="788">
        <v>54.14</v>
      </c>
      <c r="Z100" s="788">
        <v>0.45</v>
      </c>
      <c r="AA100" s="788">
        <v>505</v>
      </c>
      <c r="AB100" s="788">
        <v>50.24</v>
      </c>
      <c r="AC100" s="801">
        <v>0.45</v>
      </c>
      <c r="AD100" s="788">
        <v>505</v>
      </c>
      <c r="AE100" s="788">
        <v>51.5</v>
      </c>
      <c r="AF100" s="788">
        <v>0.43</v>
      </c>
      <c r="AG100" s="788">
        <v>505</v>
      </c>
      <c r="AH100" s="788">
        <v>46.25</v>
      </c>
      <c r="AI100" s="788">
        <v>0.43</v>
      </c>
      <c r="AJ100" s="788">
        <v>505</v>
      </c>
      <c r="AK100" s="788">
        <v>43.01</v>
      </c>
      <c r="AL100" s="788">
        <v>0.43</v>
      </c>
      <c r="AM100" s="828">
        <v>505</v>
      </c>
      <c r="AN100" s="828">
        <v>44.35</v>
      </c>
      <c r="AO100" s="830">
        <v>0.43</v>
      </c>
      <c r="AP100" s="788">
        <v>505</v>
      </c>
      <c r="AQ100" s="788">
        <v>43.88</v>
      </c>
      <c r="AR100" s="788">
        <v>0.41</v>
      </c>
      <c r="AS100" s="727">
        <v>505</v>
      </c>
      <c r="AT100" s="727">
        <v>41.87</v>
      </c>
      <c r="AU100" s="727">
        <v>0.41</v>
      </c>
      <c r="AV100" s="727">
        <v>505</v>
      </c>
      <c r="AW100" s="727">
        <v>46.61</v>
      </c>
      <c r="AX100" s="727">
        <v>0.41</v>
      </c>
      <c r="AY100" s="727">
        <v>505</v>
      </c>
      <c r="AZ100" s="727">
        <v>47.14</v>
      </c>
      <c r="BA100" s="747">
        <v>0.41</v>
      </c>
      <c r="BB100" s="727">
        <v>505</v>
      </c>
      <c r="BC100" s="727">
        <v>38.69</v>
      </c>
      <c r="BD100" s="727">
        <v>0.39</v>
      </c>
      <c r="BE100" s="727">
        <v>506</v>
      </c>
      <c r="BF100" s="727">
        <v>42.16</v>
      </c>
      <c r="BG100" s="727">
        <v>0.39</v>
      </c>
      <c r="BH100" s="727">
        <v>506</v>
      </c>
      <c r="BI100" s="727">
        <v>39.28</v>
      </c>
      <c r="BJ100" s="727">
        <v>0.39</v>
      </c>
      <c r="BK100" s="726">
        <v>506</v>
      </c>
      <c r="BL100" s="726">
        <v>41.92</v>
      </c>
      <c r="BM100" s="761">
        <v>0.39</v>
      </c>
      <c r="BN100" s="727">
        <v>505.86200000000002</v>
      </c>
      <c r="BO100" s="727">
        <v>41.41</v>
      </c>
      <c r="BP100" s="727">
        <v>0.37</v>
      </c>
      <c r="BQ100" s="727">
        <v>505.875</v>
      </c>
      <c r="BR100" s="727">
        <v>37.24</v>
      </c>
      <c r="BS100" s="727">
        <v>0.37</v>
      </c>
      <c r="BT100" s="727">
        <v>506.077</v>
      </c>
      <c r="BU100" s="727">
        <v>40.79</v>
      </c>
      <c r="BV100" s="727">
        <v>0.37</v>
      </c>
      <c r="BW100" s="726">
        <v>505.88900000000001</v>
      </c>
      <c r="BX100" s="726">
        <v>38.14</v>
      </c>
      <c r="BY100" s="761">
        <v>0.37</v>
      </c>
      <c r="BZ100" s="727">
        <v>505.858</v>
      </c>
      <c r="CA100" s="727">
        <v>32.04</v>
      </c>
      <c r="CB100" s="727">
        <v>0.36</v>
      </c>
      <c r="CC100" s="727">
        <v>505.9</v>
      </c>
      <c r="CD100" s="727">
        <v>32.93</v>
      </c>
      <c r="CE100" s="727">
        <v>0.36</v>
      </c>
      <c r="CF100" s="727">
        <v>505.94200000000001</v>
      </c>
      <c r="CG100" s="727">
        <v>32.659999999999997</v>
      </c>
      <c r="CH100" s="727">
        <v>0.36</v>
      </c>
      <c r="CI100" s="726">
        <v>505.93299999999999</v>
      </c>
      <c r="CJ100" s="726">
        <v>34.340000000000003</v>
      </c>
      <c r="CK100" s="761">
        <v>0.36</v>
      </c>
      <c r="CL100" s="727">
        <v>505.91399999999999</v>
      </c>
      <c r="CM100" s="727">
        <v>30.6</v>
      </c>
      <c r="CN100" s="727">
        <v>0.35499999999999998</v>
      </c>
      <c r="CO100" s="727">
        <v>505.90300000000002</v>
      </c>
      <c r="CP100" s="727">
        <v>32.18</v>
      </c>
      <c r="CQ100" s="727">
        <v>0.35499999999999998</v>
      </c>
      <c r="CR100" s="727">
        <v>506.01</v>
      </c>
      <c r="CS100" s="727">
        <v>32.5</v>
      </c>
      <c r="CT100" s="727">
        <v>0.35499999999999998</v>
      </c>
      <c r="CU100" s="726">
        <v>505.94900000000001</v>
      </c>
      <c r="CV100" s="726">
        <v>30.61</v>
      </c>
      <c r="CW100" s="761">
        <v>0.35499999999999998</v>
      </c>
      <c r="CX100" s="727">
        <v>505.90899999999999</v>
      </c>
      <c r="CY100" s="727">
        <v>33.01</v>
      </c>
      <c r="CZ100" s="727">
        <v>0.34250000000000003</v>
      </c>
      <c r="DA100" s="727">
        <v>505.988</v>
      </c>
      <c r="DB100" s="727">
        <v>33.369999999999997</v>
      </c>
      <c r="DC100" s="727">
        <v>0.34250000000000003</v>
      </c>
      <c r="DD100" s="727">
        <v>505.97899999999998</v>
      </c>
      <c r="DE100" s="727">
        <v>32.64</v>
      </c>
      <c r="DF100" s="727">
        <v>0.34250000000000003</v>
      </c>
      <c r="DG100" s="727">
        <v>505.93799999999999</v>
      </c>
      <c r="DH100" s="727">
        <v>31.51</v>
      </c>
      <c r="DI100" s="727">
        <v>0.34250000000000003</v>
      </c>
      <c r="DJ100" s="727">
        <v>505.94499999999999</v>
      </c>
      <c r="DK100" s="727">
        <v>31.83</v>
      </c>
      <c r="DL100" s="727">
        <v>0.34250000000000003</v>
      </c>
      <c r="DM100" s="727">
        <v>506.10899999999998</v>
      </c>
      <c r="DN100" s="727">
        <v>33.08</v>
      </c>
      <c r="DO100" s="727">
        <v>0.34250000000000003</v>
      </c>
      <c r="DP100" s="727">
        <v>505.95</v>
      </c>
      <c r="DQ100" s="727">
        <v>31.33</v>
      </c>
      <c r="DR100" s="727">
        <v>0.34250000000000003</v>
      </c>
      <c r="DS100" s="727">
        <v>505.98700000000002</v>
      </c>
      <c r="DT100" s="748">
        <v>29.52</v>
      </c>
      <c r="DU100" s="727">
        <v>0.34250000000000003</v>
      </c>
      <c r="DV100" s="727">
        <v>505.98200000000003</v>
      </c>
      <c r="DW100" s="727">
        <v>33.25</v>
      </c>
      <c r="DX100" s="727">
        <v>0.33250000000000002</v>
      </c>
      <c r="DY100" s="727">
        <v>505.99</v>
      </c>
      <c r="DZ100" s="727">
        <v>31.44</v>
      </c>
      <c r="EA100" s="727">
        <v>0.33250000000000002</v>
      </c>
      <c r="EB100" s="727">
        <v>505.98599999999999</v>
      </c>
      <c r="EC100" s="727">
        <v>32.630000000000003</v>
      </c>
      <c r="ED100" s="727">
        <v>0.33250000000000002</v>
      </c>
      <c r="EE100" s="727">
        <v>506</v>
      </c>
      <c r="EF100" s="727">
        <v>29.47</v>
      </c>
      <c r="EG100" s="727">
        <v>0.33250000000000002</v>
      </c>
      <c r="EH100" s="727">
        <v>507.72399999999999</v>
      </c>
      <c r="EI100" s="727">
        <v>29.17</v>
      </c>
      <c r="EJ100" s="727">
        <v>0.32250000000000001</v>
      </c>
      <c r="EK100" s="727">
        <v>508.49099999999999</v>
      </c>
      <c r="EL100" s="727">
        <v>32.79</v>
      </c>
      <c r="EM100" s="727">
        <v>0.32250000000000001</v>
      </c>
      <c r="EN100" s="727">
        <v>508.49</v>
      </c>
      <c r="EO100" s="727">
        <v>45.93</v>
      </c>
      <c r="EP100" s="727">
        <v>0.32250000000000001</v>
      </c>
      <c r="EQ100" s="727">
        <v>507.56</v>
      </c>
      <c r="ER100" s="727">
        <v>40.19</v>
      </c>
      <c r="ES100" s="727">
        <v>0.32250000000000001</v>
      </c>
      <c r="ET100" s="727">
        <f>254.272*2</f>
        <v>508.54399999999998</v>
      </c>
      <c r="EU100" s="727">
        <f>98.24/2</f>
        <v>49.12</v>
      </c>
      <c r="EV100" s="727">
        <f>0.585/2</f>
        <v>0.29249999999999998</v>
      </c>
      <c r="EW100" s="727">
        <f>253.631*2</f>
        <v>507.262</v>
      </c>
      <c r="EX100" s="727">
        <f>87.99/2</f>
        <v>43.994999999999997</v>
      </c>
      <c r="EY100" s="727">
        <f>0.585/2</f>
        <v>0.29249999999999998</v>
      </c>
      <c r="EZ100" s="727">
        <f>252.892*2</f>
        <v>505.78399999999999</v>
      </c>
      <c r="FA100" s="727">
        <f>87.78/2</f>
        <v>43.89</v>
      </c>
      <c r="FB100" s="727">
        <f>0.585/2</f>
        <v>0.29249999999999998</v>
      </c>
      <c r="FC100" s="723">
        <f>251.678*2</f>
        <v>503.35599999999999</v>
      </c>
      <c r="FD100" s="741">
        <f>83.04/2</f>
        <v>41.52</v>
      </c>
      <c r="FE100" s="723">
        <f>0.585/2</f>
        <v>0.29249999999999998</v>
      </c>
      <c r="FF100" s="727">
        <f>251.747*2</f>
        <v>503.49400000000003</v>
      </c>
      <c r="FG100" s="727">
        <f>66.38/2</f>
        <v>33.19</v>
      </c>
      <c r="FH100" s="727">
        <f>0.57/2</f>
        <v>0.28499999999999998</v>
      </c>
      <c r="FI100" s="727">
        <f>251.474*2</f>
        <v>502.94799999999998</v>
      </c>
      <c r="FJ100" s="727">
        <f>61.19/2</f>
        <v>30.594999999999999</v>
      </c>
      <c r="FK100" s="727">
        <f>0.57/2</f>
        <v>0.28499999999999998</v>
      </c>
      <c r="FL100" s="727">
        <f>251.187*2</f>
        <v>502.37400000000002</v>
      </c>
      <c r="FM100" s="727">
        <f>66.12/2</f>
        <v>33.06</v>
      </c>
      <c r="FN100" s="727">
        <f>0.57/2</f>
        <v>0.28499999999999998</v>
      </c>
      <c r="FO100" s="727">
        <f>245.048*2</f>
        <v>490.096</v>
      </c>
      <c r="FP100" s="727">
        <f>64.04/2</f>
        <v>32.020000000000003</v>
      </c>
      <c r="FQ100" s="727">
        <f>0.57/2</f>
        <v>0.28499999999999998</v>
      </c>
      <c r="FR100" s="727">
        <f>239.034*2</f>
        <v>478.06799999999998</v>
      </c>
      <c r="FS100" s="742">
        <f>64.97/2</f>
        <v>32.484999999999999</v>
      </c>
      <c r="FT100" s="626">
        <f>2.24/8</f>
        <v>0.28000000000000003</v>
      </c>
      <c r="FU100" s="727">
        <f>238.732*2</f>
        <v>477.464</v>
      </c>
      <c r="FV100" s="727">
        <f>64.36/2</f>
        <v>32.18</v>
      </c>
      <c r="FW100" s="727">
        <f>0.56/2</f>
        <v>0.28000000000000003</v>
      </c>
      <c r="FX100" s="727">
        <f>238.314*2</f>
        <v>476.62799999999999</v>
      </c>
      <c r="FY100" s="727">
        <f>60.82/2</f>
        <v>30.41</v>
      </c>
      <c r="FZ100" s="727">
        <f>0.56/2</f>
        <v>0.28000000000000003</v>
      </c>
      <c r="GA100" s="727">
        <f>237.269*2</f>
        <v>474.53800000000001</v>
      </c>
      <c r="GB100" s="727">
        <f>54.39/2</f>
        <v>27.195</v>
      </c>
      <c r="GC100" s="727">
        <f>0.56/2</f>
        <v>0.28000000000000003</v>
      </c>
      <c r="GD100" s="750">
        <f>237.269*2</f>
        <v>474.53800000000001</v>
      </c>
      <c r="GE100" s="741">
        <f>51.77/2</f>
        <v>25.885000000000002</v>
      </c>
      <c r="GF100" s="751">
        <f>0.55/2</f>
        <v>0.27500000000000002</v>
      </c>
      <c r="GG100" s="750">
        <f>236.705*2</f>
        <v>473.41</v>
      </c>
      <c r="GH100" s="727">
        <f>42.6/2</f>
        <v>21.3</v>
      </c>
      <c r="GI100" s="727">
        <f>0.55/2</f>
        <v>0.27500000000000002</v>
      </c>
      <c r="GJ100" s="727">
        <f>236.193*2</f>
        <v>472.38600000000002</v>
      </c>
      <c r="GK100" s="727">
        <f>40.03/2</f>
        <v>20.015000000000001</v>
      </c>
      <c r="GL100" s="727">
        <f>0.55/2</f>
        <v>0.27500000000000002</v>
      </c>
      <c r="GM100" s="727">
        <f>235*2</f>
        <v>470</v>
      </c>
      <c r="GN100" s="727">
        <f>46.98/2</f>
        <v>23.49</v>
      </c>
      <c r="GO100" s="727">
        <f>0.55/2</f>
        <v>0.27500000000000002</v>
      </c>
      <c r="GP100" s="727">
        <f>226.414*2</f>
        <v>452.82799999999997</v>
      </c>
      <c r="GQ100" s="727">
        <f>43.8/2</f>
        <v>21.9</v>
      </c>
      <c r="GR100" s="727">
        <f>0.54/2</f>
        <v>0.27</v>
      </c>
      <c r="GS100" s="727">
        <f>225.91*2</f>
        <v>451.82</v>
      </c>
      <c r="GT100" s="727">
        <f>42/2</f>
        <v>21</v>
      </c>
      <c r="GU100" s="727">
        <f>0.54/2</f>
        <v>0.27</v>
      </c>
      <c r="GV100" s="727">
        <f>225.714*2</f>
        <v>451.428</v>
      </c>
      <c r="GW100" s="727">
        <f>42.25/2</f>
        <v>21.125</v>
      </c>
      <c r="GX100" s="727">
        <f>0.54/2</f>
        <v>0.27</v>
      </c>
      <c r="GY100" s="727">
        <f>215.682*2</f>
        <v>431.36399999999998</v>
      </c>
      <c r="GZ100" s="727">
        <f>36.69/2</f>
        <v>18.344999999999999</v>
      </c>
      <c r="HA100" s="727">
        <f>0.54/2</f>
        <v>0.27</v>
      </c>
      <c r="HB100" s="727">
        <f>206.782*2</f>
        <v>413.56400000000002</v>
      </c>
      <c r="HC100" s="727">
        <f>32.1/2</f>
        <v>16.05</v>
      </c>
      <c r="HD100" s="727">
        <f>0.54/2</f>
        <v>0.27</v>
      </c>
      <c r="HE100" s="727">
        <f>206.927*2</f>
        <v>413.85399999999998</v>
      </c>
      <c r="HF100" s="727">
        <f>30.5/2</f>
        <v>15.25</v>
      </c>
      <c r="HG100" s="727">
        <f>0.54/2</f>
        <v>0.27</v>
      </c>
      <c r="HH100" s="727">
        <f>206.34*2</f>
        <v>412.68</v>
      </c>
      <c r="HI100" s="727">
        <f>43.3/2</f>
        <v>21.65</v>
      </c>
      <c r="HJ100" s="727">
        <f>0.54/2</f>
        <v>0.27</v>
      </c>
      <c r="HK100" s="727">
        <f>207*2</f>
        <v>414</v>
      </c>
      <c r="HL100" s="727">
        <f>45.8/2</f>
        <v>22.9</v>
      </c>
      <c r="HM100" s="727">
        <f>0.54/2</f>
        <v>0.27</v>
      </c>
      <c r="HN100" s="727">
        <f>208.495*2</f>
        <v>416.99</v>
      </c>
      <c r="HO100" s="727">
        <f>42.19/2</f>
        <v>21.094999999999999</v>
      </c>
      <c r="HP100" s="727">
        <f>0.54/2</f>
        <v>0.27</v>
      </c>
      <c r="HQ100" s="727">
        <v>208.70099999999999</v>
      </c>
      <c r="HR100" s="727">
        <v>42.55</v>
      </c>
      <c r="HS100" s="727">
        <v>0.54</v>
      </c>
      <c r="HT100" s="727">
        <v>208</v>
      </c>
      <c r="HU100" s="727">
        <v>48.9</v>
      </c>
      <c r="HV100" s="727">
        <v>0.54</v>
      </c>
      <c r="HW100" s="727">
        <v>214</v>
      </c>
      <c r="HX100" s="727">
        <v>43.16</v>
      </c>
      <c r="HY100" s="727">
        <v>0.54</v>
      </c>
      <c r="HZ100" s="727">
        <v>214.62299999999999</v>
      </c>
      <c r="IA100" s="727">
        <v>48.625</v>
      </c>
      <c r="IB100" s="727">
        <v>0.54</v>
      </c>
      <c r="IC100" s="727">
        <v>215.39400000000001</v>
      </c>
      <c r="ID100" s="727">
        <v>44.6875</v>
      </c>
      <c r="IE100" s="727">
        <v>0.54</v>
      </c>
      <c r="IF100" s="727">
        <v>216.434</v>
      </c>
      <c r="IG100" s="727">
        <v>34.625</v>
      </c>
      <c r="IH100" s="727">
        <v>0.54</v>
      </c>
      <c r="II100" s="727">
        <v>219.81399999999999</v>
      </c>
      <c r="IJ100" s="722">
        <v>29.625</v>
      </c>
      <c r="IK100" s="722">
        <v>0.54</v>
      </c>
      <c r="IL100" s="722">
        <v>219.22499999999999</v>
      </c>
      <c r="IM100" s="727">
        <v>34.8125</v>
      </c>
      <c r="IN100" s="722">
        <v>0.54</v>
      </c>
      <c r="IO100" s="722">
        <v>219</v>
      </c>
      <c r="IP100" s="727">
        <v>38.625</v>
      </c>
      <c r="IQ100" s="722">
        <v>0.54</v>
      </c>
      <c r="IR100" s="721">
        <v>230.97</v>
      </c>
      <c r="IS100" s="721">
        <v>40.8125</v>
      </c>
      <c r="IT100" s="721">
        <v>0.54</v>
      </c>
      <c r="IU100" s="721">
        <v>231.72</v>
      </c>
      <c r="IV100" s="721">
        <v>38.1875</v>
      </c>
      <c r="IW100" s="721">
        <v>0.54</v>
      </c>
      <c r="IX100" s="721">
        <v>231.72</v>
      </c>
      <c r="IY100" s="721">
        <v>40</v>
      </c>
      <c r="IZ100" s="721">
        <v>0.54</v>
      </c>
      <c r="JA100" s="721">
        <v>231.96</v>
      </c>
      <c r="JB100" s="721">
        <v>39.313000000000002</v>
      </c>
      <c r="JC100" s="721">
        <v>0.54</v>
      </c>
      <c r="JD100" s="721">
        <v>231.96</v>
      </c>
      <c r="JE100" s="721">
        <v>34.438000000000002</v>
      </c>
      <c r="JF100" s="721">
        <v>0.54</v>
      </c>
      <c r="JG100" s="721">
        <v>231.96</v>
      </c>
      <c r="JH100" s="721">
        <v>37.75</v>
      </c>
      <c r="JI100" s="721">
        <v>0.54</v>
      </c>
      <c r="JJ100" s="721">
        <v>231.958</v>
      </c>
      <c r="JK100" s="721">
        <v>31.8125</v>
      </c>
      <c r="JL100" s="721">
        <v>0.54</v>
      </c>
      <c r="JM100" s="721">
        <v>232.071</v>
      </c>
      <c r="JN100" s="721">
        <v>25.75</v>
      </c>
      <c r="JO100" s="721">
        <v>0.54</v>
      </c>
      <c r="JP100" s="721">
        <v>232.071</v>
      </c>
      <c r="JQ100" s="721">
        <v>25</v>
      </c>
      <c r="JR100" s="721">
        <v>0.54</v>
      </c>
      <c r="JS100" s="721">
        <v>244.69800000000001</v>
      </c>
      <c r="JT100" s="721">
        <v>26.25</v>
      </c>
      <c r="JU100" s="721">
        <v>0.54</v>
      </c>
      <c r="JV100" s="721">
        <v>244.69800000000001</v>
      </c>
      <c r="JW100" s="721">
        <v>27.125</v>
      </c>
      <c r="JX100" s="721">
        <v>0.54</v>
      </c>
      <c r="JY100" s="721">
        <v>244.69800000000001</v>
      </c>
      <c r="JZ100" s="721">
        <v>26.75</v>
      </c>
      <c r="KA100" s="721">
        <v>0.54</v>
      </c>
      <c r="KB100" s="721">
        <v>244.69800000000001</v>
      </c>
      <c r="KC100" s="721">
        <v>27.5</v>
      </c>
      <c r="KD100" s="721">
        <v>0.54</v>
      </c>
      <c r="KE100" s="721">
        <v>244.69800000000001</v>
      </c>
      <c r="KF100" s="721">
        <v>27.375</v>
      </c>
      <c r="KG100" s="721">
        <v>0.54</v>
      </c>
      <c r="KH100" s="721">
        <v>244.69800000000001</v>
      </c>
      <c r="KI100" s="721">
        <v>30.625</v>
      </c>
      <c r="KJ100" s="721">
        <v>0.54</v>
      </c>
      <c r="KK100" s="721">
        <v>244.69800000000001</v>
      </c>
      <c r="KL100" s="721">
        <v>29.75</v>
      </c>
      <c r="KM100" s="721">
        <v>0.54</v>
      </c>
      <c r="KN100" s="721">
        <v>244.69800000000001</v>
      </c>
      <c r="KO100" s="721">
        <v>27.75</v>
      </c>
      <c r="KP100" s="721">
        <v>0.54</v>
      </c>
      <c r="KQ100" s="721">
        <v>244.69800000000001</v>
      </c>
      <c r="KR100" s="721">
        <v>27.375</v>
      </c>
      <c r="KS100" s="721">
        <v>0.54</v>
      </c>
      <c r="KT100" s="721">
        <v>243.29599999999999</v>
      </c>
      <c r="KU100" s="721">
        <v>26.5</v>
      </c>
      <c r="KV100" s="721">
        <v>0.54</v>
      </c>
      <c r="KW100" s="721">
        <v>243.29599999999999</v>
      </c>
      <c r="KX100" s="721">
        <v>26.25</v>
      </c>
      <c r="KY100" s="721">
        <v>0.54</v>
      </c>
      <c r="KZ100" s="721">
        <v>243.29599999999999</v>
      </c>
      <c r="LA100" s="721">
        <v>26</v>
      </c>
      <c r="LB100" s="721">
        <v>0.54</v>
      </c>
      <c r="LC100" s="721">
        <v>241.88900000000001</v>
      </c>
      <c r="LD100" s="721">
        <v>27.875</v>
      </c>
      <c r="LE100" s="721">
        <v>0.54</v>
      </c>
      <c r="LF100" s="721">
        <v>241.88900000000001</v>
      </c>
      <c r="LG100" s="721">
        <v>32</v>
      </c>
      <c r="LH100" s="721">
        <v>0.54</v>
      </c>
      <c r="LI100" s="721">
        <v>241.88900000000001</v>
      </c>
      <c r="LJ100" s="721">
        <v>35.125</v>
      </c>
      <c r="LK100" s="721">
        <v>0.54</v>
      </c>
      <c r="LL100" s="721">
        <v>240.92</v>
      </c>
      <c r="LM100" s="721">
        <v>34.25</v>
      </c>
      <c r="LN100" s="721">
        <v>0.54</v>
      </c>
      <c r="LO100" s="721">
        <v>236.91900000000001</v>
      </c>
      <c r="LP100" s="721">
        <v>33.5</v>
      </c>
      <c r="LQ100" s="721">
        <v>0.54</v>
      </c>
      <c r="LR100" s="721">
        <v>231.59</v>
      </c>
      <c r="LS100" s="721">
        <v>30.88</v>
      </c>
      <c r="LT100" s="721">
        <v>0.54</v>
      </c>
      <c r="LU100" s="721">
        <v>231.59</v>
      </c>
      <c r="LV100" s="721">
        <v>28</v>
      </c>
      <c r="LW100" s="721">
        <v>0.54</v>
      </c>
      <c r="LX100" s="721">
        <v>230.78</v>
      </c>
      <c r="LY100" s="721">
        <v>27.63</v>
      </c>
      <c r="LZ100" s="721">
        <v>0.54</v>
      </c>
      <c r="MA100" s="721">
        <v>229.56700000000001</v>
      </c>
      <c r="MB100" s="721">
        <v>27</v>
      </c>
      <c r="MC100" s="721">
        <v>0.54</v>
      </c>
      <c r="MD100" s="721">
        <v>223.565</v>
      </c>
      <c r="ME100" s="721">
        <v>29.38</v>
      </c>
      <c r="MF100" s="721">
        <v>0.54</v>
      </c>
      <c r="MG100" s="721">
        <v>222.762</v>
      </c>
      <c r="MH100" s="721">
        <v>28.38</v>
      </c>
      <c r="MI100" s="721">
        <v>0.53</v>
      </c>
      <c r="MJ100" s="721">
        <v>221.55500000000001</v>
      </c>
      <c r="MK100" s="721">
        <v>25.88</v>
      </c>
      <c r="ML100" s="721">
        <v>0.53</v>
      </c>
      <c r="MM100" s="721">
        <v>218.78899999999999</v>
      </c>
      <c r="MN100" s="721">
        <v>27.25</v>
      </c>
      <c r="MO100" s="721">
        <v>0.53</v>
      </c>
      <c r="MP100" s="721">
        <v>211.98099999999999</v>
      </c>
      <c r="MQ100" s="721">
        <v>26.38</v>
      </c>
    </row>
    <row r="101" spans="1:355">
      <c r="B101" s="723" t="s">
        <v>294</v>
      </c>
      <c r="C101" s="886"/>
      <c r="D101" s="886"/>
      <c r="E101" s="886"/>
      <c r="F101" s="788"/>
      <c r="G101" s="788"/>
      <c r="H101" s="788"/>
      <c r="I101" s="788"/>
      <c r="J101" s="788"/>
      <c r="K101" s="788"/>
      <c r="L101" s="828"/>
      <c r="M101" s="829"/>
      <c r="N101" s="828"/>
      <c r="O101" s="828"/>
      <c r="P101" s="828"/>
      <c r="Q101" s="828"/>
      <c r="R101" s="828"/>
      <c r="S101" s="828"/>
      <c r="T101" s="828"/>
      <c r="U101" s="788"/>
      <c r="V101" s="827"/>
      <c r="W101" s="788"/>
      <c r="X101" s="832"/>
      <c r="Y101" s="788"/>
      <c r="Z101" s="788"/>
      <c r="AA101" s="788"/>
      <c r="AB101" s="788"/>
      <c r="AC101" s="788"/>
      <c r="AJ101" s="788"/>
      <c r="AK101" s="788"/>
      <c r="AL101" s="788"/>
      <c r="AM101" s="828"/>
      <c r="AN101" s="828"/>
      <c r="AO101" s="828"/>
      <c r="AP101" s="788"/>
      <c r="AQ101" s="788"/>
      <c r="AR101" s="788"/>
      <c r="AV101" s="723"/>
      <c r="AW101" s="723"/>
      <c r="AX101" s="723"/>
      <c r="AY101" s="723"/>
      <c r="AZ101" s="723"/>
      <c r="BA101" s="723"/>
      <c r="BB101" s="723"/>
      <c r="BC101" s="723"/>
      <c r="BD101" s="723"/>
      <c r="BE101" s="723"/>
      <c r="BF101" s="723"/>
      <c r="BG101" s="723"/>
      <c r="BH101" s="723"/>
      <c r="BI101" s="723"/>
      <c r="BJ101" s="723"/>
      <c r="BK101" s="723"/>
      <c r="BL101" s="723"/>
      <c r="BM101" s="723"/>
      <c r="BN101" s="723"/>
      <c r="BO101" s="723"/>
      <c r="BP101" s="723"/>
      <c r="BQ101" s="723"/>
      <c r="BR101" s="723"/>
      <c r="BS101" s="723"/>
      <c r="BT101" s="723"/>
      <c r="BU101" s="723"/>
      <c r="BV101" s="723"/>
      <c r="BW101" s="728"/>
      <c r="BX101" s="728"/>
      <c r="BY101" s="728"/>
      <c r="BZ101" s="723"/>
      <c r="CA101" s="723"/>
      <c r="CB101" s="723"/>
      <c r="CC101" s="723"/>
      <c r="CD101" s="723"/>
      <c r="CE101" s="723"/>
      <c r="CF101" s="723"/>
      <c r="CG101" s="723"/>
      <c r="CH101" s="723"/>
      <c r="CI101" s="723"/>
      <c r="CJ101" s="723"/>
      <c r="CK101" s="723"/>
      <c r="CL101" s="723"/>
      <c r="CM101" s="723"/>
      <c r="CN101" s="723"/>
      <c r="CO101" s="723"/>
      <c r="CP101" s="723"/>
      <c r="CQ101" s="723"/>
      <c r="CR101" s="723"/>
      <c r="CS101" s="723"/>
      <c r="CT101" s="723"/>
      <c r="CU101" s="723"/>
      <c r="CV101" s="723"/>
      <c r="CW101" s="723"/>
      <c r="CX101" s="722"/>
      <c r="CY101" s="723"/>
      <c r="CZ101" s="723"/>
      <c r="DA101" s="723"/>
      <c r="DB101" s="723"/>
      <c r="DC101" s="735"/>
      <c r="DD101" s="723"/>
      <c r="DE101" s="723"/>
      <c r="DF101" s="723"/>
      <c r="DG101" s="723"/>
      <c r="DH101" s="723"/>
      <c r="DI101" s="723"/>
      <c r="DJ101" s="723"/>
      <c r="DK101" s="723"/>
      <c r="DL101" s="723"/>
      <c r="DM101" s="723"/>
      <c r="DN101" s="723"/>
      <c r="DO101" s="723"/>
      <c r="DP101" s="723"/>
      <c r="DQ101" s="723"/>
      <c r="DR101" s="723"/>
      <c r="DS101" s="723"/>
      <c r="DT101" s="725"/>
      <c r="DU101" s="723"/>
      <c r="DV101" s="723"/>
      <c r="DW101" s="723"/>
      <c r="DX101" s="723"/>
      <c r="DY101" s="723"/>
      <c r="DZ101" s="723"/>
      <c r="EA101" s="723"/>
      <c r="EB101" s="723"/>
      <c r="EC101" s="723"/>
      <c r="ED101" s="723"/>
      <c r="EE101" s="723"/>
      <c r="EF101" s="723"/>
      <c r="EG101" s="723" t="s">
        <v>394</v>
      </c>
      <c r="EH101" s="723"/>
      <c r="EI101" s="723"/>
      <c r="EJ101" s="723"/>
      <c r="EK101" s="723"/>
      <c r="EL101" s="723"/>
      <c r="EM101" s="723"/>
      <c r="EN101" s="723"/>
      <c r="EO101" s="723"/>
      <c r="EP101" s="723"/>
      <c r="EQ101" s="723"/>
      <c r="ER101" s="723"/>
      <c r="ES101" s="723"/>
      <c r="ET101" s="722"/>
      <c r="EU101" s="722"/>
      <c r="EV101" s="722"/>
      <c r="EW101" s="723"/>
      <c r="EX101" s="723"/>
      <c r="EY101" s="723"/>
      <c r="EZ101" s="723"/>
      <c r="FA101" s="723"/>
      <c r="FB101" s="723"/>
      <c r="FC101" s="723"/>
      <c r="FD101" s="741"/>
      <c r="FE101" s="723"/>
      <c r="FF101" s="727"/>
      <c r="FG101" s="727"/>
      <c r="FH101" s="727"/>
      <c r="FI101" s="727"/>
      <c r="FJ101" s="727"/>
      <c r="FK101" s="727"/>
      <c r="FL101" s="727"/>
      <c r="FM101" s="727"/>
      <c r="FN101" s="727"/>
      <c r="FO101" s="727"/>
      <c r="FP101" s="727"/>
      <c r="FQ101" s="727"/>
      <c r="FR101" s="727"/>
      <c r="FS101" s="742"/>
      <c r="FT101" s="626"/>
      <c r="FU101" s="727"/>
      <c r="FV101" s="727"/>
      <c r="FW101" s="727"/>
      <c r="FX101" s="727"/>
      <c r="FY101" s="727"/>
      <c r="FZ101" s="727"/>
      <c r="GA101" s="727"/>
      <c r="GB101" s="727"/>
      <c r="GC101" s="727"/>
      <c r="GD101" s="750"/>
      <c r="GE101" s="741"/>
      <c r="GF101" s="751"/>
      <c r="GG101" s="750"/>
      <c r="GH101" s="727"/>
      <c r="GI101" s="727"/>
      <c r="GJ101" s="727"/>
      <c r="GK101" s="727"/>
      <c r="GL101" s="727"/>
      <c r="GM101" s="727"/>
      <c r="GN101" s="727"/>
      <c r="GO101" s="727"/>
      <c r="GP101" s="727"/>
      <c r="GQ101" s="727"/>
      <c r="GR101" s="727"/>
      <c r="GS101" s="727"/>
      <c r="GT101" s="727"/>
      <c r="GU101" s="752"/>
      <c r="GV101" s="727"/>
      <c r="GW101" s="727"/>
      <c r="GX101" s="727"/>
      <c r="GY101" s="727"/>
      <c r="GZ101" s="727"/>
      <c r="HA101" s="727"/>
      <c r="HB101" s="727"/>
      <c r="HC101" s="727"/>
      <c r="HD101" s="727"/>
      <c r="HE101" s="727"/>
      <c r="HF101" s="727"/>
      <c r="HG101" s="727"/>
      <c r="HH101" s="727">
        <v>34.673000000000002</v>
      </c>
      <c r="HI101" s="727">
        <v>39.200000000000003</v>
      </c>
      <c r="HJ101" s="727">
        <v>0.45</v>
      </c>
      <c r="HK101" s="727">
        <v>34.655000000000001</v>
      </c>
      <c r="HL101" s="727">
        <v>39.25</v>
      </c>
      <c r="HM101" s="727">
        <v>0.45</v>
      </c>
      <c r="HN101" s="727">
        <v>34.590000000000003</v>
      </c>
      <c r="HO101" s="727">
        <v>37.6</v>
      </c>
      <c r="HP101" s="727">
        <v>0.45</v>
      </c>
      <c r="HQ101" s="727">
        <v>34.576999999999998</v>
      </c>
      <c r="HR101" s="727">
        <v>38.700000000000003</v>
      </c>
      <c r="HS101" s="727">
        <v>0.45</v>
      </c>
      <c r="HT101" s="727">
        <v>34.576999999999998</v>
      </c>
      <c r="HU101" s="727">
        <v>37.5</v>
      </c>
      <c r="HV101" s="727">
        <v>0.45</v>
      </c>
      <c r="HW101" s="727">
        <v>34.58</v>
      </c>
      <c r="HX101" s="727">
        <v>37</v>
      </c>
      <c r="HY101" s="727">
        <v>0.45</v>
      </c>
      <c r="HZ101" s="727">
        <v>34.927999999999997</v>
      </c>
      <c r="IA101" s="727">
        <v>32.4375</v>
      </c>
      <c r="IB101" s="727">
        <v>0.45</v>
      </c>
      <c r="IC101" s="727">
        <v>35.378999999999998</v>
      </c>
      <c r="ID101" s="727">
        <v>28.1875</v>
      </c>
      <c r="IE101" s="727">
        <v>0.45</v>
      </c>
      <c r="IF101" s="727">
        <v>35.783000000000001</v>
      </c>
      <c r="IG101" s="727">
        <v>22.25</v>
      </c>
      <c r="IH101" s="727">
        <v>0.45</v>
      </c>
      <c r="II101" s="727">
        <v>36.664999999999999</v>
      </c>
      <c r="IJ101" s="722">
        <v>21.25</v>
      </c>
      <c r="IK101" s="722">
        <v>0.45</v>
      </c>
      <c r="IL101" s="722">
        <v>36.442999999999998</v>
      </c>
      <c r="IM101" s="727">
        <v>20.5625</v>
      </c>
      <c r="IN101" s="722">
        <v>0.45</v>
      </c>
      <c r="IO101" s="722">
        <v>37.012</v>
      </c>
      <c r="IP101" s="727">
        <v>24.5</v>
      </c>
      <c r="IQ101" s="722">
        <v>0.45</v>
      </c>
      <c r="IR101" s="721">
        <v>38.46</v>
      </c>
      <c r="IS101" s="721">
        <v>26.5625</v>
      </c>
      <c r="IT101" s="721">
        <v>0.45</v>
      </c>
      <c r="IU101" s="721">
        <v>38.49</v>
      </c>
      <c r="IV101" s="721">
        <v>25.625</v>
      </c>
      <c r="IW101" s="721">
        <v>0.45</v>
      </c>
      <c r="IX101" s="721">
        <v>38.49</v>
      </c>
      <c r="IY101" s="721">
        <v>31.25</v>
      </c>
      <c r="IZ101" s="721">
        <v>0.45</v>
      </c>
      <c r="JA101" s="721">
        <v>38.630000000000003</v>
      </c>
      <c r="JB101" s="721">
        <v>31.25</v>
      </c>
      <c r="JC101" s="721">
        <v>0.45</v>
      </c>
      <c r="JD101" s="721">
        <v>38.630000000000003</v>
      </c>
      <c r="JE101" s="721">
        <v>31.937999999999999</v>
      </c>
      <c r="JF101" s="721">
        <v>0.45</v>
      </c>
      <c r="JG101" s="721">
        <v>38.85</v>
      </c>
      <c r="JH101" s="721">
        <v>32.5</v>
      </c>
      <c r="JI101" s="721">
        <v>0.45</v>
      </c>
      <c r="JJ101" s="721">
        <v>38.850999999999999</v>
      </c>
      <c r="JK101" s="721">
        <v>34</v>
      </c>
      <c r="JL101" s="721">
        <v>0.45</v>
      </c>
      <c r="JM101" s="721">
        <v>38.850999999999999</v>
      </c>
      <c r="JN101" s="721">
        <v>24.75</v>
      </c>
      <c r="JO101" s="721">
        <v>0.45</v>
      </c>
      <c r="JP101" s="721">
        <v>38.850999999999999</v>
      </c>
      <c r="JQ101" s="721">
        <v>21.062999999999999</v>
      </c>
      <c r="JR101" s="721">
        <v>0.45</v>
      </c>
      <c r="JS101" s="721">
        <v>38.850999999999999</v>
      </c>
      <c r="JT101" s="721">
        <v>19</v>
      </c>
      <c r="JU101" s="721">
        <v>0.45</v>
      </c>
      <c r="JV101" s="721">
        <v>38.850999999999999</v>
      </c>
      <c r="JW101" s="721">
        <v>19.125</v>
      </c>
      <c r="JX101" s="721">
        <v>0.45</v>
      </c>
      <c r="JY101" s="721">
        <v>37.805</v>
      </c>
      <c r="JZ101" s="721">
        <v>18.25</v>
      </c>
      <c r="KA101" s="721">
        <v>0.45</v>
      </c>
      <c r="KB101" s="721">
        <v>37.805</v>
      </c>
      <c r="KC101" s="721">
        <v>21.5</v>
      </c>
      <c r="KD101" s="721">
        <v>0.45</v>
      </c>
      <c r="KE101" s="721">
        <v>37.805</v>
      </c>
      <c r="KF101" s="721">
        <v>21.625</v>
      </c>
      <c r="KG101" s="721">
        <v>0.45</v>
      </c>
      <c r="KH101" s="721">
        <v>37.805</v>
      </c>
      <c r="KI101" s="721">
        <v>22.625</v>
      </c>
      <c r="KJ101" s="721">
        <v>0.45</v>
      </c>
      <c r="KK101" s="721">
        <v>37.805</v>
      </c>
      <c r="KL101" s="721">
        <v>23.625</v>
      </c>
      <c r="KM101" s="721">
        <v>0.45</v>
      </c>
      <c r="KN101" s="721">
        <v>37.805</v>
      </c>
      <c r="KO101" s="721">
        <v>21.25</v>
      </c>
      <c r="KP101" s="721">
        <v>0.45</v>
      </c>
      <c r="KQ101" s="721">
        <v>37.805</v>
      </c>
      <c r="KR101" s="721">
        <v>20.625</v>
      </c>
      <c r="KS101" s="721">
        <v>0.44</v>
      </c>
      <c r="KT101" s="721">
        <v>36.616999999999997</v>
      </c>
      <c r="KU101" s="721">
        <v>20.875</v>
      </c>
      <c r="KV101" s="721">
        <v>0.44</v>
      </c>
      <c r="KW101" s="721">
        <v>36.616999999999997</v>
      </c>
      <c r="KX101" s="721">
        <v>20.625</v>
      </c>
      <c r="KY101" s="721">
        <v>0.44</v>
      </c>
      <c r="KZ101" s="721">
        <v>36.616999999999997</v>
      </c>
      <c r="LA101" s="721">
        <v>21.75</v>
      </c>
      <c r="LB101" s="721">
        <v>0.44</v>
      </c>
      <c r="LC101" s="721">
        <v>35.582000000000001</v>
      </c>
      <c r="LD101" s="721">
        <v>23.875</v>
      </c>
      <c r="LE101" s="721">
        <v>0.44</v>
      </c>
      <c r="LF101" s="721">
        <v>35.582000000000001</v>
      </c>
      <c r="LG101" s="721">
        <v>26.25</v>
      </c>
      <c r="LH101" s="721">
        <v>0.43</v>
      </c>
      <c r="LI101" s="721">
        <v>35.582000000000001</v>
      </c>
      <c r="LJ101" s="721">
        <v>28.875</v>
      </c>
      <c r="LK101" s="721">
        <v>0.43</v>
      </c>
      <c r="LL101" s="721">
        <v>35.055</v>
      </c>
      <c r="LM101" s="721">
        <v>27.375</v>
      </c>
      <c r="LN101" s="721">
        <v>0.43</v>
      </c>
      <c r="LO101" s="721">
        <v>34.902999999999999</v>
      </c>
      <c r="LP101" s="721">
        <v>27.625</v>
      </c>
      <c r="LQ101" s="721">
        <v>0.43</v>
      </c>
      <c r="LR101" s="721">
        <v>32.802</v>
      </c>
      <c r="LS101" s="721">
        <v>24.5</v>
      </c>
      <c r="LT101" s="721">
        <v>0.42</v>
      </c>
      <c r="LU101" s="721">
        <v>32.802</v>
      </c>
      <c r="LV101" s="721">
        <v>24.13</v>
      </c>
      <c r="LW101" s="721">
        <v>0.42</v>
      </c>
      <c r="LX101" s="721">
        <v>32.314</v>
      </c>
      <c r="LY101" s="721">
        <v>22.88</v>
      </c>
      <c r="LZ101" s="721">
        <v>0.42</v>
      </c>
      <c r="MA101" s="721">
        <v>32.220999999999997</v>
      </c>
      <c r="MB101" s="721">
        <v>22</v>
      </c>
      <c r="MC101" s="721">
        <v>0.42</v>
      </c>
      <c r="MD101" s="721">
        <v>31.794</v>
      </c>
      <c r="ME101" s="721">
        <v>23.25</v>
      </c>
      <c r="MF101" s="721">
        <v>0.41</v>
      </c>
      <c r="MG101" s="721">
        <v>31.707000000000001</v>
      </c>
      <c r="MH101" s="721">
        <v>20.75</v>
      </c>
      <c r="MI101" s="721">
        <v>0.41</v>
      </c>
      <c r="MJ101" s="721">
        <v>31.620999999999999</v>
      </c>
      <c r="MK101" s="721">
        <v>19.38</v>
      </c>
      <c r="ML101" s="721">
        <v>0.41</v>
      </c>
      <c r="MM101" s="721">
        <v>31.536000000000001</v>
      </c>
      <c r="MN101" s="721">
        <v>19.25</v>
      </c>
      <c r="MO101" s="721">
        <v>0.41</v>
      </c>
      <c r="MP101" s="721">
        <v>31.292999999999999</v>
      </c>
      <c r="MQ101" s="721">
        <v>19.5</v>
      </c>
    </row>
    <row r="102" spans="1:355">
      <c r="B102" s="723" t="s">
        <v>295</v>
      </c>
      <c r="C102" s="886"/>
      <c r="D102" s="886"/>
      <c r="E102" s="886"/>
      <c r="F102" s="788"/>
      <c r="G102" s="788"/>
      <c r="H102" s="788"/>
      <c r="I102" s="788"/>
      <c r="J102" s="788"/>
      <c r="K102" s="788"/>
      <c r="L102" s="828"/>
      <c r="M102" s="829"/>
      <c r="N102" s="828"/>
      <c r="O102" s="828"/>
      <c r="P102" s="828"/>
      <c r="Q102" s="828"/>
      <c r="R102" s="828"/>
      <c r="S102" s="828"/>
      <c r="T102" s="828"/>
      <c r="U102" s="788"/>
      <c r="V102" s="827"/>
      <c r="W102" s="788"/>
      <c r="X102" s="832"/>
      <c r="Y102" s="788"/>
      <c r="Z102" s="788"/>
      <c r="AA102" s="788"/>
      <c r="AB102" s="788"/>
      <c r="AC102" s="788"/>
      <c r="AJ102" s="788"/>
      <c r="AK102" s="788"/>
      <c r="AL102" s="788"/>
      <c r="AM102" s="828"/>
      <c r="AN102" s="828"/>
      <c r="AO102" s="828"/>
      <c r="AP102" s="788"/>
      <c r="AQ102" s="788"/>
      <c r="AR102" s="788"/>
      <c r="AV102" s="723"/>
      <c r="AW102" s="723"/>
      <c r="AX102" s="723"/>
      <c r="AY102" s="723"/>
      <c r="AZ102" s="723"/>
      <c r="BA102" s="723"/>
      <c r="BB102" s="723"/>
      <c r="BC102" s="723"/>
      <c r="BD102" s="723"/>
      <c r="BE102" s="723"/>
      <c r="BF102" s="723"/>
      <c r="BG102" s="723"/>
      <c r="BH102" s="723"/>
      <c r="BI102" s="723"/>
      <c r="BJ102" s="723"/>
      <c r="BK102" s="723"/>
      <c r="BL102" s="723"/>
      <c r="BM102" s="723"/>
      <c r="BN102" s="723"/>
      <c r="BO102" s="723"/>
      <c r="BP102" s="723"/>
      <c r="BQ102" s="723"/>
      <c r="BR102" s="723"/>
      <c r="BS102" s="723"/>
      <c r="BT102" s="723"/>
      <c r="BU102" s="723"/>
      <c r="BV102" s="723"/>
      <c r="BW102" s="728"/>
      <c r="BX102" s="728"/>
      <c r="BY102" s="728"/>
      <c r="BZ102" s="723"/>
      <c r="CA102" s="723"/>
      <c r="CB102" s="723"/>
      <c r="CC102" s="723"/>
      <c r="CD102" s="723"/>
      <c r="CE102" s="723"/>
      <c r="CF102" s="723"/>
      <c r="CG102" s="723"/>
      <c r="CH102" s="723"/>
      <c r="CI102" s="723"/>
      <c r="CJ102" s="723"/>
      <c r="CK102" s="723"/>
      <c r="CL102" s="723"/>
      <c r="CM102" s="723"/>
      <c r="CN102" s="723"/>
      <c r="CO102" s="723"/>
      <c r="CP102" s="723"/>
      <c r="CQ102" s="723"/>
      <c r="CR102" s="723"/>
      <c r="CS102" s="723"/>
      <c r="CT102" s="723"/>
      <c r="CU102" s="723"/>
      <c r="CV102" s="723"/>
      <c r="CW102" s="723"/>
      <c r="CX102" s="722"/>
      <c r="CY102" s="723"/>
      <c r="CZ102" s="723"/>
      <c r="DA102" s="723"/>
      <c r="DB102" s="723"/>
      <c r="DC102" s="735"/>
      <c r="DD102" s="723"/>
      <c r="DE102" s="723"/>
      <c r="DF102" s="723"/>
      <c r="DG102" s="723"/>
      <c r="DH102" s="723"/>
      <c r="DI102" s="723"/>
      <c r="DJ102" s="723"/>
      <c r="DK102" s="723"/>
      <c r="DL102" s="723"/>
      <c r="DM102" s="723"/>
      <c r="DN102" s="723"/>
      <c r="DO102" s="723"/>
      <c r="DP102" s="723"/>
      <c r="DQ102" s="723"/>
      <c r="DR102" s="723"/>
      <c r="DS102" s="723"/>
      <c r="DT102" s="725"/>
      <c r="DU102" s="723"/>
      <c r="DV102" s="723"/>
      <c r="DW102" s="723"/>
      <c r="DX102" s="723"/>
      <c r="DY102" s="723"/>
      <c r="DZ102" s="723"/>
      <c r="EA102" s="723"/>
      <c r="EB102" s="723"/>
      <c r="EC102" s="723"/>
      <c r="ED102" s="723"/>
      <c r="EE102" s="723"/>
      <c r="EF102" s="723"/>
      <c r="EG102" s="723"/>
      <c r="EH102" s="723"/>
      <c r="EI102" s="723"/>
      <c r="EJ102" s="723"/>
      <c r="EK102" s="723"/>
      <c r="EL102" s="723"/>
      <c r="EM102" s="723"/>
      <c r="EN102" s="723"/>
      <c r="EO102" s="723"/>
      <c r="EP102" s="723"/>
      <c r="EQ102" s="723"/>
      <c r="ER102" s="723"/>
      <c r="ES102" s="723"/>
      <c r="ET102" s="722"/>
      <c r="EU102" s="722"/>
      <c r="EV102" s="722"/>
      <c r="EW102" s="723"/>
      <c r="EX102" s="723"/>
      <c r="EY102" s="723"/>
      <c r="EZ102" s="723"/>
      <c r="FA102" s="723"/>
      <c r="FB102" s="723"/>
      <c r="FC102" s="723"/>
      <c r="FD102" s="741"/>
      <c r="FE102" s="723"/>
      <c r="FF102" s="727"/>
      <c r="FG102" s="727"/>
      <c r="FH102" s="727"/>
      <c r="FI102" s="727"/>
      <c r="FJ102" s="727"/>
      <c r="FK102" s="727"/>
      <c r="FL102" s="727"/>
      <c r="FM102" s="727"/>
      <c r="FN102" s="727"/>
      <c r="FO102" s="727"/>
      <c r="FP102" s="727"/>
      <c r="FQ102" s="727"/>
      <c r="FR102" s="727"/>
      <c r="FS102" s="742"/>
      <c r="FT102" s="626"/>
      <c r="FU102" s="727"/>
      <c r="FV102" s="727"/>
      <c r="FW102" s="727"/>
      <c r="FX102" s="727"/>
      <c r="FY102" s="727"/>
      <c r="FZ102" s="727"/>
      <c r="GA102" s="727"/>
      <c r="GB102" s="727"/>
      <c r="GC102" s="727"/>
      <c r="GD102" s="750"/>
      <c r="GE102" s="741"/>
      <c r="GF102" s="751"/>
      <c r="GG102" s="750"/>
      <c r="GH102" s="727"/>
      <c r="GI102" s="727"/>
      <c r="GJ102" s="727"/>
      <c r="GK102" s="727"/>
      <c r="GL102" s="727"/>
      <c r="GM102" s="727"/>
      <c r="GN102" s="727"/>
      <c r="GO102" s="727"/>
      <c r="GP102" s="727"/>
      <c r="GQ102" s="727"/>
      <c r="GR102" s="727"/>
      <c r="GS102" s="727"/>
      <c r="GT102" s="727"/>
      <c r="GU102" s="752"/>
      <c r="GV102" s="727"/>
      <c r="GW102" s="727"/>
      <c r="GX102" s="727"/>
      <c r="GY102" s="727"/>
      <c r="GZ102" s="727"/>
      <c r="HA102" s="727"/>
      <c r="HB102" s="727"/>
      <c r="HC102" s="727"/>
      <c r="HD102" s="727"/>
      <c r="HE102" s="727"/>
      <c r="HF102" s="727"/>
      <c r="HG102" s="727"/>
      <c r="HH102" s="727"/>
      <c r="HI102" s="727"/>
      <c r="HJ102" s="727"/>
      <c r="HK102" s="727"/>
      <c r="HL102" s="727"/>
      <c r="HM102" s="727"/>
      <c r="HN102" s="727"/>
      <c r="HO102" s="752"/>
      <c r="HP102" s="752"/>
      <c r="HQ102" s="727"/>
      <c r="HR102" s="727"/>
      <c r="HS102" s="727"/>
      <c r="HT102" s="727"/>
      <c r="HU102" s="727"/>
      <c r="HV102" s="727"/>
      <c r="HW102" s="727"/>
      <c r="HX102" s="727"/>
      <c r="HY102" s="727"/>
      <c r="HZ102" s="727"/>
      <c r="IA102" s="727"/>
      <c r="IB102" s="727"/>
      <c r="IC102" s="727">
        <v>8.2685370000000002</v>
      </c>
      <c r="ID102" s="727">
        <v>19.3125</v>
      </c>
      <c r="IE102" s="727">
        <v>0.25</v>
      </c>
      <c r="IF102" s="727">
        <v>8.2675479999999997</v>
      </c>
      <c r="IG102" s="727">
        <v>21</v>
      </c>
      <c r="IH102" s="727">
        <v>0.25</v>
      </c>
      <c r="II102" s="727">
        <v>8.2597400000000007</v>
      </c>
      <c r="IJ102" s="722">
        <v>20.25</v>
      </c>
      <c r="IK102" s="722">
        <v>0.25</v>
      </c>
      <c r="IL102" s="722">
        <v>8.2413279999999993</v>
      </c>
      <c r="IM102" s="727">
        <v>20.5</v>
      </c>
      <c r="IN102" s="722">
        <v>0.25</v>
      </c>
      <c r="IO102" s="722">
        <v>8.1878170000000008</v>
      </c>
      <c r="IP102" s="727">
        <v>20.625</v>
      </c>
      <c r="IQ102" s="722">
        <v>0.25</v>
      </c>
      <c r="IR102" s="721">
        <v>8.1</v>
      </c>
      <c r="IS102" s="721">
        <v>20.5</v>
      </c>
      <c r="IT102" s="721">
        <v>0.25</v>
      </c>
      <c r="IU102" s="721">
        <v>8.11</v>
      </c>
      <c r="IV102" s="721">
        <v>20.4375</v>
      </c>
      <c r="IW102" s="721">
        <v>0.25</v>
      </c>
      <c r="IX102" s="721">
        <v>8.11</v>
      </c>
      <c r="IY102" s="721">
        <v>17.937999999999999</v>
      </c>
      <c r="IZ102" s="721">
        <v>0.245</v>
      </c>
      <c r="JA102" s="721">
        <v>8.06</v>
      </c>
      <c r="JB102" s="721">
        <v>18.5</v>
      </c>
      <c r="JC102" s="721">
        <v>0.245</v>
      </c>
      <c r="JD102" s="721">
        <v>8.06</v>
      </c>
      <c r="JE102" s="721">
        <v>18.625</v>
      </c>
      <c r="JF102" s="721">
        <v>0.245</v>
      </c>
      <c r="JG102" s="721">
        <v>8</v>
      </c>
      <c r="JH102" s="721">
        <v>17.875</v>
      </c>
      <c r="JI102" s="721">
        <v>0.245</v>
      </c>
      <c r="JJ102" s="721">
        <v>8.0039999999999996</v>
      </c>
      <c r="JK102" s="721">
        <v>17.75</v>
      </c>
      <c r="JL102" s="721">
        <v>0.24</v>
      </c>
      <c r="JM102" s="721">
        <v>7.94</v>
      </c>
      <c r="JN102" s="721">
        <v>16.375</v>
      </c>
      <c r="JO102" s="721">
        <v>0.24</v>
      </c>
      <c r="JP102" s="721">
        <v>7.94</v>
      </c>
      <c r="JQ102" s="721">
        <v>16.375</v>
      </c>
      <c r="JR102" s="721">
        <v>0.24</v>
      </c>
      <c r="JS102" s="721">
        <v>7.8159999999999998</v>
      </c>
      <c r="JT102" s="721">
        <v>15.375</v>
      </c>
      <c r="JU102" s="721">
        <v>0.24</v>
      </c>
      <c r="JV102" s="721">
        <v>7.8159999999999998</v>
      </c>
      <c r="JW102" s="721">
        <v>15.375</v>
      </c>
      <c r="JX102" s="721">
        <v>0.23499999999999999</v>
      </c>
      <c r="JY102" s="721">
        <v>7.8159999999999998</v>
      </c>
      <c r="JZ102" s="721">
        <v>16.375</v>
      </c>
      <c r="KA102" s="721">
        <v>0.23499999999999999</v>
      </c>
      <c r="KB102" s="721">
        <v>7.8159999999999998</v>
      </c>
      <c r="KC102" s="721">
        <v>13.875</v>
      </c>
      <c r="KD102" s="721">
        <v>0.23499999999999999</v>
      </c>
      <c r="KE102" s="721">
        <v>7.8159999999999998</v>
      </c>
      <c r="KF102" s="721">
        <v>16.25</v>
      </c>
      <c r="KG102" s="721">
        <v>0.23499999999999999</v>
      </c>
      <c r="KH102" s="721">
        <v>7.8159999999999998</v>
      </c>
      <c r="KI102" s="721">
        <v>17.75</v>
      </c>
      <c r="KJ102" s="721">
        <v>0.23</v>
      </c>
      <c r="KK102" s="721">
        <v>7.8159999999999998</v>
      </c>
      <c r="KL102" s="721">
        <v>15.188000000000001</v>
      </c>
      <c r="KM102" s="721">
        <v>0.23</v>
      </c>
      <c r="KN102" s="721">
        <v>7.8159999999999998</v>
      </c>
      <c r="KO102" s="721">
        <v>14.125</v>
      </c>
      <c r="KP102" s="721">
        <v>0.23</v>
      </c>
      <c r="KQ102" s="721">
        <v>7.8159999999999998</v>
      </c>
      <c r="KR102" s="721">
        <v>15.6875</v>
      </c>
      <c r="KS102" s="721">
        <v>0.23</v>
      </c>
      <c r="KT102" s="721">
        <v>7.9420000000000002</v>
      </c>
      <c r="KU102" s="721">
        <v>14.25</v>
      </c>
      <c r="KV102" s="721">
        <v>0.22500000000000001</v>
      </c>
      <c r="KW102" s="721">
        <v>7.9420000000000002</v>
      </c>
      <c r="KX102" s="721">
        <v>14.4375</v>
      </c>
      <c r="KY102" s="721">
        <v>0.22500000000000001</v>
      </c>
      <c r="KZ102" s="721">
        <v>7.9420000000000002</v>
      </c>
      <c r="LA102" s="721">
        <v>13.375</v>
      </c>
      <c r="LB102" s="721">
        <v>0.22500000000000001</v>
      </c>
      <c r="LC102" s="721">
        <v>8.0180000000000007</v>
      </c>
      <c r="LD102" s="721">
        <v>14.75</v>
      </c>
      <c r="LE102" s="721">
        <v>0.22500000000000001</v>
      </c>
      <c r="LF102" s="721">
        <v>8.0180000000000007</v>
      </c>
      <c r="LG102" s="721">
        <v>14.5</v>
      </c>
      <c r="LH102" s="721">
        <v>0.22</v>
      </c>
      <c r="LI102" s="721">
        <v>8.0180000000000007</v>
      </c>
      <c r="LJ102" s="721">
        <v>18.25</v>
      </c>
      <c r="LK102" s="721">
        <v>0.22</v>
      </c>
      <c r="LL102" s="721">
        <v>8.0180000000000007</v>
      </c>
      <c r="LM102" s="721">
        <v>17.5625</v>
      </c>
      <c r="LN102" s="721">
        <v>0.22</v>
      </c>
      <c r="LO102" s="721">
        <v>8.0120000000000005</v>
      </c>
      <c r="LP102" s="721">
        <v>18.375</v>
      </c>
      <c r="LQ102" s="721">
        <v>0.22</v>
      </c>
      <c r="LR102" s="721">
        <v>8.0440000000000005</v>
      </c>
      <c r="LS102" s="721">
        <v>17.13</v>
      </c>
      <c r="LT102" s="721">
        <v>0.22</v>
      </c>
      <c r="LU102" s="721">
        <v>8.0440000000000005</v>
      </c>
      <c r="LV102" s="721">
        <v>15.06</v>
      </c>
      <c r="LW102" s="721">
        <v>0.22</v>
      </c>
      <c r="LX102" s="721">
        <v>8.0419999999999998</v>
      </c>
      <c r="LY102" s="721">
        <v>15.75</v>
      </c>
      <c r="LZ102" s="721">
        <v>0.22</v>
      </c>
      <c r="MA102" s="721">
        <v>8.0380000000000003</v>
      </c>
      <c r="MB102" s="721">
        <v>15.75</v>
      </c>
      <c r="MC102" s="721">
        <v>0.22</v>
      </c>
      <c r="MD102" s="721">
        <v>8.0380000000000003</v>
      </c>
      <c r="ME102" s="721">
        <v>16.940000000000001</v>
      </c>
      <c r="MF102" s="721">
        <v>0.21</v>
      </c>
      <c r="MG102" s="721">
        <v>8.0380000000000003</v>
      </c>
      <c r="MH102" s="721">
        <v>15.63</v>
      </c>
      <c r="MI102" s="721">
        <v>0.21</v>
      </c>
      <c r="MJ102" s="721">
        <v>8.0399999999999991</v>
      </c>
      <c r="MK102" s="721">
        <v>14.31</v>
      </c>
      <c r="ML102" s="721">
        <v>0.21</v>
      </c>
      <c r="MM102" s="721">
        <v>8.0419999999999998</v>
      </c>
      <c r="MN102" s="721">
        <v>14.75</v>
      </c>
      <c r="MO102" s="721">
        <v>0.21</v>
      </c>
      <c r="MP102" s="721">
        <v>8.2520000000000007</v>
      </c>
      <c r="MQ102" s="721">
        <v>14.13</v>
      </c>
    </row>
    <row r="103" spans="1:355">
      <c r="A103" s="633" t="s">
        <v>19</v>
      </c>
      <c r="B103" s="728" t="s">
        <v>161</v>
      </c>
      <c r="C103" s="885">
        <v>277.904</v>
      </c>
      <c r="D103" s="885">
        <v>112.99</v>
      </c>
      <c r="E103" s="887">
        <v>1.0449999999999999</v>
      </c>
      <c r="F103" s="828">
        <v>277.36</v>
      </c>
      <c r="G103" s="828">
        <v>151.47999999999999</v>
      </c>
      <c r="H103" s="828">
        <v>0.96750000000000003</v>
      </c>
      <c r="I103" s="828">
        <v>274.98700000000002</v>
      </c>
      <c r="J103" s="828">
        <v>147.61000000000001</v>
      </c>
      <c r="K103" s="828">
        <v>0.96750000000000003</v>
      </c>
      <c r="L103" s="828">
        <v>274.67399999999998</v>
      </c>
      <c r="M103" s="829">
        <v>137.44</v>
      </c>
      <c r="N103" s="828">
        <v>0.96750000000000003</v>
      </c>
      <c r="O103" s="828">
        <v>268.30720000000002</v>
      </c>
      <c r="P103" s="828">
        <v>125.86</v>
      </c>
      <c r="Q103" s="839">
        <v>0.96750000000000003</v>
      </c>
      <c r="R103" s="828">
        <v>273.94400000000002</v>
      </c>
      <c r="S103" s="828">
        <v>108.19</v>
      </c>
      <c r="T103" s="828">
        <v>0.89500000000000002</v>
      </c>
      <c r="U103" s="828">
        <v>265.83699999999999</v>
      </c>
      <c r="V103" s="829">
        <v>113.75</v>
      </c>
      <c r="W103" s="828">
        <v>0.89500000000000002</v>
      </c>
      <c r="X103" s="832">
        <v>257.93200000000002</v>
      </c>
      <c r="Y103" s="788">
        <v>116.11</v>
      </c>
      <c r="Z103" s="788">
        <v>0.89500000000000002</v>
      </c>
      <c r="AA103" s="788">
        <v>251.9</v>
      </c>
      <c r="AB103" s="788">
        <v>111.22</v>
      </c>
      <c r="AC103" s="801">
        <v>0.89500000000000002</v>
      </c>
      <c r="AD103" s="788">
        <v>251.96199999999999</v>
      </c>
      <c r="AE103" s="788">
        <v>106.92</v>
      </c>
      <c r="AF103" s="788">
        <v>0.82250000000000001</v>
      </c>
      <c r="AG103" s="788">
        <v>251.447</v>
      </c>
      <c r="AH103" s="788">
        <v>114.13</v>
      </c>
      <c r="AI103" s="788">
        <v>0.82250000000000001</v>
      </c>
      <c r="AJ103" s="788">
        <v>251.131</v>
      </c>
      <c r="AK103" s="788">
        <v>112.75</v>
      </c>
      <c r="AL103" s="788">
        <v>0.82250000000000001</v>
      </c>
      <c r="AM103" s="828">
        <v>250.21700000000001</v>
      </c>
      <c r="AN103" s="828">
        <v>110.5</v>
      </c>
      <c r="AO103" s="830">
        <v>0.82250000000000001</v>
      </c>
      <c r="AP103" s="788">
        <v>250.386</v>
      </c>
      <c r="AQ103" s="788">
        <v>100.64</v>
      </c>
      <c r="AR103" s="788">
        <v>0.755</v>
      </c>
      <c r="AS103" s="723">
        <v>250.096</v>
      </c>
      <c r="AT103" s="723">
        <v>107.19</v>
      </c>
      <c r="AU103" s="723">
        <v>0.755</v>
      </c>
      <c r="AV103" s="723">
        <v>249.73400000000001</v>
      </c>
      <c r="AW103" s="723">
        <v>114.02</v>
      </c>
      <c r="AX103" s="723">
        <v>0.755</v>
      </c>
      <c r="AY103" s="723">
        <v>248.249</v>
      </c>
      <c r="AZ103" s="723">
        <v>104.05</v>
      </c>
      <c r="BA103" s="753">
        <v>0.755</v>
      </c>
      <c r="BB103" s="723">
        <v>248.43199999999999</v>
      </c>
      <c r="BC103" s="723">
        <v>94.01</v>
      </c>
      <c r="BD103" s="723">
        <v>0.7</v>
      </c>
      <c r="BE103" s="723">
        <v>248.108</v>
      </c>
      <c r="BF103" s="723">
        <v>96.72</v>
      </c>
      <c r="BG103" s="723">
        <v>0.7</v>
      </c>
      <c r="BH103" s="723">
        <v>247.72200000000001</v>
      </c>
      <c r="BI103" s="723">
        <v>98.94</v>
      </c>
      <c r="BJ103" s="723">
        <v>0.7</v>
      </c>
      <c r="BK103" s="728">
        <v>246.4</v>
      </c>
      <c r="BL103" s="728">
        <v>109.02</v>
      </c>
      <c r="BM103" s="754">
        <v>0.7</v>
      </c>
      <c r="BN103" s="723">
        <v>246.137</v>
      </c>
      <c r="BO103" s="723">
        <v>111.36</v>
      </c>
      <c r="BP103" s="723">
        <v>0.66</v>
      </c>
      <c r="BQ103" s="723">
        <v>245.68799999999999</v>
      </c>
      <c r="BR103" s="723">
        <v>105.38</v>
      </c>
      <c r="BS103" s="723">
        <v>0.66</v>
      </c>
      <c r="BT103" s="723">
        <v>245.27699999999999</v>
      </c>
      <c r="BU103" s="723">
        <v>104.71</v>
      </c>
      <c r="BV103" s="723">
        <v>0.66</v>
      </c>
      <c r="BW103" s="728">
        <v>243.863</v>
      </c>
      <c r="BX103" s="728">
        <v>96.76</v>
      </c>
      <c r="BY103" s="754">
        <v>0.66</v>
      </c>
      <c r="BZ103" s="723">
        <v>244.14</v>
      </c>
      <c r="CA103" s="723">
        <v>89.76</v>
      </c>
      <c r="CB103" s="723">
        <v>0.63</v>
      </c>
      <c r="CC103" s="723">
        <v>243.60300000000001</v>
      </c>
      <c r="CD103" s="723">
        <v>85.6</v>
      </c>
      <c r="CE103" s="723">
        <v>0.63</v>
      </c>
      <c r="CF103" s="723">
        <v>243.29400000000001</v>
      </c>
      <c r="CG103" s="723">
        <v>81.760000000000005</v>
      </c>
      <c r="CH103" s="723">
        <v>0.63</v>
      </c>
      <c r="CI103" s="728">
        <v>241.34700000000001</v>
      </c>
      <c r="CJ103" s="728">
        <v>79.94</v>
      </c>
      <c r="CK103" s="754">
        <v>0.63</v>
      </c>
      <c r="CL103" s="723">
        <v>241.68899999999999</v>
      </c>
      <c r="CM103" s="723">
        <v>70.94</v>
      </c>
      <c r="CN103" s="723">
        <v>0.6</v>
      </c>
      <c r="CO103" s="723">
        <v>241.14099999999999</v>
      </c>
      <c r="CP103" s="723">
        <v>64.489999999999995</v>
      </c>
      <c r="CQ103" s="723">
        <v>0.6</v>
      </c>
      <c r="CR103" s="723">
        <v>240.566</v>
      </c>
      <c r="CS103" s="723">
        <v>68.89</v>
      </c>
      <c r="CT103" s="723">
        <v>0.6</v>
      </c>
      <c r="CU103" s="728">
        <v>239.72</v>
      </c>
      <c r="CV103" s="728">
        <v>59.96</v>
      </c>
      <c r="CW103" s="754">
        <v>0.6</v>
      </c>
      <c r="CX103" s="722">
        <v>239.54499999999999</v>
      </c>
      <c r="CY103" s="723">
        <v>55</v>
      </c>
      <c r="CZ103" s="723">
        <v>0.48</v>
      </c>
      <c r="DA103" s="723">
        <v>239.41499999999999</v>
      </c>
      <c r="DB103" s="723">
        <v>51.5</v>
      </c>
      <c r="DC103" s="722">
        <v>0.48</v>
      </c>
      <c r="DD103" s="723">
        <v>240.12799999999999</v>
      </c>
      <c r="DE103" s="723">
        <v>52.88</v>
      </c>
      <c r="DF103" s="723">
        <v>0.48</v>
      </c>
      <c r="DG103" s="723">
        <v>239.465</v>
      </c>
      <c r="DH103" s="723">
        <v>53.5</v>
      </c>
      <c r="DI103" s="753">
        <v>0.48</v>
      </c>
      <c r="DJ103" s="723">
        <v>246.66800000000001</v>
      </c>
      <c r="DK103" s="723">
        <v>52.48</v>
      </c>
      <c r="DL103" s="723">
        <v>0.39</v>
      </c>
      <c r="DM103" s="723">
        <v>246.78399999999999</v>
      </c>
      <c r="DN103" s="723">
        <v>53.8</v>
      </c>
      <c r="DO103" s="723">
        <v>0.39</v>
      </c>
      <c r="DP103" s="723">
        <v>246.083</v>
      </c>
      <c r="DQ103" s="723">
        <v>46.79</v>
      </c>
      <c r="DR103" s="723">
        <v>0.39</v>
      </c>
      <c r="DS103" s="723">
        <v>244.923</v>
      </c>
      <c r="DT103" s="725">
        <v>49.9</v>
      </c>
      <c r="DU103" s="723">
        <v>0.39</v>
      </c>
      <c r="DV103" s="723">
        <v>243.92500000000001</v>
      </c>
      <c r="DW103" s="723">
        <v>55.98</v>
      </c>
      <c r="DX103" s="723">
        <v>0.39</v>
      </c>
      <c r="DY103" s="723">
        <v>242.71799999999999</v>
      </c>
      <c r="DZ103" s="723">
        <v>49.81</v>
      </c>
      <c r="EA103" s="723">
        <v>0.39</v>
      </c>
      <c r="EB103" s="723">
        <v>241.76599999999999</v>
      </c>
      <c r="EC103" s="723">
        <v>49.63</v>
      </c>
      <c r="ED103" s="723">
        <v>0.39</v>
      </c>
      <c r="EE103" s="723">
        <v>241.62</v>
      </c>
      <c r="EF103" s="723">
        <v>46.24</v>
      </c>
      <c r="EG103" s="723">
        <v>0.39</v>
      </c>
      <c r="EH103" s="723">
        <v>243.79300000000001</v>
      </c>
      <c r="EI103" s="723">
        <v>42.63</v>
      </c>
      <c r="EJ103" s="723">
        <v>0.35</v>
      </c>
      <c r="EK103" s="723">
        <v>245.57599999999999</v>
      </c>
      <c r="EL103" s="723">
        <v>50.47</v>
      </c>
      <c r="EM103" s="723">
        <v>0.35</v>
      </c>
      <c r="EN103" s="723">
        <v>258.62400000000002</v>
      </c>
      <c r="EO103" s="723">
        <v>56.45</v>
      </c>
      <c r="EP103" s="757">
        <v>0.35</v>
      </c>
      <c r="EQ103" s="723">
        <v>259.26900000000001</v>
      </c>
      <c r="ER103" s="723">
        <v>53.28</v>
      </c>
      <c r="ES103" s="723">
        <v>0.32</v>
      </c>
      <c r="ET103" s="722">
        <v>259.56299999999999</v>
      </c>
      <c r="EU103" s="722">
        <v>61.88</v>
      </c>
      <c r="EV103" s="722">
        <v>0.31</v>
      </c>
      <c r="EW103" s="723">
        <v>260.19799999999998</v>
      </c>
      <c r="EX103" s="723">
        <v>58.12</v>
      </c>
      <c r="EY103" s="723">
        <v>0.31</v>
      </c>
      <c r="EZ103" s="723">
        <v>259.459</v>
      </c>
      <c r="FA103" s="723">
        <v>59.23</v>
      </c>
      <c r="FB103" s="723">
        <v>0.31</v>
      </c>
      <c r="FC103" s="723">
        <v>256.47699999999998</v>
      </c>
      <c r="FD103" s="741">
        <v>61.01</v>
      </c>
      <c r="FE103" s="723">
        <v>0.31</v>
      </c>
      <c r="FF103" s="727">
        <v>257.48700000000002</v>
      </c>
      <c r="FG103" s="727">
        <v>56.04</v>
      </c>
      <c r="FH103" s="727">
        <v>0.3</v>
      </c>
      <c r="FI103" s="727">
        <v>255.72800000000001</v>
      </c>
      <c r="FJ103" s="727">
        <v>50.25</v>
      </c>
      <c r="FK103" s="727">
        <v>0.3</v>
      </c>
      <c r="FL103" s="727">
        <v>254.25700000000001</v>
      </c>
      <c r="FM103" s="727">
        <v>45.48</v>
      </c>
      <c r="FN103" s="727">
        <v>0.3</v>
      </c>
      <c r="FO103" s="727">
        <v>253.51599999999999</v>
      </c>
      <c r="FP103" s="727">
        <v>46.46</v>
      </c>
      <c r="FQ103" s="727">
        <v>0.3</v>
      </c>
      <c r="FR103" s="727">
        <v>252.97399999999999</v>
      </c>
      <c r="FS103" s="742">
        <v>44.84</v>
      </c>
      <c r="FT103" s="626">
        <f>1.16/4</f>
        <v>0.28999999999999998</v>
      </c>
      <c r="FU103" s="727">
        <v>243.898</v>
      </c>
      <c r="FV103" s="727">
        <v>47.06</v>
      </c>
      <c r="FW103" s="727">
        <v>0.28999999999999998</v>
      </c>
      <c r="FX103" s="727">
        <v>232.93899999999999</v>
      </c>
      <c r="FY103" s="727">
        <v>41.31</v>
      </c>
      <c r="FZ103" s="727">
        <v>0.28999999999999998</v>
      </c>
      <c r="GA103" s="727">
        <v>229.376</v>
      </c>
      <c r="GB103" s="727">
        <v>39.840000000000003</v>
      </c>
      <c r="GC103" s="727">
        <v>0.28999999999999998</v>
      </c>
      <c r="GD103" s="750">
        <v>229.376</v>
      </c>
      <c r="GE103" s="741">
        <v>36.68</v>
      </c>
      <c r="GF103" s="751">
        <v>0.25</v>
      </c>
      <c r="GG103" s="750">
        <v>230.43199999999999</v>
      </c>
      <c r="GH103" s="727">
        <v>36.19</v>
      </c>
      <c r="GI103" s="727">
        <v>0.25</v>
      </c>
      <c r="GJ103" s="727">
        <v>228.05500000000001</v>
      </c>
      <c r="GK103" s="727">
        <v>34.43</v>
      </c>
      <c r="GL103" s="727">
        <v>0.25</v>
      </c>
      <c r="GM103" s="727">
        <v>208.816</v>
      </c>
      <c r="GN103" s="727">
        <v>31.8</v>
      </c>
      <c r="GO103" s="727">
        <v>0.25</v>
      </c>
      <c r="GP103" s="727">
        <v>208.816</v>
      </c>
      <c r="GQ103" s="727">
        <v>30.06</v>
      </c>
      <c r="GR103" s="727">
        <v>0.25</v>
      </c>
      <c r="GS103" s="727">
        <v>207.626</v>
      </c>
      <c r="GT103" s="727">
        <v>29.36</v>
      </c>
      <c r="GU103" s="727">
        <v>0.25</v>
      </c>
      <c r="GV103" s="727">
        <v>206.393</v>
      </c>
      <c r="GW103" s="727">
        <v>28.53</v>
      </c>
      <c r="GX103" s="727">
        <v>0.25</v>
      </c>
      <c r="GY103" s="727">
        <v>204.87299999999999</v>
      </c>
      <c r="GZ103" s="727">
        <v>24.96</v>
      </c>
      <c r="HA103" s="727">
        <v>0.25</v>
      </c>
      <c r="HB103" s="727">
        <v>204.93199999999999</v>
      </c>
      <c r="HC103" s="727">
        <v>23.65</v>
      </c>
      <c r="HD103" s="727">
        <v>0.25</v>
      </c>
      <c r="HE103" s="727">
        <v>205.35400000000001</v>
      </c>
      <c r="HF103" s="727">
        <v>19.649999999999999</v>
      </c>
      <c r="HG103" s="727">
        <v>0.25</v>
      </c>
      <c r="HH103" s="727">
        <v>204.85300000000001</v>
      </c>
      <c r="HI103" s="727">
        <v>22.13</v>
      </c>
      <c r="HJ103" s="727">
        <v>0.25</v>
      </c>
      <c r="HK103" s="727">
        <v>204.47499999999999</v>
      </c>
      <c r="HL103" s="727">
        <v>25.15</v>
      </c>
      <c r="HM103" s="727">
        <v>0.25</v>
      </c>
      <c r="HN103" s="727">
        <v>204.18</v>
      </c>
      <c r="HO103" s="727">
        <v>24.55</v>
      </c>
      <c r="HP103" s="727">
        <v>0.25</v>
      </c>
      <c r="HQ103" s="727">
        <v>203.4</v>
      </c>
      <c r="HR103" s="727">
        <v>24.75</v>
      </c>
      <c r="HS103" s="727">
        <v>0.25</v>
      </c>
      <c r="HT103" s="727">
        <v>202.285</v>
      </c>
      <c r="HU103" s="727">
        <v>27.34</v>
      </c>
      <c r="HV103" s="727">
        <v>0.25</v>
      </c>
      <c r="HW103" s="727">
        <v>201.76</v>
      </c>
      <c r="HX103" s="727">
        <v>23.28</v>
      </c>
      <c r="HY103" s="727">
        <v>0.25</v>
      </c>
      <c r="HZ103" s="727">
        <v>201.33799999999999</v>
      </c>
      <c r="IA103" s="727">
        <v>23.25</v>
      </c>
      <c r="IB103" s="727">
        <v>0.25</v>
      </c>
      <c r="IC103" s="727">
        <v>201.386</v>
      </c>
      <c r="ID103" s="727">
        <v>20.8125</v>
      </c>
      <c r="IE103" s="727">
        <v>0.25</v>
      </c>
      <c r="IF103" s="727">
        <v>228.291</v>
      </c>
      <c r="IG103" s="727">
        <v>17</v>
      </c>
      <c r="IH103" s="727">
        <v>0.25</v>
      </c>
      <c r="II103" s="727">
        <v>237.40199999999999</v>
      </c>
      <c r="IJ103" s="722">
        <v>16.75</v>
      </c>
      <c r="IK103" s="722">
        <v>0.25</v>
      </c>
      <c r="IL103" s="722">
        <v>237.35300000000001</v>
      </c>
      <c r="IM103" s="727">
        <v>17.375</v>
      </c>
      <c r="IN103" s="722">
        <v>0.39</v>
      </c>
      <c r="IO103" s="722">
        <v>237.15700000000001</v>
      </c>
      <c r="IP103" s="727">
        <v>20.8125</v>
      </c>
      <c r="IQ103" s="722">
        <v>0.39</v>
      </c>
      <c r="IR103" s="721">
        <v>236.42</v>
      </c>
      <c r="IS103" s="721">
        <v>22.625</v>
      </c>
      <c r="IT103" s="721">
        <v>0.39</v>
      </c>
      <c r="IU103" s="721">
        <v>236.75</v>
      </c>
      <c r="IV103" s="721">
        <v>19.1875</v>
      </c>
      <c r="IW103" s="721">
        <v>0.39</v>
      </c>
      <c r="IX103" s="721">
        <v>236.75</v>
      </c>
      <c r="IY103" s="721">
        <v>25.375</v>
      </c>
      <c r="IZ103" s="721">
        <v>0.39</v>
      </c>
      <c r="JA103" s="721">
        <v>113.62</v>
      </c>
      <c r="JB103" s="721">
        <v>26.062999999999999</v>
      </c>
      <c r="JC103" s="721">
        <v>0.39</v>
      </c>
      <c r="JD103" s="721">
        <v>113.62</v>
      </c>
      <c r="JE103" s="721">
        <v>27.812999999999999</v>
      </c>
      <c r="JF103" s="721">
        <v>0.39</v>
      </c>
      <c r="JG103" s="721">
        <v>113.62</v>
      </c>
      <c r="JH103" s="721">
        <v>27.9375</v>
      </c>
      <c r="JI103" s="721">
        <v>0.39</v>
      </c>
      <c r="JJ103" s="721">
        <v>113.616</v>
      </c>
      <c r="JK103" s="721">
        <v>26.9375</v>
      </c>
      <c r="JL103" s="721">
        <v>0.39</v>
      </c>
      <c r="JM103" s="721">
        <v>116.452</v>
      </c>
      <c r="JN103" s="721">
        <v>25.25</v>
      </c>
      <c r="JO103" s="721">
        <v>0.39</v>
      </c>
      <c r="JP103" s="721">
        <v>116.452</v>
      </c>
      <c r="JQ103" s="721">
        <v>24.062999999999999</v>
      </c>
      <c r="JR103" s="721">
        <v>0.39</v>
      </c>
      <c r="JS103" s="721">
        <v>116.553</v>
      </c>
      <c r="JT103" s="721">
        <v>22</v>
      </c>
      <c r="JU103" s="721">
        <v>0.39</v>
      </c>
      <c r="JV103" s="721">
        <v>116.553</v>
      </c>
      <c r="JW103" s="721">
        <v>22.75</v>
      </c>
      <c r="JX103" s="721">
        <v>0.39</v>
      </c>
      <c r="JY103" s="721">
        <v>116.553</v>
      </c>
      <c r="JZ103" s="721">
        <v>22.125</v>
      </c>
      <c r="KA103" s="721">
        <v>0.39</v>
      </c>
      <c r="KB103" s="721">
        <v>116.553</v>
      </c>
      <c r="KC103" s="721">
        <v>22.875</v>
      </c>
      <c r="KD103" s="721">
        <v>0.39</v>
      </c>
      <c r="KE103" s="721">
        <v>116.553</v>
      </c>
      <c r="KF103" s="721">
        <v>22.875</v>
      </c>
      <c r="KG103" s="721">
        <v>0.39</v>
      </c>
      <c r="KH103" s="721">
        <v>116.553</v>
      </c>
      <c r="KI103" s="721">
        <v>23.75</v>
      </c>
      <c r="KJ103" s="721">
        <v>0.39</v>
      </c>
      <c r="KK103" s="721">
        <v>116.553</v>
      </c>
      <c r="KL103" s="721">
        <v>23.125</v>
      </c>
      <c r="KM103" s="721">
        <v>0.39</v>
      </c>
      <c r="KN103" s="721">
        <v>116.553</v>
      </c>
      <c r="KO103" s="721">
        <v>20.75</v>
      </c>
      <c r="KP103" s="721">
        <v>0.39</v>
      </c>
      <c r="KQ103" s="721">
        <v>116.553</v>
      </c>
      <c r="KR103" s="721">
        <v>20.75</v>
      </c>
      <c r="KS103" s="721">
        <v>0.39</v>
      </c>
      <c r="KT103" s="721">
        <v>116.447</v>
      </c>
      <c r="KU103" s="721">
        <v>19.25</v>
      </c>
      <c r="KV103" s="721">
        <v>0.38</v>
      </c>
      <c r="KW103" s="721">
        <v>116.447</v>
      </c>
      <c r="KX103" s="721">
        <v>19.125</v>
      </c>
      <c r="KY103" s="721">
        <v>0.38</v>
      </c>
      <c r="KZ103" s="721">
        <v>116.447</v>
      </c>
      <c r="LA103" s="721">
        <v>18.5</v>
      </c>
      <c r="LB103" s="721">
        <v>0.38</v>
      </c>
      <c r="LC103" s="721">
        <v>116.33499999999999</v>
      </c>
      <c r="LD103" s="721">
        <v>22.125</v>
      </c>
      <c r="LE103" s="721">
        <v>0.38</v>
      </c>
      <c r="LF103" s="721">
        <v>116.33499999999999</v>
      </c>
      <c r="LG103" s="721">
        <v>24.875</v>
      </c>
      <c r="LH103" s="721">
        <v>0.37</v>
      </c>
      <c r="LI103" s="721">
        <v>116.33499999999999</v>
      </c>
      <c r="LJ103" s="721">
        <v>27</v>
      </c>
      <c r="LK103" s="721">
        <v>0.37</v>
      </c>
      <c r="LL103" s="721">
        <v>115.908</v>
      </c>
      <c r="LM103" s="721">
        <v>25.5</v>
      </c>
      <c r="LN103" s="721">
        <v>0.37</v>
      </c>
      <c r="LO103" s="721">
        <v>115.45</v>
      </c>
      <c r="LP103" s="721">
        <v>26.25</v>
      </c>
      <c r="LQ103" s="721">
        <v>0.37</v>
      </c>
      <c r="LR103" s="721">
        <v>113.47199999999999</v>
      </c>
      <c r="LS103" s="721">
        <v>24</v>
      </c>
      <c r="LT103" s="721">
        <v>0.36</v>
      </c>
      <c r="LU103" s="721">
        <v>113.47199999999999</v>
      </c>
      <c r="LV103" s="721">
        <v>24.5</v>
      </c>
      <c r="LW103" s="721">
        <v>0.36</v>
      </c>
      <c r="LX103" s="721">
        <v>113.13800000000001</v>
      </c>
      <c r="LY103" s="721">
        <v>23.5</v>
      </c>
      <c r="LZ103" s="721">
        <v>0.36</v>
      </c>
      <c r="MA103" s="721">
        <v>112.8</v>
      </c>
      <c r="MB103" s="721">
        <v>21.94</v>
      </c>
      <c r="MC103" s="721">
        <v>0.35</v>
      </c>
      <c r="MD103" s="721">
        <v>111.988</v>
      </c>
      <c r="ME103" s="721">
        <v>22.56</v>
      </c>
      <c r="MF103" s="721">
        <v>0.35</v>
      </c>
      <c r="MG103" s="721">
        <v>111.884</v>
      </c>
      <c r="MH103" s="721">
        <v>20.75</v>
      </c>
      <c r="MI103" s="721">
        <v>0.35</v>
      </c>
      <c r="MJ103" s="721">
        <v>111.886</v>
      </c>
      <c r="MK103" s="721">
        <v>18.690000000000001</v>
      </c>
      <c r="ML103" s="721">
        <v>0.34</v>
      </c>
      <c r="MM103" s="721">
        <v>111.88800000000001</v>
      </c>
      <c r="MN103" s="721">
        <v>21.94</v>
      </c>
      <c r="MO103" s="721">
        <v>0.34</v>
      </c>
      <c r="MP103" s="721">
        <v>111.842</v>
      </c>
      <c r="MQ103" s="721">
        <v>22.44</v>
      </c>
    </row>
    <row r="104" spans="1:355">
      <c r="A104" s="633" t="s">
        <v>26</v>
      </c>
      <c r="B104" s="728" t="s">
        <v>162</v>
      </c>
      <c r="C104" s="886"/>
      <c r="D104" s="886"/>
      <c r="E104" s="886"/>
      <c r="F104" s="788"/>
      <c r="G104" s="788"/>
      <c r="H104" s="788"/>
      <c r="I104" s="788"/>
      <c r="J104" s="788"/>
      <c r="K104" s="788"/>
      <c r="L104" s="828"/>
      <c r="M104" s="829"/>
      <c r="N104" s="828"/>
      <c r="O104" s="828"/>
      <c r="P104" s="828"/>
      <c r="Q104" s="828"/>
      <c r="R104" s="828">
        <v>143</v>
      </c>
      <c r="S104" s="828">
        <v>47.78</v>
      </c>
      <c r="T104" s="828">
        <v>0.1237</v>
      </c>
      <c r="U104" s="828">
        <v>143</v>
      </c>
      <c r="V104" s="829">
        <v>38.89</v>
      </c>
      <c r="W104" s="828">
        <v>0.1237</v>
      </c>
      <c r="X104" s="832">
        <v>143</v>
      </c>
      <c r="Y104" s="788">
        <v>38.520000000000003</v>
      </c>
      <c r="Z104" s="796">
        <v>0.1237</v>
      </c>
      <c r="AA104" s="788">
        <v>143</v>
      </c>
      <c r="AB104" s="788">
        <v>37.549999999999997</v>
      </c>
      <c r="AC104" s="788">
        <v>0.61250000000000004</v>
      </c>
      <c r="AD104" s="788">
        <v>143</v>
      </c>
      <c r="AE104" s="788">
        <v>39.78</v>
      </c>
      <c r="AF104" s="788">
        <v>0.61250000000000004</v>
      </c>
      <c r="AG104" s="788">
        <v>142.9</v>
      </c>
      <c r="AH104" s="788">
        <v>48.49</v>
      </c>
      <c r="AI104" s="788">
        <v>0.61250000000000004</v>
      </c>
      <c r="AJ104" s="788">
        <v>142.9</v>
      </c>
      <c r="AK104" s="788">
        <v>67.010000000000005</v>
      </c>
      <c r="AL104" s="788">
        <v>0.61250000000000004</v>
      </c>
      <c r="AM104" s="828">
        <v>142.9</v>
      </c>
      <c r="AN104" s="828">
        <v>65.349999999999994</v>
      </c>
      <c r="AO104" s="830">
        <v>0.61250000000000004</v>
      </c>
      <c r="AP104" s="788">
        <v>142.9</v>
      </c>
      <c r="AQ104" s="788">
        <v>73.28</v>
      </c>
      <c r="AR104" s="788">
        <v>0.57499999999999996</v>
      </c>
      <c r="AS104" s="723">
        <v>142.9</v>
      </c>
      <c r="AT104" s="723">
        <v>72.37</v>
      </c>
      <c r="AU104" s="723">
        <v>0.57499999999999996</v>
      </c>
      <c r="AV104" s="723">
        <v>142.9</v>
      </c>
      <c r="AW104" s="723">
        <v>75.66</v>
      </c>
      <c r="AX104" s="723">
        <v>0.57499999999999996</v>
      </c>
      <c r="AY104" s="723">
        <v>142.9</v>
      </c>
      <c r="AZ104" s="723">
        <v>70.150000000000006</v>
      </c>
      <c r="BA104" s="753">
        <v>0.57499999999999996</v>
      </c>
      <c r="BB104" s="723">
        <v>142.9</v>
      </c>
      <c r="BC104" s="723">
        <v>60.49</v>
      </c>
      <c r="BD104" s="723">
        <v>0.54500000000000004</v>
      </c>
      <c r="BE104" s="723">
        <v>142.9</v>
      </c>
      <c r="BF104" s="723">
        <v>56.26</v>
      </c>
      <c r="BG104" s="723">
        <v>0.54500000000000004</v>
      </c>
      <c r="BH104" s="723">
        <v>142.9</v>
      </c>
      <c r="BI104" s="723">
        <v>50.65</v>
      </c>
      <c r="BJ104" s="723">
        <v>0.54500000000000004</v>
      </c>
      <c r="BK104" s="728">
        <v>142.6</v>
      </c>
      <c r="BL104" s="728">
        <v>54.99</v>
      </c>
      <c r="BM104" s="754">
        <v>0.54500000000000004</v>
      </c>
      <c r="BN104" s="723">
        <v>142.1</v>
      </c>
      <c r="BO104" s="723">
        <v>60.4</v>
      </c>
      <c r="BP104" s="723">
        <v>0.52500000000000002</v>
      </c>
      <c r="BQ104" s="723">
        <v>141.69999999999999</v>
      </c>
      <c r="BR104" s="723">
        <v>49.61</v>
      </c>
      <c r="BS104" s="723">
        <v>0.52500000000000002</v>
      </c>
      <c r="BT104" s="723">
        <v>141.1</v>
      </c>
      <c r="BU104" s="723">
        <v>53.81</v>
      </c>
      <c r="BV104" s="723">
        <v>0.52500000000000002</v>
      </c>
      <c r="BW104" s="728">
        <v>138.69999999999999</v>
      </c>
      <c r="BX104" s="728">
        <v>51.32</v>
      </c>
      <c r="BY104" s="754">
        <v>0.52500000000000002</v>
      </c>
      <c r="BZ104" s="723">
        <v>140.1</v>
      </c>
      <c r="CA104" s="723">
        <v>46.93</v>
      </c>
      <c r="CB104" s="723">
        <v>0.50749999999999995</v>
      </c>
      <c r="CC104" s="723">
        <v>139.6</v>
      </c>
      <c r="CD104" s="723">
        <v>46.04</v>
      </c>
      <c r="CE104" s="723">
        <v>0.50749999999999995</v>
      </c>
      <c r="CF104" s="723">
        <v>134.4</v>
      </c>
      <c r="CG104" s="723">
        <v>49.1</v>
      </c>
      <c r="CH104" s="723">
        <v>0.50749999999999995</v>
      </c>
      <c r="CI104" s="728">
        <v>131.1</v>
      </c>
      <c r="CJ104" s="728">
        <v>51.16</v>
      </c>
      <c r="CK104" s="754">
        <v>0.50749999999999995</v>
      </c>
      <c r="CL104" s="723">
        <v>131.4</v>
      </c>
      <c r="CM104" s="723">
        <v>45.64</v>
      </c>
      <c r="CN104" s="723">
        <v>0.495</v>
      </c>
      <c r="CO104" s="723">
        <v>130.9</v>
      </c>
      <c r="CP104" s="723">
        <v>48.27</v>
      </c>
      <c r="CQ104" s="723">
        <v>0.495</v>
      </c>
      <c r="CR104" s="723">
        <v>130.30000000000001</v>
      </c>
      <c r="CS104" s="723">
        <v>47.83</v>
      </c>
      <c r="CT104" s="723">
        <v>0.495</v>
      </c>
      <c r="CU104" s="728">
        <v>128.80000000000001</v>
      </c>
      <c r="CV104" s="728">
        <v>45.61</v>
      </c>
      <c r="CW104" s="754">
        <v>0.495</v>
      </c>
      <c r="CX104" s="722">
        <v>129.1</v>
      </c>
      <c r="CY104" s="723">
        <v>45.06</v>
      </c>
      <c r="CZ104" s="723">
        <v>0.48499999999999999</v>
      </c>
      <c r="DA104" s="723">
        <v>128.5</v>
      </c>
      <c r="DB104" s="723">
        <v>40.450000000000003</v>
      </c>
      <c r="DC104" s="722">
        <v>0.48499999999999999</v>
      </c>
      <c r="DD104" s="723">
        <v>127.9</v>
      </c>
      <c r="DE104" s="723">
        <v>39.36</v>
      </c>
      <c r="DF104" s="723">
        <v>0.48499999999999999</v>
      </c>
      <c r="DG104" s="723">
        <v>127.2</v>
      </c>
      <c r="DH104" s="723">
        <v>39.369999999999997</v>
      </c>
      <c r="DI104" s="753">
        <v>0.48499999999999999</v>
      </c>
      <c r="DJ104" s="723">
        <v>126.6</v>
      </c>
      <c r="DK104" s="723">
        <v>40.6</v>
      </c>
      <c r="DL104" s="723">
        <v>0.47499999999999998</v>
      </c>
      <c r="DM104" s="723">
        <v>125.2</v>
      </c>
      <c r="DN104" s="723">
        <v>40.32</v>
      </c>
      <c r="DO104" s="723">
        <v>0.47499999999999998</v>
      </c>
      <c r="DP104" s="723">
        <v>123.8</v>
      </c>
      <c r="DQ104" s="723">
        <v>35.76</v>
      </c>
      <c r="DR104" s="723">
        <v>0.47499999999999998</v>
      </c>
      <c r="DS104" s="723">
        <v>123.2</v>
      </c>
      <c r="DT104" s="725">
        <v>37.590000000000003</v>
      </c>
      <c r="DU104" s="723">
        <v>0.47499999999999998</v>
      </c>
      <c r="DV104" s="723">
        <v>122.5</v>
      </c>
      <c r="DW104" s="723">
        <v>37.68</v>
      </c>
      <c r="DX104" s="723">
        <v>0.47</v>
      </c>
      <c r="DY104" s="723">
        <v>121.8</v>
      </c>
      <c r="DZ104" s="723">
        <v>34.9</v>
      </c>
      <c r="EA104" s="723">
        <v>0.47</v>
      </c>
      <c r="EB104" s="723">
        <v>120.9</v>
      </c>
      <c r="EC104" s="723">
        <v>32.47</v>
      </c>
      <c r="ED104" s="723">
        <v>0.47</v>
      </c>
      <c r="EE104" s="723">
        <v>117.6</v>
      </c>
      <c r="EF104" s="723">
        <v>30.89</v>
      </c>
      <c r="EG104" s="723">
        <v>0.47</v>
      </c>
      <c r="EH104" s="723">
        <v>117.1</v>
      </c>
      <c r="EI104" s="723">
        <v>35.6</v>
      </c>
      <c r="EJ104" s="723">
        <v>0.46</v>
      </c>
      <c r="EK104" s="723">
        <v>116.7</v>
      </c>
      <c r="EL104" s="723">
        <v>38.93</v>
      </c>
      <c r="EM104" s="723">
        <v>0.46</v>
      </c>
      <c r="EN104" s="723">
        <v>116.7</v>
      </c>
      <c r="EO104" s="723">
        <v>37</v>
      </c>
      <c r="EP104" s="723">
        <v>0.46</v>
      </c>
      <c r="EQ104" s="723">
        <v>116.7</v>
      </c>
      <c r="ER104" s="723">
        <v>36.58</v>
      </c>
      <c r="ES104" s="723">
        <v>0.46</v>
      </c>
      <c r="ET104" s="722">
        <v>116.7</v>
      </c>
      <c r="EU104" s="722">
        <v>42.15</v>
      </c>
      <c r="EV104" s="722">
        <v>0.44</v>
      </c>
      <c r="EW104" s="723">
        <v>116.7</v>
      </c>
      <c r="EX104" s="723">
        <v>38.74</v>
      </c>
      <c r="EY104" s="723">
        <v>0.44</v>
      </c>
      <c r="EZ104" s="723">
        <v>116.7</v>
      </c>
      <c r="FA104" s="723">
        <v>38.29</v>
      </c>
      <c r="FB104" s="723">
        <v>0.44</v>
      </c>
      <c r="FC104" s="723">
        <v>115.8</v>
      </c>
      <c r="FD104" s="741">
        <v>43.17</v>
      </c>
      <c r="FE104" s="723">
        <v>0.44</v>
      </c>
      <c r="FF104" s="727">
        <v>116.1</v>
      </c>
      <c r="FG104" s="727">
        <v>40.619999999999997</v>
      </c>
      <c r="FH104" s="727">
        <v>0.42</v>
      </c>
      <c r="FI104" s="727">
        <v>115.5</v>
      </c>
      <c r="FJ104" s="727">
        <v>40.270000000000003</v>
      </c>
      <c r="FK104" s="727">
        <v>0.42</v>
      </c>
      <c r="FL104" s="727">
        <v>115</v>
      </c>
      <c r="FM104" s="727">
        <v>38.58</v>
      </c>
      <c r="FN104" s="727">
        <v>0.42</v>
      </c>
      <c r="FO104" s="727">
        <v>114.5</v>
      </c>
      <c r="FP104" s="727">
        <v>39.24</v>
      </c>
      <c r="FQ104" s="727">
        <v>0.42</v>
      </c>
      <c r="FR104" s="727">
        <v>114.1</v>
      </c>
      <c r="FS104" s="742">
        <v>39.380000000000003</v>
      </c>
      <c r="FT104" s="626">
        <f>1.56/4</f>
        <v>0.39</v>
      </c>
      <c r="FU104" s="727">
        <v>113.6</v>
      </c>
      <c r="FV104" s="727">
        <v>42.24</v>
      </c>
      <c r="FW104" s="727">
        <v>0.39</v>
      </c>
      <c r="FX104" s="727">
        <v>112.9</v>
      </c>
      <c r="FY104" s="727">
        <v>42.71</v>
      </c>
      <c r="FZ104" s="727">
        <v>0.39</v>
      </c>
      <c r="GA104" s="727">
        <v>111.8</v>
      </c>
      <c r="GB104" s="727">
        <v>38.22</v>
      </c>
      <c r="GC104" s="727">
        <v>0.39</v>
      </c>
      <c r="GD104" s="750">
        <v>111.8</v>
      </c>
      <c r="GE104" s="741">
        <v>39.4</v>
      </c>
      <c r="GF104" s="751">
        <v>0.36499999999999999</v>
      </c>
      <c r="GG104" s="750">
        <v>111.2</v>
      </c>
      <c r="GH104" s="727">
        <v>37.340000000000003</v>
      </c>
      <c r="GI104" s="727">
        <v>0.36499999999999999</v>
      </c>
      <c r="GJ104" s="727">
        <v>110.9</v>
      </c>
      <c r="GK104" s="727">
        <v>36.369999999999997</v>
      </c>
      <c r="GL104" s="727">
        <v>0.36499999999999999</v>
      </c>
      <c r="GM104" s="727">
        <v>110.8</v>
      </c>
      <c r="GN104" s="727">
        <v>35.35</v>
      </c>
      <c r="GO104" s="727">
        <v>0.36499999999999999</v>
      </c>
      <c r="GP104" s="727">
        <v>110.9</v>
      </c>
      <c r="GQ104" s="727">
        <v>34.25</v>
      </c>
      <c r="GR104" s="727">
        <v>0.34499999999999997</v>
      </c>
      <c r="GS104" s="727">
        <v>110.8</v>
      </c>
      <c r="GT104" s="727">
        <v>34.25</v>
      </c>
      <c r="GU104" s="727">
        <v>0.34499999999999997</v>
      </c>
      <c r="GV104" s="727">
        <v>110.8</v>
      </c>
      <c r="GW104" s="727">
        <v>34.28</v>
      </c>
      <c r="GX104" s="727">
        <v>0.34499999999999997</v>
      </c>
      <c r="GY104" s="727">
        <v>109.8</v>
      </c>
      <c r="GZ104" s="727">
        <v>29.92</v>
      </c>
      <c r="HA104" s="727">
        <v>0.34499999999999997</v>
      </c>
      <c r="HB104" s="727">
        <v>104.7</v>
      </c>
      <c r="HC104" s="727">
        <v>30.96</v>
      </c>
      <c r="HD104" s="727">
        <v>0.32500000000000001</v>
      </c>
      <c r="HE104" s="727">
        <v>104.7</v>
      </c>
      <c r="HF104" s="727">
        <v>26.02</v>
      </c>
      <c r="HG104" s="727">
        <v>0.32500000000000001</v>
      </c>
      <c r="HH104" s="727">
        <v>104.7</v>
      </c>
      <c r="HI104" s="727">
        <v>30.87</v>
      </c>
      <c r="HJ104" s="727">
        <v>0.32500000000000001</v>
      </c>
      <c r="HK104" s="727">
        <v>104.7</v>
      </c>
      <c r="HL104" s="727">
        <v>30.6</v>
      </c>
      <c r="HM104" s="727">
        <v>0.32500000000000001</v>
      </c>
      <c r="HN104" s="727">
        <v>104.7</v>
      </c>
      <c r="HO104" s="727">
        <v>27.83</v>
      </c>
      <c r="HP104" s="727">
        <v>0.3</v>
      </c>
      <c r="HQ104" s="727">
        <v>104.7</v>
      </c>
      <c r="HR104" s="727">
        <v>25.38</v>
      </c>
      <c r="HS104" s="727">
        <v>0.3</v>
      </c>
      <c r="HT104" s="727">
        <v>104.7</v>
      </c>
      <c r="HU104" s="727">
        <v>28.4</v>
      </c>
      <c r="HV104" s="727">
        <v>0.3</v>
      </c>
      <c r="HW104" s="727">
        <v>104.7</v>
      </c>
      <c r="HX104" s="727">
        <v>27.15</v>
      </c>
      <c r="HY104" s="727">
        <v>0.3</v>
      </c>
      <c r="HZ104" s="727">
        <v>104.7</v>
      </c>
      <c r="IA104" s="727">
        <v>29.5625</v>
      </c>
      <c r="IB104" s="727">
        <v>0.28749999999999998</v>
      </c>
      <c r="IC104" s="727">
        <v>104</v>
      </c>
      <c r="ID104" s="727">
        <v>30.875</v>
      </c>
      <c r="IE104" s="727">
        <v>0.28749999999999998</v>
      </c>
      <c r="IF104" s="727">
        <v>103.7</v>
      </c>
      <c r="IG104" s="727">
        <v>24.125</v>
      </c>
      <c r="IH104" s="727">
        <v>0.28749999999999998</v>
      </c>
      <c r="II104" s="727">
        <v>103.6</v>
      </c>
      <c r="IJ104" s="722">
        <v>24.5625</v>
      </c>
      <c r="IK104" s="722">
        <v>0.28749999999999998</v>
      </c>
      <c r="IL104" s="722">
        <v>103.6</v>
      </c>
      <c r="IM104" s="727">
        <v>26.875</v>
      </c>
      <c r="IN104" s="722">
        <v>0.27500000000000002</v>
      </c>
      <c r="IO104" s="722">
        <v>103.6</v>
      </c>
      <c r="IP104" s="727">
        <v>24.1875</v>
      </c>
      <c r="IQ104" s="722">
        <v>0.27500000000000002</v>
      </c>
      <c r="IR104" s="721">
        <v>105.3</v>
      </c>
      <c r="IS104" s="721">
        <v>23.375</v>
      </c>
      <c r="IT104" s="721">
        <v>0.38500000000000001</v>
      </c>
      <c r="IU104" s="721">
        <v>104.2</v>
      </c>
      <c r="IV104" s="721">
        <v>21.6875</v>
      </c>
      <c r="IW104" s="721">
        <v>0.38500000000000001</v>
      </c>
      <c r="IX104" s="721">
        <v>104.2</v>
      </c>
      <c r="IY104" s="721">
        <v>32.25</v>
      </c>
      <c r="IZ104" s="721">
        <v>0.38500000000000001</v>
      </c>
      <c r="JA104" s="721">
        <v>107.32</v>
      </c>
      <c r="JB104" s="721">
        <v>33.563000000000002</v>
      </c>
      <c r="JC104" s="721">
        <v>0.38500000000000001</v>
      </c>
      <c r="JD104" s="721">
        <v>107.32</v>
      </c>
      <c r="JE104" s="721">
        <v>29.812999999999999</v>
      </c>
      <c r="JF104" s="721">
        <v>0.38500000000000001</v>
      </c>
      <c r="JG104" s="721">
        <v>107.32</v>
      </c>
      <c r="JH104" s="721">
        <v>30.9375</v>
      </c>
      <c r="JI104" s="721">
        <v>0.3775</v>
      </c>
      <c r="JJ104" s="721">
        <v>107.321</v>
      </c>
      <c r="JK104" s="721">
        <v>29.9375</v>
      </c>
      <c r="JL104" s="721">
        <v>0.3775</v>
      </c>
      <c r="JM104" s="721">
        <v>106.623</v>
      </c>
      <c r="JN104" s="721">
        <v>25.0625</v>
      </c>
      <c r="JO104" s="721">
        <v>0.3775</v>
      </c>
      <c r="JP104" s="721">
        <v>106.623</v>
      </c>
      <c r="JQ104" s="721">
        <v>24.812999999999999</v>
      </c>
      <c r="JR104" s="721">
        <v>0.3775</v>
      </c>
      <c r="JS104" s="721">
        <v>105.447</v>
      </c>
      <c r="JT104" s="721">
        <v>25.375</v>
      </c>
      <c r="JU104" s="721">
        <v>0.3775</v>
      </c>
      <c r="JV104" s="721">
        <v>105.447</v>
      </c>
      <c r="JW104" s="721">
        <v>26.75</v>
      </c>
      <c r="JX104" s="721">
        <v>0.36749999999999999</v>
      </c>
      <c r="JY104" s="721">
        <v>96.632999999999996</v>
      </c>
      <c r="JZ104" s="721">
        <v>26.25</v>
      </c>
      <c r="KA104" s="721">
        <v>0.36749999999999999</v>
      </c>
      <c r="KB104" s="721">
        <v>96.632999999999996</v>
      </c>
      <c r="KC104" s="721">
        <v>28.125</v>
      </c>
      <c r="KD104" s="721">
        <v>0.36749999999999999</v>
      </c>
      <c r="KE104" s="721">
        <v>96.632999999999996</v>
      </c>
      <c r="KF104" s="721">
        <v>27.5</v>
      </c>
      <c r="KG104" s="721">
        <v>0.36749999999999999</v>
      </c>
      <c r="KH104" s="721">
        <v>96.632999999999996</v>
      </c>
      <c r="KI104" s="721">
        <v>28.625</v>
      </c>
      <c r="KJ104" s="721">
        <v>0.36</v>
      </c>
      <c r="KK104" s="721">
        <v>96.632999999999996</v>
      </c>
      <c r="KL104" s="721">
        <v>24</v>
      </c>
      <c r="KM104" s="721">
        <v>0.36</v>
      </c>
      <c r="KN104" s="721">
        <v>96.632999999999996</v>
      </c>
      <c r="KO104" s="721">
        <v>22.375</v>
      </c>
      <c r="KP104" s="721">
        <v>0.36</v>
      </c>
      <c r="KQ104" s="721">
        <v>96.632999999999996</v>
      </c>
      <c r="KR104" s="721">
        <v>20.875</v>
      </c>
      <c r="KS104" s="721">
        <v>0.35249999999999998</v>
      </c>
      <c r="KT104" s="721">
        <v>93.128</v>
      </c>
      <c r="KU104" s="721">
        <v>21.0625</v>
      </c>
      <c r="KV104" s="721">
        <v>0.35249999999999998</v>
      </c>
      <c r="KW104" s="721">
        <v>93.128</v>
      </c>
      <c r="KX104" s="721">
        <v>22.1875</v>
      </c>
      <c r="KY104" s="721">
        <v>0.35249999999999998</v>
      </c>
      <c r="KZ104" s="721">
        <v>93.128</v>
      </c>
      <c r="LA104" s="721">
        <v>21.4375</v>
      </c>
      <c r="LB104" s="721">
        <v>0.35249999999999998</v>
      </c>
      <c r="LC104" s="721">
        <v>91.421999999999997</v>
      </c>
      <c r="LD104" s="721">
        <v>22.8125</v>
      </c>
      <c r="LE104" s="721">
        <v>0.35249999999999998</v>
      </c>
      <c r="LF104" s="721">
        <v>91.421999999999997</v>
      </c>
      <c r="LG104" s="721">
        <v>24.875</v>
      </c>
      <c r="LH104" s="721">
        <v>0.34250000000000003</v>
      </c>
      <c r="LI104" s="721">
        <v>91.421999999999997</v>
      </c>
      <c r="LJ104" s="721">
        <v>25.375</v>
      </c>
      <c r="LK104" s="721">
        <v>0.34250000000000003</v>
      </c>
      <c r="LL104" s="721">
        <v>88.86</v>
      </c>
      <c r="LM104" s="721">
        <v>23.9375</v>
      </c>
      <c r="LN104" s="721">
        <v>0.34250000000000003</v>
      </c>
      <c r="LO104" s="721">
        <v>88.221999999999994</v>
      </c>
      <c r="LP104" s="721">
        <v>22.875</v>
      </c>
      <c r="LQ104" s="721">
        <v>0.34250000000000003</v>
      </c>
      <c r="LR104" s="721">
        <v>82.168000000000006</v>
      </c>
      <c r="LS104" s="721">
        <v>20.25</v>
      </c>
      <c r="LT104" s="721">
        <v>0.34</v>
      </c>
      <c r="LU104" s="721">
        <v>82.168000000000006</v>
      </c>
      <c r="LV104" s="721">
        <v>21.5</v>
      </c>
      <c r="LW104" s="721">
        <v>0.34</v>
      </c>
      <c r="LX104" s="721">
        <v>81.962000000000003</v>
      </c>
      <c r="LY104" s="721">
        <v>20.25</v>
      </c>
      <c r="LZ104" s="721">
        <v>0.34</v>
      </c>
      <c r="MA104" s="721">
        <v>81.760000000000005</v>
      </c>
      <c r="MB104" s="721">
        <v>19.690000000000001</v>
      </c>
      <c r="MC104" s="721">
        <v>0.33</v>
      </c>
      <c r="MD104" s="721">
        <v>80.721999999999994</v>
      </c>
      <c r="ME104" s="721">
        <v>22.13</v>
      </c>
      <c r="MF104" s="721">
        <v>0.33</v>
      </c>
      <c r="MG104" s="721">
        <v>80.754000000000005</v>
      </c>
      <c r="MH104" s="721">
        <v>20.190000000000001</v>
      </c>
      <c r="MI104" s="721">
        <v>0.33</v>
      </c>
      <c r="MJ104" s="721">
        <v>81.257999999999996</v>
      </c>
      <c r="MK104" s="721">
        <v>18.75</v>
      </c>
      <c r="ML104" s="721">
        <v>0.33</v>
      </c>
      <c r="MM104" s="721">
        <v>81.763999999999996</v>
      </c>
      <c r="MN104" s="721">
        <v>18.38</v>
      </c>
      <c r="MO104" s="721">
        <v>0.32</v>
      </c>
      <c r="MP104" s="721">
        <v>81.763999999999996</v>
      </c>
      <c r="MQ104" s="721">
        <v>17.309999999999999</v>
      </c>
    </row>
    <row r="105" spans="1:355">
      <c r="B105" s="723" t="s">
        <v>296</v>
      </c>
      <c r="C105" s="886"/>
      <c r="D105" s="886"/>
      <c r="E105" s="886"/>
      <c r="F105" s="788"/>
      <c r="G105" s="788"/>
      <c r="H105" s="788"/>
      <c r="I105" s="788"/>
      <c r="J105" s="788"/>
      <c r="K105" s="788"/>
      <c r="L105" s="828"/>
      <c r="M105" s="829"/>
      <c r="N105" s="828"/>
      <c r="O105" s="828"/>
      <c r="P105" s="828"/>
      <c r="Q105" s="828"/>
      <c r="R105" s="828"/>
      <c r="S105" s="828"/>
      <c r="T105" s="828"/>
      <c r="U105" s="788"/>
      <c r="V105" s="827"/>
      <c r="W105" s="788"/>
      <c r="X105" s="832"/>
      <c r="Y105" s="788"/>
      <c r="Z105" s="788"/>
      <c r="AA105" s="788"/>
      <c r="AB105" s="788"/>
      <c r="AC105" s="788"/>
      <c r="AJ105" s="788"/>
      <c r="AK105" s="788"/>
      <c r="AL105" s="788"/>
      <c r="AM105" s="828"/>
      <c r="AN105" s="828"/>
      <c r="AO105" s="828"/>
      <c r="AP105" s="788"/>
      <c r="AQ105" s="788"/>
      <c r="AR105" s="788"/>
      <c r="AV105" s="723"/>
      <c r="AW105" s="723"/>
      <c r="AX105" s="723"/>
      <c r="AY105" s="723"/>
      <c r="AZ105" s="723"/>
      <c r="BA105" s="723"/>
      <c r="BB105" s="723"/>
      <c r="BC105" s="723"/>
      <c r="BD105" s="723"/>
      <c r="BE105" s="723"/>
      <c r="BF105" s="723"/>
      <c r="BG105" s="723"/>
      <c r="BH105" s="723"/>
      <c r="BI105" s="723"/>
      <c r="BJ105" s="723"/>
      <c r="BK105" s="723"/>
      <c r="BL105" s="723"/>
      <c r="BM105" s="723"/>
      <c r="BN105" s="723"/>
      <c r="BO105" s="723"/>
      <c r="BP105" s="723"/>
      <c r="BQ105" s="723"/>
      <c r="BR105" s="723"/>
      <c r="BS105" s="723"/>
      <c r="BT105" s="723"/>
      <c r="BU105" s="723"/>
      <c r="BV105" s="723"/>
      <c r="BW105" s="728"/>
      <c r="BX105" s="728"/>
      <c r="BY105" s="728"/>
      <c r="BZ105" s="723"/>
      <c r="CA105" s="723"/>
      <c r="CB105" s="723"/>
      <c r="CC105" s="723"/>
      <c r="CD105" s="723"/>
      <c r="CE105" s="723"/>
      <c r="CF105" s="723"/>
      <c r="CG105" s="723"/>
      <c r="CH105" s="723"/>
      <c r="CI105" s="723"/>
      <c r="CJ105" s="723"/>
      <c r="CK105" s="723"/>
      <c r="CL105" s="723"/>
      <c r="CM105" s="723"/>
      <c r="CN105" s="723"/>
      <c r="CO105" s="723"/>
      <c r="CP105" s="723"/>
      <c r="CQ105" s="723"/>
      <c r="CR105" s="723"/>
      <c r="CS105" s="723"/>
      <c r="CT105" s="723"/>
      <c r="CU105" s="723"/>
      <c r="CV105" s="723"/>
      <c r="CW105" s="723"/>
      <c r="CX105" s="722"/>
      <c r="CY105" s="723"/>
      <c r="CZ105" s="723"/>
      <c r="DA105" s="723"/>
      <c r="DB105" s="723"/>
      <c r="DC105" s="735"/>
      <c r="DD105" s="723"/>
      <c r="DE105" s="723"/>
      <c r="DF105" s="723"/>
      <c r="DG105" s="723"/>
      <c r="DH105" s="723"/>
      <c r="DI105" s="723"/>
      <c r="DJ105" s="723"/>
      <c r="DK105" s="723"/>
      <c r="DL105" s="723"/>
      <c r="DM105" s="723"/>
      <c r="DN105" s="723"/>
      <c r="DO105" s="723"/>
      <c r="DP105" s="723"/>
      <c r="DQ105" s="723"/>
      <c r="DR105" s="723"/>
      <c r="DS105" s="723"/>
      <c r="DT105" s="725"/>
      <c r="DU105" s="723"/>
      <c r="DV105" s="723"/>
      <c r="DW105" s="723"/>
      <c r="DX105" s="723"/>
      <c r="DY105" s="723"/>
      <c r="DZ105" s="723"/>
      <c r="EA105" s="723"/>
      <c r="EB105" s="723"/>
      <c r="EC105" s="723"/>
      <c r="ED105" s="723"/>
      <c r="EE105" s="723"/>
      <c r="EF105" s="723"/>
      <c r="EG105" s="723"/>
      <c r="EH105" s="723"/>
      <c r="EI105" s="723"/>
      <c r="EJ105" s="723"/>
      <c r="EK105" s="723"/>
      <c r="EL105" s="723"/>
      <c r="EM105" s="723"/>
      <c r="EN105" s="723"/>
      <c r="EO105" s="723"/>
      <c r="EP105" s="723"/>
      <c r="EQ105" s="723"/>
      <c r="ER105" s="723"/>
      <c r="ES105" s="723"/>
      <c r="ET105" s="722"/>
      <c r="EU105" s="722"/>
      <c r="EV105" s="722"/>
      <c r="EW105" s="723"/>
      <c r="EX105" s="723"/>
      <c r="EY105" s="723"/>
      <c r="EZ105" s="723"/>
      <c r="FA105" s="723"/>
      <c r="FB105" s="723"/>
      <c r="FC105" s="723"/>
      <c r="FD105" s="741"/>
      <c r="FE105" s="723"/>
      <c r="FF105" s="727"/>
      <c r="FG105" s="727"/>
      <c r="FH105" s="727"/>
      <c r="FI105" s="727"/>
      <c r="FJ105" s="727"/>
      <c r="FK105" s="727"/>
      <c r="FL105" s="727"/>
      <c r="FM105" s="727"/>
      <c r="FN105" s="727"/>
      <c r="FO105" s="727"/>
      <c r="FP105" s="727"/>
      <c r="FQ105" s="727"/>
      <c r="FR105" s="727"/>
      <c r="FS105" s="742"/>
      <c r="FT105" s="626"/>
      <c r="FU105" s="727"/>
      <c r="FV105" s="727"/>
      <c r="FW105" s="727"/>
      <c r="FX105" s="727"/>
      <c r="FY105" s="727"/>
      <c r="FZ105" s="727"/>
      <c r="GA105" s="727"/>
      <c r="GB105" s="727"/>
      <c r="GC105" s="727"/>
      <c r="GD105" s="750"/>
      <c r="GE105" s="741"/>
      <c r="GF105" s="751"/>
      <c r="GG105" s="750"/>
      <c r="GH105" s="727"/>
      <c r="GI105" s="727"/>
      <c r="GJ105" s="727"/>
      <c r="GK105" s="727"/>
      <c r="GL105" s="727"/>
      <c r="GM105" s="727"/>
      <c r="GN105" s="727"/>
      <c r="GO105" s="727"/>
      <c r="GP105" s="727"/>
      <c r="GQ105" s="727"/>
      <c r="GR105" s="727"/>
      <c r="GS105" s="727"/>
      <c r="GT105" s="727"/>
      <c r="GU105" s="752"/>
      <c r="GV105" s="727"/>
      <c r="GW105" s="727"/>
      <c r="GX105" s="727"/>
      <c r="GY105" s="727"/>
      <c r="GZ105" s="727"/>
      <c r="HA105" s="727"/>
      <c r="HB105" s="727"/>
      <c r="HC105" s="727"/>
      <c r="HD105" s="727"/>
      <c r="HE105" s="727"/>
      <c r="HF105" s="727"/>
      <c r="HG105" s="727"/>
      <c r="HH105" s="727"/>
      <c r="HI105" s="727"/>
      <c r="HJ105" s="727"/>
      <c r="HK105" s="727"/>
      <c r="HL105" s="727"/>
      <c r="HM105" s="727"/>
      <c r="HN105" s="727"/>
      <c r="HO105" s="752"/>
      <c r="HP105" s="752"/>
      <c r="HQ105" s="727"/>
      <c r="HR105" s="727"/>
      <c r="HS105" s="727"/>
      <c r="HT105" s="727"/>
      <c r="HU105" s="727"/>
      <c r="HV105" s="727"/>
      <c r="HW105" s="727"/>
      <c r="HX105" s="727"/>
      <c r="HY105" s="727"/>
      <c r="HZ105" s="727"/>
      <c r="IA105" s="727"/>
      <c r="IB105" s="727"/>
      <c r="IC105" s="727"/>
      <c r="ID105" s="727"/>
      <c r="IE105" s="727"/>
      <c r="IF105" s="727"/>
      <c r="IG105" s="727"/>
      <c r="IH105" s="727"/>
      <c r="II105" s="727"/>
      <c r="IJ105" s="722"/>
      <c r="IK105" s="722"/>
      <c r="IL105" s="722"/>
      <c r="IM105" s="727"/>
      <c r="IN105" s="722"/>
      <c r="IO105" s="722"/>
      <c r="IP105" s="727"/>
      <c r="IQ105" s="722"/>
      <c r="IR105" s="721">
        <v>30.95</v>
      </c>
      <c r="IS105" s="721">
        <v>36.375</v>
      </c>
      <c r="IT105" s="721">
        <v>0.34</v>
      </c>
      <c r="IU105" s="721">
        <v>30.95</v>
      </c>
      <c r="IV105" s="721">
        <v>35.1875</v>
      </c>
      <c r="IW105" s="721">
        <v>0.34</v>
      </c>
      <c r="IX105" s="721">
        <v>30.95</v>
      </c>
      <c r="IY105" s="721">
        <v>38</v>
      </c>
      <c r="IZ105" s="721">
        <v>0.32500000000000001</v>
      </c>
      <c r="JA105" s="721">
        <v>30.93</v>
      </c>
      <c r="JB105" s="721">
        <v>38.813000000000002</v>
      </c>
      <c r="JC105" s="721">
        <v>0.32500000000000001</v>
      </c>
      <c r="JD105" s="721">
        <v>30.93</v>
      </c>
      <c r="JE105" s="721">
        <v>36.313000000000002</v>
      </c>
      <c r="JF105" s="721">
        <v>0.32500000000000001</v>
      </c>
      <c r="JG105" s="721">
        <v>30.89</v>
      </c>
      <c r="JH105" s="721">
        <v>37.5625</v>
      </c>
      <c r="JI105" s="721">
        <v>0.31</v>
      </c>
      <c r="JJ105" s="721">
        <v>30.890999999999998</v>
      </c>
      <c r="JK105" s="721">
        <v>37.5</v>
      </c>
      <c r="JL105" s="721">
        <v>0.31</v>
      </c>
      <c r="JM105" s="721">
        <v>30.495000000000001</v>
      </c>
      <c r="JN105" s="721">
        <v>32.0625</v>
      </c>
      <c r="JO105" s="721">
        <v>0.31</v>
      </c>
      <c r="JP105" s="721">
        <v>30.495000000000001</v>
      </c>
      <c r="JQ105" s="721">
        <v>32</v>
      </c>
      <c r="JR105" s="721">
        <v>0.31</v>
      </c>
      <c r="JS105" s="721">
        <v>30.690999999999999</v>
      </c>
      <c r="JT105" s="721">
        <v>29.375</v>
      </c>
      <c r="JU105" s="721">
        <v>0.31</v>
      </c>
      <c r="JV105" s="721">
        <v>30.690999999999999</v>
      </c>
      <c r="JW105" s="721">
        <v>28.75</v>
      </c>
      <c r="JX105" s="721">
        <v>0.29499999999999998</v>
      </c>
      <c r="JY105" s="721">
        <v>26.503</v>
      </c>
      <c r="JZ105" s="721">
        <v>25.875</v>
      </c>
      <c r="KA105" s="721">
        <v>0.29499999999999998</v>
      </c>
      <c r="KB105" s="721">
        <v>26.503</v>
      </c>
      <c r="KC105" s="721">
        <v>25.375</v>
      </c>
      <c r="KD105" s="721">
        <v>0.29499999999999998</v>
      </c>
      <c r="KE105" s="721">
        <v>26.503</v>
      </c>
      <c r="KF105" s="721">
        <v>25.125</v>
      </c>
      <c r="KG105" s="721">
        <v>0.29499999999999998</v>
      </c>
      <c r="KH105" s="721">
        <v>26.503</v>
      </c>
      <c r="KI105" s="721">
        <v>23.375</v>
      </c>
      <c r="KJ105" s="721">
        <v>0.28000000000000003</v>
      </c>
      <c r="KK105" s="721">
        <v>26.503</v>
      </c>
      <c r="KL105" s="721">
        <v>22.875</v>
      </c>
      <c r="KM105" s="721">
        <v>0.28000000000000003</v>
      </c>
      <c r="KN105" s="721">
        <v>26.503</v>
      </c>
      <c r="KO105" s="721">
        <v>21.75</v>
      </c>
      <c r="KP105" s="721">
        <v>0.28000000000000003</v>
      </c>
      <c r="KQ105" s="721">
        <v>26.503</v>
      </c>
      <c r="KR105" s="721">
        <v>19.75</v>
      </c>
      <c r="KS105" s="721">
        <v>0.28000000000000003</v>
      </c>
      <c r="KT105" s="721">
        <v>26.503</v>
      </c>
      <c r="KU105" s="721">
        <v>18.75</v>
      </c>
      <c r="KV105" s="721">
        <v>0.28000000000000003</v>
      </c>
      <c r="KW105" s="721">
        <v>26.503</v>
      </c>
      <c r="KX105" s="721">
        <v>19.75</v>
      </c>
      <c r="KY105" s="721">
        <v>0.28000000000000003</v>
      </c>
      <c r="KZ105" s="721">
        <v>26.503</v>
      </c>
      <c r="LA105" s="721">
        <v>18.75</v>
      </c>
      <c r="LB105" s="721">
        <v>0.28000000000000003</v>
      </c>
      <c r="LC105" s="721">
        <v>26.503</v>
      </c>
      <c r="LD105" s="721">
        <v>18.5</v>
      </c>
      <c r="LE105" s="721">
        <v>0.28000000000000003</v>
      </c>
      <c r="LF105" s="721">
        <v>26.503</v>
      </c>
      <c r="LG105" s="721">
        <v>20.5</v>
      </c>
      <c r="LH105" s="721">
        <v>0.28000000000000003</v>
      </c>
      <c r="LI105" s="721">
        <v>26.503</v>
      </c>
      <c r="LJ105" s="721">
        <v>21.625</v>
      </c>
      <c r="LK105" s="721">
        <v>0.28000000000000003</v>
      </c>
      <c r="LL105" s="721">
        <v>26.084</v>
      </c>
      <c r="LM105" s="721">
        <v>21.625</v>
      </c>
      <c r="LN105" s="721">
        <v>0.28000000000000003</v>
      </c>
      <c r="LO105" s="721">
        <v>25.99</v>
      </c>
      <c r="LP105" s="721">
        <v>21.375</v>
      </c>
      <c r="LQ105" s="721">
        <v>0.28000000000000003</v>
      </c>
      <c r="LR105" s="721">
        <v>25.645</v>
      </c>
      <c r="LS105" s="721">
        <v>20.38</v>
      </c>
      <c r="LT105" s="721">
        <v>0.28000000000000003</v>
      </c>
      <c r="LU105" s="721">
        <v>25.645</v>
      </c>
      <c r="LV105" s="721">
        <v>19.13</v>
      </c>
      <c r="LW105" s="721">
        <v>0.28000000000000003</v>
      </c>
      <c r="LX105" s="721">
        <v>25.57</v>
      </c>
      <c r="LY105" s="721">
        <v>23.13</v>
      </c>
      <c r="LZ105" s="721">
        <v>0.46</v>
      </c>
      <c r="MA105" s="721">
        <v>25.492000000000001</v>
      </c>
      <c r="MB105" s="721">
        <v>23</v>
      </c>
      <c r="MC105" s="721">
        <v>0.46</v>
      </c>
      <c r="MD105" s="721">
        <v>23.975999999999999</v>
      </c>
      <c r="ME105" s="721">
        <v>23.88</v>
      </c>
      <c r="MF105" s="721">
        <v>0.46</v>
      </c>
      <c r="MG105" s="721">
        <v>23.515999999999998</v>
      </c>
      <c r="MH105" s="721">
        <v>23.88</v>
      </c>
      <c r="MI105" s="721">
        <v>0.46</v>
      </c>
      <c r="MJ105" s="721">
        <v>23.045000000000002</v>
      </c>
      <c r="MK105" s="721">
        <v>22.38</v>
      </c>
      <c r="ML105" s="721">
        <v>0.46</v>
      </c>
      <c r="MM105" s="721">
        <v>22.978999999999999</v>
      </c>
      <c r="MN105" s="721">
        <v>22.25</v>
      </c>
      <c r="MO105" s="721">
        <v>0.46</v>
      </c>
      <c r="MP105" s="721">
        <v>22.649000000000001</v>
      </c>
      <c r="MQ105" s="721">
        <v>22.38</v>
      </c>
    </row>
    <row r="106" spans="1:355" ht="13.8" thickBot="1">
      <c r="A106" s="633" t="s">
        <v>38</v>
      </c>
      <c r="B106" s="726" t="s">
        <v>163</v>
      </c>
      <c r="C106" s="886"/>
      <c r="D106" s="886"/>
      <c r="E106" s="886"/>
      <c r="F106" s="788"/>
      <c r="G106" s="788"/>
      <c r="H106" s="788"/>
      <c r="I106" s="788"/>
      <c r="J106" s="788"/>
      <c r="K106" s="788"/>
      <c r="L106" s="828"/>
      <c r="M106" s="829"/>
      <c r="N106" s="828"/>
      <c r="O106" s="828"/>
      <c r="P106" s="828"/>
      <c r="Q106" s="828"/>
      <c r="R106" s="828">
        <v>83.1</v>
      </c>
      <c r="S106" s="828">
        <v>71.98</v>
      </c>
      <c r="T106" s="839">
        <v>0.48</v>
      </c>
      <c r="U106" s="828">
        <v>83.1</v>
      </c>
      <c r="V106" s="829">
        <v>71.489999999999995</v>
      </c>
      <c r="W106" s="828">
        <v>0.45</v>
      </c>
      <c r="X106" s="832">
        <v>83.1</v>
      </c>
      <c r="Y106" s="788">
        <v>71.45</v>
      </c>
      <c r="Z106" s="788">
        <v>0.45</v>
      </c>
      <c r="AA106" s="788">
        <v>83</v>
      </c>
      <c r="AB106" s="788">
        <v>63.92</v>
      </c>
      <c r="AC106" s="788">
        <v>0.45</v>
      </c>
      <c r="AD106" s="788">
        <v>83</v>
      </c>
      <c r="AE106" s="788">
        <v>65.02</v>
      </c>
      <c r="AF106" s="801">
        <v>0.45</v>
      </c>
      <c r="AG106" s="788">
        <v>82.9</v>
      </c>
      <c r="AH106" s="788">
        <v>65.77</v>
      </c>
      <c r="AI106" s="788">
        <v>0.42</v>
      </c>
      <c r="AJ106" s="788">
        <v>82.9</v>
      </c>
      <c r="AK106" s="788">
        <v>58.44</v>
      </c>
      <c r="AL106" s="788">
        <v>0.42</v>
      </c>
      <c r="AM106" s="828">
        <v>82.8</v>
      </c>
      <c r="AN106" s="828">
        <v>58.61</v>
      </c>
      <c r="AO106" s="828">
        <v>0.42</v>
      </c>
      <c r="AP106" s="788">
        <v>82.8</v>
      </c>
      <c r="AQ106" s="788">
        <v>52.15</v>
      </c>
      <c r="AR106" s="795">
        <v>0.42</v>
      </c>
      <c r="AS106" s="727">
        <v>82.8</v>
      </c>
      <c r="AT106" s="727">
        <v>50.2</v>
      </c>
      <c r="AU106" s="727">
        <v>0.4</v>
      </c>
      <c r="AV106" s="727">
        <v>82.8</v>
      </c>
      <c r="AW106" s="727">
        <v>52.67</v>
      </c>
      <c r="AX106" s="727">
        <v>0.4</v>
      </c>
      <c r="AY106" s="727">
        <v>82.7</v>
      </c>
      <c r="AZ106" s="727">
        <v>50.56</v>
      </c>
      <c r="BA106" s="727">
        <v>0.4</v>
      </c>
      <c r="BB106" s="727">
        <v>82.7</v>
      </c>
      <c r="BC106" s="727">
        <v>42.42</v>
      </c>
      <c r="BD106" s="727">
        <v>0.4</v>
      </c>
      <c r="BE106" s="727">
        <v>82.6</v>
      </c>
      <c r="BF106" s="727">
        <v>42.01</v>
      </c>
      <c r="BG106" s="727">
        <v>0.38</v>
      </c>
      <c r="BH106" s="727">
        <v>82.6</v>
      </c>
      <c r="BI106" s="727">
        <v>38.479999999999997</v>
      </c>
      <c r="BJ106" s="727">
        <v>0.38</v>
      </c>
      <c r="BK106" s="726">
        <v>82.6</v>
      </c>
      <c r="BL106" s="726">
        <v>44.14</v>
      </c>
      <c r="BM106" s="726">
        <v>0.38</v>
      </c>
      <c r="BN106" s="727">
        <v>82.5</v>
      </c>
      <c r="BO106" s="727">
        <v>46.23</v>
      </c>
      <c r="BP106" s="746">
        <v>0.38</v>
      </c>
      <c r="BQ106" s="727">
        <v>82.5</v>
      </c>
      <c r="BR106" s="727">
        <v>39.9</v>
      </c>
      <c r="BS106" s="727">
        <v>0.36</v>
      </c>
      <c r="BT106" s="727">
        <v>82.4</v>
      </c>
      <c r="BU106" s="727">
        <v>42.5</v>
      </c>
      <c r="BV106" s="727">
        <v>0.36</v>
      </c>
      <c r="BW106" s="726">
        <v>82.3</v>
      </c>
      <c r="BX106" s="726">
        <v>39.39</v>
      </c>
      <c r="BY106" s="726">
        <v>0.36</v>
      </c>
      <c r="BZ106" s="727">
        <v>82.3</v>
      </c>
      <c r="CA106" s="727">
        <v>35.5</v>
      </c>
      <c r="CB106" s="746">
        <v>0.36</v>
      </c>
      <c r="CC106" s="727">
        <v>82.3</v>
      </c>
      <c r="CD106" s="727">
        <v>33.35</v>
      </c>
      <c r="CE106" s="727">
        <v>0.35499999999999998</v>
      </c>
      <c r="CF106" s="727">
        <v>82.2</v>
      </c>
      <c r="CG106" s="727">
        <v>33.83</v>
      </c>
      <c r="CH106" s="727">
        <v>0.35499999999999998</v>
      </c>
      <c r="CI106" s="726">
        <v>82</v>
      </c>
      <c r="CJ106" s="726">
        <v>35.42</v>
      </c>
      <c r="CK106" s="726">
        <v>0.35499999999999998</v>
      </c>
      <c r="CL106" s="727">
        <v>82.1</v>
      </c>
      <c r="CM106" s="727">
        <v>29.4</v>
      </c>
      <c r="CN106" s="746">
        <v>0.35499999999999998</v>
      </c>
      <c r="CO106" s="727">
        <v>82</v>
      </c>
      <c r="CP106" s="727">
        <v>28.6</v>
      </c>
      <c r="CQ106" s="727">
        <v>0.35</v>
      </c>
      <c r="CR106" s="727">
        <v>82</v>
      </c>
      <c r="CS106" s="727">
        <v>29.5</v>
      </c>
      <c r="CT106" s="727">
        <v>0.35</v>
      </c>
      <c r="CU106" s="726">
        <v>81.8</v>
      </c>
      <c r="CV106" s="726">
        <v>29.06</v>
      </c>
      <c r="CW106" s="726">
        <v>0.35</v>
      </c>
      <c r="CX106" s="727">
        <v>81.8</v>
      </c>
      <c r="CY106" s="727">
        <v>30.23</v>
      </c>
      <c r="CZ106" s="727">
        <v>0.35</v>
      </c>
      <c r="DA106" s="727">
        <v>81.7</v>
      </c>
      <c r="DB106" s="727">
        <v>27.08</v>
      </c>
      <c r="DC106" s="727">
        <v>0.34499999999999997</v>
      </c>
      <c r="DD106" s="727">
        <v>81.7</v>
      </c>
      <c r="DE106" s="727">
        <v>27.86</v>
      </c>
      <c r="DF106" s="727">
        <v>0.34499999999999997</v>
      </c>
      <c r="DG106" s="727">
        <v>81.5</v>
      </c>
      <c r="DH106" s="727">
        <v>27.2</v>
      </c>
      <c r="DI106" s="727">
        <v>0.34499999999999997</v>
      </c>
      <c r="DJ106" s="727">
        <v>81.2</v>
      </c>
      <c r="DK106" s="727">
        <v>25.38</v>
      </c>
      <c r="DL106" s="747">
        <v>0.34499999999999997</v>
      </c>
      <c r="DM106" s="727">
        <v>81</v>
      </c>
      <c r="DN106" s="727">
        <v>25.87</v>
      </c>
      <c r="DO106" s="727">
        <v>0.34</v>
      </c>
      <c r="DP106" s="727">
        <v>81</v>
      </c>
      <c r="DQ106" s="727">
        <v>23.66</v>
      </c>
      <c r="DR106" s="727">
        <v>0.34</v>
      </c>
      <c r="DS106" s="727">
        <v>80.8</v>
      </c>
      <c r="DT106" s="748">
        <v>24.72</v>
      </c>
      <c r="DU106" s="727">
        <v>0.34</v>
      </c>
      <c r="DV106" s="727">
        <v>80.8</v>
      </c>
      <c r="DW106" s="727">
        <v>24.68</v>
      </c>
      <c r="DX106" s="727">
        <v>0.34</v>
      </c>
      <c r="DY106" s="727">
        <v>80.7</v>
      </c>
      <c r="DZ106" s="727">
        <v>23.04</v>
      </c>
      <c r="EA106" s="727">
        <v>0.33500000000000002</v>
      </c>
      <c r="EB106" s="727">
        <v>80.599999999999994</v>
      </c>
      <c r="EC106" s="727">
        <v>23.43</v>
      </c>
      <c r="ED106" s="727">
        <v>0.33500000000000002</v>
      </c>
      <c r="EE106" s="727">
        <v>80.599999999999994</v>
      </c>
      <c r="EF106" s="727">
        <v>21.09</v>
      </c>
      <c r="EG106" s="727">
        <v>0.33500000000000002</v>
      </c>
      <c r="EH106" s="727">
        <v>80.599999999999994</v>
      </c>
      <c r="EI106" s="727">
        <v>25.01</v>
      </c>
      <c r="EJ106" s="727">
        <v>0.33500000000000002</v>
      </c>
      <c r="EK106" s="727">
        <v>76.2</v>
      </c>
      <c r="EL106" s="727">
        <v>27.85</v>
      </c>
      <c r="EM106" s="727">
        <v>0.32500000000000001</v>
      </c>
      <c r="EN106" s="727">
        <v>76</v>
      </c>
      <c r="EO106" s="727">
        <v>31.21</v>
      </c>
      <c r="EP106" s="727">
        <v>0.32500000000000001</v>
      </c>
      <c r="EQ106" s="727">
        <v>75.900000000000006</v>
      </c>
      <c r="ER106" s="727">
        <v>26.83</v>
      </c>
      <c r="ES106" s="727">
        <v>0.32500000000000001</v>
      </c>
      <c r="ET106" s="727">
        <v>75.900000000000006</v>
      </c>
      <c r="EU106" s="727">
        <v>29.01</v>
      </c>
      <c r="EV106" s="727">
        <v>0.32500000000000001</v>
      </c>
      <c r="EW106" s="727">
        <v>75.900000000000006</v>
      </c>
      <c r="EX106" s="727">
        <v>27.29</v>
      </c>
      <c r="EY106" s="727">
        <v>0.315</v>
      </c>
      <c r="EZ106" s="727">
        <v>75.8</v>
      </c>
      <c r="FA106" s="727">
        <v>26.93</v>
      </c>
      <c r="FB106" s="727">
        <v>0.315</v>
      </c>
      <c r="FC106" s="723">
        <v>75.7</v>
      </c>
      <c r="FD106" s="741">
        <v>28.6</v>
      </c>
      <c r="FE106" s="723">
        <v>0.315</v>
      </c>
      <c r="FF106" s="727">
        <v>75.7</v>
      </c>
      <c r="FG106" s="727">
        <v>28.28</v>
      </c>
      <c r="FH106" s="749">
        <v>0.315</v>
      </c>
      <c r="FI106" s="727">
        <v>75.7</v>
      </c>
      <c r="FJ106" s="727">
        <v>26.85</v>
      </c>
      <c r="FK106" s="727">
        <v>0.30499999999999999</v>
      </c>
      <c r="FL106" s="727">
        <v>75.7</v>
      </c>
      <c r="FM106" s="727">
        <v>27.25</v>
      </c>
      <c r="FN106" s="727">
        <v>0.30499999999999999</v>
      </c>
      <c r="FO106" s="727">
        <v>75.7</v>
      </c>
      <c r="FP106" s="727">
        <v>26.38</v>
      </c>
      <c r="FQ106" s="727">
        <v>0.30499999999999999</v>
      </c>
      <c r="FR106" s="727">
        <v>75.7</v>
      </c>
      <c r="FS106" s="742">
        <v>27.16</v>
      </c>
      <c r="FT106" s="626">
        <f>1.22/4</f>
        <v>0.30499999999999999</v>
      </c>
      <c r="FU106" s="727">
        <v>75.599999999999994</v>
      </c>
      <c r="FV106" s="727">
        <v>28.35</v>
      </c>
      <c r="FW106" s="727">
        <v>0.29499999999999998</v>
      </c>
      <c r="FX106" s="727">
        <v>75.599999999999994</v>
      </c>
      <c r="FY106" s="727">
        <v>28.73</v>
      </c>
      <c r="FZ106" s="727">
        <v>0.29499999999999998</v>
      </c>
      <c r="GA106" s="727">
        <v>75.620999999999995</v>
      </c>
      <c r="GB106" s="727">
        <v>26.64</v>
      </c>
      <c r="GC106" s="727">
        <v>0.29499999999999998</v>
      </c>
      <c r="GD106" s="750">
        <v>75.620999999999995</v>
      </c>
      <c r="GE106" s="741">
        <v>26.8</v>
      </c>
      <c r="GF106" s="751">
        <v>0.29499999999999998</v>
      </c>
      <c r="GG106" s="750">
        <v>75.551000000000002</v>
      </c>
      <c r="GH106" s="727">
        <v>25.18</v>
      </c>
      <c r="GI106" s="727">
        <v>0.28499999999999998</v>
      </c>
      <c r="GJ106" s="727">
        <v>75.5</v>
      </c>
      <c r="GK106" s="727">
        <v>25.09</v>
      </c>
      <c r="GL106" s="727">
        <v>0.28499999999999998</v>
      </c>
      <c r="GM106" s="727">
        <v>75.343999999999994</v>
      </c>
      <c r="GN106" s="727">
        <v>24.67</v>
      </c>
      <c r="GO106" s="727">
        <v>0.28499999999999998</v>
      </c>
      <c r="GP106" s="727">
        <v>71.593000000000004</v>
      </c>
      <c r="GQ106" s="727">
        <v>24.65</v>
      </c>
      <c r="GR106" s="727">
        <v>0.28499999999999998</v>
      </c>
      <c r="GS106" s="727">
        <v>67.768000000000001</v>
      </c>
      <c r="GT106" s="727">
        <v>23.62</v>
      </c>
      <c r="GU106" s="727">
        <v>0.27500000000000002</v>
      </c>
      <c r="GV106" s="727">
        <v>67.694999999999993</v>
      </c>
      <c r="GW106" s="727">
        <v>25.05</v>
      </c>
      <c r="GX106" s="727">
        <v>0.27500000000000002</v>
      </c>
      <c r="GY106" s="727">
        <v>67.581999999999994</v>
      </c>
      <c r="GZ106" s="727">
        <v>21.51</v>
      </c>
      <c r="HA106" s="727">
        <v>0.27500000000000002</v>
      </c>
      <c r="HB106" s="727">
        <v>67.600999999999999</v>
      </c>
      <c r="HC106" s="727">
        <v>23</v>
      </c>
      <c r="HD106" s="727">
        <v>0.27500000000000002</v>
      </c>
      <c r="HE106" s="727">
        <v>67.599999999999994</v>
      </c>
      <c r="HF106" s="727">
        <v>22</v>
      </c>
      <c r="HG106" s="727">
        <v>0.26500000000000001</v>
      </c>
      <c r="HH106" s="727">
        <v>57.5</v>
      </c>
      <c r="HI106" s="727">
        <v>25.1</v>
      </c>
      <c r="HJ106" s="727">
        <v>0.26500000000000001</v>
      </c>
      <c r="HK106" s="727">
        <v>67.512</v>
      </c>
      <c r="HL106" s="727">
        <v>25.69</v>
      </c>
      <c r="HM106" s="727">
        <v>0.26500000000000001</v>
      </c>
      <c r="HN106" s="727">
        <v>66.7</v>
      </c>
      <c r="HO106" s="727">
        <v>23.98</v>
      </c>
      <c r="HP106" s="727">
        <v>0.26500000000000001</v>
      </c>
      <c r="HQ106" s="727">
        <v>67.512</v>
      </c>
      <c r="HR106" s="727">
        <v>22.39</v>
      </c>
      <c r="HS106" s="727">
        <v>0.255</v>
      </c>
      <c r="HT106" s="727">
        <v>67.709999999999994</v>
      </c>
      <c r="HU106" s="727">
        <v>20.7</v>
      </c>
      <c r="HV106" s="727">
        <v>0.255</v>
      </c>
      <c r="HW106" s="727">
        <v>61.296999999999997</v>
      </c>
      <c r="HX106" s="727">
        <v>21.4</v>
      </c>
      <c r="HY106" s="727">
        <v>0.255</v>
      </c>
      <c r="HZ106" s="727">
        <v>61.417000000000002</v>
      </c>
      <c r="IA106" s="727">
        <v>25.63</v>
      </c>
      <c r="IB106" s="727">
        <v>0.255</v>
      </c>
      <c r="IC106" s="727"/>
      <c r="ID106" s="727">
        <v>20.309999999999999</v>
      </c>
      <c r="IE106" s="727">
        <v>0.24249999999999999</v>
      </c>
      <c r="IF106" s="727"/>
      <c r="IG106" s="727">
        <v>17.25</v>
      </c>
      <c r="IH106" s="727">
        <v>0.24</v>
      </c>
      <c r="II106" s="727">
        <v>31.4588</v>
      </c>
      <c r="IJ106" s="722">
        <v>18.75</v>
      </c>
      <c r="IK106" s="722">
        <v>0.23818500000000001</v>
      </c>
      <c r="IL106" s="722">
        <v>31.4588</v>
      </c>
      <c r="IM106" s="727">
        <v>17.07</v>
      </c>
      <c r="IN106" s="722">
        <v>0.23255799999999999</v>
      </c>
      <c r="IO106" s="722">
        <v>31.42923</v>
      </c>
      <c r="IP106" s="727">
        <v>19.13</v>
      </c>
      <c r="IQ106" s="722">
        <v>0.23255799999999999</v>
      </c>
      <c r="IR106" s="721">
        <v>31.47213</v>
      </c>
      <c r="IS106" s="721">
        <v>21.24</v>
      </c>
      <c r="IT106" s="722">
        <v>0.23255799999999999</v>
      </c>
      <c r="IU106" s="721">
        <v>31.49879</v>
      </c>
      <c r="IV106" s="721">
        <v>20.54</v>
      </c>
      <c r="IW106" s="722">
        <v>0.23255799999999999</v>
      </c>
      <c r="IX106" s="721">
        <v>31.49879</v>
      </c>
      <c r="IY106" s="721">
        <v>26.83</v>
      </c>
      <c r="IZ106" s="721">
        <v>0.22730700000000001</v>
      </c>
      <c r="JA106" s="721">
        <v>13.863200000000001</v>
      </c>
      <c r="JB106" s="721">
        <v>24.24</v>
      </c>
      <c r="JC106" s="721">
        <v>0.33533400000000002</v>
      </c>
      <c r="JD106" s="721">
        <v>13.863200000000001</v>
      </c>
      <c r="JE106" s="721">
        <v>24.05</v>
      </c>
      <c r="JF106" s="721">
        <v>0.33533400000000002</v>
      </c>
      <c r="JG106" s="721">
        <v>13.863200000000001</v>
      </c>
      <c r="JH106" s="721">
        <v>23.96</v>
      </c>
      <c r="JI106" s="721">
        <v>0.33533400000000002</v>
      </c>
      <c r="JJ106" s="721">
        <v>13.860934</v>
      </c>
      <c r="JK106" s="721">
        <v>22.04</v>
      </c>
      <c r="JL106" s="721">
        <v>0.33533400000000002</v>
      </c>
      <c r="JM106" s="721">
        <v>13.860934</v>
      </c>
      <c r="JN106" s="721">
        <v>19.13</v>
      </c>
      <c r="JO106" s="721">
        <v>0.33533400000000002</v>
      </c>
      <c r="JP106" s="721">
        <v>13.860934</v>
      </c>
      <c r="JQ106" s="721">
        <v>19.04</v>
      </c>
      <c r="JR106" s="721">
        <v>0.33533400000000002</v>
      </c>
      <c r="JS106" s="721">
        <v>13.860934</v>
      </c>
      <c r="JT106" s="721">
        <v>17.54</v>
      </c>
      <c r="JU106" s="721">
        <v>0.33195799999999998</v>
      </c>
      <c r="JV106" s="721">
        <v>13.860934</v>
      </c>
      <c r="JW106" s="721">
        <v>17.14</v>
      </c>
      <c r="JX106" s="721">
        <v>0.32445600000000002</v>
      </c>
      <c r="JY106" s="721">
        <v>13.860934</v>
      </c>
      <c r="JZ106" s="721">
        <v>16.899999999999999</v>
      </c>
      <c r="KA106" s="721">
        <v>0.32445600000000002</v>
      </c>
      <c r="KB106" s="721">
        <v>10.398300000000001</v>
      </c>
      <c r="KC106" s="721">
        <v>22.853000000000002</v>
      </c>
      <c r="KD106" s="721">
        <v>0.4325</v>
      </c>
      <c r="KE106" s="721">
        <v>10.398300000000001</v>
      </c>
      <c r="KF106" s="721">
        <v>23.018000000000001</v>
      </c>
      <c r="KG106" s="721">
        <v>0.4325</v>
      </c>
      <c r="KH106" s="721">
        <v>10.398300000000001</v>
      </c>
      <c r="KI106" s="721">
        <v>22.934999999999999</v>
      </c>
      <c r="KJ106" s="721">
        <v>0.42249999999999999</v>
      </c>
      <c r="KK106" s="721">
        <v>10.398300000000001</v>
      </c>
      <c r="KL106" s="721">
        <v>22.193000000000001</v>
      </c>
      <c r="KM106" s="721">
        <v>0.42249999999999999</v>
      </c>
      <c r="KN106" s="721">
        <v>10.49283</v>
      </c>
      <c r="KO106" s="721">
        <v>21.202999999999999</v>
      </c>
      <c r="KP106" s="721">
        <v>0.42249999999999999</v>
      </c>
      <c r="KQ106" s="721">
        <v>10.398300000000001</v>
      </c>
      <c r="KR106" s="721">
        <v>19.057500000000001</v>
      </c>
      <c r="KS106" s="721">
        <v>0.42249999999999999</v>
      </c>
      <c r="KT106" s="721">
        <v>10.398300000000001</v>
      </c>
      <c r="KU106" s="721">
        <v>17.489999999999998</v>
      </c>
      <c r="KV106" s="721">
        <v>0.41249999999999998</v>
      </c>
      <c r="KW106" s="721">
        <v>10.398300000000001</v>
      </c>
      <c r="KX106" s="721">
        <v>17.82</v>
      </c>
      <c r="KY106" s="721">
        <v>0.41249999999999998</v>
      </c>
      <c r="KZ106" s="721">
        <v>10.398300000000001</v>
      </c>
      <c r="LA106" s="721">
        <v>18.149999999999999</v>
      </c>
      <c r="LB106" s="721">
        <v>0.41249999999999998</v>
      </c>
      <c r="LC106" s="721">
        <v>10.3653</v>
      </c>
      <c r="LD106" s="721">
        <v>19.387499999999999</v>
      </c>
      <c r="LE106" s="721">
        <v>0.41249999999999998</v>
      </c>
      <c r="LF106" s="721">
        <v>10.3653</v>
      </c>
      <c r="LG106" s="721">
        <v>22.357500000000002</v>
      </c>
      <c r="LH106" s="721">
        <v>0.40500000000000003</v>
      </c>
      <c r="LI106" s="721">
        <v>10.3653</v>
      </c>
      <c r="LJ106" s="721">
        <v>22.274999999999999</v>
      </c>
      <c r="LK106" s="721">
        <v>0.40200000000000002</v>
      </c>
      <c r="LL106" s="721">
        <v>10.3653</v>
      </c>
      <c r="LM106" s="721">
        <v>22.274999999999999</v>
      </c>
      <c r="LN106" s="721">
        <v>0.40200000000000002</v>
      </c>
      <c r="LO106" s="721">
        <v>10.3653</v>
      </c>
      <c r="LP106" s="721">
        <v>22.934999999999999</v>
      </c>
      <c r="LQ106" s="721">
        <v>0.40200000000000002</v>
      </c>
      <c r="LR106" s="721">
        <v>10.365</v>
      </c>
      <c r="LS106" s="721">
        <v>22.44</v>
      </c>
      <c r="LT106" s="721">
        <v>0.39</v>
      </c>
      <c r="LU106" s="721">
        <v>10.365</v>
      </c>
      <c r="LV106" s="721">
        <v>21.62</v>
      </c>
      <c r="LW106" s="721">
        <v>0.39</v>
      </c>
      <c r="LX106" s="721">
        <v>10.365</v>
      </c>
      <c r="LY106" s="721">
        <v>20.79</v>
      </c>
      <c r="LZ106" s="721">
        <v>0.39</v>
      </c>
      <c r="MA106" s="721">
        <v>10.342000000000001</v>
      </c>
      <c r="MB106" s="721">
        <v>20.84</v>
      </c>
      <c r="MC106" s="721">
        <v>0.39</v>
      </c>
      <c r="MD106" s="721">
        <v>10.342000000000001</v>
      </c>
      <c r="ME106" s="721">
        <v>22.39</v>
      </c>
      <c r="MF106" s="721">
        <v>0.38</v>
      </c>
      <c r="MG106" s="721">
        <v>10.342000000000001</v>
      </c>
      <c r="MH106" s="721">
        <v>19.350000000000001</v>
      </c>
      <c r="MI106" s="721">
        <v>0.38</v>
      </c>
      <c r="MJ106" s="721">
        <v>10.342000000000001</v>
      </c>
      <c r="MK106" s="721">
        <v>17.62</v>
      </c>
      <c r="ML106" s="721">
        <v>0.38</v>
      </c>
      <c r="MM106" s="721">
        <v>10.342000000000001</v>
      </c>
      <c r="MN106" s="721">
        <v>16.809999999999999</v>
      </c>
      <c r="MO106" s="721">
        <v>0.38</v>
      </c>
      <c r="MP106" s="721">
        <v>10.597</v>
      </c>
      <c r="MQ106" s="721">
        <v>16.559999999999999</v>
      </c>
    </row>
    <row r="107" spans="1:355" ht="13.8" thickBot="1">
      <c r="B107" s="727" t="s">
        <v>297</v>
      </c>
      <c r="C107" s="886"/>
      <c r="D107" s="886"/>
      <c r="E107" s="886"/>
      <c r="F107" s="788"/>
      <c r="G107" s="788"/>
      <c r="H107" s="788"/>
      <c r="I107" s="788"/>
      <c r="J107" s="788"/>
      <c r="K107" s="788"/>
      <c r="L107" s="828"/>
      <c r="M107" s="829"/>
      <c r="N107" s="828"/>
      <c r="O107" s="828"/>
      <c r="P107" s="828"/>
      <c r="Q107" s="828"/>
      <c r="R107" s="828"/>
      <c r="S107" s="828"/>
      <c r="T107" s="828"/>
      <c r="U107" s="788"/>
      <c r="V107" s="827"/>
      <c r="W107" s="788"/>
      <c r="X107" s="832"/>
      <c r="Y107" s="788"/>
      <c r="Z107" s="788"/>
      <c r="AA107" s="788"/>
      <c r="AB107" s="788"/>
      <c r="AC107" s="788"/>
      <c r="AJ107" s="788"/>
      <c r="AK107" s="788"/>
      <c r="AL107" s="788"/>
      <c r="AM107" s="828"/>
      <c r="AN107" s="828"/>
      <c r="AO107" s="828"/>
      <c r="AP107" s="788"/>
      <c r="AQ107" s="788"/>
      <c r="AR107" s="788"/>
      <c r="AS107" s="727"/>
      <c r="AT107" s="727"/>
      <c r="AU107" s="727"/>
      <c r="AV107" s="727"/>
      <c r="AW107" s="727"/>
      <c r="AX107" s="727"/>
      <c r="AY107" s="727"/>
      <c r="AZ107" s="727"/>
      <c r="BA107" s="727"/>
      <c r="BB107" s="727"/>
      <c r="BC107" s="727"/>
      <c r="BD107" s="727"/>
      <c r="BE107" s="727"/>
      <c r="BF107" s="727"/>
      <c r="BG107" s="727"/>
      <c r="BH107" s="727"/>
      <c r="BI107" s="727"/>
      <c r="BJ107" s="727"/>
      <c r="BK107" s="727"/>
      <c r="BL107" s="727"/>
      <c r="BM107" s="727"/>
      <c r="BN107" s="727"/>
      <c r="BO107" s="727"/>
      <c r="BP107" s="727"/>
      <c r="BQ107" s="727"/>
      <c r="BR107" s="727"/>
      <c r="BS107" s="727"/>
      <c r="BT107" s="727"/>
      <c r="BU107" s="727"/>
      <c r="BV107" s="727"/>
      <c r="BW107" s="726"/>
      <c r="BX107" s="726"/>
      <c r="BY107" s="726"/>
      <c r="BZ107" s="727"/>
      <c r="CA107" s="727"/>
      <c r="CB107" s="727"/>
      <c r="CC107" s="727"/>
      <c r="CD107" s="727"/>
      <c r="CE107" s="727"/>
      <c r="CF107" s="727"/>
      <c r="CG107" s="727"/>
      <c r="CH107" s="727"/>
      <c r="CI107" s="727"/>
      <c r="CJ107" s="727"/>
      <c r="CK107" s="727"/>
      <c r="CL107" s="727"/>
      <c r="CM107" s="727"/>
      <c r="CN107" s="727"/>
      <c r="CO107" s="727"/>
      <c r="CP107" s="727"/>
      <c r="CQ107" s="727"/>
      <c r="CR107" s="727"/>
      <c r="CS107" s="727"/>
      <c r="CT107" s="727"/>
      <c r="CU107" s="727"/>
      <c r="CV107" s="727"/>
      <c r="CW107" s="727"/>
      <c r="CX107" s="727"/>
      <c r="CY107" s="727"/>
      <c r="CZ107" s="727"/>
      <c r="DA107" s="727"/>
      <c r="DB107" s="727"/>
      <c r="DC107" s="752"/>
      <c r="DD107" s="727"/>
      <c r="DE107" s="727"/>
      <c r="DF107" s="727"/>
      <c r="DG107" s="727"/>
      <c r="DH107" s="727"/>
      <c r="DI107" s="727"/>
      <c r="DJ107" s="727"/>
      <c r="DK107" s="727"/>
      <c r="DL107" s="727"/>
      <c r="DM107" s="727"/>
      <c r="DN107" s="727"/>
      <c r="DO107" s="727"/>
      <c r="DP107" s="727"/>
      <c r="DQ107" s="727"/>
      <c r="DR107" s="727"/>
      <c r="DS107" s="727"/>
      <c r="DT107" s="748"/>
      <c r="DU107" s="727"/>
      <c r="DV107" s="727"/>
      <c r="DW107" s="727"/>
      <c r="DX107" s="727"/>
      <c r="DY107" s="727"/>
      <c r="DZ107" s="727"/>
      <c r="EA107" s="727"/>
      <c r="EB107" s="727"/>
      <c r="EC107" s="727"/>
      <c r="ED107" s="727"/>
      <c r="EE107" s="727"/>
      <c r="EF107" s="727"/>
      <c r="EG107" s="727"/>
      <c r="EH107" s="727"/>
      <c r="EI107" s="727"/>
      <c r="EJ107" s="727"/>
      <c r="EK107" s="727"/>
      <c r="EL107" s="727"/>
      <c r="EM107" s="727"/>
      <c r="EN107" s="727">
        <v>375.9</v>
      </c>
      <c r="EO107" s="727">
        <v>3.77</v>
      </c>
      <c r="EP107" s="727">
        <v>0</v>
      </c>
      <c r="EQ107" s="727">
        <v>375.68</v>
      </c>
      <c r="ER107" s="727">
        <v>3.21</v>
      </c>
      <c r="ES107" s="727">
        <v>0</v>
      </c>
      <c r="ET107" s="727">
        <v>375.9</v>
      </c>
      <c r="EU107" s="727">
        <v>3.73</v>
      </c>
      <c r="EV107" s="727">
        <v>0</v>
      </c>
      <c r="EW107" s="727">
        <v>375.7</v>
      </c>
      <c r="EX107" s="727">
        <v>4.01</v>
      </c>
      <c r="EY107" s="727">
        <v>0</v>
      </c>
      <c r="EZ107" s="727">
        <v>375.6</v>
      </c>
      <c r="FA107" s="727">
        <v>4.09</v>
      </c>
      <c r="FB107" s="727">
        <v>0</v>
      </c>
      <c r="FC107" s="723">
        <v>375.08</v>
      </c>
      <c r="FD107" s="741">
        <v>4.18</v>
      </c>
      <c r="FE107" s="723">
        <v>0</v>
      </c>
      <c r="FF107" s="727">
        <v>375.2</v>
      </c>
      <c r="FG107" s="727">
        <v>4.7</v>
      </c>
      <c r="FH107" s="727">
        <v>0</v>
      </c>
      <c r="FI107" s="727">
        <v>375</v>
      </c>
      <c r="FJ107" s="727">
        <v>4.33</v>
      </c>
      <c r="FK107" s="727">
        <v>0</v>
      </c>
      <c r="FL107" s="727">
        <v>374.7</v>
      </c>
      <c r="FM107" s="727">
        <v>4.21</v>
      </c>
      <c r="FN107" s="727">
        <v>0</v>
      </c>
      <c r="FO107" s="727">
        <v>374.4</v>
      </c>
      <c r="FP107" s="727">
        <v>3.99</v>
      </c>
      <c r="FQ107" s="727">
        <v>0</v>
      </c>
      <c r="FR107" s="727">
        <v>372.9</v>
      </c>
      <c r="FS107" s="742">
        <v>3.6</v>
      </c>
      <c r="FT107" s="626">
        <v>0</v>
      </c>
      <c r="FU107" s="727">
        <v>352.8</v>
      </c>
      <c r="FV107" s="727">
        <v>3.96</v>
      </c>
      <c r="FW107" s="727">
        <v>0</v>
      </c>
      <c r="FX107" s="727">
        <v>352.7</v>
      </c>
      <c r="FY107" s="727">
        <v>3.61</v>
      </c>
      <c r="FZ107" s="727">
        <v>0</v>
      </c>
      <c r="GA107" s="727">
        <v>260.5</v>
      </c>
      <c r="GB107" s="727">
        <v>3.83</v>
      </c>
      <c r="GC107" s="727">
        <v>0</v>
      </c>
      <c r="GD107" s="750">
        <v>260.5</v>
      </c>
      <c r="GE107" s="742">
        <v>3.69</v>
      </c>
      <c r="GF107" s="751">
        <v>0</v>
      </c>
      <c r="GG107" s="750">
        <v>195.6</v>
      </c>
      <c r="GH107" s="727">
        <v>3.12</v>
      </c>
      <c r="GI107" s="727">
        <v>0</v>
      </c>
      <c r="GJ107" s="727">
        <v>195.4</v>
      </c>
      <c r="GK107" s="727">
        <v>3.56</v>
      </c>
      <c r="GL107" s="727">
        <v>0</v>
      </c>
      <c r="GM107" s="727">
        <v>195.1</v>
      </c>
      <c r="GN107" s="727">
        <v>4.71</v>
      </c>
      <c r="GO107" s="727">
        <v>0</v>
      </c>
      <c r="GP107" s="727">
        <v>195.1</v>
      </c>
      <c r="GQ107" s="727">
        <v>3.39</v>
      </c>
      <c r="GR107" s="727">
        <v>0</v>
      </c>
      <c r="GS107" s="727">
        <v>194.6</v>
      </c>
      <c r="GT107" s="727">
        <v>3.38</v>
      </c>
      <c r="GU107" s="727">
        <v>0</v>
      </c>
      <c r="GV107" s="727">
        <v>194.1</v>
      </c>
      <c r="GW107" s="727">
        <v>2.58</v>
      </c>
      <c r="GX107" s="727">
        <v>0</v>
      </c>
      <c r="GY107" s="727">
        <v>179.6</v>
      </c>
      <c r="GZ107" s="727">
        <v>2.08</v>
      </c>
      <c r="HA107" s="727">
        <v>0</v>
      </c>
      <c r="HB107" s="727">
        <v>179.6</v>
      </c>
      <c r="HC107" s="727">
        <v>1.77</v>
      </c>
      <c r="HD107" s="727">
        <v>0</v>
      </c>
      <c r="HE107" s="727">
        <v>142.30000000000001</v>
      </c>
      <c r="HF107" s="727">
        <v>4.0999999999999996</v>
      </c>
      <c r="HG107" s="758">
        <v>0.17499999999999999</v>
      </c>
      <c r="HH107" s="727">
        <v>136.80000000000001</v>
      </c>
      <c r="HI107" s="727">
        <v>8</v>
      </c>
      <c r="HJ107" s="727">
        <v>0.3</v>
      </c>
      <c r="HK107" s="727">
        <v>118.2</v>
      </c>
      <c r="HL107" s="727">
        <v>24.84</v>
      </c>
      <c r="HM107" s="727">
        <v>0.3</v>
      </c>
      <c r="HN107" s="727">
        <v>115.4</v>
      </c>
      <c r="HO107" s="727">
        <v>25.17</v>
      </c>
      <c r="HP107" s="727">
        <v>0.3</v>
      </c>
      <c r="HQ107" s="727">
        <v>113.8</v>
      </c>
      <c r="HR107" s="727">
        <v>28.01</v>
      </c>
      <c r="HS107" s="727">
        <v>0.3</v>
      </c>
      <c r="HT107" s="727">
        <v>106.9</v>
      </c>
      <c r="HU107" s="727">
        <v>30.55</v>
      </c>
      <c r="HV107" s="727">
        <v>0.3</v>
      </c>
      <c r="HW107" s="727">
        <v>93.3</v>
      </c>
      <c r="HX107" s="727">
        <v>32.36</v>
      </c>
      <c r="HY107" s="727">
        <v>0.3</v>
      </c>
      <c r="HZ107" s="727">
        <v>93.9</v>
      </c>
      <c r="IA107" s="727">
        <v>31</v>
      </c>
      <c r="IB107" s="727">
        <v>0.3</v>
      </c>
      <c r="IC107" s="727">
        <v>93</v>
      </c>
      <c r="ID107" s="727">
        <v>26.0625</v>
      </c>
      <c r="IE107" s="727">
        <v>0.3</v>
      </c>
      <c r="IF107" s="727">
        <v>92.9</v>
      </c>
      <c r="IG107" s="727">
        <v>19.875</v>
      </c>
      <c r="IH107" s="727">
        <v>0.3</v>
      </c>
      <c r="II107" s="727">
        <v>92.4</v>
      </c>
      <c r="IJ107" s="722">
        <v>18.0625</v>
      </c>
      <c r="IK107" s="722">
        <v>0.3</v>
      </c>
      <c r="IL107" s="722">
        <v>92.5</v>
      </c>
      <c r="IM107" s="727">
        <v>19.4375</v>
      </c>
      <c r="IN107" s="722">
        <v>0.3</v>
      </c>
      <c r="IO107" s="722">
        <v>93.605735999999993</v>
      </c>
      <c r="IP107" s="727">
        <v>21.0625</v>
      </c>
      <c r="IQ107" s="722">
        <v>0.3</v>
      </c>
      <c r="IR107" s="721">
        <v>80.069999999999993</v>
      </c>
      <c r="IS107" s="721">
        <v>24.3125</v>
      </c>
      <c r="IT107" s="721">
        <f>0.45/1.5</f>
        <v>0.3</v>
      </c>
      <c r="IU107" s="721">
        <f>53.29*1.5</f>
        <v>79.935000000000002</v>
      </c>
      <c r="IV107" s="721">
        <v>22.75</v>
      </c>
      <c r="IW107" s="721">
        <f>0.45/1.5</f>
        <v>0.3</v>
      </c>
      <c r="IX107" s="721">
        <f>53.29*1.5</f>
        <v>79.935000000000002</v>
      </c>
      <c r="IY107" s="721">
        <f>36.688/1.5</f>
        <v>24.458666666666669</v>
      </c>
      <c r="IZ107" s="721">
        <v>0.3</v>
      </c>
      <c r="JA107" s="721">
        <f>46.7*1.5</f>
        <v>70.050000000000011</v>
      </c>
      <c r="JB107" s="721">
        <f>39.375/1.5</f>
        <v>26.25</v>
      </c>
      <c r="JC107" s="721">
        <v>0.3</v>
      </c>
      <c r="JD107" s="721">
        <f>46.7*1.5</f>
        <v>70.050000000000011</v>
      </c>
      <c r="JE107" s="721">
        <f>37.688/1.5</f>
        <v>25.125333333333334</v>
      </c>
      <c r="JF107" s="721">
        <v>0.3</v>
      </c>
      <c r="JG107" s="721">
        <f>53.29*1.5</f>
        <v>79.935000000000002</v>
      </c>
      <c r="JH107" s="721">
        <f>39.4175/1.5</f>
        <v>26.278333333333332</v>
      </c>
      <c r="JI107" s="721">
        <v>0.3</v>
      </c>
      <c r="JJ107" s="721">
        <f>53.29*1.5</f>
        <v>79.935000000000002</v>
      </c>
      <c r="JK107" s="721">
        <f>38.8125/1.5</f>
        <v>25.875</v>
      </c>
      <c r="JL107" s="721">
        <f>0.44/1.5</f>
        <v>0.29333333333333333</v>
      </c>
      <c r="JM107" s="721">
        <f>46.7*1.5</f>
        <v>70.050000000000011</v>
      </c>
      <c r="JN107" s="721">
        <f>30.125/1.5</f>
        <v>20.083333333333332</v>
      </c>
      <c r="JO107" s="721">
        <f>0.44/1.5</f>
        <v>0.29333333333333333</v>
      </c>
      <c r="JP107" s="721">
        <f>46.7*1.5</f>
        <v>70.050000000000011</v>
      </c>
      <c r="JQ107" s="721">
        <f>29.125/1.5</f>
        <v>19.416666666666668</v>
      </c>
      <c r="JR107" s="721">
        <f>0.44/1.5</f>
        <v>0.29333333333333333</v>
      </c>
      <c r="JS107" s="721">
        <f>46.6*1.5</f>
        <v>69.900000000000006</v>
      </c>
      <c r="JT107" s="721">
        <f>25.5/1.5</f>
        <v>17</v>
      </c>
      <c r="JU107" s="721">
        <f>0.44/1.5</f>
        <v>0.29333333333333333</v>
      </c>
      <c r="JV107" s="721">
        <f>46.6*1.5</f>
        <v>69.900000000000006</v>
      </c>
      <c r="JW107" s="721">
        <f>27/1.5</f>
        <v>18</v>
      </c>
      <c r="JX107" s="721">
        <f>0.44/1.5</f>
        <v>0.29333333333333333</v>
      </c>
      <c r="JY107" s="721">
        <f>44.74*1.5</f>
        <v>67.11</v>
      </c>
      <c r="JZ107" s="721">
        <f>27.625/1.5</f>
        <v>18.416666666666668</v>
      </c>
      <c r="KA107" s="721">
        <f>0.44/1.5</f>
        <v>0.29333333333333333</v>
      </c>
      <c r="KB107" s="721">
        <f>44.74*1.5</f>
        <v>67.11</v>
      </c>
      <c r="KC107" s="721">
        <f>27.5/1.5</f>
        <v>18.333333333333332</v>
      </c>
      <c r="KD107" s="721">
        <f>0.44/1.5</f>
        <v>0.29333333333333333</v>
      </c>
      <c r="KE107" s="721">
        <f>44.74*1.5</f>
        <v>67.11</v>
      </c>
      <c r="KF107" s="721">
        <f>28.625/1.5</f>
        <v>19.083333333333332</v>
      </c>
      <c r="KG107" s="721">
        <f>0.44/1.5</f>
        <v>0.29333333333333333</v>
      </c>
      <c r="KH107" s="721">
        <f>44.74*1.5</f>
        <v>67.11</v>
      </c>
      <c r="KI107" s="721">
        <f>29.375/1.5</f>
        <v>19.583333333333332</v>
      </c>
      <c r="KJ107" s="721">
        <f>0.43/1.5</f>
        <v>0.28666666666666668</v>
      </c>
      <c r="KK107" s="721">
        <f>44.74*1.5</f>
        <v>67.11</v>
      </c>
      <c r="KL107" s="721">
        <f>28.125/1.5</f>
        <v>18.75</v>
      </c>
      <c r="KM107" s="721">
        <f>0.43/1.5</f>
        <v>0.28666666666666668</v>
      </c>
      <c r="KN107" s="721">
        <f>44.74*1.5</f>
        <v>67.11</v>
      </c>
      <c r="KO107" s="721">
        <f>28.125/1.5</f>
        <v>18.75</v>
      </c>
      <c r="KP107" s="721">
        <f>0.43/1.5</f>
        <v>0.28666666666666668</v>
      </c>
      <c r="KQ107" s="721">
        <f>44.74*1.5</f>
        <v>67.11</v>
      </c>
      <c r="KR107" s="721">
        <f>28.125/1.5</f>
        <v>18.75</v>
      </c>
      <c r="KS107" s="721">
        <f>0.43/1.5</f>
        <v>0.28666666666666668</v>
      </c>
      <c r="KT107" s="721">
        <f>44.38*1.5</f>
        <v>66.570000000000007</v>
      </c>
      <c r="KU107" s="721">
        <f>26.5/1.5</f>
        <v>17.666666666666668</v>
      </c>
      <c r="KV107" s="721">
        <f>0.43/1.5</f>
        <v>0.28666666666666668</v>
      </c>
      <c r="KW107" s="721">
        <f>44.38*1.5</f>
        <v>66.570000000000007</v>
      </c>
      <c r="KX107" s="721">
        <f>27.25/1.5</f>
        <v>18.166666666666668</v>
      </c>
      <c r="KY107" s="721">
        <f>0.43/1.5</f>
        <v>0.28666666666666668</v>
      </c>
      <c r="KZ107" s="721">
        <f>44.38*1.5</f>
        <v>66.570000000000007</v>
      </c>
      <c r="LA107" s="721">
        <f>28.5/1.5</f>
        <v>19</v>
      </c>
      <c r="LB107" s="721">
        <f>0.42/1.5</f>
        <v>0.27999999999999997</v>
      </c>
      <c r="LC107" s="721">
        <f>41.76*1.5</f>
        <v>62.64</v>
      </c>
      <c r="LD107" s="721">
        <f>29/1.5</f>
        <v>19.333333333333332</v>
      </c>
      <c r="LE107" s="721">
        <f>0.42/1.5</f>
        <v>0.27999999999999997</v>
      </c>
      <c r="LF107" s="721">
        <f>41.76*1.5</f>
        <v>62.64</v>
      </c>
      <c r="LG107" s="721">
        <f>31.75/1.5</f>
        <v>21.166666666666668</v>
      </c>
      <c r="LH107" s="721">
        <f>0.42/1.5</f>
        <v>0.27999999999999997</v>
      </c>
      <c r="LI107" s="721">
        <f>41.76*1.5</f>
        <v>62.64</v>
      </c>
      <c r="LJ107" s="721">
        <f>32.625/1.5</f>
        <v>21.75</v>
      </c>
      <c r="LK107" s="721">
        <f>0.4/1.5</f>
        <v>0.26666666666666666</v>
      </c>
      <c r="LL107" s="721">
        <f>41.26*1.5</f>
        <v>61.89</v>
      </c>
      <c r="LM107" s="721">
        <f>29.125/1.5</f>
        <v>19.416666666666668</v>
      </c>
      <c r="LN107" s="721">
        <f>0.4/1.5</f>
        <v>0.26666666666666666</v>
      </c>
      <c r="LO107" s="721">
        <f>37.97*1.5</f>
        <v>56.954999999999998</v>
      </c>
      <c r="LP107" s="721">
        <f>28.375/1.5</f>
        <v>18.916666666666668</v>
      </c>
      <c r="LQ107" s="721">
        <f>0.4/1.5</f>
        <v>0.26666666666666666</v>
      </c>
      <c r="LR107" s="721">
        <f>34.83*1.5</f>
        <v>52.244999999999997</v>
      </c>
      <c r="LS107" s="721">
        <f>27.63/1.5</f>
        <v>18.419999999999998</v>
      </c>
      <c r="LT107" s="721">
        <f>0.4/1.5</f>
        <v>0.26666666666666666</v>
      </c>
      <c r="LU107" s="721">
        <f>34.83*1.5</f>
        <v>52.244999999999997</v>
      </c>
      <c r="LV107" s="721">
        <f>27.25/1.5</f>
        <v>18.166666666666668</v>
      </c>
      <c r="LW107" s="721">
        <f>0.4/1.5</f>
        <v>0.26666666666666666</v>
      </c>
      <c r="LX107" s="721">
        <f>34.83*1.5</f>
        <v>52.244999999999997</v>
      </c>
      <c r="LY107" s="721">
        <f>23.63/1.5</f>
        <v>15.753333333333332</v>
      </c>
      <c r="LZ107" s="721">
        <f>0.4/1.5</f>
        <v>0.26666666666666666</v>
      </c>
      <c r="MA107" s="721">
        <f>34.65*1.5</f>
        <v>51.974999999999994</v>
      </c>
      <c r="MB107" s="721">
        <f>26.5/1.5</f>
        <v>17.666666666666668</v>
      </c>
      <c r="MC107" s="721">
        <f>0.4/1.5</f>
        <v>0.26666666666666666</v>
      </c>
      <c r="MD107" s="721">
        <f>29.39*1.5</f>
        <v>44.085000000000001</v>
      </c>
      <c r="ME107" s="721">
        <f>28.5/1.5</f>
        <v>19</v>
      </c>
      <c r="MF107" s="721">
        <f>0.4/1.5</f>
        <v>0.26666666666666666</v>
      </c>
      <c r="MG107" s="721">
        <f>28.433*1.5</f>
        <v>42.649500000000003</v>
      </c>
      <c r="MH107" s="721">
        <f>25.75/1.5</f>
        <v>17.166666666666668</v>
      </c>
      <c r="MI107" s="721">
        <f>0.38/1.5</f>
        <v>0.25333333333333335</v>
      </c>
      <c r="MJ107" s="721">
        <f>28.263*1.5</f>
        <v>42.394500000000001</v>
      </c>
      <c r="MK107" s="721">
        <f>24.63/1.5</f>
        <v>16.419999999999998</v>
      </c>
      <c r="ML107" s="721">
        <f>0.38/1.5</f>
        <v>0.25333333333333335</v>
      </c>
      <c r="MM107" s="721">
        <f>28.119*1.5</f>
        <v>42.1785</v>
      </c>
      <c r="MN107" s="721">
        <f>22.75/1.5</f>
        <v>15.166666666666666</v>
      </c>
      <c r="MO107" s="721">
        <f>0.38/1.5</f>
        <v>0.25333333333333335</v>
      </c>
      <c r="MP107" s="721">
        <f>23.968*1.5</f>
        <v>35.951999999999998</v>
      </c>
      <c r="MQ107" s="721">
        <f>20.38/1.5</f>
        <v>13.586666666666666</v>
      </c>
    </row>
    <row r="108" spans="1:355">
      <c r="A108" s="633" t="s">
        <v>33</v>
      </c>
      <c r="B108" s="726" t="s">
        <v>164</v>
      </c>
      <c r="C108" s="885">
        <v>238.5</v>
      </c>
      <c r="D108" s="885">
        <v>48.29</v>
      </c>
      <c r="E108" s="885">
        <v>0.38</v>
      </c>
      <c r="F108" s="828">
        <v>239.1</v>
      </c>
      <c r="G108" s="828">
        <v>54.72</v>
      </c>
      <c r="H108" s="828">
        <v>0.35499999999999998</v>
      </c>
      <c r="I108" s="828">
        <v>237.5</v>
      </c>
      <c r="J108" s="828">
        <v>53.93</v>
      </c>
      <c r="K108" s="828">
        <v>0.35499999999999998</v>
      </c>
      <c r="L108" s="828">
        <v>236.5</v>
      </c>
      <c r="M108" s="829">
        <v>49.08</v>
      </c>
      <c r="N108" s="828">
        <v>0.35499999999999998</v>
      </c>
      <c r="O108" s="828">
        <v>233.6</v>
      </c>
      <c r="P108" s="828">
        <v>47.13</v>
      </c>
      <c r="Q108" s="839">
        <v>0.35499999999999998</v>
      </c>
      <c r="R108" s="828">
        <v>235.2</v>
      </c>
      <c r="S108" s="828">
        <v>42.25</v>
      </c>
      <c r="T108" s="828">
        <v>0.33500000000000002</v>
      </c>
      <c r="U108" s="828">
        <v>232</v>
      </c>
      <c r="V108" s="829">
        <v>42.57</v>
      </c>
      <c r="W108" s="828">
        <v>0.33500000000000002</v>
      </c>
      <c r="X108" s="832">
        <v>231.4</v>
      </c>
      <c r="Y108" s="788">
        <v>42.32</v>
      </c>
      <c r="Z108" s="788">
        <v>0.33500000000000002</v>
      </c>
      <c r="AA108" s="788">
        <v>231.2</v>
      </c>
      <c r="AB108" s="788">
        <v>40.86</v>
      </c>
      <c r="AC108" s="801">
        <v>0.33500000000000002</v>
      </c>
      <c r="AD108" s="788">
        <v>231</v>
      </c>
      <c r="AE108" s="788">
        <v>42.61</v>
      </c>
      <c r="AF108" s="788">
        <v>0.315</v>
      </c>
      <c r="AG108" s="788">
        <v>229</v>
      </c>
      <c r="AH108" s="788">
        <v>41.57</v>
      </c>
      <c r="AI108" s="788">
        <v>0.315</v>
      </c>
      <c r="AJ108" s="788">
        <v>227.6</v>
      </c>
      <c r="AK108" s="788">
        <v>40.17</v>
      </c>
      <c r="AL108" s="788">
        <v>0.315</v>
      </c>
      <c r="AM108" s="828">
        <v>227.1</v>
      </c>
      <c r="AN108" s="828">
        <v>39.61</v>
      </c>
      <c r="AO108" s="830">
        <v>0.315</v>
      </c>
      <c r="AP108" s="788">
        <v>227.2</v>
      </c>
      <c r="AQ108" s="788">
        <v>37.89</v>
      </c>
      <c r="AR108" s="788">
        <v>0.29375000000000001</v>
      </c>
      <c r="AS108" s="727">
        <v>227</v>
      </c>
      <c r="AT108" s="727">
        <v>38.31</v>
      </c>
      <c r="AU108" s="727">
        <v>0.29375000000000001</v>
      </c>
      <c r="AV108" s="772">
        <v>226.8</v>
      </c>
      <c r="AW108" s="773">
        <v>39.700000000000003</v>
      </c>
      <c r="AX108" s="773">
        <v>0.29375000000000001</v>
      </c>
      <c r="AY108" s="773">
        <f>112.7*2</f>
        <v>225.4</v>
      </c>
      <c r="AZ108" s="727">
        <f>74.28/2</f>
        <v>37.14</v>
      </c>
      <c r="BA108" s="747">
        <f>0.5875/2</f>
        <v>0.29375000000000001</v>
      </c>
      <c r="BB108" s="727">
        <f>113.2*2</f>
        <v>226.4</v>
      </c>
      <c r="BC108" s="727">
        <f>62.45/2</f>
        <v>31.225000000000001</v>
      </c>
      <c r="BD108" s="727">
        <f>0.55/2</f>
        <v>0.27500000000000002</v>
      </c>
      <c r="BE108" s="727">
        <f>113.1*2</f>
        <v>226.2</v>
      </c>
      <c r="BF108" s="727">
        <f>58.49/2</f>
        <v>29.245000000000001</v>
      </c>
      <c r="BG108" s="727">
        <f>0.55/2</f>
        <v>0.27500000000000002</v>
      </c>
      <c r="BH108" s="727">
        <f>111.1*2</f>
        <v>222.2</v>
      </c>
      <c r="BI108" s="727">
        <f>57.72/2</f>
        <v>28.86</v>
      </c>
      <c r="BJ108" s="727">
        <f>0.55/2</f>
        <v>0.27500000000000002</v>
      </c>
      <c r="BK108" s="726">
        <f>110.8*2</f>
        <v>221.6</v>
      </c>
      <c r="BL108" s="726">
        <f>63/2</f>
        <v>31.5</v>
      </c>
      <c r="BM108" s="761">
        <f>0.55/2</f>
        <v>0.27500000000000002</v>
      </c>
      <c r="BN108" s="727">
        <f>110.8*2</f>
        <v>221.6</v>
      </c>
      <c r="BO108" s="727">
        <f>66.42/2</f>
        <v>33.21</v>
      </c>
      <c r="BP108" s="727">
        <f>0.51/2</f>
        <v>0.255</v>
      </c>
      <c r="BQ108" s="727">
        <f>110.8*2</f>
        <v>221.6</v>
      </c>
      <c r="BR108" s="727">
        <f>55.41/2</f>
        <v>27.704999999999998</v>
      </c>
      <c r="BS108" s="727">
        <f>0.51/2</f>
        <v>0.255</v>
      </c>
      <c r="BT108" s="727">
        <f>110.8*2</f>
        <v>221.6</v>
      </c>
      <c r="BU108" s="727">
        <f>60.86/2</f>
        <v>30.43</v>
      </c>
      <c r="BV108" s="727">
        <f>0.51/2</f>
        <v>0.255</v>
      </c>
      <c r="BW108" s="726">
        <f>110.8*2</f>
        <v>221.6</v>
      </c>
      <c r="BX108" s="726">
        <f>56.81/2</f>
        <v>28.405000000000001</v>
      </c>
      <c r="BY108" s="761">
        <f>0.51/2</f>
        <v>0.255</v>
      </c>
      <c r="BZ108" s="727">
        <f>110.783*2</f>
        <v>221.566</v>
      </c>
      <c r="CA108" s="727">
        <f>51.6/2</f>
        <v>25.8</v>
      </c>
      <c r="CB108" s="727">
        <f>0.47/2</f>
        <v>0.23499999999999999</v>
      </c>
      <c r="CC108" s="727">
        <f>110.776*2</f>
        <v>221.55199999999999</v>
      </c>
      <c r="CD108" s="727">
        <f>49.55/2</f>
        <v>24.774999999999999</v>
      </c>
      <c r="CE108" s="727">
        <f>0.47/2</f>
        <v>0.23499999999999999</v>
      </c>
      <c r="CF108" s="727">
        <f>110.767*2</f>
        <v>221.53399999999999</v>
      </c>
      <c r="CG108" s="727">
        <f>50.42/2</f>
        <v>25.21</v>
      </c>
      <c r="CH108" s="727">
        <f>0.47/2</f>
        <v>0.23499999999999999</v>
      </c>
      <c r="CI108" s="726">
        <f>110.753*2</f>
        <v>221.506</v>
      </c>
      <c r="CJ108" s="726">
        <f>50.18/2</f>
        <v>25.09</v>
      </c>
      <c r="CK108" s="761">
        <f>0.47/2</f>
        <v>0.23499999999999999</v>
      </c>
      <c r="CL108" s="727">
        <f>110.768*2</f>
        <v>221.536</v>
      </c>
      <c r="CM108" s="727">
        <f>43.91/2</f>
        <v>21.954999999999998</v>
      </c>
      <c r="CN108" s="727">
        <f>0.45/2</f>
        <v>0.22500000000000001</v>
      </c>
      <c r="CO108" s="727">
        <f>110.756*2</f>
        <v>221.512</v>
      </c>
      <c r="CP108" s="727">
        <f>43.39/2</f>
        <v>21.695</v>
      </c>
      <c r="CQ108" s="727">
        <f>0.45/2</f>
        <v>0.22500000000000001</v>
      </c>
      <c r="CR108" s="727">
        <f>110.716*2</f>
        <v>221.43199999999999</v>
      </c>
      <c r="CS108" s="727">
        <f>45.57/2</f>
        <v>22.785</v>
      </c>
      <c r="CT108" s="727">
        <f>0.45/2</f>
        <v>0.22500000000000001</v>
      </c>
      <c r="CU108" s="726">
        <f>110.626*2</f>
        <v>221.25200000000001</v>
      </c>
      <c r="CV108" s="726">
        <f>43.32/2</f>
        <v>21.66</v>
      </c>
      <c r="CW108" s="761">
        <f>0.45/2</f>
        <v>0.22500000000000001</v>
      </c>
      <c r="CX108" s="727">
        <f>110.647*2</f>
        <v>221.29400000000001</v>
      </c>
      <c r="CY108" s="727">
        <f>44.11/2</f>
        <v>22.055</v>
      </c>
      <c r="CZ108" s="727">
        <f>0.425/2</f>
        <v>0.21249999999999999</v>
      </c>
      <c r="DA108" s="727">
        <f>110.624*2</f>
        <v>221.24799999999999</v>
      </c>
      <c r="DB108" s="727">
        <f>38.68/2</f>
        <v>19.34</v>
      </c>
      <c r="DC108" s="727">
        <f>0.425/2</f>
        <v>0.21249999999999999</v>
      </c>
      <c r="DD108" s="727">
        <f>110.569*2</f>
        <v>221.13800000000001</v>
      </c>
      <c r="DE108" s="727">
        <f>40.66/2</f>
        <v>20.329999999999998</v>
      </c>
      <c r="DF108" s="727">
        <f>0.425/2</f>
        <v>0.21249999999999999</v>
      </c>
      <c r="DG108" s="727">
        <f>110.521*2</f>
        <v>221.042</v>
      </c>
      <c r="DH108" s="727">
        <f>38.93/2</f>
        <v>19.465</v>
      </c>
      <c r="DI108" s="747">
        <f>0.425/2</f>
        <v>0.21249999999999999</v>
      </c>
      <c r="DJ108" s="727">
        <f>110.469*2</f>
        <v>220.93799999999999</v>
      </c>
      <c r="DK108" s="727">
        <f>36.77/2</f>
        <v>18.385000000000002</v>
      </c>
      <c r="DL108" s="727">
        <f>0.395/2</f>
        <v>0.19750000000000001</v>
      </c>
      <c r="DM108" s="727">
        <f>110.409*2</f>
        <v>220.81800000000001</v>
      </c>
      <c r="DN108" s="727">
        <f>36.35/2</f>
        <v>18.175000000000001</v>
      </c>
      <c r="DO108" s="727">
        <v>0.39500000000000002</v>
      </c>
      <c r="DP108" s="727">
        <v>110.36799999999999</v>
      </c>
      <c r="DQ108" s="727">
        <v>31.74</v>
      </c>
      <c r="DR108" s="727">
        <v>0.39500000000000002</v>
      </c>
      <c r="DS108" s="727">
        <v>110.301</v>
      </c>
      <c r="DT108" s="748">
        <v>33.26</v>
      </c>
      <c r="DU108" s="727">
        <v>0.39500000000000002</v>
      </c>
      <c r="DV108" s="727">
        <v>110.288</v>
      </c>
      <c r="DW108" s="727">
        <v>30.26</v>
      </c>
      <c r="DX108" s="727">
        <v>0.375</v>
      </c>
      <c r="DY108" s="727">
        <v>110.26600000000001</v>
      </c>
      <c r="DZ108" s="727">
        <v>27.85</v>
      </c>
      <c r="EA108" s="727">
        <v>0.375</v>
      </c>
      <c r="EB108" s="727">
        <v>110.218</v>
      </c>
      <c r="EC108" s="727">
        <v>26.13</v>
      </c>
      <c r="ED108" s="727">
        <v>0.375</v>
      </c>
      <c r="EE108" s="727">
        <v>110.18</v>
      </c>
      <c r="EF108" s="727">
        <v>24.69</v>
      </c>
      <c r="EG108" s="727">
        <v>0.375</v>
      </c>
      <c r="EH108" s="727">
        <v>110.182</v>
      </c>
      <c r="EI108" s="727">
        <v>29.18</v>
      </c>
      <c r="EJ108" s="727">
        <v>0.35</v>
      </c>
      <c r="EK108" s="727">
        <v>110.16800000000001</v>
      </c>
      <c r="EL108" s="727">
        <v>32.21</v>
      </c>
      <c r="EM108" s="727">
        <v>0.35</v>
      </c>
      <c r="EN108" s="727">
        <v>110.148</v>
      </c>
      <c r="EO108" s="727">
        <v>34.26</v>
      </c>
      <c r="EP108" s="727">
        <v>0.35</v>
      </c>
      <c r="EQ108" s="727">
        <v>112.28400000000001</v>
      </c>
      <c r="ER108" s="727">
        <v>35.01</v>
      </c>
      <c r="ES108" s="727">
        <v>0.35</v>
      </c>
      <c r="ET108" s="727">
        <v>110.881</v>
      </c>
      <c r="EU108" s="727">
        <v>40.69</v>
      </c>
      <c r="EV108" s="727">
        <v>0.3175</v>
      </c>
      <c r="EW108" s="727">
        <v>112.77800000000001</v>
      </c>
      <c r="EX108" s="727">
        <v>38.32</v>
      </c>
      <c r="EY108" s="727">
        <v>0.3175</v>
      </c>
      <c r="EZ108" s="727">
        <v>115.42</v>
      </c>
      <c r="FA108" s="727">
        <v>38.85</v>
      </c>
      <c r="FB108" s="727">
        <v>0.3175</v>
      </c>
      <c r="FC108" s="723">
        <v>116.82599999999999</v>
      </c>
      <c r="FD108" s="741">
        <v>44.82</v>
      </c>
      <c r="FE108" s="723">
        <v>0.3175</v>
      </c>
      <c r="FF108" s="727">
        <v>117.11</v>
      </c>
      <c r="FG108" s="727">
        <v>37.770000000000003</v>
      </c>
      <c r="FH108" s="727">
        <v>0.28749999999999998</v>
      </c>
      <c r="FI108" s="727">
        <v>117.30500000000001</v>
      </c>
      <c r="FJ108" s="727">
        <v>35.729999999999997</v>
      </c>
      <c r="FK108" s="727">
        <v>0.28749999999999998</v>
      </c>
      <c r="FL108" s="727">
        <v>117.03700000000001</v>
      </c>
      <c r="FM108" s="727">
        <v>34.299999999999997</v>
      </c>
      <c r="FN108" s="727">
        <v>0.28749999999999998</v>
      </c>
      <c r="FO108" s="727">
        <v>116.94799999999999</v>
      </c>
      <c r="FP108" s="727">
        <v>31.47</v>
      </c>
      <c r="FQ108" s="727">
        <v>0.28749999999999998</v>
      </c>
      <c r="FR108" s="727">
        <v>116.639</v>
      </c>
      <c r="FS108" s="742">
        <v>28.04</v>
      </c>
      <c r="FT108" s="626">
        <f>1.05/4</f>
        <v>0.26250000000000001</v>
      </c>
      <c r="FU108" s="727">
        <v>116.283</v>
      </c>
      <c r="FV108" s="727">
        <v>29.13</v>
      </c>
      <c r="FW108" s="727">
        <v>0.26250000000000001</v>
      </c>
      <c r="FX108" s="727">
        <v>116.032</v>
      </c>
      <c r="FY108" s="727">
        <v>28.15</v>
      </c>
      <c r="FZ108" s="727">
        <v>0.26250000000000001</v>
      </c>
      <c r="GA108" s="727">
        <v>114.246443</v>
      </c>
      <c r="GB108" s="727">
        <v>26.78</v>
      </c>
      <c r="GC108" s="727">
        <v>0.26250000000000001</v>
      </c>
      <c r="GD108" s="750">
        <v>114.246443</v>
      </c>
      <c r="GE108" s="741">
        <v>28.6</v>
      </c>
      <c r="GF108" s="751">
        <v>0.26250000000000001</v>
      </c>
      <c r="GG108" s="750">
        <v>112.07899999999999</v>
      </c>
      <c r="GH108" s="727">
        <v>24.88</v>
      </c>
      <c r="GI108" s="727">
        <v>0.25</v>
      </c>
      <c r="GJ108" s="727">
        <v>111.153173</v>
      </c>
      <c r="GK108" s="727">
        <v>26.08</v>
      </c>
      <c r="GL108" s="727">
        <v>0.25</v>
      </c>
      <c r="GM108" s="727">
        <v>101.544</v>
      </c>
      <c r="GN108" s="727">
        <v>26.06</v>
      </c>
      <c r="GO108" s="727">
        <v>0.25</v>
      </c>
      <c r="GP108" s="727">
        <v>109.221</v>
      </c>
      <c r="GQ108" s="727">
        <v>24.9</v>
      </c>
      <c r="GR108" s="727">
        <v>0.25</v>
      </c>
      <c r="GS108" s="727">
        <v>92.911219000000003</v>
      </c>
      <c r="GT108" s="727">
        <v>22</v>
      </c>
      <c r="GU108" s="727">
        <v>0.25</v>
      </c>
      <c r="GV108" s="727">
        <v>92.511061999999995</v>
      </c>
      <c r="GW108" s="727">
        <v>19.03</v>
      </c>
      <c r="GX108" s="727">
        <v>0.25</v>
      </c>
      <c r="GY108" s="727">
        <v>90.959000000000003</v>
      </c>
      <c r="GZ108" s="727">
        <v>16.07</v>
      </c>
      <c r="HA108" s="727">
        <v>0.25</v>
      </c>
      <c r="HB108" s="727">
        <v>91.182359000000005</v>
      </c>
      <c r="HC108" s="727">
        <v>16.55</v>
      </c>
      <c r="HD108" s="727">
        <v>0.5</v>
      </c>
      <c r="HE108" s="727">
        <v>90.470079999999996</v>
      </c>
      <c r="HF108" s="727">
        <v>19.25</v>
      </c>
      <c r="HG108" s="727">
        <v>0.5</v>
      </c>
      <c r="HH108" s="727">
        <v>89.964212000000003</v>
      </c>
      <c r="HI108" s="727">
        <v>25.7</v>
      </c>
      <c r="HJ108" s="727">
        <v>0.5</v>
      </c>
      <c r="HK108" s="727">
        <v>80.498000000000005</v>
      </c>
      <c r="HL108" s="727">
        <v>30.22</v>
      </c>
      <c r="HM108" s="727">
        <v>0.5</v>
      </c>
      <c r="HN108" s="727">
        <v>79.239999999999995</v>
      </c>
      <c r="HO108" s="727">
        <v>30.36</v>
      </c>
      <c r="HP108" s="727">
        <v>0.5</v>
      </c>
      <c r="HQ108" s="727">
        <v>79.174999999999997</v>
      </c>
      <c r="HR108" s="727">
        <v>31.3</v>
      </c>
      <c r="HS108" s="727">
        <v>0.5</v>
      </c>
      <c r="HT108" s="727">
        <v>79.197999999999993</v>
      </c>
      <c r="HU108" s="727">
        <v>29.15</v>
      </c>
      <c r="HV108" s="727">
        <v>0.5</v>
      </c>
      <c r="HW108" s="727">
        <v>79.16</v>
      </c>
      <c r="HX108" s="727">
        <v>31.82</v>
      </c>
      <c r="HY108" s="727">
        <v>0.5</v>
      </c>
      <c r="HZ108" s="727">
        <v>79.16</v>
      </c>
      <c r="IA108" s="727">
        <v>31.875</v>
      </c>
      <c r="IB108" s="727">
        <v>0.5</v>
      </c>
      <c r="IC108" s="727">
        <v>79.001999999999995</v>
      </c>
      <c r="ID108" s="727">
        <v>29.375</v>
      </c>
      <c r="IE108" s="727">
        <v>0.5</v>
      </c>
      <c r="IF108" s="727">
        <v>78.995999999999995</v>
      </c>
      <c r="IG108" s="727">
        <v>26</v>
      </c>
      <c r="IH108" s="727">
        <v>0.5</v>
      </c>
      <c r="II108" s="727">
        <v>78.846999999999994</v>
      </c>
      <c r="IJ108" s="722">
        <v>30.4375</v>
      </c>
      <c r="IK108" s="722">
        <v>0.5</v>
      </c>
      <c r="IL108" s="722">
        <v>78.569000000000003</v>
      </c>
      <c r="IM108" s="727">
        <v>27.5</v>
      </c>
      <c r="IN108" s="722">
        <v>0.5</v>
      </c>
      <c r="IO108" s="722">
        <v>78.213999999999999</v>
      </c>
      <c r="IP108" s="727">
        <v>27.6875</v>
      </c>
      <c r="IQ108" s="722">
        <v>0.5</v>
      </c>
      <c r="IR108" s="721">
        <v>76.91</v>
      </c>
      <c r="IS108" s="721">
        <v>28.375</v>
      </c>
      <c r="IT108" s="721">
        <v>0.5</v>
      </c>
      <c r="IU108" s="721">
        <v>77</v>
      </c>
      <c r="IV108" s="721">
        <v>26.625</v>
      </c>
      <c r="IW108" s="721">
        <v>0.5</v>
      </c>
      <c r="IX108" s="721">
        <v>77</v>
      </c>
      <c r="IY108" s="721">
        <v>32.25</v>
      </c>
      <c r="IZ108" s="721">
        <v>0.5</v>
      </c>
      <c r="JA108" s="721">
        <v>30.79</v>
      </c>
      <c r="JB108" s="721">
        <v>32.063000000000002</v>
      </c>
      <c r="JC108" s="721">
        <v>0.5</v>
      </c>
      <c r="JD108" s="721">
        <v>30.79</v>
      </c>
      <c r="JE108" s="721">
        <v>32.5</v>
      </c>
      <c r="JF108" s="721">
        <v>0.5</v>
      </c>
      <c r="JG108" s="721">
        <v>30.79</v>
      </c>
      <c r="JH108" s="721">
        <v>33.6875</v>
      </c>
      <c r="JI108" s="721">
        <v>0.5</v>
      </c>
      <c r="JJ108" s="721">
        <v>30.789000000000001</v>
      </c>
      <c r="JK108" s="721">
        <v>33.125</v>
      </c>
      <c r="JL108" s="721">
        <v>0.5</v>
      </c>
      <c r="JM108" s="721">
        <v>30.774000000000001</v>
      </c>
      <c r="JN108" s="721">
        <v>28.625</v>
      </c>
      <c r="JO108" s="721">
        <v>0.5</v>
      </c>
      <c r="JP108" s="721">
        <v>30.774000000000001</v>
      </c>
      <c r="JQ108" s="721">
        <v>27.937999999999999</v>
      </c>
      <c r="JR108" s="721">
        <v>0.5</v>
      </c>
      <c r="JS108" s="721">
        <v>30.294</v>
      </c>
      <c r="JT108" s="721">
        <v>27.375</v>
      </c>
      <c r="JU108" s="721">
        <v>0.5</v>
      </c>
      <c r="JV108" s="721">
        <v>30.294</v>
      </c>
      <c r="JW108" s="721">
        <v>28.125</v>
      </c>
      <c r="JX108" s="721">
        <v>0.49249999999999999</v>
      </c>
      <c r="JY108" s="721">
        <v>30.294</v>
      </c>
      <c r="JZ108" s="721">
        <v>29.125</v>
      </c>
      <c r="KA108" s="721">
        <v>0.49249999999999999</v>
      </c>
      <c r="KB108" s="721">
        <v>30.294</v>
      </c>
      <c r="KC108" s="721">
        <v>32.875</v>
      </c>
      <c r="KD108" s="721">
        <v>0.49249999999999999</v>
      </c>
      <c r="KE108" s="721">
        <v>30.294</v>
      </c>
      <c r="KF108" s="721">
        <v>30.875</v>
      </c>
      <c r="KG108" s="721">
        <v>0.48499999999999999</v>
      </c>
      <c r="KH108" s="721">
        <v>30.294</v>
      </c>
      <c r="KI108" s="721">
        <v>30.625</v>
      </c>
      <c r="KJ108" s="721">
        <v>0.48499999999999999</v>
      </c>
      <c r="KK108" s="721">
        <v>30.294</v>
      </c>
      <c r="KL108" s="721">
        <v>29.25</v>
      </c>
      <c r="KM108" s="721">
        <v>0.48499999999999999</v>
      </c>
      <c r="KN108" s="721">
        <v>30.294</v>
      </c>
      <c r="KO108" s="721">
        <v>28.625</v>
      </c>
      <c r="KP108" s="721">
        <v>0.48499999999999999</v>
      </c>
      <c r="KQ108" s="721">
        <v>30.294</v>
      </c>
      <c r="KR108" s="721">
        <v>28.75</v>
      </c>
      <c r="KS108" s="721">
        <v>0.48499999999999999</v>
      </c>
      <c r="KT108" s="721">
        <v>30.294</v>
      </c>
      <c r="KU108" s="721">
        <v>27.375</v>
      </c>
      <c r="KV108" s="721">
        <v>0.48</v>
      </c>
      <c r="KW108" s="721">
        <v>30.294</v>
      </c>
      <c r="KX108" s="721">
        <v>28.125</v>
      </c>
      <c r="KY108" s="721">
        <v>0.48</v>
      </c>
      <c r="KZ108" s="721">
        <v>30.294</v>
      </c>
      <c r="LA108" s="721">
        <v>27.25</v>
      </c>
      <c r="LB108" s="721">
        <v>0.48</v>
      </c>
      <c r="LC108" s="721">
        <v>30.294</v>
      </c>
      <c r="LD108" s="721">
        <v>29.625</v>
      </c>
      <c r="LE108" s="721">
        <v>0.48</v>
      </c>
      <c r="LF108" s="721">
        <v>30.294</v>
      </c>
      <c r="LG108" s="721">
        <v>32.875</v>
      </c>
      <c r="LH108" s="721">
        <v>0.47499999999999998</v>
      </c>
      <c r="LI108" s="721">
        <v>30.294</v>
      </c>
      <c r="LJ108" s="721">
        <v>35.625</v>
      </c>
      <c r="LK108" s="721">
        <v>0.47499999999999998</v>
      </c>
      <c r="LL108" s="721">
        <v>30.332000000000001</v>
      </c>
      <c r="LM108" s="721">
        <v>35.375</v>
      </c>
      <c r="LN108" s="721">
        <v>0.47499999999999998</v>
      </c>
      <c r="LO108" s="721">
        <v>27.712</v>
      </c>
      <c r="LP108" s="721">
        <v>36.5</v>
      </c>
      <c r="LQ108" s="721">
        <v>0.47499999999999998</v>
      </c>
      <c r="LR108" s="721">
        <v>26.977</v>
      </c>
      <c r="LS108" s="721">
        <v>33.880000000000003</v>
      </c>
      <c r="LT108" s="721">
        <v>0.47</v>
      </c>
      <c r="LU108" s="721">
        <v>26.977</v>
      </c>
      <c r="LV108" s="721">
        <v>35.630000000000003</v>
      </c>
      <c r="LW108" s="721">
        <v>0.47</v>
      </c>
      <c r="LX108" s="721">
        <v>26.91</v>
      </c>
      <c r="LY108" s="721">
        <v>33.75</v>
      </c>
      <c r="LZ108" s="721">
        <v>0.47</v>
      </c>
      <c r="MA108" s="721">
        <v>26.844000000000001</v>
      </c>
      <c r="MB108" s="721">
        <v>31.13</v>
      </c>
      <c r="MC108" s="721">
        <v>0.47</v>
      </c>
      <c r="MD108" s="721">
        <v>26.73</v>
      </c>
      <c r="ME108" s="721">
        <v>32.75</v>
      </c>
      <c r="MF108" s="721">
        <v>0.45</v>
      </c>
      <c r="MG108" s="721">
        <v>26.716000000000001</v>
      </c>
      <c r="MH108" s="721">
        <v>30</v>
      </c>
      <c r="MI108" s="721">
        <v>0.45</v>
      </c>
      <c r="MJ108" s="721">
        <v>26.689</v>
      </c>
      <c r="MK108" s="721">
        <v>25.75</v>
      </c>
      <c r="ML108" s="721">
        <v>0.45</v>
      </c>
      <c r="MM108" s="721">
        <v>26.663</v>
      </c>
      <c r="MN108" s="721">
        <v>26.25</v>
      </c>
      <c r="MO108" s="721">
        <v>0.45</v>
      </c>
      <c r="MP108" s="721">
        <v>26.663</v>
      </c>
      <c r="MQ108" s="721">
        <v>24.5</v>
      </c>
    </row>
    <row r="109" spans="1:355">
      <c r="A109" s="633" t="s">
        <v>47</v>
      </c>
      <c r="B109" s="728" t="s">
        <v>165</v>
      </c>
      <c r="C109" s="885">
        <v>66.204999999999998</v>
      </c>
      <c r="D109" s="885">
        <v>42.49</v>
      </c>
      <c r="E109" s="885">
        <v>0.40500000000000003</v>
      </c>
      <c r="F109" s="828">
        <v>66.265000000000001</v>
      </c>
      <c r="G109" s="828">
        <v>48.09</v>
      </c>
      <c r="H109" s="828">
        <v>0.38750000000000001</v>
      </c>
      <c r="I109" s="828">
        <v>65.894000000000005</v>
      </c>
      <c r="J109" s="828">
        <v>48.44</v>
      </c>
      <c r="K109" s="828">
        <v>0.38750000000000001</v>
      </c>
      <c r="L109" s="828">
        <v>65.733000000000004</v>
      </c>
      <c r="M109" s="829">
        <v>44.6</v>
      </c>
      <c r="N109" s="828">
        <v>0.38750000000000001</v>
      </c>
      <c r="O109" s="828">
        <v>65.673000000000002</v>
      </c>
      <c r="P109" s="828">
        <v>40.619999999999997</v>
      </c>
      <c r="Q109" s="839">
        <v>0.38750000000000001</v>
      </c>
      <c r="R109" s="828">
        <v>65.688000000000002</v>
      </c>
      <c r="S109" s="828">
        <v>42.48</v>
      </c>
      <c r="T109" s="828">
        <v>0.3725</v>
      </c>
      <c r="U109" s="828">
        <v>65.677000000000007</v>
      </c>
      <c r="V109" s="829">
        <v>50.56</v>
      </c>
      <c r="W109" s="828">
        <v>0.3725</v>
      </c>
      <c r="X109" s="832">
        <v>65.638999999999996</v>
      </c>
      <c r="Y109" s="788">
        <v>52.66</v>
      </c>
      <c r="Z109" s="788">
        <v>0.3725</v>
      </c>
      <c r="AA109" s="788">
        <v>64.808999999999997</v>
      </c>
      <c r="AB109" s="788">
        <v>51.25</v>
      </c>
      <c r="AC109" s="801">
        <v>0.3725</v>
      </c>
      <c r="AD109" s="788">
        <v>64.412000000000006</v>
      </c>
      <c r="AE109" s="788">
        <v>51.49</v>
      </c>
      <c r="AF109" s="788">
        <v>0.35749999999999998</v>
      </c>
      <c r="AG109" s="788">
        <v>64.400999999999996</v>
      </c>
      <c r="AH109" s="788">
        <v>51.77</v>
      </c>
      <c r="AI109" s="788">
        <v>0.35749999999999998</v>
      </c>
      <c r="AJ109" s="788">
        <v>64.361999999999995</v>
      </c>
      <c r="AK109" s="788">
        <v>42.46</v>
      </c>
      <c r="AL109" s="788">
        <v>0.35749999999999998</v>
      </c>
      <c r="AM109" s="828">
        <v>63.508000000000003</v>
      </c>
      <c r="AN109" s="828">
        <v>39.049999999999997</v>
      </c>
      <c r="AO109" s="830">
        <v>0.35749999999999998</v>
      </c>
      <c r="AP109" s="788">
        <v>63.856999999999999</v>
      </c>
      <c r="AQ109" s="788">
        <v>39.99</v>
      </c>
      <c r="AR109" s="788">
        <v>0.34250000000000003</v>
      </c>
      <c r="AS109" s="723">
        <v>63.386000000000003</v>
      </c>
      <c r="AT109" s="723">
        <v>41.79</v>
      </c>
      <c r="AU109" s="723">
        <v>0.34250000000000003</v>
      </c>
      <c r="AV109" s="723">
        <v>62.604999999999997</v>
      </c>
      <c r="AW109" s="723">
        <v>44.8</v>
      </c>
      <c r="AX109" s="723">
        <v>0.34250000000000003</v>
      </c>
      <c r="AY109" s="723">
        <v>62.301000000000002</v>
      </c>
      <c r="AZ109" s="723">
        <v>40.78</v>
      </c>
      <c r="BA109" s="753">
        <v>0.34250000000000003</v>
      </c>
      <c r="BB109" s="723">
        <v>62.298999999999999</v>
      </c>
      <c r="BC109" s="723">
        <v>35.369999999999997</v>
      </c>
      <c r="BD109" s="723">
        <v>0.33</v>
      </c>
      <c r="BE109" s="723">
        <v>62.280999999999999</v>
      </c>
      <c r="BF109" s="723">
        <v>33.25</v>
      </c>
      <c r="BG109" s="723">
        <v>0.33</v>
      </c>
      <c r="BH109" s="723">
        <v>62.317999999999998</v>
      </c>
      <c r="BI109" s="723">
        <v>30.65</v>
      </c>
      <c r="BJ109" s="723">
        <v>0.33</v>
      </c>
      <c r="BK109" s="728">
        <v>62.29</v>
      </c>
      <c r="BL109" s="728">
        <v>34.18</v>
      </c>
      <c r="BM109" s="754">
        <v>0.33</v>
      </c>
      <c r="BN109" s="723">
        <v>63.933999999999997</v>
      </c>
      <c r="BO109" s="723">
        <v>35.35</v>
      </c>
      <c r="BP109" s="723">
        <v>0.3175</v>
      </c>
      <c r="BQ109" s="723">
        <v>60.183999999999997</v>
      </c>
      <c r="BR109" s="723">
        <v>30.53</v>
      </c>
      <c r="BS109" s="723">
        <v>0.3175</v>
      </c>
      <c r="BT109" s="723">
        <v>60.122</v>
      </c>
      <c r="BU109" s="723">
        <v>33.520000000000003</v>
      </c>
      <c r="BV109" s="723">
        <v>0.3175</v>
      </c>
      <c r="BW109" s="728">
        <v>59.96</v>
      </c>
      <c r="BX109" s="728">
        <v>30.65</v>
      </c>
      <c r="BY109" s="754">
        <v>0.3175</v>
      </c>
      <c r="BZ109" s="723">
        <v>59.994</v>
      </c>
      <c r="CA109" s="723">
        <v>28.19</v>
      </c>
      <c r="CB109" s="723">
        <v>0.30499999999999999</v>
      </c>
      <c r="CC109" s="723">
        <v>59.936999999999998</v>
      </c>
      <c r="CD109" s="723">
        <v>26.4</v>
      </c>
      <c r="CE109" s="723">
        <v>0.30499999999999999</v>
      </c>
      <c r="CF109" s="723">
        <v>59.866</v>
      </c>
      <c r="CG109" s="723">
        <v>27.02</v>
      </c>
      <c r="CH109" s="723">
        <v>0.30499999999999999</v>
      </c>
      <c r="CI109" s="728">
        <v>59.027999999999999</v>
      </c>
      <c r="CJ109" s="728">
        <v>27.4</v>
      </c>
      <c r="CK109" s="754">
        <v>0.30499999999999999</v>
      </c>
      <c r="CL109" s="723">
        <v>59.046999999999997</v>
      </c>
      <c r="CM109" s="723">
        <v>24.11</v>
      </c>
      <c r="CN109" s="723">
        <v>0.28999999999999998</v>
      </c>
      <c r="CO109" s="723">
        <v>58.701999999999998</v>
      </c>
      <c r="CP109" s="723">
        <v>25.74</v>
      </c>
      <c r="CQ109" s="723">
        <v>0.28999999999999998</v>
      </c>
      <c r="CR109" s="723">
        <v>58.581000000000003</v>
      </c>
      <c r="CS109" s="723">
        <v>26.7</v>
      </c>
      <c r="CT109" s="723">
        <v>0.28999999999999998</v>
      </c>
      <c r="CU109" s="728">
        <v>57.872</v>
      </c>
      <c r="CV109" s="728">
        <v>25.58</v>
      </c>
      <c r="CW109" s="754">
        <v>0.28999999999999998</v>
      </c>
      <c r="CX109" s="722">
        <v>58.057000000000002</v>
      </c>
      <c r="CY109" s="723">
        <v>25.75</v>
      </c>
      <c r="CZ109" s="723">
        <v>0.27500000000000002</v>
      </c>
      <c r="DA109" s="723">
        <v>57.786999999999999</v>
      </c>
      <c r="DB109" s="723">
        <v>23.85</v>
      </c>
      <c r="DC109" s="722">
        <v>0.27500000000000002</v>
      </c>
      <c r="DD109" s="723">
        <v>57.341999999999999</v>
      </c>
      <c r="DE109" s="723">
        <v>25.69</v>
      </c>
      <c r="DF109" s="723">
        <v>0.27500000000000002</v>
      </c>
      <c r="DG109" s="723">
        <v>56.835000000000001</v>
      </c>
      <c r="DH109" s="723">
        <v>23.13</v>
      </c>
      <c r="DI109" s="753">
        <v>0.27500000000000002</v>
      </c>
      <c r="DJ109" s="723">
        <v>55.616</v>
      </c>
      <c r="DK109" s="723">
        <v>22.53</v>
      </c>
      <c r="DL109" s="723">
        <v>0.25</v>
      </c>
      <c r="DM109" s="723">
        <v>55.030999999999999</v>
      </c>
      <c r="DN109" s="723">
        <v>20.88</v>
      </c>
      <c r="DO109" s="723">
        <v>0.25</v>
      </c>
      <c r="DP109" s="723">
        <v>54.869</v>
      </c>
      <c r="DQ109" s="723">
        <v>19.53</v>
      </c>
      <c r="DR109" s="723">
        <v>0.25</v>
      </c>
      <c r="DS109" s="723">
        <v>54.795999999999999</v>
      </c>
      <c r="DT109" s="725">
        <v>20.71</v>
      </c>
      <c r="DU109" s="723">
        <v>0.25</v>
      </c>
      <c r="DV109" s="723">
        <v>54.706000000000003</v>
      </c>
      <c r="DW109" s="723">
        <v>21.59</v>
      </c>
      <c r="DX109" s="723">
        <v>0.21</v>
      </c>
      <c r="DY109" s="723">
        <v>54.654000000000003</v>
      </c>
      <c r="DZ109" s="723">
        <v>20.22</v>
      </c>
      <c r="EA109" s="723">
        <v>0.21</v>
      </c>
      <c r="EB109" s="723">
        <v>54.616</v>
      </c>
      <c r="EC109" s="723">
        <v>17.809999999999999</v>
      </c>
      <c r="ED109" s="723">
        <v>0.21</v>
      </c>
      <c r="EE109" s="723">
        <v>54.45</v>
      </c>
      <c r="EF109" s="723">
        <v>13.78</v>
      </c>
      <c r="EG109" s="723">
        <v>0.18</v>
      </c>
      <c r="EH109" s="723">
        <v>53.773000000000003</v>
      </c>
      <c r="EI109" s="723">
        <v>19.38</v>
      </c>
      <c r="EJ109" s="723">
        <v>0.18</v>
      </c>
      <c r="EK109" s="723">
        <v>53.301000000000002</v>
      </c>
      <c r="EL109" s="723">
        <v>21.71</v>
      </c>
      <c r="EM109" s="723">
        <v>0.18</v>
      </c>
      <c r="EN109" s="723">
        <v>53.02</v>
      </c>
      <c r="EO109" s="723">
        <v>21.46</v>
      </c>
      <c r="EP109" s="723">
        <v>0.16500000000000001</v>
      </c>
      <c r="EQ109" s="723">
        <v>52.795999999999999</v>
      </c>
      <c r="ER109" s="723">
        <v>19.559999999999999</v>
      </c>
      <c r="ES109" s="723">
        <v>0.16500000000000001</v>
      </c>
      <c r="ET109" s="722">
        <v>52.834000000000003</v>
      </c>
      <c r="EU109" s="722">
        <v>21.54</v>
      </c>
      <c r="EV109" s="722">
        <v>0.15</v>
      </c>
      <c r="EW109" s="723">
        <v>52.774999999999999</v>
      </c>
      <c r="EX109" s="723">
        <v>20.350000000000001</v>
      </c>
      <c r="EY109" s="723">
        <v>0.15</v>
      </c>
      <c r="EZ109" s="723">
        <v>52.683999999999997</v>
      </c>
      <c r="FA109" s="723">
        <v>21.55</v>
      </c>
      <c r="FB109" s="723">
        <v>0.15</v>
      </c>
      <c r="FC109" s="723">
        <v>49.161999999999999</v>
      </c>
      <c r="FD109" s="741">
        <v>24.23</v>
      </c>
      <c r="FE109" s="723">
        <v>0.14499999999999999</v>
      </c>
      <c r="FF109" s="727">
        <v>49.097999999999999</v>
      </c>
      <c r="FG109" s="727">
        <v>25.31</v>
      </c>
      <c r="FH109" s="727">
        <v>0.14499999999999999</v>
      </c>
      <c r="FI109" s="727">
        <v>48.957999999999998</v>
      </c>
      <c r="FJ109" s="727">
        <v>23.68</v>
      </c>
      <c r="FK109" s="770">
        <v>0.14499999999999999</v>
      </c>
      <c r="FL109" s="727">
        <v>48.795000000000002</v>
      </c>
      <c r="FM109" s="727">
        <v>22.83</v>
      </c>
      <c r="FN109" s="727">
        <v>0.14000000000000001</v>
      </c>
      <c r="FO109" s="727">
        <v>48.567999999999998</v>
      </c>
      <c r="FP109" s="727">
        <v>20.65</v>
      </c>
      <c r="FQ109" s="727">
        <v>0.14000000000000001</v>
      </c>
      <c r="FR109" s="727">
        <v>48.537999999999997</v>
      </c>
      <c r="FS109" s="742">
        <v>17.71</v>
      </c>
      <c r="FT109" s="626">
        <f>0.56/4</f>
        <v>0.14000000000000001</v>
      </c>
      <c r="FU109" s="727">
        <v>48.508000000000003</v>
      </c>
      <c r="FV109" s="727">
        <v>19.399999999999999</v>
      </c>
      <c r="FW109" s="727">
        <v>0.13500000000000001</v>
      </c>
      <c r="FX109" s="727">
        <v>48.478000000000002</v>
      </c>
      <c r="FY109" s="727">
        <v>18.59</v>
      </c>
      <c r="FZ109" s="727">
        <v>0.13500000000000001</v>
      </c>
      <c r="GA109" s="727">
        <v>48.415999999999997</v>
      </c>
      <c r="GB109" s="727">
        <v>17.5</v>
      </c>
      <c r="GC109" s="727">
        <v>0.13500000000000001</v>
      </c>
      <c r="GD109" s="750">
        <v>48.415999999999997</v>
      </c>
      <c r="GE109" s="741">
        <v>17.670000000000002</v>
      </c>
      <c r="GF109" s="751">
        <v>0.13</v>
      </c>
      <c r="GG109" s="750">
        <v>48.384</v>
      </c>
      <c r="GH109" s="727">
        <v>18.100000000000001</v>
      </c>
      <c r="GI109" s="727">
        <v>0.13</v>
      </c>
      <c r="GJ109" s="727">
        <v>48.351999999999997</v>
      </c>
      <c r="GK109" s="727">
        <v>18.420000000000002</v>
      </c>
      <c r="GL109" s="727">
        <v>0.13</v>
      </c>
      <c r="GM109" s="727">
        <v>48.319000000000003</v>
      </c>
      <c r="GN109" s="727">
        <v>18.920000000000002</v>
      </c>
      <c r="GO109" s="727">
        <v>0.125</v>
      </c>
      <c r="GP109" s="727">
        <v>48.280999999999999</v>
      </c>
      <c r="GQ109" s="727">
        <v>18.12</v>
      </c>
      <c r="GR109" s="727">
        <v>0.125</v>
      </c>
      <c r="GS109" s="727">
        <v>48.223999999999997</v>
      </c>
      <c r="GT109" s="727">
        <v>15.58</v>
      </c>
      <c r="GU109" s="727">
        <v>0.125</v>
      </c>
      <c r="GV109" s="727">
        <v>48.1</v>
      </c>
      <c r="GW109" s="727">
        <v>14.15</v>
      </c>
      <c r="GX109" s="727">
        <v>0.12</v>
      </c>
      <c r="GY109" s="727">
        <v>47.978000000000002</v>
      </c>
      <c r="GZ109" s="727">
        <v>10.59</v>
      </c>
      <c r="HA109" s="727">
        <v>0.12</v>
      </c>
      <c r="HB109" s="727">
        <v>47.866</v>
      </c>
      <c r="HC109" s="727">
        <v>11.56</v>
      </c>
      <c r="HD109" s="727">
        <v>0.12</v>
      </c>
      <c r="HE109" s="727">
        <v>47.774000000000001</v>
      </c>
      <c r="HF109" s="727">
        <v>11.2</v>
      </c>
      <c r="HG109" s="727">
        <v>0.12</v>
      </c>
      <c r="HH109" s="727">
        <v>47.670999999999999</v>
      </c>
      <c r="HI109" s="727">
        <v>13.8</v>
      </c>
      <c r="HJ109" s="727">
        <v>0.12</v>
      </c>
      <c r="HK109" s="727">
        <v>47.569000000000003</v>
      </c>
      <c r="HL109" s="727">
        <v>15.53</v>
      </c>
      <c r="HM109" s="727">
        <v>0.12</v>
      </c>
      <c r="HN109" s="727">
        <v>47.485999999999997</v>
      </c>
      <c r="HO109" s="727">
        <v>13.26</v>
      </c>
      <c r="HP109" s="727">
        <v>0.12</v>
      </c>
      <c r="HQ109" s="727">
        <v>47.372</v>
      </c>
      <c r="HR109" s="727">
        <v>13.6</v>
      </c>
      <c r="HS109" s="727">
        <v>0.12</v>
      </c>
      <c r="HT109" s="727">
        <v>47.3</v>
      </c>
      <c r="HU109" s="727">
        <v>19.98</v>
      </c>
      <c r="HV109" s="727">
        <v>0.12</v>
      </c>
      <c r="HW109" s="727">
        <v>47.2</v>
      </c>
      <c r="HX109" s="727">
        <v>17.62</v>
      </c>
      <c r="HY109" s="727">
        <v>0.12</v>
      </c>
      <c r="HZ109" s="727">
        <v>47.2</v>
      </c>
      <c r="IA109" s="727">
        <v>20.5</v>
      </c>
      <c r="IB109" s="727">
        <v>0.12</v>
      </c>
      <c r="IC109" s="727">
        <v>36</v>
      </c>
      <c r="ID109" s="727">
        <v>22.5</v>
      </c>
      <c r="IE109" s="727">
        <v>0.12</v>
      </c>
      <c r="IF109" s="727">
        <v>47.1</v>
      </c>
      <c r="IG109" s="727">
        <v>17.4375</v>
      </c>
      <c r="IH109" s="727">
        <v>0.12</v>
      </c>
      <c r="II109" s="727">
        <v>35.6</v>
      </c>
      <c r="IJ109" s="722">
        <v>40.75</v>
      </c>
      <c r="IK109" s="722">
        <v>0.12</v>
      </c>
      <c r="IL109" s="722">
        <v>37</v>
      </c>
      <c r="IM109" s="727">
        <v>15.4375</v>
      </c>
      <c r="IN109" s="722">
        <v>0.12</v>
      </c>
      <c r="IO109" s="722">
        <v>40.185000000000002</v>
      </c>
      <c r="IP109" s="727">
        <v>17.5625</v>
      </c>
      <c r="IQ109" s="722">
        <v>0.12</v>
      </c>
      <c r="IR109" s="721">
        <v>54.6</v>
      </c>
      <c r="IS109" s="721">
        <v>16.25</v>
      </c>
      <c r="IT109" s="721">
        <v>0.12</v>
      </c>
      <c r="IU109" s="721">
        <v>55.96</v>
      </c>
      <c r="IV109" s="721">
        <v>16.25</v>
      </c>
      <c r="IW109" s="721">
        <v>0.12</v>
      </c>
      <c r="IX109" s="721">
        <v>55.96</v>
      </c>
      <c r="IY109" s="721">
        <v>19.25</v>
      </c>
      <c r="IZ109" s="721">
        <v>0.12</v>
      </c>
      <c r="JA109" s="721">
        <v>55.96</v>
      </c>
      <c r="JB109" s="721">
        <v>19.812999999999999</v>
      </c>
      <c r="JC109" s="721">
        <v>0.31</v>
      </c>
      <c r="JD109" s="721">
        <v>55.96</v>
      </c>
      <c r="JE109" s="721">
        <v>22.437999999999999</v>
      </c>
      <c r="JF109" s="721">
        <v>0.31</v>
      </c>
      <c r="JG109" s="721">
        <v>55.96</v>
      </c>
      <c r="JH109" s="721">
        <v>24.4175</v>
      </c>
      <c r="JI109" s="721">
        <v>0.31</v>
      </c>
      <c r="JJ109" s="721">
        <v>55.96</v>
      </c>
      <c r="JK109" s="721">
        <v>24.3125</v>
      </c>
      <c r="JL109" s="721">
        <v>0.31</v>
      </c>
      <c r="JM109" s="721">
        <v>55.96</v>
      </c>
      <c r="JN109" s="721">
        <v>20</v>
      </c>
      <c r="JO109" s="721">
        <v>0.31</v>
      </c>
      <c r="JP109" s="721">
        <v>55.96</v>
      </c>
      <c r="JQ109" s="721">
        <v>19.625</v>
      </c>
      <c r="JR109" s="721">
        <v>0.31</v>
      </c>
      <c r="JS109" s="721">
        <v>55.96</v>
      </c>
      <c r="JT109" s="721">
        <v>17.375</v>
      </c>
      <c r="JU109" s="721">
        <v>0.31</v>
      </c>
      <c r="JV109" s="721">
        <v>55.96</v>
      </c>
      <c r="JW109" s="721">
        <v>18.625</v>
      </c>
      <c r="JX109" s="721">
        <v>0.31</v>
      </c>
      <c r="JY109" s="721">
        <v>52.668999999999997</v>
      </c>
      <c r="JZ109" s="721">
        <v>18.875</v>
      </c>
      <c r="KA109" s="721">
        <v>0.31</v>
      </c>
      <c r="KB109" s="721">
        <v>52.668999999999997</v>
      </c>
      <c r="KC109" s="721">
        <v>18.625</v>
      </c>
      <c r="KD109" s="721">
        <v>0.31</v>
      </c>
      <c r="KE109" s="721">
        <v>52.668999999999997</v>
      </c>
      <c r="KF109" s="721">
        <v>19.125</v>
      </c>
      <c r="KG109" s="721">
        <v>0.31</v>
      </c>
      <c r="KH109" s="721">
        <v>52.668999999999997</v>
      </c>
      <c r="KI109" s="721">
        <v>17.5</v>
      </c>
      <c r="KJ109" s="721">
        <v>0.31</v>
      </c>
      <c r="KK109" s="721">
        <v>52.668999999999997</v>
      </c>
      <c r="KL109" s="721">
        <v>16.125</v>
      </c>
      <c r="KM109" s="721">
        <v>0.31</v>
      </c>
      <c r="KN109" s="721">
        <v>52.668999999999997</v>
      </c>
      <c r="KO109" s="721">
        <v>16</v>
      </c>
      <c r="KP109" s="721">
        <v>0.31</v>
      </c>
      <c r="KQ109" s="721">
        <v>52.668999999999997</v>
      </c>
      <c r="KR109" s="721">
        <v>15</v>
      </c>
      <c r="KS109" s="721">
        <v>0.31</v>
      </c>
      <c r="KT109" s="721">
        <v>52.668999999999997</v>
      </c>
      <c r="KU109" s="721">
        <v>13.75</v>
      </c>
      <c r="KV109" s="721">
        <v>0.31</v>
      </c>
      <c r="KW109" s="721">
        <v>52.668999999999997</v>
      </c>
      <c r="KX109" s="721">
        <v>14.5</v>
      </c>
      <c r="KY109" s="721">
        <v>0.31</v>
      </c>
      <c r="KZ109" s="721">
        <v>52.668999999999997</v>
      </c>
      <c r="LA109" s="721">
        <v>14.38</v>
      </c>
      <c r="LB109" s="721">
        <v>0.31</v>
      </c>
      <c r="LC109" s="721">
        <v>51.996000000000002</v>
      </c>
      <c r="LD109" s="721">
        <v>17.375</v>
      </c>
      <c r="LE109" s="721">
        <v>0.31</v>
      </c>
      <c r="LF109" s="721">
        <v>51.996000000000002</v>
      </c>
      <c r="LG109" s="721">
        <v>18.75</v>
      </c>
      <c r="LH109" s="721">
        <v>0.31</v>
      </c>
      <c r="LI109" s="721">
        <v>51.996000000000002</v>
      </c>
      <c r="LJ109" s="721">
        <v>20.125</v>
      </c>
      <c r="LK109" s="721">
        <v>0.31</v>
      </c>
      <c r="LL109" s="721">
        <v>51.491999999999997</v>
      </c>
      <c r="LM109" s="721">
        <v>19.875</v>
      </c>
      <c r="LN109" s="721">
        <v>0.31</v>
      </c>
      <c r="LO109" s="721">
        <v>51.07</v>
      </c>
      <c r="LP109" s="721">
        <v>19.3125</v>
      </c>
      <c r="LQ109" s="721">
        <v>0.31</v>
      </c>
      <c r="LR109" s="721">
        <v>49.241999999999997</v>
      </c>
      <c r="LS109" s="721">
        <v>17.63</v>
      </c>
      <c r="LT109" s="721">
        <v>0.31</v>
      </c>
      <c r="LU109" s="721">
        <v>49.241999999999997</v>
      </c>
      <c r="LV109" s="721">
        <v>17.309999999999999</v>
      </c>
      <c r="LW109" s="721">
        <v>0.31</v>
      </c>
      <c r="LX109" s="721">
        <v>48.886000000000003</v>
      </c>
      <c r="LY109" s="721">
        <v>16.75</v>
      </c>
      <c r="LZ109" s="721">
        <v>0.31</v>
      </c>
      <c r="MA109" s="721">
        <v>48.368000000000002</v>
      </c>
      <c r="MB109" s="721">
        <v>16.190000000000001</v>
      </c>
      <c r="MC109" s="721">
        <v>0.31</v>
      </c>
      <c r="MD109" s="721">
        <v>46.915999999999997</v>
      </c>
      <c r="ME109" s="721">
        <v>16.5</v>
      </c>
      <c r="MF109" s="721">
        <v>0.31</v>
      </c>
      <c r="MG109" s="721">
        <v>46.75</v>
      </c>
      <c r="MH109" s="721">
        <v>16.190000000000001</v>
      </c>
      <c r="MI109" s="721">
        <v>0.31</v>
      </c>
      <c r="MJ109" s="721">
        <v>46.612000000000002</v>
      </c>
      <c r="MK109" s="721">
        <v>14.88</v>
      </c>
      <c r="ML109" s="721">
        <v>0.31</v>
      </c>
      <c r="MM109" s="721">
        <v>46.491999999999997</v>
      </c>
      <c r="MN109" s="721">
        <v>14.88</v>
      </c>
      <c r="MO109" s="721">
        <v>0.31</v>
      </c>
      <c r="MP109" s="721">
        <v>45.723999999999997</v>
      </c>
      <c r="MQ109" s="721">
        <v>14.88</v>
      </c>
    </row>
    <row r="110" spans="1:355">
      <c r="A110" s="633" t="s">
        <v>27</v>
      </c>
      <c r="B110" s="728" t="s">
        <v>652</v>
      </c>
      <c r="C110" s="885">
        <v>315.39999999999998</v>
      </c>
      <c r="D110" s="885">
        <v>88.13</v>
      </c>
      <c r="E110" s="887">
        <v>0.63249999999999995</v>
      </c>
      <c r="F110" s="828">
        <v>315.39999999999998</v>
      </c>
      <c r="G110" s="828">
        <v>92.23</v>
      </c>
      <c r="H110" s="828">
        <v>0.59</v>
      </c>
      <c r="I110" s="828">
        <v>315.39999999999998</v>
      </c>
      <c r="J110" s="828">
        <v>95.1</v>
      </c>
      <c r="K110" s="828">
        <v>0.59</v>
      </c>
      <c r="L110" s="828">
        <v>315.5</v>
      </c>
      <c r="M110" s="829">
        <v>83.37</v>
      </c>
      <c r="N110" s="828">
        <v>0.59</v>
      </c>
      <c r="O110" s="828">
        <v>315.5</v>
      </c>
      <c r="P110" s="828">
        <v>79.08</v>
      </c>
      <c r="Q110" s="839">
        <v>0.59</v>
      </c>
      <c r="R110" s="828">
        <v>315.5</v>
      </c>
      <c r="S110" s="828">
        <v>69.260000000000005</v>
      </c>
      <c r="T110" s="828">
        <v>0.55249999999999999</v>
      </c>
      <c r="U110" s="828">
        <v>315.5</v>
      </c>
      <c r="V110" s="829">
        <v>66.760000000000005</v>
      </c>
      <c r="W110" s="828">
        <v>0.55249999999999999</v>
      </c>
      <c r="X110" s="832">
        <v>315.5</v>
      </c>
      <c r="Y110" s="788">
        <v>64.650000000000006</v>
      </c>
      <c r="Z110" s="788">
        <v>0.55249999999999999</v>
      </c>
      <c r="AA110" s="788">
        <v>315.60000000000002</v>
      </c>
      <c r="AB110" s="788">
        <v>62.7</v>
      </c>
      <c r="AC110" s="801">
        <v>0.55249999999999999</v>
      </c>
      <c r="AD110" s="788">
        <v>315.60000000000002</v>
      </c>
      <c r="AE110" s="788">
        <v>66.430000000000007</v>
      </c>
      <c r="AF110" s="788">
        <v>0.52</v>
      </c>
      <c r="AG110" s="788">
        <v>315.60000000000002</v>
      </c>
      <c r="AH110" s="788">
        <v>62.78</v>
      </c>
      <c r="AI110" s="788">
        <v>0.52</v>
      </c>
      <c r="AJ110" s="788">
        <v>315.60000000000002</v>
      </c>
      <c r="AK110" s="788">
        <v>61.38</v>
      </c>
      <c r="AL110" s="788">
        <v>0.52</v>
      </c>
      <c r="AM110" s="828">
        <v>315.60000000000002</v>
      </c>
      <c r="AN110" s="828">
        <v>60.63</v>
      </c>
      <c r="AO110" s="828">
        <v>0.52</v>
      </c>
      <c r="AP110" s="788">
        <v>315.60000000000002</v>
      </c>
      <c r="AQ110" s="788">
        <v>58.65</v>
      </c>
      <c r="AR110" s="795">
        <v>0.52</v>
      </c>
      <c r="AS110" s="729">
        <v>315.60000000000002</v>
      </c>
      <c r="AT110" s="729">
        <v>59.88</v>
      </c>
      <c r="AU110" s="729">
        <v>0.495</v>
      </c>
      <c r="AV110" s="760">
        <v>315.7</v>
      </c>
      <c r="AW110" s="760">
        <v>65.3</v>
      </c>
      <c r="AX110" s="760">
        <v>0.495</v>
      </c>
      <c r="AY110" s="723">
        <v>271.10000000000002</v>
      </c>
      <c r="AZ110" s="723">
        <v>60.07</v>
      </c>
      <c r="BA110" s="753">
        <v>0.495</v>
      </c>
      <c r="BB110" s="729">
        <v>315.7</v>
      </c>
      <c r="BC110" s="729">
        <v>51.31</v>
      </c>
      <c r="BD110" s="729">
        <v>0.45750000000000002</v>
      </c>
      <c r="BE110" s="723">
        <v>227.5</v>
      </c>
      <c r="BF110" s="723">
        <v>52.22</v>
      </c>
      <c r="BG110" s="757">
        <v>0.45750025</v>
      </c>
      <c r="BH110" s="723">
        <v>225.5</v>
      </c>
      <c r="BI110" s="723">
        <v>44.97</v>
      </c>
      <c r="BJ110" s="723">
        <v>0.422504977</v>
      </c>
      <c r="BK110" s="728">
        <v>225.5</v>
      </c>
      <c r="BL110" s="728">
        <v>49.5</v>
      </c>
      <c r="BM110" s="728">
        <v>0.42249999999999999</v>
      </c>
      <c r="BN110" s="723">
        <v>225.5</v>
      </c>
      <c r="BO110" s="723">
        <v>52.74</v>
      </c>
      <c r="BP110" s="757">
        <v>0.42249999999999999</v>
      </c>
      <c r="BQ110" s="723">
        <v>225.5</v>
      </c>
      <c r="BR110" s="723">
        <v>43</v>
      </c>
      <c r="BS110" s="723">
        <v>0.39</v>
      </c>
      <c r="BT110" s="723">
        <v>225.8</v>
      </c>
      <c r="BU110" s="723">
        <v>46.92</v>
      </c>
      <c r="BV110" s="723">
        <v>0.39</v>
      </c>
      <c r="BW110" s="728">
        <v>227.6</v>
      </c>
      <c r="BX110" s="728">
        <v>46.55</v>
      </c>
      <c r="BY110" s="754">
        <v>0.39</v>
      </c>
      <c r="BZ110" s="723">
        <v>226.8</v>
      </c>
      <c r="CA110" s="723">
        <v>41.34</v>
      </c>
      <c r="CB110" s="723">
        <v>0.38250000000000001</v>
      </c>
      <c r="CC110" s="723">
        <v>228.4</v>
      </c>
      <c r="CD110" s="723">
        <v>40.380000000000003</v>
      </c>
      <c r="CE110" s="757">
        <v>0.38250000000000001</v>
      </c>
      <c r="CF110" s="723">
        <v>228.9</v>
      </c>
      <c r="CG110" s="723">
        <v>40.99</v>
      </c>
      <c r="CH110" s="723">
        <v>0.34</v>
      </c>
      <c r="CI110" s="728">
        <v>230.2</v>
      </c>
      <c r="CJ110" s="728">
        <v>42.89</v>
      </c>
      <c r="CK110" s="728">
        <v>0.34</v>
      </c>
      <c r="CL110" s="723">
        <v>230.4</v>
      </c>
      <c r="CM110" s="723">
        <v>36.85</v>
      </c>
      <c r="CN110" s="757">
        <v>0.34</v>
      </c>
      <c r="CO110" s="723">
        <v>230.4</v>
      </c>
      <c r="CP110" s="723">
        <v>37.67</v>
      </c>
      <c r="CQ110" s="723">
        <v>0.3</v>
      </c>
      <c r="CR110" s="723">
        <v>230.5</v>
      </c>
      <c r="CS110" s="723">
        <v>39.57</v>
      </c>
      <c r="CT110" s="723">
        <v>0.3</v>
      </c>
      <c r="CU110" s="728">
        <v>232.6</v>
      </c>
      <c r="CV110" s="728">
        <v>35.21</v>
      </c>
      <c r="CW110" s="728">
        <v>0.3</v>
      </c>
      <c r="CX110" s="722">
        <v>232.2</v>
      </c>
      <c r="CY110" s="723">
        <v>34.979999999999997</v>
      </c>
      <c r="CZ110" s="723">
        <v>0.3</v>
      </c>
      <c r="DA110" s="723">
        <v>233.7</v>
      </c>
      <c r="DB110" s="723">
        <v>31.29</v>
      </c>
      <c r="DC110" s="722">
        <v>0.26</v>
      </c>
      <c r="DD110" s="723">
        <v>233.7</v>
      </c>
      <c r="DE110" s="723">
        <v>31.35</v>
      </c>
      <c r="DF110" s="723">
        <v>0.26</v>
      </c>
      <c r="DG110" s="722">
        <v>233.8</v>
      </c>
      <c r="DH110" s="722">
        <v>30.5</v>
      </c>
      <c r="DI110" s="753">
        <v>0.26</v>
      </c>
      <c r="DJ110" s="760">
        <f>116.9*2</f>
        <v>233.8</v>
      </c>
      <c r="DK110" s="760">
        <f>58.86/2</f>
        <v>29.43</v>
      </c>
      <c r="DL110" s="760">
        <f>0.4/2</f>
        <v>0.2</v>
      </c>
      <c r="DM110" s="760">
        <f>116.9*2</f>
        <v>233.8</v>
      </c>
      <c r="DN110" s="760">
        <f>57.8/2</f>
        <v>28.9</v>
      </c>
      <c r="DO110" s="760">
        <f>0.4/2</f>
        <v>0.2</v>
      </c>
      <c r="DP110" s="760">
        <f>116.9*2</f>
        <v>233.8</v>
      </c>
      <c r="DQ110" s="760">
        <f>50.74/2</f>
        <v>25.37</v>
      </c>
      <c r="DR110" s="760">
        <f>0.4/2</f>
        <v>0.2</v>
      </c>
      <c r="DS110" s="760">
        <f>116.9*2</f>
        <v>233.8</v>
      </c>
      <c r="DT110" s="774">
        <f>49.41/2</f>
        <v>24.704999999999998</v>
      </c>
      <c r="DU110" s="760">
        <f>0.4/2</f>
        <v>0.2</v>
      </c>
      <c r="DV110" s="760">
        <f>116.9*2</f>
        <v>233.8</v>
      </c>
      <c r="DW110" s="760">
        <f>49.83/2</f>
        <v>24.914999999999999</v>
      </c>
      <c r="DX110" s="760">
        <f>0.3375/2</f>
        <v>0.16875000000000001</v>
      </c>
      <c r="DY110" s="760">
        <f>116.9*2</f>
        <v>233.8</v>
      </c>
      <c r="DZ110" s="760">
        <f>45.17/2</f>
        <v>22.585000000000001</v>
      </c>
      <c r="EA110" s="760">
        <f>0.3375/2</f>
        <v>0.16875000000000001</v>
      </c>
      <c r="EB110" s="760">
        <f>116.9*2</f>
        <v>233.8</v>
      </c>
      <c r="EC110" s="760">
        <f>40.71/2</f>
        <v>20.355</v>
      </c>
      <c r="ED110" s="760">
        <f>0.3375/2</f>
        <v>0.16875000000000001</v>
      </c>
      <c r="EE110" s="760">
        <f>116.9*2</f>
        <v>233.8</v>
      </c>
      <c r="EF110" s="760">
        <f>41.17/2</f>
        <v>20.585000000000001</v>
      </c>
      <c r="EG110" s="760">
        <f>0.3375/2</f>
        <v>0.16875000000000001</v>
      </c>
      <c r="EH110" s="760">
        <f>116.9*2</f>
        <v>233.8</v>
      </c>
      <c r="EI110" s="760">
        <f>41.98/2</f>
        <v>20.99</v>
      </c>
      <c r="EJ110" s="760">
        <f>0.3375/2</f>
        <v>0.16875000000000001</v>
      </c>
      <c r="EK110" s="760">
        <f>116.9*2</f>
        <v>233.8</v>
      </c>
      <c r="EL110" s="760">
        <f>44.9/2</f>
        <v>22.45</v>
      </c>
      <c r="EM110" s="760">
        <f>0.27/2</f>
        <v>0.13500000000000001</v>
      </c>
      <c r="EN110" s="760">
        <f>116.9*2</f>
        <v>233.8</v>
      </c>
      <c r="EO110" s="760">
        <f>45.22/2</f>
        <v>22.61</v>
      </c>
      <c r="EP110" s="760">
        <f>0.27/2</f>
        <v>0.13500000000000001</v>
      </c>
      <c r="EQ110" s="760">
        <f>116.9*2</f>
        <v>233.8</v>
      </c>
      <c r="ER110" s="760">
        <f>43.99/2</f>
        <v>21.995000000000001</v>
      </c>
      <c r="ES110" s="760">
        <f>0.27/2</f>
        <v>0.13500000000000001</v>
      </c>
      <c r="ET110" s="760">
        <f>116.9*2</f>
        <v>233.8</v>
      </c>
      <c r="EU110" s="760">
        <f>48.71/2</f>
        <v>24.355</v>
      </c>
      <c r="EV110" s="760">
        <f>0.25/2</f>
        <v>0.125</v>
      </c>
      <c r="EW110" s="760">
        <f>116.9*2</f>
        <v>233.8</v>
      </c>
      <c r="EX110" s="760">
        <f>45.03/2</f>
        <v>22.515000000000001</v>
      </c>
      <c r="EY110" s="760">
        <f>0.25/2</f>
        <v>0.125</v>
      </c>
      <c r="EZ110" s="760">
        <f>117*2</f>
        <v>234</v>
      </c>
      <c r="FA110" s="760">
        <f>44.23/2</f>
        <v>22.114999999999998</v>
      </c>
      <c r="FB110" s="760">
        <f>0.25/2</f>
        <v>0.125</v>
      </c>
      <c r="FC110" s="760">
        <f>117*2</f>
        <v>234</v>
      </c>
      <c r="FD110" s="775">
        <f>48.52/2</f>
        <v>24.26</v>
      </c>
      <c r="FE110" s="760">
        <f>0.25/2</f>
        <v>0.125</v>
      </c>
      <c r="FF110" s="730">
        <f>117*2</f>
        <v>234</v>
      </c>
      <c r="FG110" s="730">
        <f>47.46/2</f>
        <v>23.73</v>
      </c>
      <c r="FH110" s="730">
        <f>0.23/2</f>
        <v>0.115</v>
      </c>
      <c r="FI110" s="730">
        <f>117*2</f>
        <v>234</v>
      </c>
      <c r="FJ110" s="730">
        <f>43.14/2</f>
        <v>21.57</v>
      </c>
      <c r="FK110" s="730">
        <f>0.23/2</f>
        <v>0.115</v>
      </c>
      <c r="FL110" s="730">
        <f>117*2</f>
        <v>234</v>
      </c>
      <c r="FM110" s="730">
        <f>40.3/2</f>
        <v>20.149999999999999</v>
      </c>
      <c r="FN110" s="730">
        <f>0.23/2</f>
        <v>0.115</v>
      </c>
      <c r="FO110" s="730">
        <f>117*2</f>
        <v>234</v>
      </c>
      <c r="FP110" s="730">
        <f>39.99/2</f>
        <v>19.995000000000001</v>
      </c>
      <c r="FQ110" s="730">
        <f>0.23/2</f>
        <v>0.115</v>
      </c>
      <c r="FR110" s="730">
        <f>117*2</f>
        <v>234</v>
      </c>
      <c r="FS110" s="775">
        <f>39.06/2</f>
        <v>19.53</v>
      </c>
      <c r="FT110" s="776">
        <f>(0.88/4)/2</f>
        <v>0.11</v>
      </c>
      <c r="FU110" s="730">
        <f>117*2</f>
        <v>234</v>
      </c>
      <c r="FV110" s="730">
        <f>39.92/2</f>
        <v>19.96</v>
      </c>
      <c r="FW110" s="776">
        <f>(0.88/4)/2</f>
        <v>0.11</v>
      </c>
      <c r="FX110" s="727">
        <v>117</v>
      </c>
      <c r="FY110" s="727">
        <v>39</v>
      </c>
      <c r="FZ110" s="727">
        <v>0.22</v>
      </c>
      <c r="GA110" s="727">
        <v>117.4</v>
      </c>
      <c r="GB110" s="727">
        <v>35.5</v>
      </c>
      <c r="GC110" s="727">
        <v>0.22</v>
      </c>
      <c r="GD110" s="750">
        <v>117.4</v>
      </c>
      <c r="GE110" s="741">
        <v>33.71</v>
      </c>
      <c r="GF110" s="751">
        <v>0.21</v>
      </c>
      <c r="GG110" s="750">
        <v>118</v>
      </c>
      <c r="GH110" s="727">
        <v>31.9</v>
      </c>
      <c r="GI110" s="727">
        <v>0.21</v>
      </c>
      <c r="GJ110" s="727">
        <v>118.5</v>
      </c>
      <c r="GK110" s="727">
        <v>32.61</v>
      </c>
      <c r="GL110" s="727">
        <v>0.21</v>
      </c>
      <c r="GM110" s="727">
        <v>118.1</v>
      </c>
      <c r="GN110" s="727">
        <v>32.15</v>
      </c>
      <c r="GO110" s="727">
        <v>0.21</v>
      </c>
      <c r="GP110" s="727">
        <v>117.4</v>
      </c>
      <c r="GQ110" s="727">
        <v>33.450000000000003</v>
      </c>
      <c r="GR110" s="727">
        <v>0.2</v>
      </c>
      <c r="GS110" s="727">
        <v>116.7</v>
      </c>
      <c r="GT110" s="727">
        <v>30.57</v>
      </c>
      <c r="GU110" s="727">
        <v>0.2</v>
      </c>
      <c r="GV110" s="727">
        <v>116.2</v>
      </c>
      <c r="GW110" s="727">
        <v>29</v>
      </c>
      <c r="GX110" s="727">
        <v>0.2</v>
      </c>
      <c r="GY110" s="727">
        <v>115.8</v>
      </c>
      <c r="GZ110" s="727">
        <v>25.4</v>
      </c>
      <c r="HA110" s="727">
        <v>0.2</v>
      </c>
      <c r="HB110" s="727">
        <v>115.3</v>
      </c>
      <c r="HC110" s="727">
        <v>25.2</v>
      </c>
      <c r="HD110" s="727">
        <v>0.2</v>
      </c>
      <c r="HE110" s="727">
        <v>115.3</v>
      </c>
      <c r="HF110" s="727">
        <v>24.3</v>
      </c>
      <c r="HG110" s="727">
        <v>0.2</v>
      </c>
      <c r="HH110" s="727">
        <v>115.1</v>
      </c>
      <c r="HI110" s="727">
        <v>25.27</v>
      </c>
      <c r="HJ110" s="727">
        <v>0.2</v>
      </c>
      <c r="HK110" s="727">
        <v>116.5</v>
      </c>
      <c r="HL110" s="727">
        <v>24.88</v>
      </c>
      <c r="HM110" s="727">
        <v>0.2</v>
      </c>
      <c r="HN110" s="727">
        <v>116.9</v>
      </c>
      <c r="HO110" s="727">
        <v>22.56</v>
      </c>
      <c r="HP110" s="727">
        <v>0.2</v>
      </c>
      <c r="HQ110" s="727">
        <v>117.6</v>
      </c>
      <c r="HR110" s="727">
        <v>22.5</v>
      </c>
      <c r="HS110" s="727">
        <v>0.2</v>
      </c>
      <c r="HT110" s="727">
        <v>118</v>
      </c>
      <c r="HU110" s="727">
        <v>23.77</v>
      </c>
      <c r="HV110" s="727">
        <v>0.2</v>
      </c>
      <c r="HW110" s="727">
        <v>118.6</v>
      </c>
      <c r="HX110" s="727">
        <v>21.58</v>
      </c>
      <c r="HY110" s="727">
        <v>0.2</v>
      </c>
      <c r="HZ110" s="727">
        <v>121.9</v>
      </c>
      <c r="IA110" s="727">
        <v>22.5625</v>
      </c>
      <c r="IB110" s="727">
        <v>0.2</v>
      </c>
      <c r="IC110" s="727">
        <v>120.8</v>
      </c>
      <c r="ID110" s="727">
        <v>19.9375</v>
      </c>
      <c r="IE110" s="727">
        <v>0.39</v>
      </c>
      <c r="IF110" s="727">
        <v>119.512</v>
      </c>
      <c r="IG110" s="727">
        <v>19.8125</v>
      </c>
      <c r="IH110" s="727">
        <v>0.39</v>
      </c>
      <c r="II110" s="727">
        <v>118.199</v>
      </c>
      <c r="IJ110" s="722">
        <v>19.9375</v>
      </c>
      <c r="IK110" s="722">
        <v>0.39</v>
      </c>
      <c r="IL110" s="722">
        <v>117.307</v>
      </c>
      <c r="IM110" s="727">
        <v>19.25</v>
      </c>
      <c r="IN110" s="722">
        <v>0.39</v>
      </c>
      <c r="IO110" s="722">
        <v>116.614</v>
      </c>
      <c r="IP110" s="727">
        <v>23.4375</v>
      </c>
      <c r="IQ110" s="722">
        <v>0.39</v>
      </c>
      <c r="IR110" s="721">
        <v>114.32</v>
      </c>
      <c r="IS110" s="721">
        <v>25.0625</v>
      </c>
      <c r="IT110" s="721">
        <v>0.39</v>
      </c>
      <c r="IU110" s="721">
        <v>113.69</v>
      </c>
      <c r="IV110" s="721">
        <v>26.0625</v>
      </c>
      <c r="IW110" s="721">
        <v>0.39</v>
      </c>
      <c r="IX110" s="721">
        <v>113.69</v>
      </c>
      <c r="IY110" s="721">
        <v>31.437999999999999</v>
      </c>
      <c r="IZ110" s="721">
        <v>0.39</v>
      </c>
      <c r="JA110" s="721">
        <v>112.87</v>
      </c>
      <c r="JB110" s="721">
        <v>31.562999999999999</v>
      </c>
      <c r="JC110" s="721">
        <v>0.39</v>
      </c>
      <c r="JD110" s="721">
        <v>112.87</v>
      </c>
      <c r="JE110" s="721">
        <v>30.375</v>
      </c>
      <c r="JF110" s="721">
        <v>0.39</v>
      </c>
      <c r="JG110" s="721">
        <v>112.87</v>
      </c>
      <c r="JH110" s="721">
        <v>30.6875</v>
      </c>
      <c r="JI110" s="721">
        <v>0.38500000000000001</v>
      </c>
      <c r="JJ110" s="721">
        <v>112.866</v>
      </c>
      <c r="JK110" s="721">
        <v>28.75</v>
      </c>
      <c r="JL110" s="721">
        <v>0.38500000000000001</v>
      </c>
      <c r="JM110" s="721">
        <v>119.59</v>
      </c>
      <c r="JN110" s="721">
        <v>26</v>
      </c>
      <c r="JO110" s="721">
        <v>0.38500000000000001</v>
      </c>
      <c r="JP110" s="721">
        <v>119.59</v>
      </c>
      <c r="JQ110" s="721">
        <v>24.875</v>
      </c>
      <c r="JR110" s="721">
        <v>0.38500000000000001</v>
      </c>
      <c r="JS110" s="721">
        <v>110.90600000000001</v>
      </c>
      <c r="JT110" s="721">
        <v>24.5</v>
      </c>
      <c r="JU110" s="721">
        <v>0.38</v>
      </c>
      <c r="JV110" s="721">
        <v>110.90600000000001</v>
      </c>
      <c r="JW110" s="721">
        <v>26.875</v>
      </c>
      <c r="JX110" s="721">
        <v>0.38</v>
      </c>
      <c r="JY110" s="721">
        <v>109.133</v>
      </c>
      <c r="JZ110" s="721">
        <v>27</v>
      </c>
      <c r="KA110" s="721">
        <v>0.38</v>
      </c>
      <c r="KB110" s="721">
        <v>109.133</v>
      </c>
      <c r="KC110" s="721">
        <v>28.875</v>
      </c>
      <c r="KD110" s="721">
        <v>0.38</v>
      </c>
      <c r="KE110" s="721">
        <v>109.133</v>
      </c>
      <c r="KF110" s="721">
        <v>28.375</v>
      </c>
      <c r="KG110" s="721">
        <v>0.36749999999999999</v>
      </c>
      <c r="KH110" s="721">
        <v>109.133</v>
      </c>
      <c r="KI110" s="721">
        <v>30.625</v>
      </c>
      <c r="KJ110" s="721">
        <v>0.36749999999999999</v>
      </c>
      <c r="KK110" s="721">
        <v>109.133</v>
      </c>
      <c r="KL110" s="721">
        <v>28.375</v>
      </c>
      <c r="KM110" s="721">
        <v>0.36749999999999999</v>
      </c>
      <c r="KN110" s="721">
        <v>109.133</v>
      </c>
      <c r="KO110" s="721">
        <v>28</v>
      </c>
      <c r="KP110" s="721">
        <v>0.36749999999999999</v>
      </c>
      <c r="KQ110" s="721">
        <v>109.133</v>
      </c>
      <c r="KR110" s="721">
        <v>27.125</v>
      </c>
      <c r="KS110" s="721">
        <v>0.35249999999999998</v>
      </c>
      <c r="KT110" s="721">
        <v>107.238</v>
      </c>
      <c r="KU110" s="721">
        <v>25.875</v>
      </c>
      <c r="KV110" s="721">
        <v>0.35249999999999998</v>
      </c>
      <c r="KW110" s="721">
        <v>107.238</v>
      </c>
      <c r="KX110" s="721">
        <v>25.375</v>
      </c>
      <c r="KY110" s="721">
        <v>0.35249999999999998</v>
      </c>
      <c r="KZ110" s="721">
        <v>107.238</v>
      </c>
      <c r="LA110" s="721">
        <v>23.875</v>
      </c>
      <c r="LB110" s="721">
        <v>0.35249999999999998</v>
      </c>
      <c r="LC110" s="721">
        <v>104.53700000000001</v>
      </c>
      <c r="LD110" s="721">
        <v>25.25</v>
      </c>
      <c r="LE110" s="721">
        <v>0.35249999999999998</v>
      </c>
      <c r="LF110" s="721">
        <v>104.53700000000001</v>
      </c>
      <c r="LG110" s="721">
        <v>27.5</v>
      </c>
      <c r="LH110" s="721">
        <v>0.33900000000000002</v>
      </c>
      <c r="LI110" s="721">
        <v>104.53700000000001</v>
      </c>
      <c r="LJ110" s="721">
        <v>28.875</v>
      </c>
      <c r="LK110" s="721">
        <v>0.33900000000000002</v>
      </c>
      <c r="LL110" s="721">
        <v>103.961</v>
      </c>
      <c r="LM110" s="721">
        <v>27.625</v>
      </c>
      <c r="LN110" s="721">
        <v>0.33900000000000002</v>
      </c>
      <c r="LO110" s="721">
        <v>103.374</v>
      </c>
      <c r="LP110" s="721">
        <v>27.75</v>
      </c>
      <c r="LQ110" s="721">
        <v>0.32500000000000001</v>
      </c>
      <c r="LR110" s="721">
        <v>101.398</v>
      </c>
      <c r="LS110" s="721">
        <v>26.5</v>
      </c>
      <c r="LT110" s="721">
        <v>0.33</v>
      </c>
      <c r="LU110" s="721">
        <v>101.398</v>
      </c>
      <c r="LV110" s="721">
        <v>26.88</v>
      </c>
      <c r="LW110" s="721">
        <v>0.33</v>
      </c>
      <c r="LX110" s="721">
        <v>101.108</v>
      </c>
      <c r="LY110" s="721">
        <v>26.58</v>
      </c>
      <c r="LZ110" s="721">
        <v>0.33</v>
      </c>
      <c r="MA110" s="721">
        <v>101.03700000000001</v>
      </c>
      <c r="MB110" s="721">
        <v>24.67</v>
      </c>
      <c r="MC110" s="721">
        <v>0.31</v>
      </c>
      <c r="MD110" s="721">
        <v>101.03700000000001</v>
      </c>
      <c r="ME110" s="721">
        <v>26.17</v>
      </c>
      <c r="MF110" s="721">
        <v>0.31</v>
      </c>
      <c r="MG110" s="721">
        <v>101.03700000000001</v>
      </c>
      <c r="MH110" s="721">
        <v>24.5</v>
      </c>
      <c r="MI110" s="721">
        <v>0.31</v>
      </c>
      <c r="MJ110" s="721">
        <v>101.03700000000001</v>
      </c>
      <c r="MK110" s="721">
        <v>21.58</v>
      </c>
      <c r="ML110" s="721">
        <v>0.31</v>
      </c>
      <c r="MM110" s="721">
        <v>101.03700000000001</v>
      </c>
      <c r="MN110" s="721">
        <v>22.83</v>
      </c>
      <c r="MO110" s="721">
        <v>0.28999999999999998</v>
      </c>
      <c r="MP110" s="721">
        <v>101.03700000000001</v>
      </c>
      <c r="MQ110" s="721">
        <v>21.08</v>
      </c>
    </row>
    <row r="111" spans="1:355">
      <c r="A111" s="633" t="s">
        <v>85</v>
      </c>
      <c r="B111" s="722" t="s">
        <v>166</v>
      </c>
      <c r="C111" s="886"/>
      <c r="D111" s="886"/>
      <c r="E111" s="886"/>
      <c r="F111" s="788"/>
      <c r="G111" s="788"/>
      <c r="H111" s="788"/>
      <c r="I111" s="788"/>
      <c r="J111" s="788"/>
      <c r="K111" s="788"/>
      <c r="L111" s="828"/>
      <c r="M111" s="829"/>
      <c r="N111" s="828"/>
      <c r="O111" s="828"/>
      <c r="P111" s="828"/>
      <c r="Q111" s="828"/>
      <c r="R111" s="828"/>
      <c r="S111" s="828"/>
      <c r="T111" s="828"/>
      <c r="U111" s="788"/>
      <c r="V111" s="827"/>
      <c r="W111" s="788"/>
      <c r="X111" s="832"/>
      <c r="Y111" s="788"/>
      <c r="Z111" s="788"/>
      <c r="AA111" s="788"/>
      <c r="AB111" s="788"/>
      <c r="AC111" s="788"/>
      <c r="AJ111" s="788"/>
      <c r="AK111" s="788"/>
      <c r="AL111" s="788"/>
      <c r="AM111" s="828"/>
      <c r="AN111" s="828"/>
      <c r="AO111" s="828"/>
      <c r="AP111" s="788"/>
      <c r="AQ111" s="788"/>
      <c r="AR111" s="788"/>
      <c r="AS111" s="722"/>
      <c r="AT111" s="722"/>
      <c r="AU111" s="722"/>
      <c r="AV111" s="722"/>
      <c r="AW111" s="722"/>
      <c r="AX111" s="722"/>
      <c r="AY111" s="722"/>
      <c r="AZ111" s="722"/>
      <c r="BA111" s="722"/>
      <c r="BB111" s="722"/>
      <c r="BC111" s="722"/>
      <c r="BD111" s="722"/>
      <c r="BE111" s="722"/>
      <c r="BF111" s="722"/>
      <c r="BG111" s="722"/>
      <c r="BH111" s="722"/>
      <c r="BI111" s="722"/>
      <c r="BJ111" s="722"/>
      <c r="BK111" s="732">
        <v>80.2</v>
      </c>
      <c r="BL111" s="732">
        <v>72.02</v>
      </c>
      <c r="BM111" s="732">
        <v>0.68</v>
      </c>
      <c r="BN111" s="722">
        <v>80.2</v>
      </c>
      <c r="BO111" s="722">
        <v>77.849999999999994</v>
      </c>
      <c r="BP111" s="722">
        <v>0.68</v>
      </c>
      <c r="BQ111" s="722">
        <v>80.2</v>
      </c>
      <c r="BR111" s="722">
        <v>64.819999999999993</v>
      </c>
      <c r="BS111" s="722">
        <v>0.68</v>
      </c>
      <c r="BT111" s="722">
        <v>80.2</v>
      </c>
      <c r="BU111" s="722">
        <v>71.13</v>
      </c>
      <c r="BV111" s="722">
        <v>0.68</v>
      </c>
      <c r="BW111" s="732">
        <v>79.5</v>
      </c>
      <c r="BX111" s="732">
        <v>59.65</v>
      </c>
      <c r="BY111" s="732">
        <v>0.68</v>
      </c>
      <c r="BZ111" s="722">
        <v>79.8</v>
      </c>
      <c r="CA111" s="722">
        <v>54.41</v>
      </c>
      <c r="CB111" s="722">
        <v>0.68</v>
      </c>
      <c r="CC111" s="722">
        <v>79.400000000000006</v>
      </c>
      <c r="CD111" s="722">
        <v>55.89</v>
      </c>
      <c r="CE111" s="722">
        <v>0.68</v>
      </c>
      <c r="CF111" s="722">
        <v>78.7</v>
      </c>
      <c r="CG111" s="722">
        <v>58.53</v>
      </c>
      <c r="CH111" s="722">
        <v>0.68</v>
      </c>
      <c r="CI111" s="732">
        <v>78.599999999999994</v>
      </c>
      <c r="CJ111" s="732">
        <v>58.16</v>
      </c>
      <c r="CK111" s="732">
        <v>0.68</v>
      </c>
      <c r="CL111" s="722">
        <v>78.5</v>
      </c>
      <c r="CM111" s="722">
        <v>52.22</v>
      </c>
      <c r="CN111" s="722">
        <v>0.68</v>
      </c>
      <c r="CO111" s="722">
        <v>78.5</v>
      </c>
      <c r="CP111" s="722">
        <v>52.2</v>
      </c>
      <c r="CQ111" s="722">
        <v>0.68</v>
      </c>
      <c r="CR111" s="722">
        <v>78.599999999999994</v>
      </c>
      <c r="CS111" s="722">
        <v>56.87</v>
      </c>
      <c r="CT111" s="722">
        <v>0.68</v>
      </c>
      <c r="CU111" s="732">
        <v>78.599999999999994</v>
      </c>
      <c r="CV111" s="732">
        <v>52.99</v>
      </c>
      <c r="CW111" s="732">
        <v>0.68</v>
      </c>
      <c r="CX111" s="722">
        <v>78.7</v>
      </c>
      <c r="CY111" s="722">
        <v>54.16</v>
      </c>
      <c r="CZ111" s="722">
        <v>0.68</v>
      </c>
      <c r="DA111" s="722">
        <v>78.7</v>
      </c>
      <c r="DB111" s="722">
        <v>48.61</v>
      </c>
      <c r="DC111" s="722">
        <v>0.68</v>
      </c>
      <c r="DD111" s="722">
        <v>78.3</v>
      </c>
      <c r="DE111" s="722">
        <v>51.84</v>
      </c>
      <c r="DF111" s="722">
        <v>0.68</v>
      </c>
      <c r="DG111" s="722">
        <v>78</v>
      </c>
      <c r="DH111" s="722">
        <v>50.51</v>
      </c>
      <c r="DI111" s="722">
        <v>0.68</v>
      </c>
      <c r="DJ111" s="722">
        <v>77.7</v>
      </c>
      <c r="DK111" s="722">
        <v>48.51</v>
      </c>
      <c r="DL111" s="722">
        <v>0.68</v>
      </c>
      <c r="DM111" s="722">
        <v>77.400000000000006</v>
      </c>
      <c r="DN111" s="722">
        <v>52.06</v>
      </c>
      <c r="DO111" s="722">
        <v>0.68</v>
      </c>
      <c r="DP111" s="722">
        <v>76.900000000000006</v>
      </c>
      <c r="DQ111" s="722">
        <v>43.74</v>
      </c>
      <c r="DR111" s="722">
        <v>0.68</v>
      </c>
      <c r="DS111" s="722">
        <v>76.8</v>
      </c>
      <c r="DT111" s="733">
        <v>47.38</v>
      </c>
      <c r="DU111" s="722">
        <v>0.68</v>
      </c>
      <c r="DV111" s="722">
        <v>76.8</v>
      </c>
      <c r="DW111" s="722">
        <v>41.99</v>
      </c>
      <c r="DX111" s="722">
        <v>0.68</v>
      </c>
      <c r="DY111" s="722">
        <v>76.8</v>
      </c>
      <c r="DZ111" s="722">
        <v>35.89</v>
      </c>
      <c r="EA111" s="722">
        <v>0.68</v>
      </c>
      <c r="EB111" s="722">
        <v>76.7</v>
      </c>
      <c r="EC111" s="722">
        <v>29.99</v>
      </c>
      <c r="ED111" s="722">
        <v>0.68</v>
      </c>
      <c r="EE111" s="722">
        <v>76.7</v>
      </c>
      <c r="EF111" s="722">
        <v>26.04</v>
      </c>
      <c r="EG111" s="722">
        <v>0.68</v>
      </c>
      <c r="EH111" s="722">
        <v>76.7</v>
      </c>
      <c r="EI111" s="722">
        <v>42.98</v>
      </c>
      <c r="EJ111" s="722">
        <v>0.67</v>
      </c>
      <c r="EK111" s="722">
        <v>76.599999999999994</v>
      </c>
      <c r="EL111" s="722">
        <v>49.94</v>
      </c>
      <c r="EM111" s="722">
        <v>0.67</v>
      </c>
      <c r="EN111" s="722">
        <v>76.599999999999994</v>
      </c>
      <c r="EO111" s="722">
        <v>50.83</v>
      </c>
      <c r="EP111" s="722">
        <v>0.67</v>
      </c>
      <c r="EQ111" s="722">
        <v>71.599999999999994</v>
      </c>
      <c r="ER111" s="722">
        <v>46.64</v>
      </c>
      <c r="ES111" s="722">
        <v>0.67</v>
      </c>
      <c r="ET111" s="722">
        <v>76.2</v>
      </c>
      <c r="EU111" s="722">
        <v>51.69</v>
      </c>
      <c r="EV111" s="722">
        <v>0.66</v>
      </c>
      <c r="EW111" s="722">
        <v>76</v>
      </c>
      <c r="EX111" s="722">
        <v>51.23</v>
      </c>
      <c r="EY111" s="722">
        <v>0.66</v>
      </c>
      <c r="EZ111" s="722">
        <v>57.5</v>
      </c>
      <c r="FA111" s="722">
        <v>50.73</v>
      </c>
      <c r="FB111" s="722">
        <v>0.66</v>
      </c>
      <c r="FC111" s="723">
        <v>42.3</v>
      </c>
      <c r="FD111" s="741">
        <v>57.26</v>
      </c>
      <c r="FE111" s="723">
        <v>0.57499999999999996</v>
      </c>
      <c r="FF111" s="722">
        <v>43.3</v>
      </c>
      <c r="FG111" s="722">
        <v>54.03</v>
      </c>
      <c r="FH111" s="722">
        <v>0.57499999999999996</v>
      </c>
      <c r="FI111" s="722">
        <v>42.2</v>
      </c>
      <c r="FJ111" s="722">
        <v>49.63</v>
      </c>
      <c r="FK111" s="777">
        <v>0.57499999999999996</v>
      </c>
      <c r="FL111" s="722">
        <v>40.299999999999997</v>
      </c>
      <c r="FM111" s="722">
        <v>49.6</v>
      </c>
      <c r="FN111" s="722">
        <v>0.56499999999999995</v>
      </c>
      <c r="FO111" s="722">
        <v>39.1</v>
      </c>
      <c r="FP111" s="722">
        <v>49.22</v>
      </c>
      <c r="FQ111" s="722">
        <v>0.56499999999999995</v>
      </c>
      <c r="FR111" s="727">
        <v>38.200000000000003</v>
      </c>
      <c r="FS111" s="742">
        <v>55.31</v>
      </c>
      <c r="FT111" s="626">
        <f>2.26/4</f>
        <v>0.56499999999999995</v>
      </c>
      <c r="FU111" s="727">
        <v>38</v>
      </c>
      <c r="FV111" s="722">
        <v>57.8</v>
      </c>
      <c r="FW111" s="778">
        <v>0.56499999999999995</v>
      </c>
      <c r="FX111" s="722">
        <v>37.799999999999997</v>
      </c>
      <c r="FY111" s="722">
        <v>56.25</v>
      </c>
      <c r="FZ111" s="722">
        <v>0.55500000000000005</v>
      </c>
      <c r="GA111" s="722">
        <v>37.4</v>
      </c>
      <c r="GB111" s="722">
        <v>52.92</v>
      </c>
      <c r="GC111" s="722">
        <v>0.55500000000000005</v>
      </c>
      <c r="GD111" s="779">
        <v>37.4</v>
      </c>
      <c r="GE111" s="741">
        <v>49.96</v>
      </c>
      <c r="GF111" s="780">
        <v>0.55500000000000005</v>
      </c>
      <c r="GG111" s="779">
        <v>37.299999999999997</v>
      </c>
      <c r="GH111" s="722">
        <v>44.99</v>
      </c>
      <c r="GI111" s="722">
        <v>0.55500000000000005</v>
      </c>
      <c r="GJ111" s="722">
        <v>37.1</v>
      </c>
      <c r="GK111" s="722">
        <v>46.35</v>
      </c>
      <c r="GL111" s="722">
        <v>0.54500000000000004</v>
      </c>
      <c r="GM111" s="722">
        <v>34.5</v>
      </c>
      <c r="GN111" s="722">
        <v>47.8</v>
      </c>
      <c r="GO111" s="722">
        <v>0.54500000000000004</v>
      </c>
      <c r="GP111" s="722">
        <v>32.6</v>
      </c>
      <c r="GQ111" s="722">
        <v>46.23</v>
      </c>
      <c r="GR111" s="722">
        <v>0.54500000000000004</v>
      </c>
      <c r="GS111" s="722">
        <v>32.4</v>
      </c>
      <c r="GT111" s="722">
        <v>41.2</v>
      </c>
      <c r="GU111" s="722">
        <v>0.54500000000000004</v>
      </c>
      <c r="GV111" s="722">
        <v>32.1</v>
      </c>
      <c r="GW111" s="722">
        <v>40.200000000000003</v>
      </c>
      <c r="GX111" s="722">
        <v>0.53500000000000003</v>
      </c>
      <c r="GY111" s="722">
        <v>32</v>
      </c>
      <c r="GZ111" s="722">
        <v>40</v>
      </c>
      <c r="HA111" s="722">
        <v>0.53500000000000003</v>
      </c>
      <c r="HB111" s="722">
        <v>31.9</v>
      </c>
      <c r="HC111" s="722">
        <v>38.82</v>
      </c>
      <c r="HD111" s="722">
        <v>0.53500000000000003</v>
      </c>
      <c r="HE111" s="722">
        <v>31.7</v>
      </c>
      <c r="HF111" s="722">
        <v>35.44</v>
      </c>
      <c r="HG111" s="722">
        <v>0.53500000000000003</v>
      </c>
      <c r="HH111" s="722">
        <v>31.4</v>
      </c>
      <c r="HI111" s="722">
        <v>40.83</v>
      </c>
      <c r="HJ111" s="722">
        <v>0.52500000000000002</v>
      </c>
      <c r="HK111" s="722">
        <v>29.2</v>
      </c>
      <c r="HL111" s="727">
        <v>39.44</v>
      </c>
      <c r="HM111" s="727">
        <v>0.52500000000000002</v>
      </c>
      <c r="HN111" s="722">
        <v>28.72</v>
      </c>
      <c r="HO111" s="722">
        <v>36.549999999999997</v>
      </c>
      <c r="HP111" s="722">
        <v>0.52500000000000002</v>
      </c>
      <c r="HQ111" s="722">
        <v>28.573</v>
      </c>
      <c r="HR111" s="722">
        <v>34.4</v>
      </c>
      <c r="HS111" s="722">
        <v>0.52500000000000002</v>
      </c>
      <c r="HT111" s="722">
        <v>26.456</v>
      </c>
      <c r="HU111" s="722">
        <v>35.25</v>
      </c>
      <c r="HV111" s="722">
        <v>0.51500000000000001</v>
      </c>
      <c r="HW111" s="722">
        <v>26.5</v>
      </c>
      <c r="HX111" s="722">
        <v>34.130000000000003</v>
      </c>
      <c r="HY111" s="722">
        <v>0.51500000000000001</v>
      </c>
      <c r="HZ111" s="722">
        <v>26.5</v>
      </c>
      <c r="IA111" s="722">
        <v>36.8125</v>
      </c>
      <c r="IB111" s="722">
        <v>0.51500000000000001</v>
      </c>
      <c r="IC111" s="727">
        <v>29.9</v>
      </c>
      <c r="ID111" s="727">
        <v>32.75</v>
      </c>
      <c r="IE111" s="727">
        <v>0.51500000000000001</v>
      </c>
      <c r="IF111" s="727">
        <v>26.634</v>
      </c>
      <c r="IG111" s="727">
        <v>30.0625</v>
      </c>
      <c r="IH111" s="727">
        <v>0.505</v>
      </c>
      <c r="II111" s="727">
        <v>26.768000000000001</v>
      </c>
      <c r="IJ111" s="722">
        <v>25.9375</v>
      </c>
      <c r="IK111" s="722">
        <v>0.505</v>
      </c>
      <c r="IL111" s="722">
        <v>26.681999999999999</v>
      </c>
      <c r="IM111" s="727">
        <v>25.125</v>
      </c>
      <c r="IN111" s="722">
        <v>0.505</v>
      </c>
      <c r="IO111" s="722">
        <v>26.7</v>
      </c>
      <c r="IP111" s="727">
        <v>28.0625</v>
      </c>
      <c r="IQ111" s="722">
        <v>0.505</v>
      </c>
      <c r="IR111" s="721">
        <v>26.51</v>
      </c>
      <c r="IS111" s="721">
        <v>30</v>
      </c>
      <c r="IT111" s="721">
        <v>0.495</v>
      </c>
      <c r="IU111" s="721">
        <v>26.51</v>
      </c>
      <c r="IV111" s="721">
        <v>29.5</v>
      </c>
      <c r="IW111" s="721">
        <v>0.495</v>
      </c>
      <c r="IX111" s="721">
        <v>26.51</v>
      </c>
      <c r="IY111" s="721">
        <v>35.25</v>
      </c>
      <c r="IZ111" s="721">
        <v>0.495</v>
      </c>
      <c r="JA111" s="721">
        <v>23.86</v>
      </c>
      <c r="JB111" s="721">
        <v>35.75</v>
      </c>
      <c r="JC111" s="721">
        <v>0.495</v>
      </c>
      <c r="JD111" s="721">
        <v>23.86</v>
      </c>
      <c r="JE111" s="721">
        <v>32.813000000000002</v>
      </c>
      <c r="JF111" s="721">
        <v>0.48499999999999999</v>
      </c>
      <c r="JG111" s="721">
        <v>23.87</v>
      </c>
      <c r="JH111" s="721">
        <v>33.3125</v>
      </c>
      <c r="JI111" s="721">
        <v>0.48499999999999999</v>
      </c>
      <c r="JJ111" s="721">
        <v>23.87</v>
      </c>
      <c r="JK111" s="721">
        <v>33.125</v>
      </c>
      <c r="JL111" s="721">
        <v>0.48499999999999999</v>
      </c>
      <c r="JM111" s="721">
        <v>23.88</v>
      </c>
      <c r="JN111" s="721">
        <v>28.9375</v>
      </c>
      <c r="JO111" s="721">
        <v>0.46500000000000002</v>
      </c>
      <c r="JP111" s="721">
        <v>23.88</v>
      </c>
      <c r="JQ111" s="721">
        <v>26.75</v>
      </c>
      <c r="JR111" s="721">
        <v>0.46500000000000002</v>
      </c>
      <c r="JS111" s="721">
        <v>23.896999999999998</v>
      </c>
      <c r="JT111" s="721">
        <v>26</v>
      </c>
      <c r="JU111" s="721">
        <v>0.46500000000000002</v>
      </c>
      <c r="JV111" s="721">
        <v>23.896999999999998</v>
      </c>
      <c r="JW111" s="721">
        <v>28.5</v>
      </c>
      <c r="JX111" s="721">
        <v>0.46500000000000002</v>
      </c>
      <c r="JY111" s="721">
        <v>23.896999999999998</v>
      </c>
      <c r="JZ111" s="721">
        <v>30.375</v>
      </c>
      <c r="KA111" s="721">
        <v>0.46500000000000002</v>
      </c>
      <c r="KB111" s="721">
        <v>23.896999999999998</v>
      </c>
      <c r="KC111" s="721">
        <v>31.625</v>
      </c>
      <c r="KD111" s="721">
        <v>0.46500000000000002</v>
      </c>
      <c r="KE111" s="721">
        <v>23.896999999999998</v>
      </c>
      <c r="KF111" s="721">
        <v>33.625</v>
      </c>
      <c r="KG111" s="721">
        <v>0.46500000000000002</v>
      </c>
      <c r="KH111" s="721">
        <v>23.896999999999998</v>
      </c>
      <c r="KI111" s="721">
        <v>34</v>
      </c>
      <c r="KJ111" s="721">
        <v>0.46500000000000002</v>
      </c>
      <c r="KK111" s="721">
        <v>23.896999999999998</v>
      </c>
      <c r="KL111" s="721">
        <v>30.375</v>
      </c>
      <c r="KM111" s="721">
        <v>0.45500000000000002</v>
      </c>
      <c r="KN111" s="721">
        <v>23.896999999999998</v>
      </c>
      <c r="KO111" s="721">
        <v>29.25</v>
      </c>
      <c r="KP111" s="721">
        <v>0.45500000000000002</v>
      </c>
      <c r="KQ111" s="721">
        <v>23.896999999999998</v>
      </c>
      <c r="KR111" s="721">
        <v>29</v>
      </c>
      <c r="KS111" s="721">
        <v>0.45500000000000002</v>
      </c>
      <c r="KT111" s="721">
        <v>23.896999999999998</v>
      </c>
      <c r="KU111" s="721">
        <v>26.75</v>
      </c>
      <c r="KV111" s="721">
        <v>0.45500000000000002</v>
      </c>
      <c r="KW111" s="721">
        <v>23.896999999999998</v>
      </c>
      <c r="KX111" s="721">
        <v>28.25</v>
      </c>
      <c r="KY111" s="721">
        <v>0.44500000000000001</v>
      </c>
      <c r="KZ111" s="721">
        <v>23.896999999999998</v>
      </c>
      <c r="LA111" s="721">
        <v>28.25</v>
      </c>
      <c r="LB111" s="721">
        <v>0.44500000000000001</v>
      </c>
      <c r="LC111" s="721">
        <v>23.896999999999998</v>
      </c>
      <c r="LD111" s="721">
        <v>29.25</v>
      </c>
      <c r="LE111" s="721">
        <v>0.44500000000000001</v>
      </c>
      <c r="LF111" s="721">
        <v>23.896999999999998</v>
      </c>
      <c r="LG111" s="721">
        <v>33.625</v>
      </c>
      <c r="LH111" s="721">
        <v>0.44500000000000001</v>
      </c>
      <c r="LI111" s="721">
        <v>23.896999999999998</v>
      </c>
      <c r="LJ111" s="721">
        <v>36</v>
      </c>
      <c r="LK111" s="721">
        <v>0.44500000000000001</v>
      </c>
      <c r="LL111" s="721">
        <v>23.896999999999998</v>
      </c>
      <c r="LM111" s="721">
        <v>34.125</v>
      </c>
      <c r="LN111" s="721">
        <v>0.435</v>
      </c>
      <c r="LO111" s="721">
        <v>23.861000000000001</v>
      </c>
      <c r="LP111" s="721">
        <v>34.375</v>
      </c>
      <c r="LQ111" s="721">
        <v>0.435</v>
      </c>
      <c r="LR111" s="721">
        <v>23.196000000000002</v>
      </c>
      <c r="LS111" s="721">
        <v>31.75</v>
      </c>
      <c r="LT111" s="721">
        <v>0.44</v>
      </c>
      <c r="LU111" s="721">
        <v>23.196000000000002</v>
      </c>
      <c r="LV111" s="721">
        <v>31.88</v>
      </c>
      <c r="LW111" s="721">
        <v>0.44</v>
      </c>
      <c r="LX111" s="721">
        <v>22.917000000000002</v>
      </c>
      <c r="LY111" s="721">
        <v>29.38</v>
      </c>
      <c r="LZ111" s="721">
        <v>0.43</v>
      </c>
      <c r="MA111" s="721">
        <v>22.888999999999999</v>
      </c>
      <c r="MB111" s="721">
        <v>27</v>
      </c>
      <c r="MC111" s="721">
        <v>0.43</v>
      </c>
      <c r="MD111" s="721">
        <v>22.888999999999999</v>
      </c>
      <c r="ME111" s="721">
        <v>28.25</v>
      </c>
      <c r="MF111" s="721">
        <v>0.43</v>
      </c>
      <c r="MG111" s="721">
        <v>22.888999999999999</v>
      </c>
      <c r="MH111" s="721">
        <v>26.5</v>
      </c>
      <c r="MI111" s="721">
        <v>0.43</v>
      </c>
      <c r="MJ111" s="721">
        <v>22.888999999999999</v>
      </c>
      <c r="MK111" s="721">
        <v>24.25</v>
      </c>
      <c r="ML111" s="721">
        <v>0.42</v>
      </c>
      <c r="MM111" s="721">
        <v>22.888999999999999</v>
      </c>
      <c r="MN111" s="721">
        <v>24.63</v>
      </c>
      <c r="MO111" s="721">
        <v>0.42</v>
      </c>
      <c r="MP111" s="721">
        <v>22.888999999999999</v>
      </c>
      <c r="MQ111" s="721">
        <v>23.63</v>
      </c>
    </row>
    <row r="112" spans="1:355">
      <c r="A112" s="633" t="s">
        <v>31</v>
      </c>
      <c r="B112" s="726" t="s">
        <v>167</v>
      </c>
      <c r="C112" s="885">
        <v>198.61199999999999</v>
      </c>
      <c r="D112" s="885">
        <v>21.5</v>
      </c>
      <c r="E112" s="885">
        <v>0.20749999999999999</v>
      </c>
      <c r="F112" s="828">
        <v>199.34299999999999</v>
      </c>
      <c r="G112" s="828">
        <v>29.71</v>
      </c>
      <c r="H112" s="828">
        <v>0.20749999999999999</v>
      </c>
      <c r="I112" s="828">
        <v>198.27</v>
      </c>
      <c r="J112" s="828">
        <v>28.19</v>
      </c>
      <c r="K112" s="828">
        <v>0.20250000000000001</v>
      </c>
      <c r="L112" s="828">
        <v>196.40100000000001</v>
      </c>
      <c r="M112" s="829">
        <v>25.8</v>
      </c>
      <c r="N112" s="828">
        <v>0.20250000000000001</v>
      </c>
      <c r="O112" s="828">
        <v>195.72</v>
      </c>
      <c r="P112" s="828">
        <v>25.83</v>
      </c>
      <c r="Q112" s="828">
        <v>0.20250000000000001</v>
      </c>
      <c r="R112" s="828">
        <v>196.018</v>
      </c>
      <c r="S112" s="828">
        <v>23.84</v>
      </c>
      <c r="T112" s="839">
        <v>0.20250000000000001</v>
      </c>
      <c r="U112" s="828">
        <v>195.524</v>
      </c>
      <c r="V112" s="829">
        <v>25.69</v>
      </c>
      <c r="W112" s="828">
        <v>0.19750000000000001</v>
      </c>
      <c r="X112" s="832">
        <v>195.304</v>
      </c>
      <c r="Y112" s="788">
        <v>28.68</v>
      </c>
      <c r="Z112" s="788">
        <v>0.19750000000000001</v>
      </c>
      <c r="AA112" s="788">
        <v>195.304</v>
      </c>
      <c r="AB112" s="788">
        <v>28.16</v>
      </c>
      <c r="AC112" s="788">
        <v>0.19750000000000001</v>
      </c>
      <c r="AD112" s="788">
        <v>195.304</v>
      </c>
      <c r="AE112" s="788">
        <v>26.88</v>
      </c>
      <c r="AF112" s="801">
        <v>0.19750000000000001</v>
      </c>
      <c r="AG112" s="788">
        <v>195.304</v>
      </c>
      <c r="AH112" s="788">
        <v>25.95</v>
      </c>
      <c r="AI112" s="788">
        <v>0.1925</v>
      </c>
      <c r="AJ112" s="788">
        <v>195.304</v>
      </c>
      <c r="AK112" s="788">
        <v>26.2</v>
      </c>
      <c r="AL112" s="788">
        <v>0.1925</v>
      </c>
      <c r="AM112" s="828">
        <v>195.29900000000001</v>
      </c>
      <c r="AN112" s="828">
        <v>27.37</v>
      </c>
      <c r="AO112" s="828">
        <v>0.1925</v>
      </c>
      <c r="AP112" s="788">
        <v>195.304</v>
      </c>
      <c r="AQ112" s="788">
        <v>28.77</v>
      </c>
      <c r="AR112" s="795">
        <v>0.1925</v>
      </c>
      <c r="AS112" s="727">
        <v>195.304</v>
      </c>
      <c r="AT112" s="727">
        <v>25.44</v>
      </c>
      <c r="AU112" s="727">
        <v>0.1875</v>
      </c>
      <c r="AV112" s="727">
        <v>195.28399999999999</v>
      </c>
      <c r="AW112" s="727">
        <v>24</v>
      </c>
      <c r="AX112" s="727">
        <v>0.1875</v>
      </c>
      <c r="AY112" s="727">
        <v>194.928</v>
      </c>
      <c r="AZ112" s="727">
        <v>19.46</v>
      </c>
      <c r="BA112" s="727">
        <v>0.1875</v>
      </c>
      <c r="BB112" s="727">
        <v>195.15100000000001</v>
      </c>
      <c r="BC112" s="727">
        <v>18.32</v>
      </c>
      <c r="BD112" s="727">
        <v>0.1875</v>
      </c>
      <c r="BE112" s="727">
        <v>194.80500000000001</v>
      </c>
      <c r="BF112" s="727">
        <v>17.2</v>
      </c>
      <c r="BG112" s="727">
        <v>0.1825</v>
      </c>
      <c r="BH112" s="727">
        <v>194.47900000000001</v>
      </c>
      <c r="BI112" s="727">
        <v>19.53</v>
      </c>
      <c r="BJ112" s="727">
        <v>0.1825</v>
      </c>
      <c r="BK112" s="726">
        <v>194.136</v>
      </c>
      <c r="BL112" s="726">
        <v>21.34</v>
      </c>
      <c r="BM112" s="726">
        <v>0.1825</v>
      </c>
      <c r="BN112" s="727">
        <v>193.94900000000001</v>
      </c>
      <c r="BO112" s="727">
        <v>23.5</v>
      </c>
      <c r="BP112" s="746">
        <v>0.1825</v>
      </c>
      <c r="BQ112" s="727">
        <v>192.06</v>
      </c>
      <c r="BR112" s="727">
        <v>27.81</v>
      </c>
      <c r="BS112" s="727">
        <v>0.17749999999999999</v>
      </c>
      <c r="BT112" s="727">
        <v>189.82</v>
      </c>
      <c r="BU112" s="727">
        <v>35.1</v>
      </c>
      <c r="BV112" s="727">
        <v>0.17749999999999999</v>
      </c>
      <c r="BW112" s="726">
        <v>188.85499999999999</v>
      </c>
      <c r="BX112" s="726">
        <v>34.31</v>
      </c>
      <c r="BY112" s="726">
        <v>0.17749999999999999</v>
      </c>
      <c r="BZ112" s="727">
        <v>188.83099999999999</v>
      </c>
      <c r="CA112" s="727">
        <v>30.55</v>
      </c>
      <c r="CB112" s="746">
        <v>0.17749999999999999</v>
      </c>
      <c r="CC112" s="727">
        <v>188.83099999999999</v>
      </c>
      <c r="CD112" s="727">
        <v>27.97</v>
      </c>
      <c r="CE112" s="727">
        <v>0.17249999999999999</v>
      </c>
      <c r="CF112" s="727">
        <v>188.83099999999999</v>
      </c>
      <c r="CG112" s="727">
        <v>25.91</v>
      </c>
      <c r="CH112" s="727">
        <v>0.17249999999999999</v>
      </c>
      <c r="CI112" s="726">
        <v>188.82599999999999</v>
      </c>
      <c r="CJ112" s="726">
        <v>24.99</v>
      </c>
      <c r="CK112" s="761">
        <v>0.17249999999999999</v>
      </c>
      <c r="CL112" s="727">
        <v>188.83099999999999</v>
      </c>
      <c r="CM112" s="727">
        <v>21.24</v>
      </c>
      <c r="CN112" s="727">
        <v>0.16750000000000001</v>
      </c>
      <c r="CO112" s="727">
        <v>188.83099999999999</v>
      </c>
      <c r="CP112" s="727">
        <v>22.04</v>
      </c>
      <c r="CQ112" s="727">
        <v>0.16750000000000001</v>
      </c>
      <c r="CR112" s="727">
        <v>188.81100000000001</v>
      </c>
      <c r="CS112" s="727">
        <v>21.61</v>
      </c>
      <c r="CT112" s="727">
        <v>0.16750000000000001</v>
      </c>
      <c r="CU112" s="726">
        <v>188.76300000000001</v>
      </c>
      <c r="CV112" s="726">
        <v>22.39</v>
      </c>
      <c r="CW112" s="726">
        <v>0.16750000000000001</v>
      </c>
      <c r="CX112" s="727">
        <v>188.79400000000001</v>
      </c>
      <c r="CY112" s="727">
        <v>21.46</v>
      </c>
      <c r="CZ112" s="727">
        <v>0.16750000000000001</v>
      </c>
      <c r="DA112" s="727">
        <v>188.79400000000001</v>
      </c>
      <c r="DB112" s="727">
        <v>19.170000000000002</v>
      </c>
      <c r="DC112" s="727">
        <v>0.16250000000000001</v>
      </c>
      <c r="DD112" s="727">
        <v>188.67099999999999</v>
      </c>
      <c r="DE112" s="727">
        <v>22.5</v>
      </c>
      <c r="DF112" s="727">
        <v>0.16250000000000001</v>
      </c>
      <c r="DG112" s="727">
        <v>188.28100000000001</v>
      </c>
      <c r="DH112" s="727">
        <v>22.97</v>
      </c>
      <c r="DI112" s="727">
        <v>0.16250000000000001</v>
      </c>
      <c r="DJ112" s="727">
        <v>188.17</v>
      </c>
      <c r="DK112" s="727">
        <v>20.27</v>
      </c>
      <c r="DL112" s="747">
        <v>0.16250000000000001</v>
      </c>
      <c r="DM112" s="727">
        <v>188.12899999999999</v>
      </c>
      <c r="DN112" s="727">
        <v>19.95</v>
      </c>
      <c r="DO112" s="727">
        <v>0.1575</v>
      </c>
      <c r="DP112" s="727">
        <v>187.96299999999999</v>
      </c>
      <c r="DQ112" s="727">
        <v>18.03</v>
      </c>
      <c r="DR112" s="727">
        <v>0.1575</v>
      </c>
      <c r="DS112" s="727">
        <v>187.74799999999999</v>
      </c>
      <c r="DT112" s="748">
        <v>21.58</v>
      </c>
      <c r="DU112" s="727">
        <v>0.1575</v>
      </c>
      <c r="DV112" s="727">
        <v>185.16</v>
      </c>
      <c r="DW112" s="727">
        <v>23.6</v>
      </c>
      <c r="DX112" s="727">
        <v>0.1575</v>
      </c>
      <c r="DY112" s="727">
        <v>183.964</v>
      </c>
      <c r="DZ112" s="727">
        <v>20.85</v>
      </c>
      <c r="EA112" s="727">
        <v>0.155</v>
      </c>
      <c r="EB112" s="727">
        <v>183.78700000000001</v>
      </c>
      <c r="EC112" s="727">
        <v>18.97</v>
      </c>
      <c r="ED112" s="727">
        <v>0.155</v>
      </c>
      <c r="EE112" s="727">
        <v>183.6</v>
      </c>
      <c r="EF112" s="727">
        <v>16.14</v>
      </c>
      <c r="EG112" s="727">
        <v>0.155</v>
      </c>
      <c r="EH112" s="727">
        <v>183.21899999999999</v>
      </c>
      <c r="EI112" s="727">
        <v>21.58</v>
      </c>
      <c r="EJ112" s="727">
        <v>0.155</v>
      </c>
      <c r="EK112" s="727">
        <v>182.97200000000001</v>
      </c>
      <c r="EL112" s="727">
        <v>29</v>
      </c>
      <c r="EM112" s="727">
        <v>0.155</v>
      </c>
      <c r="EN112" s="727">
        <v>182.6</v>
      </c>
      <c r="EO112" s="727">
        <v>34.86</v>
      </c>
      <c r="EP112" s="727">
        <v>0.14499999999999999</v>
      </c>
      <c r="EQ112" s="727">
        <v>181.946</v>
      </c>
      <c r="ER112" s="727">
        <v>24.55</v>
      </c>
      <c r="ES112" s="727">
        <v>0.14499999999999999</v>
      </c>
      <c r="ET112" s="727">
        <v>182.19200000000001</v>
      </c>
      <c r="EU112" s="727">
        <v>27.61</v>
      </c>
      <c r="EV112" s="727">
        <v>0.14499999999999999</v>
      </c>
      <c r="EW112" s="727">
        <v>181.84700000000001</v>
      </c>
      <c r="EX112" s="727">
        <v>27.84</v>
      </c>
      <c r="EY112" s="727">
        <v>0.14499999999999999</v>
      </c>
      <c r="EZ112" s="727">
        <v>181.34100000000001</v>
      </c>
      <c r="FA112" s="727">
        <v>28.04</v>
      </c>
      <c r="FB112" s="727">
        <v>0.13500000000000001</v>
      </c>
      <c r="FC112" s="723">
        <v>180.23400000000001</v>
      </c>
      <c r="FD112" s="741">
        <v>28.74</v>
      </c>
      <c r="FE112" s="723">
        <v>0.13500000000000001</v>
      </c>
      <c r="FF112" s="726">
        <v>180.291</v>
      </c>
      <c r="FG112" s="726">
        <v>25.64</v>
      </c>
      <c r="FH112" s="726">
        <v>0.13500000000000001</v>
      </c>
      <c r="FI112" s="727">
        <v>179.911</v>
      </c>
      <c r="FJ112" s="727">
        <v>22.34</v>
      </c>
      <c r="FK112" s="770">
        <v>0.13500000000000001</v>
      </c>
      <c r="FL112" s="727">
        <v>179.82</v>
      </c>
      <c r="FM112" s="727">
        <v>24.41</v>
      </c>
      <c r="FN112" s="727">
        <v>0.126666</v>
      </c>
      <c r="FO112" s="727">
        <v>179.72</v>
      </c>
      <c r="FP112" s="727">
        <v>22.3</v>
      </c>
      <c r="FQ112" s="727">
        <v>0.126666</v>
      </c>
      <c r="FR112" s="727">
        <v>179.42850000000001</v>
      </c>
      <c r="FS112" s="742">
        <v>21.83</v>
      </c>
      <c r="FT112" s="727">
        <v>0.126666</v>
      </c>
      <c r="FU112" s="727">
        <v>177.52199999999999</v>
      </c>
      <c r="FV112" s="727">
        <v>23.77</v>
      </c>
      <c r="FW112" s="727">
        <v>0.126666</v>
      </c>
      <c r="FX112" s="727">
        <v>176.74</v>
      </c>
      <c r="FY112" s="727">
        <v>18.78</v>
      </c>
      <c r="FZ112" s="727">
        <v>0.12</v>
      </c>
      <c r="GA112" s="727">
        <v>175.66</v>
      </c>
      <c r="GB112" s="727">
        <v>18.41</v>
      </c>
      <c r="GC112" s="727">
        <v>0.12</v>
      </c>
      <c r="GD112" s="750">
        <v>175.66399999999999</v>
      </c>
      <c r="GE112" s="741">
        <v>17.79</v>
      </c>
      <c r="GF112" s="727">
        <v>0.12</v>
      </c>
      <c r="GG112" s="750">
        <v>174.839</v>
      </c>
      <c r="GH112" s="727">
        <v>17.55</v>
      </c>
      <c r="GI112" s="727">
        <v>0.12</v>
      </c>
      <c r="GJ112" s="727">
        <v>171.98699999999999</v>
      </c>
      <c r="GK112" s="727">
        <v>16.02</v>
      </c>
      <c r="GL112" s="727">
        <v>0.1133333</v>
      </c>
      <c r="GM112" s="727">
        <v>168.9</v>
      </c>
      <c r="GN112" s="727">
        <v>15.66</v>
      </c>
      <c r="GO112" s="727">
        <v>0.1133333</v>
      </c>
      <c r="GP112" s="727">
        <v>168.53899999999999</v>
      </c>
      <c r="GQ112" s="727">
        <v>15.87</v>
      </c>
      <c r="GR112" s="727">
        <v>0.1133333</v>
      </c>
      <c r="GS112" s="727">
        <v>167.00899999999999</v>
      </c>
      <c r="GT112" s="727">
        <v>15.01</v>
      </c>
      <c r="GU112" s="727">
        <v>0.1133333</v>
      </c>
      <c r="GV112" s="727">
        <v>165.47900000000001</v>
      </c>
      <c r="GW112" s="727">
        <v>14.88</v>
      </c>
      <c r="GX112" s="727">
        <v>0.106666</v>
      </c>
      <c r="GY112" s="727">
        <v>162.22499999999999</v>
      </c>
      <c r="GZ112" s="727">
        <v>12.41</v>
      </c>
      <c r="HA112" s="727">
        <v>0.106666</v>
      </c>
      <c r="HB112" s="727">
        <v>159.578</v>
      </c>
      <c r="HC112" s="727">
        <v>11.47</v>
      </c>
      <c r="HD112" s="727">
        <v>0.106666</v>
      </c>
      <c r="HE112" s="727">
        <v>158.52600000000001</v>
      </c>
      <c r="HF112" s="727">
        <v>10.15</v>
      </c>
      <c r="HG112" s="727">
        <v>0.106666</v>
      </c>
      <c r="HH112" s="727">
        <v>156.30600000000001</v>
      </c>
      <c r="HI112" s="727">
        <v>11.68</v>
      </c>
      <c r="HJ112" s="727">
        <v>0.1022</v>
      </c>
      <c r="HK112" s="727">
        <v>154.57499999999999</v>
      </c>
      <c r="HL112" s="727">
        <v>13.77</v>
      </c>
      <c r="HM112" s="727">
        <v>0.1022</v>
      </c>
      <c r="HN112" s="727">
        <v>152.21299999999999</v>
      </c>
      <c r="HO112" s="727">
        <v>12.51</v>
      </c>
      <c r="HP112" s="727">
        <v>0.1022</v>
      </c>
      <c r="HQ112" s="727">
        <v>151.34399999999999</v>
      </c>
      <c r="HR112" s="727">
        <v>10.39</v>
      </c>
      <c r="HS112" s="727">
        <v>0.1022</v>
      </c>
      <c r="HT112" s="727">
        <v>147.15</v>
      </c>
      <c r="HU112" s="727">
        <v>14.06</v>
      </c>
      <c r="HV112" s="727">
        <v>9.7733329999999993E-2</v>
      </c>
      <c r="HW112" s="727">
        <v>146.25</v>
      </c>
      <c r="HX112" s="727">
        <v>15.87</v>
      </c>
      <c r="HY112" s="727">
        <v>9.7733329999999993E-2</v>
      </c>
      <c r="HZ112" s="727">
        <v>144.44999999999999</v>
      </c>
      <c r="IA112" s="727">
        <v>14.44</v>
      </c>
      <c r="IB112" s="727">
        <v>9.7733329999999993E-2</v>
      </c>
      <c r="IC112" s="727">
        <v>135</v>
      </c>
      <c r="ID112" s="727">
        <v>13.24</v>
      </c>
      <c r="IE112" s="727">
        <v>9.7733329999999993E-2</v>
      </c>
      <c r="IF112" s="727">
        <v>128.47499999999999</v>
      </c>
      <c r="IG112" s="727">
        <v>14.42</v>
      </c>
      <c r="IH112" s="727">
        <v>9.3332999999999999E-2</v>
      </c>
      <c r="II112" s="727">
        <v>128.25</v>
      </c>
      <c r="IJ112" s="722">
        <v>13.83</v>
      </c>
      <c r="IK112" s="727">
        <v>9.3332999999999999E-2</v>
      </c>
      <c r="IL112" s="722">
        <v>82.492500000000007</v>
      </c>
      <c r="IM112" s="727">
        <v>13.33</v>
      </c>
      <c r="IN112" s="722">
        <v>0.14000000000000001</v>
      </c>
      <c r="IO112" s="722">
        <v>80.0595</v>
      </c>
      <c r="IP112" s="727">
        <v>15</v>
      </c>
      <c r="IQ112" s="722">
        <v>0.14000000000000001</v>
      </c>
      <c r="IR112" s="721">
        <v>75.81</v>
      </c>
      <c r="IS112" s="721">
        <v>15.21</v>
      </c>
      <c r="IT112" s="721">
        <v>0.1333</v>
      </c>
      <c r="IU112" s="721">
        <v>79.05</v>
      </c>
      <c r="IV112" s="721">
        <v>15.25</v>
      </c>
      <c r="IW112" s="721">
        <v>0.1333</v>
      </c>
      <c r="IX112" s="721">
        <v>79.05</v>
      </c>
      <c r="IY112" s="721">
        <v>17.54</v>
      </c>
      <c r="IZ112" s="721">
        <v>0.1333</v>
      </c>
      <c r="JA112" s="721">
        <v>68.745000000000005</v>
      </c>
      <c r="JB112" s="721">
        <v>26.25</v>
      </c>
      <c r="JC112" s="721">
        <v>0.193</v>
      </c>
      <c r="JD112" s="721">
        <v>68.745000000000005</v>
      </c>
      <c r="JE112" s="721">
        <v>23.554079999999999</v>
      </c>
      <c r="JF112" s="721">
        <v>0.19008</v>
      </c>
      <c r="JG112" s="721">
        <v>66.03</v>
      </c>
      <c r="JH112" s="721">
        <v>24.585000000000001</v>
      </c>
      <c r="JI112" s="721">
        <v>0.19008</v>
      </c>
      <c r="JJ112" s="721">
        <v>44.016666666666602</v>
      </c>
      <c r="JK112" s="721">
        <v>20.872499999999999</v>
      </c>
      <c r="JL112" s="721">
        <v>0.18975</v>
      </c>
      <c r="JM112" s="721">
        <v>43.3272727272727</v>
      </c>
      <c r="JN112" s="721">
        <v>15.84</v>
      </c>
      <c r="JO112" s="721">
        <v>0.18315000000000001</v>
      </c>
      <c r="JP112" s="721">
        <v>43.3272727272727</v>
      </c>
      <c r="JQ112" s="721">
        <v>15.84</v>
      </c>
      <c r="JR112" s="721">
        <v>0.18315000000000001</v>
      </c>
      <c r="JS112" s="721">
        <v>43.145454545454498</v>
      </c>
      <c r="JT112" s="721">
        <v>14.4375</v>
      </c>
      <c r="JU112" s="721">
        <v>0.18315000000000001</v>
      </c>
      <c r="JV112" s="721">
        <v>43.145454545454498</v>
      </c>
      <c r="JW112" s="721">
        <v>15.18</v>
      </c>
      <c r="JX112" s="721">
        <v>0.18315000000000001</v>
      </c>
      <c r="JY112" s="721">
        <v>43.145454545454498</v>
      </c>
      <c r="JZ112" s="721">
        <v>14.19</v>
      </c>
      <c r="KA112" s="721">
        <v>0.18315000000000001</v>
      </c>
      <c r="KB112" s="721">
        <v>43.145454545454498</v>
      </c>
      <c r="KC112" s="721">
        <v>14.19</v>
      </c>
      <c r="KD112" s="721">
        <v>0.17985000000000001</v>
      </c>
      <c r="KE112" s="721">
        <v>43.145454545454498</v>
      </c>
      <c r="KF112" s="721">
        <v>15.18</v>
      </c>
      <c r="KG112" s="721">
        <v>0.17985000000000001</v>
      </c>
      <c r="KH112" s="721">
        <v>43.145454545454498</v>
      </c>
      <c r="KI112" s="721">
        <v>13.120799999999999</v>
      </c>
      <c r="KJ112" s="721">
        <v>0.17985000000000001</v>
      </c>
      <c r="KK112" s="721">
        <v>43.145454545454498</v>
      </c>
      <c r="KL112" s="721">
        <v>14.025</v>
      </c>
      <c r="KM112" s="721">
        <v>0.17985000000000001</v>
      </c>
      <c r="KN112" s="721">
        <v>43.145454545454498</v>
      </c>
      <c r="KO112" s="721">
        <v>13.0878</v>
      </c>
      <c r="KP112" s="721">
        <v>0.17621999999999999</v>
      </c>
      <c r="KQ112" s="721">
        <v>43.145454545454498</v>
      </c>
      <c r="KR112" s="721">
        <v>11.715</v>
      </c>
      <c r="KS112" s="721">
        <v>0.17621999999999999</v>
      </c>
      <c r="KT112" s="721">
        <v>43.145454545454498</v>
      </c>
      <c r="KU112" s="721">
        <v>11.9328</v>
      </c>
      <c r="KV112" s="721">
        <v>0.17621999999999999</v>
      </c>
      <c r="KW112" s="721">
        <v>43.145454545454498</v>
      </c>
      <c r="KX112" s="721">
        <v>11.9328</v>
      </c>
      <c r="KY112" s="721">
        <v>0.17621999999999999</v>
      </c>
      <c r="KZ112" s="721">
        <v>43.145454545454498</v>
      </c>
      <c r="LA112" s="721">
        <v>11.767799999999999</v>
      </c>
      <c r="LB112" s="721">
        <v>0.1716</v>
      </c>
      <c r="LC112" s="721">
        <v>43.145454545454498</v>
      </c>
      <c r="LD112" s="721">
        <v>13.86</v>
      </c>
      <c r="LE112" s="721">
        <v>0.1716</v>
      </c>
      <c r="LF112" s="721">
        <v>43.145454545454498</v>
      </c>
      <c r="LG112" s="721">
        <v>13.86</v>
      </c>
      <c r="LH112" s="721">
        <v>0.1716</v>
      </c>
      <c r="LI112" s="721">
        <v>43.145454545454498</v>
      </c>
      <c r="LJ112" s="721">
        <v>14.025</v>
      </c>
      <c r="LK112" s="721">
        <v>0.1716</v>
      </c>
      <c r="LL112" s="721">
        <v>43.145454545454498</v>
      </c>
      <c r="LM112" s="721">
        <v>13.1472</v>
      </c>
      <c r="LN112" s="721">
        <v>0.16302</v>
      </c>
      <c r="LO112" s="721">
        <v>43.145454545454498</v>
      </c>
      <c r="LP112" s="721">
        <v>12.87</v>
      </c>
      <c r="LQ112" s="721">
        <v>0.16302</v>
      </c>
      <c r="LR112" s="721">
        <v>43.145454545454498</v>
      </c>
      <c r="LS112" s="721">
        <v>11.6028</v>
      </c>
      <c r="LT112" s="721">
        <v>0.16300000000000001</v>
      </c>
      <c r="LU112" s="721">
        <v>43.145454545454498</v>
      </c>
      <c r="LV112" s="721">
        <v>11.167199999999999</v>
      </c>
      <c r="LW112" s="721">
        <v>0.16300000000000001</v>
      </c>
      <c r="LX112" s="721">
        <v>43.145454545454498</v>
      </c>
      <c r="LY112" s="721">
        <v>10.56</v>
      </c>
      <c r="LZ112" s="721">
        <v>0.158</v>
      </c>
      <c r="MA112" s="721">
        <v>43.145454545454498</v>
      </c>
      <c r="MB112" s="721">
        <v>11.3322</v>
      </c>
      <c r="MC112" s="721">
        <v>0.158</v>
      </c>
      <c r="MD112" s="721">
        <v>43.145454545454498</v>
      </c>
      <c r="ME112" s="721">
        <v>10.837199999999999</v>
      </c>
      <c r="MF112" s="721">
        <v>0.158</v>
      </c>
      <c r="MG112" s="721">
        <v>43.145454545454498</v>
      </c>
      <c r="MH112" s="721">
        <v>10.117800000000001</v>
      </c>
      <c r="MI112" s="721">
        <v>0.158</v>
      </c>
      <c r="MJ112" s="721">
        <v>43.145454545454498</v>
      </c>
      <c r="MK112" s="721">
        <v>9.1278000000000006</v>
      </c>
      <c r="ML112" s="721">
        <v>0.15840000000000001</v>
      </c>
      <c r="MM112" s="721">
        <v>43.145454545454498</v>
      </c>
      <c r="MN112" s="721">
        <v>9.0749999999999993</v>
      </c>
      <c r="MO112" s="721">
        <v>0.156222</v>
      </c>
      <c r="MP112" s="721">
        <v>43.145454545454498</v>
      </c>
      <c r="MQ112" s="721">
        <v>9.0221999999999998</v>
      </c>
    </row>
    <row r="113" spans="1:355">
      <c r="A113" s="633" t="s">
        <v>84</v>
      </c>
      <c r="B113" s="732" t="s">
        <v>168</v>
      </c>
      <c r="C113" s="885">
        <v>89.352999999999994</v>
      </c>
      <c r="D113" s="885">
        <v>47.94</v>
      </c>
      <c r="E113" s="885">
        <v>0.38500000000000001</v>
      </c>
      <c r="F113" s="828">
        <v>89.372</v>
      </c>
      <c r="G113" s="828">
        <v>55.79</v>
      </c>
      <c r="H113" s="828">
        <v>0.38500000000000001</v>
      </c>
      <c r="I113" s="828">
        <v>89.356999999999999</v>
      </c>
      <c r="J113" s="828">
        <v>56.37</v>
      </c>
      <c r="K113" s="828">
        <v>0.38500000000000001</v>
      </c>
      <c r="L113" s="828">
        <v>89.308999999999997</v>
      </c>
      <c r="M113" s="829">
        <v>54.17</v>
      </c>
      <c r="N113" s="839">
        <v>0.38500000000000001</v>
      </c>
      <c r="O113" s="828">
        <v>89.215000000000003</v>
      </c>
      <c r="P113" s="828">
        <v>51.84</v>
      </c>
      <c r="Q113" s="828">
        <v>0.36249999999999999</v>
      </c>
      <c r="R113" s="828">
        <v>89.239000000000004</v>
      </c>
      <c r="S113" s="828">
        <v>45.85</v>
      </c>
      <c r="T113" s="828">
        <v>0.36249999999999999</v>
      </c>
      <c r="U113" s="828">
        <v>89.215000000000003</v>
      </c>
      <c r="V113" s="829">
        <v>45.61</v>
      </c>
      <c r="W113" s="828">
        <v>0.36249999999999999</v>
      </c>
      <c r="X113" s="832">
        <v>89.16</v>
      </c>
      <c r="Y113" s="788">
        <v>42.76</v>
      </c>
      <c r="Z113" s="801">
        <v>0.36249999999999999</v>
      </c>
      <c r="AA113" s="788">
        <v>89.055999999999997</v>
      </c>
      <c r="AB113" s="788">
        <v>40.51</v>
      </c>
      <c r="AC113" s="788">
        <v>0.34</v>
      </c>
      <c r="AD113" s="788">
        <v>89.064999999999998</v>
      </c>
      <c r="AE113" s="788">
        <v>45.58</v>
      </c>
      <c r="AF113" s="788">
        <v>0.34</v>
      </c>
      <c r="AG113" s="788">
        <v>89.063000000000002</v>
      </c>
      <c r="AH113" s="788">
        <v>45.64</v>
      </c>
      <c r="AI113" s="788">
        <v>0.34</v>
      </c>
      <c r="AJ113" s="788">
        <v>89.003</v>
      </c>
      <c r="AK113" s="788">
        <v>45.69</v>
      </c>
      <c r="AL113" s="801">
        <v>0.34</v>
      </c>
      <c r="AM113" s="828">
        <v>88.896000000000001</v>
      </c>
      <c r="AN113" s="828">
        <v>44.42</v>
      </c>
      <c r="AO113" s="828">
        <v>0.32</v>
      </c>
      <c r="AP113" s="788">
        <v>88.921000000000006</v>
      </c>
      <c r="AQ113" s="788">
        <v>43.33</v>
      </c>
      <c r="AR113" s="788">
        <v>0.32</v>
      </c>
      <c r="AS113" s="722">
        <v>88.902000000000001</v>
      </c>
      <c r="AT113" s="722">
        <v>42.59</v>
      </c>
      <c r="AU113" s="722">
        <v>0.32</v>
      </c>
      <c r="AV113" s="722">
        <v>88.832999999999998</v>
      </c>
      <c r="AW113" s="722">
        <v>44.12</v>
      </c>
      <c r="AX113" s="722">
        <v>0.32</v>
      </c>
      <c r="AY113" s="722">
        <v>84.18</v>
      </c>
      <c r="AZ113" s="722">
        <v>39.49</v>
      </c>
      <c r="BA113" s="722">
        <v>0.3</v>
      </c>
      <c r="BB113" s="722">
        <v>88.766000000000005</v>
      </c>
      <c r="BC113" s="722">
        <v>36.369999999999997</v>
      </c>
      <c r="BD113" s="722">
        <v>0.3</v>
      </c>
      <c r="BE113" s="722">
        <v>80.745000000000005</v>
      </c>
      <c r="BF113" s="722">
        <v>36.97</v>
      </c>
      <c r="BG113" s="722">
        <v>0.3</v>
      </c>
      <c r="BH113" s="722">
        <v>78.271000000000001</v>
      </c>
      <c r="BI113" s="722">
        <v>33.159999999999997</v>
      </c>
      <c r="BJ113" s="757">
        <v>0.3</v>
      </c>
      <c r="BK113" s="732">
        <v>78.209999999999994</v>
      </c>
      <c r="BL113" s="732">
        <v>37.090000000000003</v>
      </c>
      <c r="BM113" s="732">
        <v>0.28000000000000003</v>
      </c>
      <c r="BN113" s="722">
        <v>78.203000000000003</v>
      </c>
      <c r="BO113" s="722">
        <v>37.83</v>
      </c>
      <c r="BP113" s="722">
        <v>0.28000000000000003</v>
      </c>
      <c r="BQ113" s="722">
        <v>78.183000000000007</v>
      </c>
      <c r="BR113" s="722">
        <v>32.119999999999997</v>
      </c>
      <c r="BS113" s="722">
        <v>0.28000000000000003</v>
      </c>
      <c r="BT113" s="722">
        <v>78.992000000000004</v>
      </c>
      <c r="BU113" s="722">
        <v>34.67</v>
      </c>
      <c r="BV113" s="757">
        <v>0.28000000000000003</v>
      </c>
      <c r="BW113" s="732">
        <v>76.820999999999998</v>
      </c>
      <c r="BX113" s="732">
        <v>32.340000000000003</v>
      </c>
      <c r="BY113" s="732">
        <v>0.27500000000000002</v>
      </c>
      <c r="BZ113" s="722">
        <v>77.637</v>
      </c>
      <c r="CA113" s="722">
        <v>30.2</v>
      </c>
      <c r="CB113" s="722">
        <v>0.27500000000000002</v>
      </c>
      <c r="CC113" s="722">
        <v>75.935000000000002</v>
      </c>
      <c r="CD113" s="722">
        <v>28.23</v>
      </c>
      <c r="CE113" s="722">
        <v>0.27500000000000002</v>
      </c>
      <c r="CF113" s="722">
        <v>75.608000000000004</v>
      </c>
      <c r="CG113" s="722">
        <v>30.59</v>
      </c>
      <c r="CH113" s="722">
        <v>0.27500000000000002</v>
      </c>
      <c r="CI113" s="732">
        <v>75.498000000000005</v>
      </c>
      <c r="CJ113" s="732">
        <v>30.33</v>
      </c>
      <c r="CK113" s="732">
        <v>0.27</v>
      </c>
      <c r="CL113" s="722">
        <v>75.528000000000006</v>
      </c>
      <c r="CM113" s="722">
        <v>27.36</v>
      </c>
      <c r="CN113" s="722">
        <v>0.27</v>
      </c>
      <c r="CO113" s="722">
        <v>75.507000000000005</v>
      </c>
      <c r="CP113" s="722">
        <v>27.04</v>
      </c>
      <c r="CQ113" s="722">
        <v>0.27</v>
      </c>
      <c r="CR113" s="722">
        <v>75.423000000000002</v>
      </c>
      <c r="CS113" s="722">
        <v>26.66</v>
      </c>
      <c r="CT113" s="757">
        <v>0.27</v>
      </c>
      <c r="CU113" s="732">
        <v>75.332999999999998</v>
      </c>
      <c r="CV113" s="732">
        <v>24.98</v>
      </c>
      <c r="CW113" s="732">
        <v>0.26500000000000001</v>
      </c>
      <c r="CX113" s="722">
        <v>75.341999999999999</v>
      </c>
      <c r="CY113" s="722">
        <v>25.3</v>
      </c>
      <c r="CZ113" s="722">
        <v>0.26500000000000001</v>
      </c>
      <c r="DA113" s="722">
        <v>75.325999999999993</v>
      </c>
      <c r="DB113" s="722">
        <v>23.69</v>
      </c>
      <c r="DC113" s="722">
        <v>0.26500000000000001</v>
      </c>
      <c r="DD113" s="722">
        <v>75.317999999999998</v>
      </c>
      <c r="DE113" s="722">
        <v>25.28</v>
      </c>
      <c r="DF113" s="753">
        <v>0.26500000000000001</v>
      </c>
      <c r="DG113" s="722">
        <v>75.299000000000007</v>
      </c>
      <c r="DH113" s="722">
        <v>23.78</v>
      </c>
      <c r="DI113" s="722">
        <v>0.26</v>
      </c>
      <c r="DJ113" s="722">
        <v>75.295000000000002</v>
      </c>
      <c r="DK113" s="722">
        <v>21.72</v>
      </c>
      <c r="DL113" s="722">
        <v>0.26</v>
      </c>
      <c r="DM113" s="722">
        <v>75.275999999999996</v>
      </c>
      <c r="DN113" s="722">
        <v>20.28</v>
      </c>
      <c r="DO113" s="722">
        <v>0.26</v>
      </c>
      <c r="DP113" s="722">
        <v>75.228999999999999</v>
      </c>
      <c r="DQ113" s="722">
        <v>18.329999999999998</v>
      </c>
      <c r="DR113" s="722">
        <v>0.26</v>
      </c>
      <c r="DS113" s="722">
        <v>75.191999999999993</v>
      </c>
      <c r="DT113" s="733">
        <v>19.309999999999999</v>
      </c>
      <c r="DU113" s="722">
        <v>0.255</v>
      </c>
      <c r="DV113" s="722">
        <v>75.182000000000002</v>
      </c>
      <c r="DW113" s="722">
        <v>20.41</v>
      </c>
      <c r="DX113" s="722">
        <v>0.255</v>
      </c>
      <c r="DY113" s="722">
        <v>75.131</v>
      </c>
      <c r="DZ113" s="722">
        <v>19.72</v>
      </c>
      <c r="EA113" s="722">
        <v>0.255</v>
      </c>
      <c r="EB113" s="722">
        <v>65.521000000000001</v>
      </c>
      <c r="EC113" s="722">
        <v>19.48</v>
      </c>
      <c r="ED113" s="722">
        <v>0.255</v>
      </c>
      <c r="EE113" s="722">
        <v>62.56</v>
      </c>
      <c r="EF113" s="722">
        <v>17.59</v>
      </c>
      <c r="EG113" s="722">
        <v>0.245</v>
      </c>
      <c r="EH113" s="722">
        <v>62.554000000000002</v>
      </c>
      <c r="EI113" s="722">
        <v>19.47</v>
      </c>
      <c r="EJ113" s="722">
        <v>0.245</v>
      </c>
      <c r="EK113" s="722">
        <v>62.531999999999996</v>
      </c>
      <c r="EL113" s="722">
        <v>23.66</v>
      </c>
      <c r="EM113" s="722">
        <v>0.245</v>
      </c>
      <c r="EN113" s="722">
        <v>62.53</v>
      </c>
      <c r="EO113" s="722">
        <v>22.52</v>
      </c>
      <c r="EP113" s="757">
        <v>0.245</v>
      </c>
      <c r="EQ113" s="722">
        <v>62.512</v>
      </c>
      <c r="ER113" s="722">
        <v>22.55</v>
      </c>
      <c r="ES113" s="722">
        <v>0.23499999999999999</v>
      </c>
      <c r="ET113" s="722">
        <v>62.515999999999998</v>
      </c>
      <c r="EU113" s="722">
        <v>27.78</v>
      </c>
      <c r="EV113" s="722">
        <v>0.23499999999999999</v>
      </c>
      <c r="EW113" s="722">
        <v>62.506999999999998</v>
      </c>
      <c r="EX113" s="722">
        <v>27.8</v>
      </c>
      <c r="EY113" s="722">
        <v>0.23499999999999999</v>
      </c>
      <c r="EZ113" s="722">
        <v>62.505000000000003</v>
      </c>
      <c r="FA113" s="722">
        <v>27.44</v>
      </c>
      <c r="FB113" s="722">
        <v>0.23499999999999999</v>
      </c>
      <c r="FC113" s="722">
        <v>62.500999999999998</v>
      </c>
      <c r="FD113" s="742">
        <v>29.2</v>
      </c>
      <c r="FE113" s="722">
        <v>0.22500000000000001</v>
      </c>
      <c r="FF113" s="722">
        <v>62.5</v>
      </c>
      <c r="FG113" s="722">
        <v>27.25</v>
      </c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22"/>
      <c r="FS113" s="722"/>
      <c r="FT113" s="722"/>
      <c r="FU113" s="722"/>
      <c r="FV113" s="722"/>
      <c r="FW113" s="722"/>
      <c r="FX113" s="722"/>
      <c r="FY113" s="722"/>
      <c r="GA113" s="722"/>
      <c r="GB113" s="722"/>
      <c r="GD113" s="732"/>
      <c r="GE113" s="732"/>
      <c r="GF113" s="781"/>
      <c r="GG113" s="722"/>
      <c r="GH113" s="722"/>
      <c r="GI113" s="722"/>
      <c r="GJ113" s="722"/>
      <c r="GK113" s="722"/>
      <c r="GL113" s="722"/>
      <c r="GM113" s="732"/>
      <c r="GN113" s="732"/>
      <c r="GO113" s="732"/>
      <c r="GP113" s="732"/>
      <c r="GQ113" s="732"/>
      <c r="GR113" s="732"/>
      <c r="GS113" s="722"/>
      <c r="GT113" s="722"/>
      <c r="GU113" s="722"/>
      <c r="GV113" s="722"/>
      <c r="GW113" s="722"/>
      <c r="GX113" s="722"/>
      <c r="GY113" s="732"/>
      <c r="GZ113" s="732"/>
      <c r="HA113" s="732"/>
      <c r="HB113" s="732"/>
      <c r="HC113" s="732"/>
      <c r="HD113" s="732"/>
      <c r="HE113" s="732"/>
      <c r="HF113" s="732"/>
      <c r="HG113" s="732"/>
      <c r="HH113" s="732"/>
      <c r="HI113" s="732"/>
      <c r="HJ113" s="732"/>
      <c r="HK113" s="732"/>
      <c r="HL113" s="732"/>
      <c r="HM113" s="732"/>
      <c r="HN113" s="722"/>
      <c r="HO113" s="722"/>
      <c r="HP113" s="722"/>
      <c r="HQ113" s="732"/>
      <c r="HR113" s="732"/>
      <c r="HS113" s="732"/>
      <c r="HT113" s="732"/>
      <c r="HU113" s="732"/>
      <c r="HV113" s="732"/>
      <c r="HW113" s="722"/>
      <c r="HX113" s="722"/>
      <c r="HY113" s="722"/>
      <c r="HZ113" s="732"/>
      <c r="IA113" s="732"/>
      <c r="IB113" s="732"/>
      <c r="IC113" s="732"/>
      <c r="ID113" s="732"/>
      <c r="IE113" s="732"/>
      <c r="IF113" s="732"/>
      <c r="IG113" s="732"/>
      <c r="IH113" s="732"/>
      <c r="II113" s="722"/>
      <c r="IJ113" s="722"/>
      <c r="IK113" s="722"/>
      <c r="IL113" s="732"/>
      <c r="IM113" s="732"/>
      <c r="IN113" s="732"/>
      <c r="IO113" s="722"/>
      <c r="IP113" s="727"/>
      <c r="IQ113" s="722"/>
      <c r="IR113" s="721"/>
      <c r="IS113" s="721"/>
      <c r="IT113" s="721"/>
      <c r="IU113" s="721"/>
      <c r="IV113" s="721"/>
      <c r="IW113" s="721"/>
      <c r="IX113" s="721"/>
      <c r="IY113" s="721"/>
      <c r="IZ113" s="721"/>
      <c r="JA113" s="721"/>
      <c r="JB113" s="721"/>
      <c r="JC113" s="721"/>
      <c r="JD113" s="721"/>
      <c r="JE113" s="721"/>
      <c r="JF113" s="721"/>
      <c r="JG113" s="721"/>
      <c r="JH113" s="721"/>
      <c r="JI113" s="721"/>
      <c r="JJ113" s="721"/>
      <c r="JK113" s="721"/>
      <c r="JL113" s="721"/>
      <c r="JM113" s="721"/>
      <c r="JN113" s="721"/>
      <c r="JO113" s="721"/>
      <c r="JP113" s="721"/>
      <c r="JQ113" s="721"/>
      <c r="JR113" s="721"/>
      <c r="JS113" s="721"/>
      <c r="JT113" s="721"/>
      <c r="JU113" s="721"/>
      <c r="JV113" s="721"/>
      <c r="JW113" s="721"/>
      <c r="JX113" s="721"/>
      <c r="JY113" s="721"/>
      <c r="JZ113" s="721"/>
      <c r="KA113" s="721"/>
      <c r="KB113" s="721"/>
      <c r="KC113" s="721"/>
      <c r="KD113" s="721"/>
      <c r="KE113" s="721"/>
      <c r="KF113" s="721"/>
      <c r="KG113" s="721"/>
      <c r="KH113" s="721"/>
      <c r="KI113" s="721"/>
      <c r="KJ113" s="721"/>
      <c r="KK113" s="721"/>
      <c r="KL113" s="721"/>
      <c r="KM113" s="721"/>
      <c r="KN113" s="721"/>
      <c r="KO113" s="721"/>
      <c r="KP113" s="721"/>
      <c r="KQ113" s="721"/>
      <c r="KR113" s="721"/>
      <c r="KS113" s="721"/>
      <c r="KT113" s="721"/>
      <c r="KU113" s="721"/>
      <c r="KV113" s="721"/>
      <c r="KW113" s="721"/>
      <c r="KX113" s="721"/>
      <c r="KY113" s="721"/>
      <c r="KZ113" s="721"/>
      <c r="LA113" s="721"/>
      <c r="LB113" s="721"/>
      <c r="LC113" s="721"/>
      <c r="LD113" s="721"/>
      <c r="LE113" s="721"/>
      <c r="LF113" s="721"/>
      <c r="LG113" s="721"/>
      <c r="LH113" s="721"/>
      <c r="LI113" s="721"/>
      <c r="LJ113" s="721"/>
      <c r="LK113" s="721"/>
      <c r="LL113" s="721"/>
      <c r="LM113" s="721"/>
      <c r="LN113" s="721"/>
      <c r="LO113" s="721"/>
      <c r="LP113" s="721"/>
      <c r="LQ113" s="721"/>
      <c r="LR113" s="721"/>
      <c r="LS113" s="721"/>
      <c r="LT113" s="721"/>
      <c r="LU113" s="721"/>
      <c r="LV113" s="721"/>
      <c r="LW113" s="721"/>
      <c r="LX113" s="721"/>
      <c r="LY113" s="721"/>
      <c r="LZ113" s="721"/>
      <c r="MA113" s="721"/>
      <c r="MB113" s="721"/>
      <c r="MC113" s="721"/>
      <c r="MD113" s="721"/>
      <c r="ME113" s="721"/>
      <c r="MF113" s="721"/>
      <c r="MG113" s="721"/>
      <c r="MH113" s="721"/>
      <c r="MI113" s="721"/>
      <c r="MJ113" s="721"/>
      <c r="MK113" s="721"/>
      <c r="ML113" s="721"/>
      <c r="MM113" s="721"/>
      <c r="MN113" s="721"/>
      <c r="MO113" s="721"/>
      <c r="MP113" s="721"/>
      <c r="MQ113" s="721"/>
    </row>
    <row r="114" spans="1:355">
      <c r="A114" s="633" t="s">
        <v>644</v>
      </c>
      <c r="B114" s="732" t="s">
        <v>645</v>
      </c>
      <c r="C114" s="885">
        <v>309.49108200000001</v>
      </c>
      <c r="D114" s="885">
        <v>43.78</v>
      </c>
      <c r="E114" s="885">
        <v>0.44</v>
      </c>
      <c r="F114" s="828">
        <v>309.49108200000001</v>
      </c>
      <c r="G114" s="828">
        <v>51.16</v>
      </c>
      <c r="H114" s="828">
        <v>0.44</v>
      </c>
      <c r="I114" s="828">
        <v>309.49108200000001</v>
      </c>
      <c r="J114" s="828">
        <v>52.25</v>
      </c>
      <c r="K114" s="828">
        <v>0.44</v>
      </c>
      <c r="L114" s="828">
        <v>309.49108200000001</v>
      </c>
      <c r="M114" s="829">
        <v>50.5</v>
      </c>
      <c r="N114" s="828">
        <v>0.44</v>
      </c>
      <c r="O114" s="828">
        <v>309.50331899999998</v>
      </c>
      <c r="P114" s="828">
        <v>50.35</v>
      </c>
      <c r="Q114" s="828">
        <v>0.44</v>
      </c>
      <c r="R114" s="828">
        <v>309.49108200000001</v>
      </c>
      <c r="S114" s="828">
        <v>50.09</v>
      </c>
      <c r="T114" s="828">
        <v>0.44</v>
      </c>
      <c r="U114" s="828">
        <v>309.517854</v>
      </c>
      <c r="V114" s="829">
        <v>47.93</v>
      </c>
      <c r="W114" s="830">
        <v>0.44</v>
      </c>
      <c r="X114" s="832">
        <v>309.51364000000001</v>
      </c>
      <c r="Y114" s="788">
        <v>52.93</v>
      </c>
      <c r="Z114" s="788">
        <v>0.432</v>
      </c>
      <c r="AA114" s="788">
        <v>309.5</v>
      </c>
      <c r="AB114" s="788">
        <v>51.12</v>
      </c>
      <c r="AC114" s="788">
        <v>0.432</v>
      </c>
      <c r="AD114" s="788">
        <v>309.49108200000001</v>
      </c>
      <c r="AE114" s="788">
        <v>50.58</v>
      </c>
      <c r="AF114" s="788">
        <v>0.432</v>
      </c>
      <c r="AG114" s="788">
        <v>309.52071799999999</v>
      </c>
      <c r="AH114" s="788">
        <v>47.42</v>
      </c>
      <c r="AI114" s="788">
        <v>0.432</v>
      </c>
      <c r="AJ114" s="788">
        <v>309.50888900000001</v>
      </c>
      <c r="AK114" s="788">
        <v>44.15</v>
      </c>
      <c r="AL114" s="788">
        <v>0.432</v>
      </c>
      <c r="AM114" s="828">
        <v>309.51255300000003</v>
      </c>
      <c r="AN114" s="828">
        <v>42.74</v>
      </c>
      <c r="AO114" s="828">
        <v>0.432</v>
      </c>
      <c r="AP114" s="788">
        <v>309.49514099999999</v>
      </c>
      <c r="AQ114" s="788">
        <v>37.880000000000003</v>
      </c>
      <c r="AR114" s="788">
        <v>0.432</v>
      </c>
      <c r="AS114" s="722">
        <v>309.52786800000001</v>
      </c>
      <c r="AT114" s="722">
        <v>41.78</v>
      </c>
      <c r="AU114" s="722">
        <v>0.432</v>
      </c>
      <c r="AV114" s="722">
        <v>309.53821499999998</v>
      </c>
      <c r="AW114" s="722">
        <v>46.06</v>
      </c>
      <c r="AX114" s="722">
        <v>0.432</v>
      </c>
      <c r="AY114" s="722">
        <v>309.49108200000001</v>
      </c>
      <c r="AZ114" s="722">
        <v>40.11</v>
      </c>
      <c r="BA114" s="722">
        <v>0.432</v>
      </c>
      <c r="BB114" s="732">
        <v>309.49108200000001</v>
      </c>
      <c r="BC114" s="735">
        <v>38.4</v>
      </c>
      <c r="BD114" s="735"/>
      <c r="BE114" s="735"/>
      <c r="BF114" s="735"/>
      <c r="BG114" s="735"/>
      <c r="BH114" s="735"/>
      <c r="BI114" s="735"/>
      <c r="BJ114" s="735"/>
      <c r="BK114" s="735"/>
      <c r="BL114" s="735"/>
      <c r="BM114" s="735"/>
      <c r="BN114" s="735"/>
      <c r="BO114" s="735"/>
      <c r="BP114" s="735"/>
      <c r="BQ114" s="735"/>
      <c r="BR114" s="735"/>
      <c r="BS114" s="735"/>
      <c r="BT114" s="735"/>
      <c r="BU114" s="735"/>
      <c r="BV114" s="735"/>
      <c r="BW114" s="782"/>
      <c r="BX114" s="782"/>
      <c r="BY114" s="782"/>
      <c r="BZ114" s="735"/>
      <c r="CA114" s="735"/>
      <c r="CB114" s="735"/>
      <c r="CC114" s="735"/>
      <c r="CD114" s="735"/>
      <c r="CE114" s="735"/>
      <c r="CF114" s="735"/>
      <c r="CG114" s="735"/>
      <c r="CH114" s="732"/>
      <c r="CI114" s="732"/>
      <c r="CJ114" s="732"/>
      <c r="CK114" s="735"/>
      <c r="CL114" s="735"/>
      <c r="CM114" s="735"/>
      <c r="CN114" s="735"/>
      <c r="CO114" s="735"/>
      <c r="CP114" s="735"/>
      <c r="CQ114" s="735"/>
      <c r="CR114" s="735"/>
      <c r="CS114" s="735"/>
      <c r="CT114" s="735"/>
      <c r="CU114" s="735"/>
      <c r="CV114" s="735"/>
      <c r="CW114" s="735"/>
      <c r="CX114" s="735"/>
      <c r="CY114" s="735"/>
      <c r="CZ114" s="735"/>
      <c r="DA114" s="735"/>
      <c r="DB114" s="735"/>
      <c r="DC114" s="735"/>
      <c r="DD114" s="735"/>
      <c r="DE114" s="735"/>
      <c r="DF114" s="735"/>
      <c r="DG114" s="735"/>
      <c r="DH114" s="735"/>
      <c r="DI114" s="735"/>
      <c r="DJ114" s="735"/>
      <c r="DK114" s="735"/>
      <c r="DL114" s="735"/>
      <c r="DM114" s="735"/>
      <c r="DN114" s="735"/>
      <c r="DO114" s="735"/>
      <c r="DP114" s="735"/>
      <c r="DQ114" s="735"/>
      <c r="DR114" s="735"/>
      <c r="DS114" s="735"/>
      <c r="DT114" s="735"/>
      <c r="DU114" s="735"/>
      <c r="DV114" s="735"/>
      <c r="DW114" s="735"/>
      <c r="DX114" s="735"/>
      <c r="DY114" s="735"/>
      <c r="DZ114" s="735"/>
      <c r="EA114" s="735"/>
      <c r="EB114" s="735"/>
      <c r="EC114" s="735"/>
      <c r="ED114" s="735"/>
      <c r="EE114" s="735"/>
      <c r="EF114" s="735"/>
      <c r="EG114" s="735"/>
      <c r="EH114" s="735"/>
      <c r="EI114" s="735"/>
      <c r="EJ114" s="735"/>
      <c r="EK114" s="735"/>
      <c r="EL114" s="735"/>
      <c r="EM114" s="735"/>
      <c r="EN114" s="735"/>
      <c r="EO114" s="735"/>
      <c r="EP114" s="735"/>
      <c r="EQ114" s="735"/>
      <c r="ER114" s="735"/>
      <c r="ES114" s="735"/>
      <c r="ET114" s="735"/>
      <c r="EU114" s="735"/>
      <c r="EV114" s="735"/>
      <c r="EW114" s="735"/>
      <c r="EX114" s="735"/>
      <c r="EY114" s="735"/>
      <c r="EZ114" s="735"/>
      <c r="FA114" s="735"/>
      <c r="FB114" s="735"/>
      <c r="FC114" s="735"/>
      <c r="FD114" s="238"/>
      <c r="FE114" s="735"/>
      <c r="FF114" s="735"/>
      <c r="FG114" s="735"/>
      <c r="FH114" s="735"/>
      <c r="FI114" s="735"/>
      <c r="FJ114" s="735"/>
      <c r="FK114" s="735"/>
      <c r="FL114" s="735"/>
      <c r="FM114" s="735"/>
      <c r="FN114" s="735"/>
      <c r="FO114" s="735"/>
      <c r="FP114" s="735"/>
      <c r="FQ114" s="735"/>
      <c r="FR114" s="735"/>
      <c r="FS114" s="735"/>
      <c r="FT114" s="735"/>
      <c r="FU114" s="735"/>
      <c r="FV114" s="735"/>
      <c r="FW114" s="735"/>
      <c r="FX114" s="735"/>
      <c r="FY114" s="735"/>
      <c r="FZ114" s="735"/>
      <c r="GA114" s="735"/>
      <c r="GB114" s="735"/>
      <c r="GC114" s="735"/>
      <c r="GD114" s="735"/>
      <c r="GE114" s="735"/>
      <c r="GF114" s="783"/>
      <c r="GG114" s="735"/>
      <c r="GH114" s="735"/>
      <c r="GI114" s="735"/>
      <c r="GJ114" s="735"/>
      <c r="GK114" s="735"/>
      <c r="GL114" s="735"/>
      <c r="GM114" s="735"/>
      <c r="GN114" s="735"/>
      <c r="GO114" s="735"/>
      <c r="GP114" s="782"/>
      <c r="GQ114" s="782"/>
      <c r="GR114" s="782"/>
      <c r="GS114" s="735"/>
      <c r="GT114" s="735"/>
      <c r="GU114" s="735"/>
      <c r="GV114" s="735"/>
      <c r="GW114" s="735"/>
      <c r="GX114" s="735"/>
      <c r="GY114" s="735"/>
      <c r="GZ114" s="735"/>
      <c r="HA114" s="735"/>
      <c r="HB114" s="735"/>
      <c r="HC114" s="735"/>
      <c r="HD114" s="735"/>
      <c r="HE114" s="735"/>
      <c r="HF114" s="735"/>
      <c r="HG114" s="735"/>
      <c r="HH114" s="735"/>
      <c r="HI114" s="735"/>
      <c r="HJ114" s="735"/>
      <c r="HK114" s="735"/>
      <c r="HL114" s="735"/>
      <c r="HM114" s="735"/>
      <c r="HN114" s="735"/>
      <c r="HO114" s="735"/>
      <c r="HP114" s="735"/>
      <c r="HQ114" s="735"/>
      <c r="HR114" s="735"/>
      <c r="HS114" s="735"/>
      <c r="HT114" s="735"/>
      <c r="HU114" s="735"/>
      <c r="HV114" s="735"/>
      <c r="HW114" s="735"/>
      <c r="HX114" s="735"/>
      <c r="HY114" s="735"/>
      <c r="HZ114" s="735"/>
      <c r="IA114" s="735"/>
      <c r="IB114" s="735"/>
      <c r="IC114" s="735"/>
      <c r="ID114" s="735"/>
      <c r="IE114" s="735"/>
      <c r="IF114" s="735"/>
      <c r="IG114" s="735"/>
      <c r="IH114" s="735"/>
      <c r="II114" s="735"/>
      <c r="IJ114" s="735"/>
      <c r="IK114" s="735"/>
      <c r="IL114" s="722">
        <v>60.591999999999999</v>
      </c>
      <c r="IM114" s="722">
        <v>33.6875</v>
      </c>
      <c r="IN114" s="722">
        <v>0</v>
      </c>
      <c r="IO114" s="722">
        <v>60.036999999999999</v>
      </c>
      <c r="IP114" s="727">
        <v>29.5</v>
      </c>
      <c r="IQ114" s="722">
        <v>0</v>
      </c>
      <c r="IR114" s="721">
        <v>58.8</v>
      </c>
      <c r="IS114" s="721">
        <v>34.625</v>
      </c>
      <c r="IT114" s="721">
        <v>0</v>
      </c>
      <c r="IU114" s="721">
        <v>58.8</v>
      </c>
      <c r="IV114" s="721">
        <v>28</v>
      </c>
      <c r="IW114" s="721">
        <v>0</v>
      </c>
      <c r="IX114" s="721">
        <v>59.6</v>
      </c>
      <c r="IY114" s="721">
        <v>34.6875</v>
      </c>
      <c r="IZ114" s="721">
        <v>0</v>
      </c>
      <c r="JA114" s="721">
        <v>59.5</v>
      </c>
      <c r="JB114" s="721">
        <v>26.5</v>
      </c>
      <c r="JC114" s="721">
        <v>0</v>
      </c>
      <c r="JD114" s="721">
        <v>60.03</v>
      </c>
      <c r="JE114" s="721">
        <v>30.0625</v>
      </c>
      <c r="JF114" s="721">
        <v>0</v>
      </c>
      <c r="JG114" s="721">
        <v>60.4</v>
      </c>
      <c r="JH114" s="721">
        <v>28.25</v>
      </c>
      <c r="JI114" s="721">
        <v>0</v>
      </c>
      <c r="JJ114" s="721">
        <v>81.3</v>
      </c>
      <c r="JK114" s="721">
        <v>28.75</v>
      </c>
      <c r="JL114" s="721">
        <v>0</v>
      </c>
      <c r="JM114" s="721">
        <v>82.2</v>
      </c>
      <c r="JN114" s="721">
        <v>33.25</v>
      </c>
      <c r="JO114" s="721">
        <v>0</v>
      </c>
      <c r="JP114" s="721">
        <v>63.7</v>
      </c>
      <c r="JQ114" s="721">
        <v>38</v>
      </c>
      <c r="JR114" s="721">
        <v>0</v>
      </c>
      <c r="JS114" s="721">
        <v>63.5</v>
      </c>
      <c r="JT114" s="721">
        <v>34</v>
      </c>
      <c r="JU114" s="721">
        <v>0</v>
      </c>
      <c r="JV114" s="721">
        <v>63.4</v>
      </c>
      <c r="JW114" s="721">
        <v>33.625</v>
      </c>
      <c r="JX114" s="721">
        <v>0</v>
      </c>
      <c r="JY114" s="721">
        <v>63.7</v>
      </c>
      <c r="JZ114" s="721">
        <v>31.875</v>
      </c>
      <c r="KA114" s="721">
        <v>0</v>
      </c>
      <c r="KB114" s="721">
        <v>52.2</v>
      </c>
      <c r="KC114" s="721">
        <v>25.5</v>
      </c>
      <c r="KD114" s="721">
        <v>0</v>
      </c>
      <c r="KE114" s="721">
        <v>52</v>
      </c>
      <c r="KF114" s="721"/>
      <c r="KG114" s="721"/>
      <c r="KH114" s="721"/>
      <c r="KI114" s="721"/>
      <c r="KJ114" s="721"/>
      <c r="KK114" s="721"/>
      <c r="KL114" s="721"/>
      <c r="KM114" s="721"/>
      <c r="KN114" s="721"/>
      <c r="KO114" s="721"/>
      <c r="KP114" s="721"/>
      <c r="KQ114" s="721"/>
      <c r="KR114" s="721"/>
      <c r="KS114" s="721"/>
      <c r="KT114" s="721"/>
      <c r="KU114" s="721"/>
      <c r="KV114" s="721"/>
      <c r="KW114" s="721"/>
      <c r="KX114" s="721"/>
      <c r="KY114" s="721"/>
      <c r="KZ114" s="721"/>
      <c r="LA114" s="721"/>
      <c r="LB114" s="721"/>
      <c r="LC114" s="721"/>
      <c r="LD114" s="721"/>
      <c r="LE114" s="721"/>
      <c r="LF114" s="721"/>
      <c r="LG114" s="721"/>
      <c r="LH114" s="721"/>
      <c r="LI114" s="721"/>
      <c r="LJ114" s="721"/>
      <c r="LK114" s="721"/>
      <c r="LL114" s="721"/>
      <c r="LM114" s="721"/>
      <c r="LN114" s="721"/>
      <c r="LO114" s="721"/>
      <c r="LP114" s="721"/>
      <c r="LQ114" s="721"/>
      <c r="LR114" s="721"/>
      <c r="LS114" s="721"/>
      <c r="LT114" s="721"/>
      <c r="LU114" s="721"/>
      <c r="LV114" s="721"/>
      <c r="LW114" s="721"/>
      <c r="LX114" s="721"/>
      <c r="LY114" s="721"/>
      <c r="LZ114" s="721"/>
      <c r="MA114" s="721"/>
      <c r="MB114" s="721"/>
      <c r="MC114" s="721"/>
      <c r="MD114" s="721"/>
      <c r="ME114" s="721"/>
      <c r="MF114" s="721"/>
      <c r="MG114" s="721"/>
      <c r="MH114" s="721"/>
      <c r="MI114" s="721"/>
      <c r="MJ114" s="721"/>
      <c r="MK114" s="721"/>
      <c r="ML114" s="721"/>
      <c r="MM114" s="721"/>
      <c r="MN114" s="721"/>
      <c r="MO114" s="721"/>
      <c r="MP114" s="721"/>
      <c r="MQ114" s="721"/>
    </row>
    <row r="115" spans="1:355">
      <c r="B115" s="735"/>
      <c r="C115" s="891"/>
      <c r="D115" s="891"/>
      <c r="E115" s="891"/>
      <c r="F115" s="828"/>
      <c r="G115" s="828"/>
      <c r="H115" s="828"/>
      <c r="I115" s="828"/>
      <c r="J115" s="828"/>
      <c r="K115" s="828"/>
      <c r="L115" s="828"/>
      <c r="M115" s="828"/>
      <c r="N115" s="828"/>
      <c r="O115" s="828"/>
      <c r="P115" s="828"/>
      <c r="Q115" s="828"/>
      <c r="U115" s="826"/>
      <c r="V115" s="826"/>
      <c r="W115" s="826"/>
      <c r="X115" s="721"/>
      <c r="Y115" s="721"/>
      <c r="Z115" s="721"/>
      <c r="AA115" s="721"/>
      <c r="AB115" s="721"/>
      <c r="AC115" s="721"/>
      <c r="AJ115" s="735"/>
      <c r="AK115" s="735"/>
      <c r="AL115" s="735"/>
      <c r="AM115" s="735"/>
      <c r="AN115" s="735"/>
      <c r="AO115" s="735"/>
      <c r="AP115" s="735"/>
      <c r="AQ115" s="735"/>
      <c r="AR115" s="735"/>
      <c r="AS115" s="735"/>
      <c r="AT115" s="735"/>
      <c r="AU115" s="735"/>
      <c r="AV115" s="735"/>
      <c r="AW115" s="735"/>
      <c r="AX115" s="735"/>
      <c r="AY115" s="735"/>
      <c r="AZ115" s="735"/>
      <c r="BA115" s="735"/>
      <c r="BB115" s="735"/>
      <c r="BC115" s="735"/>
      <c r="BD115" s="735"/>
      <c r="BE115" s="735"/>
      <c r="BF115" s="735"/>
      <c r="BG115" s="735"/>
      <c r="BH115" s="735"/>
      <c r="BI115" s="735"/>
      <c r="BJ115" s="735"/>
      <c r="BK115" s="735"/>
      <c r="BL115" s="238"/>
      <c r="BM115" s="735"/>
      <c r="BN115" s="735"/>
      <c r="BO115" s="735"/>
      <c r="BP115" s="735"/>
      <c r="BQ115" s="735"/>
      <c r="BR115" s="735"/>
      <c r="BS115" s="735"/>
      <c r="BT115" s="735"/>
      <c r="BU115" s="735"/>
      <c r="BV115" s="735"/>
      <c r="BW115" s="782"/>
      <c r="BX115" s="782"/>
      <c r="BY115" s="782"/>
      <c r="BZ115" s="735"/>
      <c r="CA115" s="735"/>
      <c r="CB115" s="735"/>
      <c r="CC115" s="735"/>
      <c r="CD115" s="735"/>
      <c r="CE115" s="735"/>
      <c r="CF115" s="735"/>
      <c r="CG115" s="735"/>
      <c r="CH115" s="735"/>
      <c r="CI115" s="735"/>
      <c r="CJ115" s="735"/>
      <c r="CK115" s="735"/>
      <c r="CL115" s="735"/>
      <c r="CM115" s="735"/>
      <c r="CN115" s="735"/>
      <c r="CO115" s="735"/>
      <c r="CP115" s="735"/>
      <c r="CQ115" s="735"/>
      <c r="CR115" s="735"/>
      <c r="CS115" s="735"/>
      <c r="CT115" s="735"/>
      <c r="CU115" s="238">
        <f>SUM(CU11:CU113)</f>
        <v>12629.939631000003</v>
      </c>
      <c r="CV115" s="238"/>
      <c r="CW115" s="628"/>
      <c r="CX115" s="735"/>
      <c r="CY115" s="735"/>
      <c r="CZ115" s="735"/>
      <c r="DA115" s="735"/>
      <c r="DB115" s="735"/>
      <c r="DC115" s="735"/>
      <c r="DD115" s="238"/>
      <c r="DE115" s="735"/>
      <c r="DF115" s="735"/>
      <c r="DG115" s="735"/>
      <c r="DH115" s="735"/>
      <c r="DI115" s="735"/>
      <c r="DJ115" s="735"/>
      <c r="DK115" s="735"/>
      <c r="DL115" s="735"/>
      <c r="DM115" s="735"/>
      <c r="DN115" s="238"/>
      <c r="DO115" s="735"/>
      <c r="DP115" s="735"/>
      <c r="DQ115" s="735"/>
      <c r="DR115" s="735"/>
      <c r="DS115" s="735"/>
      <c r="DT115" s="735"/>
      <c r="DU115" s="735"/>
      <c r="DV115" s="735"/>
      <c r="DW115" s="735"/>
      <c r="DX115" s="735"/>
      <c r="DY115" s="735"/>
      <c r="DZ115" s="735"/>
      <c r="EA115" s="735"/>
      <c r="EB115" s="735"/>
      <c r="EC115" s="735"/>
      <c r="ED115" s="735"/>
      <c r="EE115" s="735"/>
      <c r="EF115" s="735"/>
      <c r="EG115" s="735"/>
      <c r="EH115" s="735"/>
      <c r="EI115" s="735"/>
      <c r="EJ115" s="735"/>
      <c r="EK115" s="735"/>
      <c r="EL115" s="735"/>
      <c r="EM115" s="735"/>
      <c r="EN115" s="735"/>
      <c r="EO115" s="735"/>
      <c r="EP115" s="735"/>
      <c r="EQ115" s="735"/>
      <c r="ER115" s="735"/>
      <c r="ES115" s="735"/>
      <c r="ET115" s="735"/>
      <c r="EU115" s="735"/>
      <c r="EV115" s="735"/>
      <c r="EW115" s="735"/>
      <c r="EX115" s="735"/>
      <c r="EY115" s="735"/>
      <c r="EZ115" s="735"/>
      <c r="FA115" s="735"/>
      <c r="FB115" s="735"/>
      <c r="FC115" s="735"/>
      <c r="FD115" s="238"/>
      <c r="FE115" s="735"/>
      <c r="FF115" s="735"/>
      <c r="FG115" s="735"/>
      <c r="FH115" s="735"/>
      <c r="FI115" s="735"/>
      <c r="FJ115" s="735"/>
      <c r="FK115" s="735"/>
      <c r="FL115" s="735"/>
      <c r="FM115" s="735"/>
      <c r="FN115" s="735"/>
      <c r="FO115" s="735"/>
      <c r="FP115" s="735"/>
      <c r="FQ115" s="735"/>
      <c r="FR115" s="735"/>
      <c r="FS115" s="735"/>
      <c r="FT115" s="735"/>
      <c r="FU115" s="735"/>
      <c r="FV115" s="238"/>
      <c r="FW115" s="735"/>
      <c r="FX115" s="735"/>
      <c r="FY115" s="735"/>
      <c r="FZ115" s="735"/>
      <c r="GA115" s="735"/>
      <c r="GB115" s="735"/>
      <c r="GC115" s="735"/>
      <c r="GD115" s="735"/>
      <c r="GE115" s="735"/>
      <c r="GF115" s="783"/>
      <c r="GG115" s="735"/>
      <c r="GH115" s="735"/>
      <c r="GI115" s="782"/>
      <c r="GJ115" s="735"/>
      <c r="GK115" s="735"/>
      <c r="GL115" s="735"/>
      <c r="GM115" s="735"/>
      <c r="GN115" s="735"/>
      <c r="GO115" s="735"/>
      <c r="GP115" s="782"/>
      <c r="GQ115" s="782"/>
      <c r="GR115" s="782"/>
      <c r="GS115" s="735"/>
      <c r="GT115" s="735"/>
      <c r="GU115" s="735"/>
      <c r="GV115" s="735"/>
      <c r="GW115" s="735"/>
      <c r="GX115" s="735"/>
      <c r="GY115" s="735"/>
      <c r="GZ115" s="735"/>
      <c r="HA115" s="735"/>
      <c r="HB115" s="735"/>
      <c r="HC115" s="735"/>
      <c r="HD115" s="735"/>
      <c r="HE115" s="735"/>
      <c r="HF115" s="735"/>
      <c r="HG115" s="735"/>
      <c r="HH115" s="735"/>
      <c r="HI115" s="735"/>
      <c r="HJ115" s="735"/>
      <c r="HK115" s="735"/>
      <c r="HL115" s="735"/>
      <c r="HM115" s="735"/>
      <c r="HN115" s="735"/>
      <c r="HO115" s="735"/>
      <c r="HP115" s="735"/>
      <c r="HQ115" s="735"/>
      <c r="HR115" s="735"/>
      <c r="HS115" s="735"/>
      <c r="HT115" s="735"/>
      <c r="HU115" s="735"/>
      <c r="HV115" s="735"/>
      <c r="HW115" s="735"/>
      <c r="HX115" s="735"/>
      <c r="HY115" s="735"/>
      <c r="HZ115" s="735"/>
      <c r="IA115" s="735"/>
      <c r="IB115" s="735"/>
      <c r="IC115" s="735"/>
      <c r="ID115" s="735"/>
      <c r="IE115" s="735"/>
      <c r="IF115" s="735"/>
      <c r="IG115" s="735"/>
      <c r="IH115" s="735"/>
      <c r="II115" s="735"/>
      <c r="IJ115" s="735"/>
      <c r="IK115" s="735"/>
      <c r="IL115" s="735"/>
      <c r="IM115" s="735"/>
      <c r="IN115" s="735"/>
      <c r="IO115" s="722"/>
      <c r="IP115" s="722">
        <v>63.8125</v>
      </c>
      <c r="IQ115" s="722"/>
      <c r="IR115" s="721"/>
      <c r="IS115" s="721">
        <v>58.125</v>
      </c>
      <c r="IT115" s="721">
        <v>0</v>
      </c>
      <c r="IU115" s="721"/>
      <c r="IV115" s="721">
        <v>37.25</v>
      </c>
      <c r="IW115" s="721">
        <v>0</v>
      </c>
      <c r="IX115" s="721"/>
      <c r="IY115" s="721">
        <v>47.375</v>
      </c>
      <c r="IZ115" s="721">
        <v>0</v>
      </c>
      <c r="JA115" s="721"/>
      <c r="JB115" s="721"/>
      <c r="JC115" s="721"/>
      <c r="JD115" s="721"/>
      <c r="JE115" s="721"/>
      <c r="JF115" s="721"/>
      <c r="JG115" s="721"/>
      <c r="JH115" s="721"/>
      <c r="JI115" s="721"/>
      <c r="JJ115" s="721"/>
      <c r="JK115" s="721"/>
      <c r="JL115" s="721"/>
      <c r="JM115" s="721"/>
      <c r="JN115" s="721"/>
      <c r="JO115" s="721"/>
      <c r="JP115" s="721"/>
      <c r="JQ115" s="721"/>
      <c r="JR115" s="721"/>
      <c r="JS115" s="721"/>
      <c r="JT115" s="721"/>
      <c r="JU115" s="721"/>
      <c r="JV115" s="721"/>
      <c r="JW115" s="721"/>
      <c r="JX115" s="721"/>
      <c r="JY115" s="721"/>
      <c r="JZ115" s="721"/>
      <c r="KA115" s="721"/>
      <c r="KB115" s="721"/>
      <c r="KC115" s="721"/>
      <c r="KD115" s="721"/>
      <c r="KE115" s="721"/>
      <c r="KF115" s="721"/>
      <c r="KG115" s="721"/>
      <c r="KH115" s="721"/>
      <c r="KI115" s="721"/>
      <c r="KJ115" s="721"/>
      <c r="KK115" s="721"/>
      <c r="KL115" s="721"/>
      <c r="KM115" s="721"/>
      <c r="KN115" s="721"/>
      <c r="KO115" s="721"/>
      <c r="KP115" s="721"/>
      <c r="KQ115" s="721"/>
      <c r="KR115" s="721"/>
      <c r="KS115" s="721"/>
      <c r="KT115" s="721"/>
      <c r="KU115" s="721"/>
      <c r="KV115" s="721"/>
      <c r="KW115" s="721"/>
      <c r="KX115" s="721"/>
      <c r="KY115" s="721"/>
      <c r="KZ115" s="721"/>
      <c r="LA115" s="721"/>
      <c r="LB115" s="721"/>
      <c r="LC115" s="721"/>
      <c r="LD115" s="721"/>
      <c r="LE115" s="721"/>
      <c r="LF115" s="721"/>
      <c r="LG115" s="721"/>
      <c r="LH115" s="721"/>
      <c r="LI115" s="721"/>
      <c r="LJ115" s="721"/>
      <c r="LK115" s="721"/>
      <c r="LL115" s="721"/>
      <c r="LM115" s="721"/>
      <c r="LN115" s="721"/>
      <c r="LO115" s="721"/>
      <c r="LP115" s="721"/>
      <c r="LQ115" s="721"/>
      <c r="LR115" s="721"/>
      <c r="LS115" s="721"/>
      <c r="LT115" s="721"/>
      <c r="LU115" s="721"/>
      <c r="LV115" s="721"/>
      <c r="LW115" s="721"/>
      <c r="LX115" s="721"/>
      <c r="LY115" s="721"/>
      <c r="LZ115" s="721"/>
      <c r="MA115" s="721"/>
      <c r="MB115" s="721"/>
      <c r="MC115" s="721"/>
      <c r="MD115" s="721"/>
      <c r="ME115" s="721"/>
      <c r="MF115" s="721"/>
      <c r="MG115" s="721"/>
      <c r="MH115" s="721"/>
      <c r="MI115" s="721"/>
      <c r="MJ115" s="721"/>
      <c r="MK115" s="721"/>
      <c r="ML115" s="721"/>
      <c r="MM115" s="721"/>
      <c r="MN115" s="721"/>
      <c r="MO115" s="721"/>
      <c r="MP115" s="721"/>
      <c r="MQ115" s="721"/>
    </row>
    <row r="116" spans="1:355">
      <c r="A116" s="634"/>
      <c r="B116" s="735"/>
      <c r="C116" s="889"/>
      <c r="D116" s="889"/>
      <c r="E116" s="889"/>
      <c r="F116" s="841"/>
      <c r="G116" s="841"/>
      <c r="H116" s="841"/>
      <c r="I116" s="841"/>
      <c r="J116" s="841"/>
      <c r="K116" s="841"/>
      <c r="L116" s="841"/>
      <c r="M116" s="841"/>
      <c r="N116" s="841"/>
      <c r="O116" s="841"/>
      <c r="P116" s="841"/>
      <c r="Q116" s="841"/>
      <c r="R116" s="798"/>
      <c r="S116" s="798"/>
      <c r="T116" s="798"/>
      <c r="U116" s="798"/>
      <c r="V116" s="798"/>
      <c r="W116" s="798"/>
      <c r="X116" s="735"/>
      <c r="Y116" s="735"/>
      <c r="Z116" s="735"/>
      <c r="AA116" s="735"/>
      <c r="AB116" s="735"/>
      <c r="AC116" s="735"/>
      <c r="AD116" s="798"/>
      <c r="AE116" s="798"/>
      <c r="AF116" s="798"/>
      <c r="AG116" s="798"/>
      <c r="AH116" s="799"/>
      <c r="AI116" s="798"/>
      <c r="AJ116" s="735"/>
      <c r="AK116" s="735"/>
      <c r="AL116" s="784"/>
      <c r="AM116" s="735"/>
      <c r="AN116" s="735"/>
      <c r="AO116" s="784"/>
      <c r="AP116" s="735"/>
      <c r="AQ116" s="735"/>
      <c r="AR116" s="784"/>
      <c r="AS116" s="735"/>
      <c r="AT116" s="735"/>
      <c r="AU116" s="784"/>
      <c r="AV116" s="735"/>
      <c r="AW116" s="735"/>
      <c r="AX116" s="735"/>
      <c r="AY116" s="735"/>
      <c r="AZ116" s="735"/>
      <c r="BA116" s="735"/>
      <c r="BB116" s="735"/>
      <c r="BC116" s="735"/>
      <c r="BD116" s="735"/>
      <c r="BE116" s="735"/>
      <c r="BF116" s="735"/>
      <c r="BG116" s="735"/>
      <c r="BH116" s="735"/>
      <c r="BI116" s="735"/>
      <c r="BJ116" s="735"/>
      <c r="BK116" s="735"/>
      <c r="BL116" s="735"/>
      <c r="BM116" s="735"/>
      <c r="BN116" s="735"/>
      <c r="BO116" s="735"/>
      <c r="BP116" s="735"/>
      <c r="BQ116" s="735"/>
      <c r="BR116" s="735"/>
      <c r="BS116" s="735"/>
      <c r="BT116" s="735"/>
      <c r="BU116" s="735"/>
      <c r="BV116" s="735"/>
      <c r="BW116" s="782"/>
      <c r="BX116" s="782"/>
      <c r="BY116" s="782"/>
      <c r="BZ116" s="735"/>
      <c r="CA116" s="735"/>
      <c r="CB116" s="735"/>
      <c r="CC116" s="735"/>
      <c r="CD116" s="735"/>
      <c r="CE116" s="735"/>
      <c r="CF116" s="735"/>
      <c r="CG116" s="735"/>
      <c r="CH116" s="735"/>
      <c r="CI116" s="735"/>
      <c r="CJ116" s="735"/>
      <c r="CK116" s="735"/>
      <c r="CL116" s="735"/>
      <c r="CM116" s="735"/>
      <c r="CN116" s="735"/>
      <c r="CO116" s="735"/>
      <c r="CP116" s="735"/>
      <c r="CQ116" s="735"/>
      <c r="CR116" s="735"/>
      <c r="CS116" s="735"/>
      <c r="CT116" s="735"/>
      <c r="CU116" s="735"/>
      <c r="CV116" s="735"/>
      <c r="CW116" s="629"/>
      <c r="CX116" s="735"/>
      <c r="CY116" s="735"/>
      <c r="CZ116" s="735"/>
      <c r="DA116" s="735"/>
      <c r="DB116" s="735"/>
      <c r="DC116" s="735"/>
      <c r="DD116" s="735"/>
      <c r="DE116" s="735"/>
      <c r="DF116" s="735"/>
      <c r="DG116" s="735"/>
      <c r="DH116" s="735"/>
      <c r="DI116" s="735"/>
      <c r="DJ116" s="735"/>
      <c r="DK116" s="735"/>
      <c r="DL116" s="735"/>
      <c r="DM116" s="735"/>
      <c r="DN116" s="735"/>
      <c r="DO116" s="735"/>
      <c r="DP116" s="735"/>
      <c r="DQ116" s="735"/>
      <c r="DR116" s="735"/>
      <c r="DS116" s="735"/>
      <c r="DT116" s="735"/>
      <c r="DU116" s="735"/>
      <c r="DV116" s="735"/>
      <c r="DW116" s="735"/>
      <c r="DX116" s="735"/>
      <c r="DY116" s="735"/>
      <c r="DZ116" s="735"/>
      <c r="EA116" s="735"/>
      <c r="EB116" s="735"/>
      <c r="EC116" s="735"/>
      <c r="ED116" s="735"/>
      <c r="EE116" s="735"/>
      <c r="EF116" s="735"/>
      <c r="EG116" s="735"/>
      <c r="EH116" s="735"/>
      <c r="EI116" s="735"/>
      <c r="EJ116" s="735"/>
      <c r="EK116" s="735"/>
      <c r="EL116" s="735"/>
      <c r="EM116" s="735"/>
      <c r="EN116" s="735"/>
      <c r="EO116" s="735"/>
      <c r="EP116" s="735"/>
      <c r="EQ116" s="735"/>
      <c r="ER116" s="735"/>
      <c r="ES116" s="735"/>
      <c r="ET116" s="735"/>
      <c r="EU116" s="735"/>
      <c r="EV116" s="735"/>
      <c r="EW116" s="735"/>
      <c r="EX116" s="735"/>
      <c r="EY116" s="735"/>
      <c r="EZ116" s="735"/>
      <c r="FA116" s="735"/>
      <c r="FB116" s="735"/>
      <c r="FC116" s="735"/>
      <c r="FD116" s="238"/>
      <c r="FE116" s="735"/>
      <c r="FF116" s="735"/>
      <c r="FG116" s="735"/>
      <c r="FH116" s="735"/>
      <c r="FI116" s="735"/>
      <c r="FJ116" s="735"/>
      <c r="FK116" s="735"/>
      <c r="FL116" s="735"/>
      <c r="FM116" s="735"/>
      <c r="FN116" s="735"/>
      <c r="FO116" s="735"/>
      <c r="FP116" s="735"/>
      <c r="FQ116" s="735"/>
      <c r="FR116" s="735"/>
      <c r="FS116" s="735"/>
      <c r="FT116" s="735"/>
      <c r="FU116" s="735"/>
      <c r="FV116" s="735"/>
      <c r="FW116" s="735"/>
      <c r="FX116" s="735"/>
      <c r="FY116" s="735"/>
      <c r="FZ116" s="735"/>
      <c r="GA116" s="735"/>
      <c r="GB116" s="735"/>
      <c r="GC116" s="735"/>
      <c r="GD116" s="735"/>
      <c r="GE116" s="735"/>
      <c r="GF116" s="783"/>
      <c r="GG116" s="735"/>
      <c r="GH116" s="735"/>
      <c r="GI116" s="782"/>
      <c r="GJ116" s="735"/>
      <c r="GK116" s="735"/>
      <c r="GL116" s="735"/>
      <c r="GM116" s="735"/>
      <c r="GN116" s="735"/>
      <c r="GO116" s="735"/>
      <c r="GP116" s="782"/>
      <c r="GQ116" s="782"/>
      <c r="GR116" s="782"/>
      <c r="GS116" s="735"/>
      <c r="GT116" s="735"/>
      <c r="GU116" s="735"/>
      <c r="GV116" s="735"/>
      <c r="GW116" s="735"/>
      <c r="GX116" s="735"/>
      <c r="GY116" s="735"/>
      <c r="GZ116" s="735"/>
      <c r="HA116" s="735"/>
      <c r="HB116" s="735"/>
      <c r="HC116" s="735"/>
      <c r="HD116" s="735"/>
      <c r="HE116" s="735"/>
      <c r="HF116" s="735"/>
      <c r="HG116" s="735"/>
      <c r="HH116" s="735"/>
      <c r="HI116" s="735"/>
      <c r="HJ116" s="735"/>
      <c r="HK116" s="735"/>
      <c r="HL116" s="735"/>
      <c r="HM116" s="735"/>
      <c r="HN116" s="735"/>
      <c r="HO116" s="735"/>
      <c r="HP116" s="735"/>
      <c r="HQ116" s="735"/>
      <c r="HR116" s="735"/>
      <c r="HS116" s="735"/>
      <c r="HT116" s="735"/>
      <c r="HU116" s="735"/>
      <c r="HV116" s="735"/>
      <c r="HW116" s="735"/>
      <c r="HX116" s="735"/>
      <c r="HY116" s="735"/>
      <c r="HZ116" s="735"/>
      <c r="IA116" s="735"/>
      <c r="IB116" s="735"/>
      <c r="IC116" s="735"/>
      <c r="ID116" s="735"/>
      <c r="IE116" s="735"/>
      <c r="IF116" s="735"/>
      <c r="IG116" s="735"/>
      <c r="IH116" s="735"/>
      <c r="II116" s="735"/>
      <c r="IJ116" s="735"/>
      <c r="IK116" s="735"/>
      <c r="IL116" s="735"/>
      <c r="IM116" s="735"/>
      <c r="IN116" s="735"/>
      <c r="IO116" s="732"/>
      <c r="IP116" s="732"/>
      <c r="IQ116" s="732"/>
      <c r="IR116" s="721"/>
      <c r="IS116" s="721"/>
      <c r="IT116" s="721"/>
      <c r="IU116" s="721"/>
      <c r="IV116" s="721"/>
      <c r="IW116" s="721"/>
      <c r="IX116" s="721"/>
      <c r="IY116" s="721"/>
      <c r="IZ116" s="721"/>
      <c r="JA116" s="721"/>
      <c r="JB116" s="721"/>
      <c r="JC116" s="721"/>
      <c r="JD116" s="721"/>
      <c r="JE116" s="721"/>
      <c r="JF116" s="721"/>
      <c r="JG116" s="721"/>
      <c r="JH116" s="721"/>
      <c r="JI116" s="721"/>
      <c r="JJ116" s="721"/>
      <c r="JK116" s="721"/>
      <c r="JL116" s="721"/>
      <c r="JM116" s="721"/>
      <c r="JN116" s="721"/>
      <c r="JO116" s="721"/>
      <c r="JP116" s="721"/>
      <c r="JQ116" s="721"/>
      <c r="JR116" s="721"/>
      <c r="JS116" s="721"/>
      <c r="JT116" s="721"/>
      <c r="JU116" s="721"/>
      <c r="JV116" s="721"/>
      <c r="JW116" s="721"/>
      <c r="JX116" s="721"/>
      <c r="JY116" s="721"/>
      <c r="JZ116" s="721"/>
      <c r="KA116" s="721"/>
      <c r="KB116" s="721"/>
      <c r="KC116" s="721"/>
      <c r="KD116" s="721"/>
      <c r="KE116" s="721"/>
      <c r="KF116" s="721"/>
      <c r="KG116" s="721"/>
      <c r="KH116" s="721"/>
      <c r="KI116" s="721"/>
      <c r="KJ116" s="721"/>
      <c r="KK116" s="721"/>
      <c r="KL116" s="721"/>
      <c r="KM116" s="721"/>
      <c r="KN116" s="721"/>
      <c r="KO116" s="721"/>
      <c r="KP116" s="721"/>
      <c r="KQ116" s="721"/>
      <c r="KR116" s="721"/>
      <c r="KS116" s="721"/>
      <c r="KT116" s="721"/>
      <c r="KU116" s="721"/>
      <c r="KV116" s="721"/>
      <c r="KW116" s="721"/>
      <c r="KX116" s="721"/>
      <c r="KY116" s="721"/>
      <c r="KZ116" s="721"/>
      <c r="LA116" s="721"/>
      <c r="LB116" s="721"/>
      <c r="LC116" s="721"/>
      <c r="LD116" s="721"/>
      <c r="LE116" s="721"/>
      <c r="LF116" s="721"/>
      <c r="LG116" s="721"/>
      <c r="LH116" s="721"/>
      <c r="LI116" s="721"/>
      <c r="LJ116" s="721"/>
      <c r="LK116" s="721"/>
      <c r="LL116" s="721"/>
      <c r="LM116" s="721"/>
      <c r="LN116" s="721"/>
      <c r="LO116" s="721"/>
      <c r="LP116" s="721"/>
      <c r="LQ116" s="721"/>
      <c r="LR116" s="721"/>
      <c r="LS116" s="721"/>
      <c r="LT116" s="721"/>
      <c r="LU116" s="721"/>
      <c r="LV116" s="721"/>
      <c r="LW116" s="721"/>
      <c r="LX116" s="721"/>
      <c r="LY116" s="721"/>
      <c r="LZ116" s="721"/>
      <c r="MA116" s="721"/>
      <c r="MB116" s="721"/>
      <c r="MC116" s="721"/>
      <c r="MD116" s="721"/>
      <c r="ME116" s="721"/>
      <c r="MF116" s="721"/>
      <c r="MG116" s="721"/>
      <c r="MH116" s="721"/>
      <c r="MI116" s="721"/>
      <c r="MJ116" s="721"/>
      <c r="MK116" s="721"/>
      <c r="ML116" s="721"/>
      <c r="MM116" s="721"/>
      <c r="MN116" s="721"/>
      <c r="MO116" s="721"/>
      <c r="MP116" s="721"/>
      <c r="MQ116" s="721"/>
    </row>
    <row r="117" spans="1:355">
      <c r="A117" s="634"/>
      <c r="B117" s="735"/>
      <c r="C117" s="889"/>
      <c r="D117" s="889"/>
      <c r="E117" s="889"/>
      <c r="F117" s="798"/>
      <c r="G117" s="798"/>
      <c r="H117" s="798"/>
      <c r="I117" s="798"/>
      <c r="J117" s="798"/>
      <c r="K117" s="798"/>
      <c r="L117" s="798"/>
      <c r="M117" s="798"/>
      <c r="N117" s="798"/>
      <c r="O117" s="798"/>
      <c r="P117" s="798"/>
      <c r="Q117" s="798"/>
      <c r="R117" s="798"/>
      <c r="S117" s="798"/>
      <c r="T117" s="798"/>
      <c r="U117" s="735"/>
      <c r="V117" s="735"/>
      <c r="W117" s="735"/>
      <c r="X117" s="735"/>
      <c r="Y117" s="735"/>
      <c r="Z117" s="735"/>
      <c r="AA117" s="735"/>
      <c r="AB117" s="735"/>
      <c r="AC117" s="735"/>
      <c r="AD117" s="798"/>
      <c r="AE117" s="798"/>
      <c r="AF117" s="798"/>
      <c r="AG117" s="798"/>
      <c r="AH117" s="798"/>
      <c r="AI117" s="798"/>
      <c r="AJ117" s="735"/>
      <c r="AK117" s="735"/>
      <c r="AL117" s="735"/>
      <c r="AM117" s="735"/>
      <c r="AN117" s="735"/>
      <c r="AO117" s="735"/>
      <c r="AP117" s="735"/>
      <c r="AQ117" s="735"/>
      <c r="AR117" s="735"/>
      <c r="AS117" s="735"/>
      <c r="AT117" s="735"/>
      <c r="AU117" s="735"/>
      <c r="AV117" s="735"/>
      <c r="AW117" s="735"/>
      <c r="AX117" s="735"/>
      <c r="AY117" s="735"/>
      <c r="AZ117" s="735"/>
      <c r="BA117" s="735"/>
      <c r="BB117" s="735"/>
      <c r="BC117" s="735"/>
      <c r="BD117" s="735"/>
      <c r="BE117" s="735"/>
      <c r="BF117" s="735"/>
      <c r="BG117" s="735"/>
      <c r="BH117" s="735"/>
      <c r="BI117" s="735"/>
      <c r="BJ117" s="735"/>
      <c r="BK117" s="735"/>
      <c r="BL117" s="735"/>
      <c r="BM117" s="735"/>
      <c r="BN117" s="735"/>
      <c r="BO117" s="735"/>
      <c r="BP117" s="735"/>
      <c r="BQ117" s="735"/>
      <c r="BR117" s="735"/>
      <c r="BS117" s="735"/>
      <c r="BT117" s="735"/>
      <c r="BU117" s="735"/>
      <c r="BV117" s="735"/>
      <c r="BW117" s="782"/>
      <c r="BX117" s="782"/>
      <c r="BY117" s="782"/>
      <c r="BZ117" s="735"/>
      <c r="CA117" s="735"/>
      <c r="CB117" s="735"/>
      <c r="CC117" s="735"/>
      <c r="CD117" s="735"/>
      <c r="CE117" s="735"/>
      <c r="CF117" s="735"/>
      <c r="CG117" s="735"/>
      <c r="CH117" s="735"/>
      <c r="CI117" s="735"/>
      <c r="CJ117" s="735"/>
      <c r="CK117" s="735"/>
      <c r="CL117" s="735"/>
      <c r="CM117" s="735"/>
      <c r="CN117" s="735"/>
      <c r="CO117" s="735"/>
      <c r="CP117" s="735"/>
      <c r="CQ117" s="735"/>
      <c r="CR117" s="735"/>
      <c r="CS117" s="735"/>
      <c r="CT117" s="735"/>
      <c r="CU117" s="735"/>
      <c r="CV117" s="735"/>
      <c r="CW117" s="735"/>
      <c r="CX117" s="735"/>
      <c r="CY117" s="735"/>
      <c r="CZ117" s="735"/>
      <c r="DA117" s="735"/>
      <c r="DB117" s="735"/>
      <c r="DC117" s="735"/>
      <c r="DD117" s="735"/>
      <c r="DE117" s="735"/>
      <c r="DF117" s="735"/>
      <c r="DG117" s="735"/>
      <c r="DH117" s="735"/>
      <c r="DI117" s="735"/>
      <c r="DJ117" s="735"/>
      <c r="DK117" s="735"/>
      <c r="DL117" s="735"/>
      <c r="DM117" s="735"/>
      <c r="DN117" s="735"/>
      <c r="DO117" s="735"/>
      <c r="DP117" s="735"/>
      <c r="DQ117" s="735"/>
      <c r="DR117" s="735"/>
      <c r="DS117" s="735"/>
      <c r="DT117" s="735"/>
      <c r="DU117" s="735"/>
      <c r="DV117" s="735"/>
      <c r="DW117" s="735"/>
      <c r="DX117" s="735"/>
      <c r="DY117" s="735"/>
      <c r="DZ117" s="735"/>
      <c r="EA117" s="735"/>
      <c r="EB117" s="735"/>
      <c r="EC117" s="735"/>
      <c r="ED117" s="735"/>
      <c r="EE117" s="735"/>
      <c r="EF117" s="735"/>
      <c r="EG117" s="735"/>
      <c r="EH117" s="735"/>
      <c r="EI117" s="735"/>
      <c r="EJ117" s="735"/>
      <c r="EK117" s="735"/>
      <c r="EL117" s="735"/>
      <c r="EM117" s="735"/>
      <c r="EN117" s="735"/>
      <c r="EO117" s="735"/>
      <c r="EP117" s="735"/>
      <c r="EQ117" s="735"/>
      <c r="ER117" s="735"/>
      <c r="ES117" s="735"/>
      <c r="ET117" s="735"/>
      <c r="EU117" s="735"/>
      <c r="EV117" s="735"/>
      <c r="EW117" s="735"/>
      <c r="EX117" s="735"/>
      <c r="EY117" s="735"/>
      <c r="EZ117" s="735"/>
      <c r="FA117" s="735"/>
      <c r="FB117" s="735"/>
      <c r="FC117" s="735"/>
      <c r="FD117" s="238"/>
      <c r="FE117" s="735"/>
      <c r="FF117" s="735"/>
      <c r="FG117" s="735"/>
      <c r="FH117" s="735"/>
      <c r="FI117" s="735"/>
      <c r="FJ117" s="735"/>
      <c r="FK117" s="735"/>
      <c r="FL117" s="735"/>
      <c r="FM117" s="735"/>
      <c r="FN117" s="735"/>
      <c r="FO117" s="735"/>
      <c r="FP117" s="735"/>
      <c r="FQ117" s="735"/>
      <c r="FR117" s="735"/>
      <c r="FS117" s="735"/>
      <c r="FT117" s="735"/>
      <c r="FU117" s="735"/>
      <c r="FV117" s="735"/>
      <c r="FW117" s="735"/>
      <c r="FX117" s="735"/>
      <c r="FY117" s="735"/>
      <c r="FZ117" s="735"/>
      <c r="GA117" s="735"/>
      <c r="GB117" s="735"/>
      <c r="GC117" s="735"/>
      <c r="GD117" s="735"/>
      <c r="GE117" s="735"/>
      <c r="GF117" s="783"/>
      <c r="GG117" s="735"/>
      <c r="GH117" s="735"/>
      <c r="GI117" s="782"/>
      <c r="GJ117" s="735"/>
      <c r="GK117" s="735"/>
      <c r="GL117" s="735"/>
      <c r="GM117" s="735"/>
      <c r="GN117" s="735"/>
      <c r="GO117" s="735"/>
      <c r="GP117" s="782"/>
      <c r="GQ117" s="782"/>
      <c r="GR117" s="782"/>
      <c r="GS117" s="735"/>
      <c r="GT117" s="735"/>
      <c r="GU117" s="735"/>
      <c r="GV117" s="735"/>
      <c r="GW117" s="735"/>
      <c r="GX117" s="735"/>
      <c r="GY117" s="735"/>
      <c r="GZ117" s="735"/>
      <c r="HA117" s="735"/>
      <c r="HB117" s="735"/>
      <c r="HC117" s="735"/>
      <c r="HD117" s="735"/>
      <c r="HE117" s="735"/>
      <c r="HF117" s="735"/>
      <c r="HG117" s="735"/>
      <c r="HH117" s="735"/>
      <c r="HI117" s="735"/>
      <c r="HJ117" s="735"/>
      <c r="HK117" s="735"/>
      <c r="HL117" s="735"/>
      <c r="HM117" s="735"/>
      <c r="HN117" s="735"/>
      <c r="HO117" s="735"/>
      <c r="HP117" s="735"/>
      <c r="HQ117" s="735"/>
      <c r="HR117" s="735"/>
      <c r="HS117" s="735"/>
      <c r="HT117" s="735"/>
      <c r="HU117" s="735"/>
      <c r="HV117" s="735"/>
      <c r="HW117" s="735"/>
      <c r="HX117" s="735"/>
      <c r="HY117" s="735"/>
      <c r="HZ117" s="735"/>
      <c r="IA117" s="735"/>
      <c r="IB117" s="735"/>
      <c r="IC117" s="735"/>
      <c r="ID117" s="735"/>
      <c r="IE117" s="735"/>
      <c r="IF117" s="735"/>
      <c r="IG117" s="735"/>
      <c r="IH117" s="735"/>
      <c r="II117" s="735"/>
      <c r="IJ117" s="735"/>
      <c r="IK117" s="735"/>
      <c r="IL117" s="735"/>
      <c r="IM117" s="735"/>
      <c r="IN117" s="735"/>
      <c r="IO117" s="732"/>
      <c r="IP117" s="732"/>
      <c r="IQ117" s="732"/>
      <c r="IR117" s="721"/>
      <c r="IS117" s="721"/>
      <c r="IT117" s="721"/>
      <c r="IU117" s="721"/>
      <c r="IV117" s="721"/>
      <c r="IW117" s="721"/>
      <c r="IX117" s="721"/>
      <c r="IY117" s="721"/>
      <c r="IZ117" s="721"/>
      <c r="JA117" s="721"/>
      <c r="JB117" s="721"/>
      <c r="JC117" s="721"/>
      <c r="JD117" s="721"/>
      <c r="JE117" s="721"/>
      <c r="JF117" s="721"/>
      <c r="JG117" s="721"/>
      <c r="JH117" s="721"/>
      <c r="JI117" s="721"/>
      <c r="JJ117" s="721"/>
      <c r="JK117" s="721"/>
      <c r="JL117" s="721"/>
      <c r="JM117" s="721"/>
      <c r="JN117" s="721"/>
      <c r="JO117" s="721"/>
      <c r="JP117" s="721"/>
      <c r="JQ117" s="721"/>
      <c r="JR117" s="721"/>
      <c r="JS117" s="721"/>
      <c r="JT117" s="721"/>
      <c r="JU117" s="721"/>
      <c r="JV117" s="721"/>
      <c r="JW117" s="721"/>
      <c r="JX117" s="721"/>
      <c r="JY117" s="721"/>
      <c r="JZ117" s="721"/>
      <c r="KA117" s="721"/>
      <c r="KB117" s="721"/>
      <c r="KC117" s="721"/>
      <c r="KD117" s="721"/>
      <c r="KE117" s="721"/>
      <c r="KF117" s="721"/>
      <c r="KG117" s="721"/>
      <c r="KH117" s="721"/>
      <c r="KI117" s="721"/>
      <c r="KJ117" s="721"/>
      <c r="KK117" s="721"/>
      <c r="KL117" s="721"/>
      <c r="KM117" s="721"/>
      <c r="KN117" s="721"/>
      <c r="KO117" s="721"/>
      <c r="KP117" s="721"/>
      <c r="KQ117" s="721"/>
      <c r="KR117" s="721"/>
      <c r="KS117" s="721"/>
      <c r="KT117" s="721"/>
      <c r="KU117" s="721"/>
      <c r="KV117" s="721"/>
      <c r="KW117" s="721"/>
      <c r="KX117" s="721"/>
      <c r="KY117" s="721"/>
      <c r="KZ117" s="721"/>
      <c r="LA117" s="721"/>
      <c r="LB117" s="721"/>
      <c r="LC117" s="721"/>
      <c r="LD117" s="721"/>
      <c r="LE117" s="721"/>
      <c r="LF117" s="721"/>
      <c r="LG117" s="721"/>
      <c r="LH117" s="721"/>
      <c r="LI117" s="721"/>
      <c r="LJ117" s="721"/>
      <c r="LK117" s="721"/>
      <c r="LL117" s="721"/>
      <c r="LM117" s="721"/>
      <c r="LN117" s="721"/>
      <c r="LO117" s="721"/>
      <c r="LP117" s="721"/>
      <c r="LQ117" s="721"/>
      <c r="LR117" s="721"/>
      <c r="LS117" s="721"/>
      <c r="LT117" s="721"/>
      <c r="LU117" s="721"/>
      <c r="LV117" s="721"/>
      <c r="LW117" s="721"/>
      <c r="LX117" s="721"/>
      <c r="LY117" s="721"/>
      <c r="LZ117" s="721"/>
      <c r="MA117" s="721"/>
      <c r="MB117" s="721"/>
      <c r="MC117" s="721"/>
      <c r="MD117" s="721"/>
      <c r="ME117" s="721"/>
      <c r="MF117" s="721"/>
      <c r="MG117" s="721"/>
      <c r="MH117" s="721"/>
      <c r="MI117" s="721"/>
      <c r="MJ117" s="721"/>
      <c r="MK117" s="721"/>
      <c r="ML117" s="721"/>
      <c r="MM117" s="721"/>
      <c r="MN117" s="721"/>
      <c r="MO117" s="721"/>
      <c r="MP117" s="721"/>
      <c r="MQ117" s="721"/>
    </row>
    <row r="118" spans="1:355">
      <c r="A118" s="634"/>
      <c r="B118" s="735"/>
      <c r="C118" s="889"/>
      <c r="D118" s="889"/>
      <c r="E118" s="889"/>
      <c r="F118" s="798"/>
      <c r="G118" s="798"/>
      <c r="H118" s="798"/>
      <c r="I118" s="798"/>
      <c r="J118" s="798"/>
      <c r="K118" s="798"/>
      <c r="L118" s="798"/>
      <c r="M118" s="798"/>
      <c r="N118" s="798"/>
      <c r="O118" s="798"/>
      <c r="P118" s="798"/>
      <c r="Q118" s="798"/>
      <c r="R118" s="798"/>
      <c r="S118" s="798"/>
      <c r="T118" s="798"/>
      <c r="U118" s="735"/>
      <c r="V118" s="735"/>
      <c r="W118" s="735"/>
      <c r="X118" s="735"/>
      <c r="Y118" s="735"/>
      <c r="Z118" s="735"/>
      <c r="AA118" s="735"/>
      <c r="AB118" s="735"/>
      <c r="AC118" s="735"/>
      <c r="AD118" s="798"/>
      <c r="AE118" s="798"/>
      <c r="AF118" s="798"/>
      <c r="AG118" s="798"/>
      <c r="AH118" s="798"/>
      <c r="AI118" s="798"/>
      <c r="AJ118" s="735"/>
      <c r="AK118" s="735"/>
      <c r="AL118" s="735"/>
      <c r="AM118" s="735"/>
      <c r="AN118" s="735"/>
      <c r="AO118" s="735"/>
      <c r="AP118" s="735"/>
      <c r="AQ118" s="735"/>
      <c r="AR118" s="735"/>
      <c r="AS118" s="735"/>
      <c r="AT118" s="735"/>
      <c r="AU118" s="735"/>
      <c r="AV118" s="735"/>
      <c r="AW118" s="735"/>
      <c r="AX118" s="735"/>
      <c r="AY118" s="735"/>
      <c r="AZ118" s="735"/>
      <c r="BA118" s="735"/>
      <c r="BB118" s="735"/>
      <c r="BC118" s="735"/>
      <c r="BD118" s="735"/>
      <c r="BE118" s="735"/>
      <c r="BF118" s="735"/>
      <c r="BG118" s="735"/>
      <c r="BH118" s="735"/>
      <c r="BI118" s="735"/>
      <c r="BJ118" s="735"/>
      <c r="BK118" s="735"/>
      <c r="BL118" s="735"/>
      <c r="BM118" s="735"/>
      <c r="BN118" s="735"/>
      <c r="BO118" s="735"/>
      <c r="BP118" s="735"/>
      <c r="BQ118" s="735"/>
      <c r="BR118" s="735"/>
      <c r="BS118" s="735"/>
      <c r="BT118" s="735"/>
      <c r="BU118" s="735"/>
      <c r="BV118" s="735"/>
      <c r="BW118" s="782"/>
      <c r="BX118" s="782"/>
      <c r="BY118" s="782"/>
      <c r="BZ118" s="735"/>
      <c r="CA118" s="735"/>
      <c r="CB118" s="735"/>
      <c r="CC118" s="735"/>
      <c r="CD118" s="735"/>
      <c r="CE118" s="735"/>
      <c r="CF118" s="735"/>
      <c r="CG118" s="735"/>
      <c r="CH118" s="735"/>
      <c r="CI118" s="735"/>
      <c r="CJ118" s="735"/>
      <c r="CK118" s="735"/>
      <c r="CL118" s="735"/>
      <c r="CM118" s="735"/>
      <c r="CN118" s="735"/>
      <c r="CO118" s="735"/>
      <c r="CP118" s="735"/>
      <c r="CQ118" s="735"/>
      <c r="CR118" s="735"/>
      <c r="CS118" s="735"/>
      <c r="CT118" s="735"/>
      <c r="CU118" s="735"/>
      <c r="CV118" s="735"/>
      <c r="CW118" s="735"/>
      <c r="CX118" s="735"/>
      <c r="CY118" s="735"/>
      <c r="CZ118" s="735"/>
      <c r="DA118" s="735"/>
      <c r="DB118" s="735"/>
      <c r="DC118" s="735"/>
      <c r="DD118" s="735"/>
      <c r="DE118" s="735"/>
      <c r="DF118" s="735"/>
      <c r="DG118" s="735"/>
      <c r="DH118" s="735"/>
      <c r="DI118" s="735"/>
      <c r="DJ118" s="735"/>
      <c r="DK118" s="735"/>
      <c r="DL118" s="735"/>
      <c r="DM118" s="735"/>
      <c r="DN118" s="735"/>
      <c r="DO118" s="735"/>
      <c r="DP118" s="735"/>
      <c r="DQ118" s="735"/>
      <c r="DR118" s="735"/>
      <c r="DS118" s="735"/>
      <c r="DT118" s="735"/>
      <c r="DU118" s="735"/>
      <c r="DV118" s="735"/>
      <c r="DW118" s="735"/>
      <c r="DX118" s="735"/>
      <c r="DY118" s="735"/>
      <c r="DZ118" s="735"/>
      <c r="EA118" s="735"/>
      <c r="EB118" s="735"/>
      <c r="EC118" s="735"/>
      <c r="ED118" s="735"/>
      <c r="EE118" s="735"/>
      <c r="EF118" s="735"/>
      <c r="EG118" s="735"/>
      <c r="EH118" s="735"/>
      <c r="EI118" s="735"/>
      <c r="EJ118" s="735"/>
      <c r="EK118" s="735"/>
      <c r="EL118" s="735"/>
      <c r="EM118" s="735"/>
      <c r="EN118" s="735"/>
      <c r="EO118" s="735"/>
      <c r="EP118" s="735"/>
      <c r="EQ118" s="735"/>
      <c r="ER118" s="735"/>
      <c r="ES118" s="735"/>
      <c r="ET118" s="735"/>
      <c r="EU118" s="735"/>
      <c r="EV118" s="735"/>
      <c r="EW118" s="735"/>
      <c r="EX118" s="735"/>
      <c r="EY118" s="735"/>
      <c r="EZ118" s="735"/>
      <c r="FA118" s="735"/>
      <c r="FB118" s="735"/>
      <c r="FC118" s="735"/>
      <c r="FD118" s="238"/>
      <c r="FE118" s="735"/>
      <c r="FF118" s="735"/>
      <c r="FG118" s="735"/>
      <c r="FH118" s="735"/>
      <c r="FI118" s="735"/>
      <c r="FJ118" s="735"/>
      <c r="FK118" s="735"/>
      <c r="FL118" s="735"/>
      <c r="FM118" s="735"/>
      <c r="FN118" s="735"/>
      <c r="FO118" s="735"/>
      <c r="FP118" s="735"/>
      <c r="FQ118" s="735"/>
      <c r="FR118" s="735"/>
      <c r="FS118" s="735"/>
      <c r="FT118" s="735"/>
      <c r="FU118" s="735"/>
      <c r="FV118" s="735"/>
      <c r="FW118" s="735"/>
      <c r="FX118" s="735"/>
      <c r="FY118" s="735"/>
      <c r="FZ118" s="735"/>
      <c r="GA118" s="735"/>
      <c r="GB118" s="735"/>
      <c r="GC118" s="735"/>
      <c r="GD118" s="735"/>
      <c r="GE118" s="735"/>
      <c r="GF118" s="783"/>
      <c r="GG118" s="735"/>
      <c r="GH118" s="735"/>
      <c r="GI118" s="782"/>
      <c r="GJ118" s="735"/>
      <c r="GK118" s="735"/>
      <c r="GL118" s="735"/>
      <c r="GM118" s="735"/>
      <c r="GN118" s="735"/>
      <c r="GO118" s="735"/>
      <c r="GP118" s="782"/>
      <c r="GQ118" s="782"/>
      <c r="GR118" s="782"/>
      <c r="GS118" s="735"/>
      <c r="GT118" s="735"/>
      <c r="GU118" s="735"/>
      <c r="GV118" s="735"/>
      <c r="GW118" s="735"/>
      <c r="GX118" s="735"/>
      <c r="GY118" s="735"/>
      <c r="GZ118" s="735"/>
      <c r="HA118" s="735"/>
      <c r="HB118" s="735"/>
      <c r="HC118" s="735"/>
      <c r="HD118" s="735"/>
      <c r="HE118" s="735"/>
      <c r="HF118" s="735"/>
      <c r="HG118" s="735"/>
      <c r="HH118" s="735"/>
      <c r="HI118" s="735"/>
      <c r="HJ118" s="735"/>
      <c r="HK118" s="735"/>
      <c r="HL118" s="735"/>
      <c r="HM118" s="735"/>
      <c r="HN118" s="735"/>
      <c r="HO118" s="735"/>
      <c r="HP118" s="735"/>
      <c r="HQ118" s="735"/>
      <c r="HR118" s="735"/>
      <c r="HS118" s="735"/>
      <c r="HT118" s="735"/>
      <c r="HU118" s="735"/>
      <c r="HV118" s="735"/>
      <c r="HW118" s="735"/>
      <c r="HX118" s="735"/>
      <c r="HY118" s="735"/>
      <c r="HZ118" s="735"/>
      <c r="IA118" s="735"/>
      <c r="IB118" s="735"/>
      <c r="IC118" s="735"/>
      <c r="ID118" s="735"/>
      <c r="IE118" s="735"/>
      <c r="IF118" s="735"/>
      <c r="IG118" s="735"/>
      <c r="IH118" s="735"/>
      <c r="II118" s="735"/>
      <c r="IJ118" s="735"/>
      <c r="IK118" s="735"/>
      <c r="IL118" s="735"/>
      <c r="IM118" s="735"/>
      <c r="IN118" s="735"/>
      <c r="IO118" s="732"/>
      <c r="IP118" s="732"/>
      <c r="IQ118" s="732"/>
      <c r="IR118" s="721"/>
      <c r="IS118" s="721"/>
      <c r="IT118" s="721"/>
      <c r="IU118" s="721"/>
      <c r="IV118" s="721"/>
      <c r="IW118" s="721"/>
      <c r="IX118" s="721"/>
      <c r="IY118" s="721"/>
      <c r="IZ118" s="721"/>
      <c r="JA118" s="721"/>
      <c r="JB118" s="721"/>
      <c r="JC118" s="721"/>
      <c r="JD118" s="721"/>
      <c r="JE118" s="721"/>
      <c r="JF118" s="721"/>
      <c r="JG118" s="721"/>
      <c r="JH118" s="721"/>
      <c r="JI118" s="721"/>
      <c r="JJ118" s="721"/>
      <c r="JK118" s="721"/>
      <c r="JL118" s="721"/>
      <c r="JM118" s="721"/>
      <c r="JN118" s="721"/>
      <c r="JO118" s="721"/>
      <c r="JP118" s="721"/>
      <c r="JQ118" s="721"/>
      <c r="JR118" s="721"/>
      <c r="JS118" s="721"/>
      <c r="JT118" s="721"/>
      <c r="JU118" s="721"/>
      <c r="JV118" s="721"/>
      <c r="JW118" s="721"/>
      <c r="JX118" s="721"/>
      <c r="JY118" s="721"/>
      <c r="JZ118" s="721"/>
      <c r="KA118" s="721"/>
      <c r="KB118" s="721"/>
      <c r="KC118" s="721"/>
      <c r="KD118" s="721"/>
      <c r="KE118" s="721"/>
      <c r="KF118" s="721"/>
      <c r="KG118" s="721"/>
      <c r="KH118" s="721"/>
      <c r="KI118" s="721"/>
      <c r="KJ118" s="721"/>
      <c r="KK118" s="721"/>
      <c r="KL118" s="721"/>
      <c r="KM118" s="721"/>
      <c r="KN118" s="721"/>
      <c r="KO118" s="721"/>
      <c r="KP118" s="721"/>
      <c r="KQ118" s="721"/>
      <c r="KR118" s="721"/>
      <c r="KS118" s="721"/>
      <c r="KT118" s="721"/>
      <c r="KU118" s="721"/>
      <c r="KV118" s="721"/>
      <c r="KW118" s="721"/>
      <c r="KX118" s="721"/>
      <c r="KY118" s="721"/>
      <c r="KZ118" s="721"/>
      <c r="LA118" s="721"/>
      <c r="LB118" s="721"/>
      <c r="LC118" s="721"/>
      <c r="LD118" s="721"/>
      <c r="LE118" s="721"/>
      <c r="LF118" s="721"/>
      <c r="LG118" s="721"/>
      <c r="LH118" s="721"/>
      <c r="LI118" s="721"/>
      <c r="LJ118" s="721"/>
      <c r="LK118" s="721"/>
      <c r="LL118" s="721"/>
      <c r="LM118" s="721"/>
      <c r="LN118" s="721"/>
      <c r="LO118" s="721"/>
      <c r="LP118" s="721"/>
      <c r="LQ118" s="721"/>
      <c r="LR118" s="721"/>
      <c r="LS118" s="721"/>
      <c r="LT118" s="721"/>
      <c r="LU118" s="721"/>
      <c r="LV118" s="721"/>
      <c r="LW118" s="721"/>
      <c r="LX118" s="721"/>
      <c r="LY118" s="721"/>
      <c r="LZ118" s="721"/>
      <c r="MA118" s="721"/>
      <c r="MB118" s="721"/>
      <c r="MC118" s="721"/>
      <c r="MD118" s="721"/>
      <c r="ME118" s="721"/>
      <c r="MF118" s="721"/>
      <c r="MG118" s="721"/>
      <c r="MH118" s="721"/>
      <c r="MI118" s="721"/>
      <c r="MJ118" s="721"/>
      <c r="MK118" s="721"/>
      <c r="ML118" s="721"/>
      <c r="MM118" s="721"/>
      <c r="MN118" s="721"/>
      <c r="MO118" s="721"/>
      <c r="MP118" s="721"/>
      <c r="MQ118" s="721"/>
    </row>
    <row r="119" spans="1:355">
      <c r="A119" s="634"/>
      <c r="B119" s="735"/>
      <c r="C119" s="889"/>
      <c r="D119" s="889"/>
      <c r="E119" s="889"/>
      <c r="F119" s="798"/>
      <c r="G119" s="798"/>
      <c r="H119" s="798"/>
      <c r="I119" s="798"/>
      <c r="J119" s="798"/>
      <c r="K119" s="798"/>
      <c r="L119" s="798"/>
      <c r="M119" s="798"/>
      <c r="N119" s="798"/>
      <c r="O119" s="798"/>
      <c r="P119" s="798"/>
      <c r="Q119" s="798"/>
      <c r="R119" s="798"/>
      <c r="S119" s="798"/>
      <c r="T119" s="798"/>
      <c r="U119" s="735"/>
      <c r="V119" s="735"/>
      <c r="W119" s="735"/>
      <c r="X119" s="735"/>
      <c r="Y119" s="735"/>
      <c r="Z119" s="735"/>
      <c r="AA119" s="735"/>
      <c r="AB119" s="735"/>
      <c r="AC119" s="735"/>
      <c r="AD119" s="798"/>
      <c r="AE119" s="798"/>
      <c r="AF119" s="798"/>
      <c r="AG119" s="798"/>
      <c r="AH119" s="800">
        <v>0</v>
      </c>
      <c r="AI119" s="798"/>
      <c r="AJ119" s="735"/>
      <c r="AK119" s="735"/>
      <c r="AL119" s="735"/>
      <c r="AM119" s="735"/>
      <c r="AN119" s="735"/>
      <c r="AO119" s="735"/>
      <c r="AP119" s="735"/>
      <c r="AQ119" s="735"/>
      <c r="AR119" s="735"/>
      <c r="AS119" s="735"/>
      <c r="AT119" s="735"/>
      <c r="AU119" s="735"/>
      <c r="AV119" s="735"/>
      <c r="AW119" s="735"/>
      <c r="AX119" s="735"/>
      <c r="AY119" s="735"/>
      <c r="AZ119" s="735"/>
      <c r="BA119" s="735"/>
      <c r="BB119" s="735"/>
      <c r="BC119" s="735"/>
      <c r="BD119" s="735"/>
      <c r="BE119" s="735"/>
      <c r="BF119" s="735"/>
      <c r="BG119" s="735"/>
      <c r="BH119" s="735"/>
      <c r="BI119" s="735"/>
      <c r="BJ119" s="735"/>
      <c r="BK119" s="735"/>
      <c r="BL119" s="735"/>
      <c r="BM119" s="735"/>
      <c r="BN119" s="735"/>
      <c r="BO119" s="735"/>
      <c r="BP119" s="735"/>
      <c r="BQ119" s="735"/>
      <c r="BR119" s="735"/>
      <c r="BS119" s="735"/>
      <c r="BT119" s="735"/>
      <c r="BU119" s="735"/>
      <c r="BV119" s="735"/>
      <c r="BW119" s="782"/>
      <c r="BX119" s="782"/>
      <c r="BY119" s="782"/>
      <c r="BZ119" s="735"/>
      <c r="CA119" s="735"/>
      <c r="CB119" s="735"/>
      <c r="CC119" s="735"/>
      <c r="CD119" s="735"/>
      <c r="CE119" s="735"/>
      <c r="CF119" s="735"/>
      <c r="CG119" s="735"/>
      <c r="CH119" s="735"/>
      <c r="CI119" s="735"/>
      <c r="CJ119" s="735"/>
      <c r="CK119" s="735"/>
      <c r="CL119" s="735"/>
      <c r="CM119" s="735"/>
      <c r="CN119" s="735"/>
      <c r="CO119" s="735"/>
      <c r="CP119" s="735"/>
      <c r="CQ119" s="735"/>
      <c r="CR119" s="735"/>
      <c r="CS119" s="735"/>
      <c r="CT119" s="735"/>
      <c r="CU119" s="735"/>
      <c r="CV119" s="735"/>
      <c r="CW119" s="735"/>
      <c r="CX119" s="735"/>
      <c r="CY119" s="735"/>
      <c r="CZ119" s="735"/>
      <c r="DA119" s="735"/>
      <c r="DB119" s="735"/>
      <c r="DC119" s="735"/>
      <c r="DD119" s="735"/>
      <c r="DE119" s="735"/>
      <c r="DF119" s="735"/>
      <c r="DG119" s="735"/>
      <c r="DH119" s="735"/>
      <c r="DI119" s="735"/>
      <c r="DJ119" s="735"/>
      <c r="DK119" s="735"/>
      <c r="DL119" s="735"/>
      <c r="DM119" s="735"/>
      <c r="DN119" s="735"/>
      <c r="DO119" s="735"/>
      <c r="DP119" s="735"/>
      <c r="DQ119" s="735"/>
      <c r="DR119" s="735"/>
      <c r="DS119" s="735"/>
      <c r="DT119" s="735"/>
      <c r="DU119" s="735"/>
      <c r="DV119" s="735"/>
      <c r="DW119" s="735"/>
      <c r="DX119" s="735"/>
      <c r="DY119" s="735"/>
      <c r="DZ119" s="735"/>
      <c r="EA119" s="735"/>
      <c r="EB119" s="735"/>
      <c r="EC119" s="735"/>
      <c r="ED119" s="735"/>
      <c r="EE119" s="735"/>
      <c r="EF119" s="735"/>
      <c r="EG119" s="735"/>
      <c r="EH119" s="735"/>
      <c r="EI119" s="735"/>
      <c r="EJ119" s="735"/>
      <c r="EK119" s="735"/>
      <c r="EL119" s="735"/>
      <c r="EM119" s="735"/>
      <c r="EN119" s="735"/>
      <c r="EO119" s="735"/>
      <c r="EP119" s="735"/>
      <c r="EQ119" s="735"/>
      <c r="ER119" s="735"/>
      <c r="ES119" s="735"/>
      <c r="ET119" s="735"/>
      <c r="EU119" s="735"/>
      <c r="EV119" s="735"/>
      <c r="EW119" s="735"/>
      <c r="EX119" s="735"/>
      <c r="EY119" s="735"/>
      <c r="EZ119" s="735"/>
      <c r="FA119" s="735"/>
      <c r="FB119" s="735"/>
      <c r="FC119" s="735"/>
      <c r="FD119" s="238"/>
      <c r="FE119" s="735"/>
      <c r="FF119" s="735"/>
      <c r="FG119" s="735"/>
      <c r="FH119" s="735"/>
      <c r="FI119" s="735"/>
      <c r="FJ119" s="735"/>
      <c r="FK119" s="735"/>
      <c r="FL119" s="735"/>
      <c r="FM119" s="735"/>
      <c r="FN119" s="735"/>
      <c r="FO119" s="735"/>
      <c r="FP119" s="735"/>
      <c r="FQ119" s="735"/>
      <c r="FR119" s="735"/>
      <c r="FS119" s="735"/>
      <c r="FT119" s="735"/>
      <c r="FU119" s="735"/>
      <c r="FV119" s="735"/>
      <c r="FW119" s="735"/>
      <c r="FX119" s="735"/>
      <c r="FY119" s="735"/>
      <c r="FZ119" s="735"/>
      <c r="GA119" s="735"/>
      <c r="GB119" s="735"/>
      <c r="GC119" s="735"/>
      <c r="GD119" s="735"/>
      <c r="GE119" s="735"/>
      <c r="GF119" s="783"/>
      <c r="GG119" s="735"/>
      <c r="GH119" s="735"/>
      <c r="GI119" s="782"/>
      <c r="GJ119" s="735"/>
      <c r="GK119" s="735"/>
      <c r="GL119" s="735"/>
      <c r="GM119" s="735"/>
      <c r="GN119" s="735"/>
      <c r="GO119" s="735"/>
      <c r="GP119" s="782"/>
      <c r="GQ119" s="782"/>
      <c r="GR119" s="782"/>
      <c r="GS119" s="735"/>
      <c r="GT119" s="735"/>
      <c r="GU119" s="735"/>
      <c r="GV119" s="735"/>
      <c r="GW119" s="735"/>
      <c r="GX119" s="735"/>
      <c r="GY119" s="735"/>
      <c r="GZ119" s="735"/>
      <c r="HA119" s="735"/>
      <c r="HB119" s="735"/>
      <c r="HC119" s="735"/>
      <c r="HD119" s="735"/>
      <c r="HE119" s="735"/>
      <c r="HF119" s="735"/>
      <c r="HG119" s="735"/>
      <c r="HH119" s="735"/>
      <c r="HI119" s="735"/>
      <c r="HJ119" s="735"/>
      <c r="HK119" s="735"/>
      <c r="HL119" s="735"/>
      <c r="HM119" s="735"/>
      <c r="HN119" s="735"/>
      <c r="HO119" s="735"/>
      <c r="HP119" s="735"/>
      <c r="HQ119" s="735"/>
      <c r="HR119" s="735"/>
      <c r="HS119" s="735"/>
      <c r="HT119" s="735"/>
      <c r="HU119" s="735"/>
      <c r="HV119" s="735"/>
      <c r="HW119" s="735"/>
      <c r="HX119" s="735"/>
      <c r="HY119" s="735"/>
      <c r="HZ119" s="735"/>
      <c r="IA119" s="735"/>
      <c r="IB119" s="735"/>
      <c r="IC119" s="735"/>
      <c r="ID119" s="735"/>
      <c r="IE119" s="735"/>
      <c r="IF119" s="735"/>
      <c r="IG119" s="735"/>
      <c r="IH119" s="735"/>
      <c r="II119" s="735"/>
      <c r="IJ119" s="735"/>
      <c r="IK119" s="735"/>
      <c r="IL119" s="735"/>
      <c r="IM119" s="735"/>
      <c r="IN119" s="735"/>
      <c r="IO119" s="732"/>
      <c r="IP119" s="732"/>
      <c r="IQ119" s="732"/>
      <c r="IR119" s="721"/>
      <c r="IS119" s="721"/>
      <c r="IT119" s="721">
        <v>0.44</v>
      </c>
      <c r="IU119" s="721"/>
      <c r="IV119" s="721">
        <v>35.0625</v>
      </c>
      <c r="IW119" s="721">
        <v>0.44</v>
      </c>
      <c r="IX119" s="721"/>
      <c r="IY119" s="721">
        <v>41.313000000000002</v>
      </c>
      <c r="IZ119" s="721">
        <v>0.433</v>
      </c>
      <c r="JA119" s="721"/>
      <c r="JB119" s="721"/>
      <c r="JC119" s="721"/>
      <c r="JD119" s="721"/>
      <c r="JE119" s="721"/>
      <c r="JF119" s="721"/>
      <c r="JG119" s="721"/>
      <c r="JH119" s="721"/>
      <c r="JI119" s="721"/>
      <c r="JJ119" s="721"/>
      <c r="JK119" s="721"/>
      <c r="JL119" s="721"/>
      <c r="JM119" s="721"/>
      <c r="JN119" s="721"/>
      <c r="JO119" s="721"/>
      <c r="JP119" s="721"/>
      <c r="JQ119" s="721"/>
      <c r="JR119" s="721"/>
      <c r="JS119" s="721"/>
      <c r="JT119" s="721"/>
      <c r="JU119" s="721"/>
      <c r="JV119" s="721"/>
      <c r="JW119" s="721"/>
      <c r="JX119" s="721"/>
      <c r="JY119" s="721"/>
      <c r="JZ119" s="721"/>
      <c r="KA119" s="721"/>
      <c r="KB119" s="721"/>
      <c r="KC119" s="721"/>
      <c r="KD119" s="721"/>
      <c r="KE119" s="721"/>
      <c r="KF119" s="721"/>
      <c r="KG119" s="721"/>
      <c r="KH119" s="721"/>
      <c r="KI119" s="721"/>
      <c r="KJ119" s="721"/>
      <c r="KK119" s="721"/>
      <c r="KL119" s="721"/>
      <c r="KM119" s="721"/>
      <c r="KN119" s="721"/>
      <c r="KO119" s="721"/>
      <c r="KP119" s="721"/>
      <c r="KQ119" s="721"/>
      <c r="KR119" s="721"/>
      <c r="KS119" s="721"/>
      <c r="KT119" s="721"/>
      <c r="KU119" s="721"/>
      <c r="KV119" s="721"/>
      <c r="KW119" s="721"/>
      <c r="KX119" s="721"/>
      <c r="KY119" s="721"/>
      <c r="KZ119" s="721"/>
      <c r="LA119" s="721"/>
      <c r="LB119" s="721"/>
      <c r="LC119" s="721"/>
      <c r="LD119" s="721"/>
      <c r="LE119" s="721"/>
      <c r="LF119" s="721"/>
      <c r="LG119" s="721"/>
      <c r="LH119" s="721"/>
      <c r="LI119" s="721"/>
      <c r="LJ119" s="721"/>
      <c r="LK119" s="721"/>
      <c r="LL119" s="721"/>
      <c r="LM119" s="721"/>
      <c r="LN119" s="721"/>
      <c r="LO119" s="721"/>
      <c r="LP119" s="721"/>
      <c r="LQ119" s="721"/>
      <c r="LR119" s="721"/>
      <c r="LS119" s="721"/>
      <c r="LT119" s="721"/>
      <c r="LU119" s="721"/>
      <c r="LV119" s="721"/>
      <c r="LW119" s="721"/>
      <c r="LX119" s="721"/>
      <c r="LY119" s="721"/>
      <c r="LZ119" s="721"/>
      <c r="MA119" s="721"/>
      <c r="MB119" s="721"/>
      <c r="MC119" s="721"/>
      <c r="MD119" s="721"/>
      <c r="ME119" s="721"/>
      <c r="MF119" s="721"/>
      <c r="MG119" s="721"/>
      <c r="MH119" s="721"/>
      <c r="MI119" s="721"/>
      <c r="MJ119" s="721"/>
      <c r="MK119" s="721"/>
      <c r="ML119" s="721"/>
      <c r="MM119" s="721"/>
      <c r="MN119" s="721"/>
      <c r="MO119" s="721"/>
      <c r="MP119" s="721"/>
      <c r="MQ119" s="721"/>
    </row>
    <row r="120" spans="1:355">
      <c r="A120" s="634"/>
      <c r="B120" s="735"/>
      <c r="C120" s="889"/>
      <c r="D120" s="889"/>
      <c r="E120" s="889"/>
      <c r="F120" s="798"/>
      <c r="G120" s="798"/>
      <c r="H120" s="798"/>
      <c r="I120" s="798"/>
      <c r="J120" s="798"/>
      <c r="K120" s="798"/>
      <c r="L120" s="798"/>
      <c r="M120" s="798"/>
      <c r="N120" s="798"/>
      <c r="O120" s="798"/>
      <c r="P120" s="798"/>
      <c r="Q120" s="798"/>
      <c r="R120" s="798"/>
      <c r="S120" s="798"/>
      <c r="T120" s="798"/>
      <c r="U120" s="735"/>
      <c r="V120" s="735"/>
      <c r="W120" s="735"/>
      <c r="X120" s="735"/>
      <c r="Y120" s="735"/>
      <c r="Z120" s="735"/>
      <c r="AA120" s="735"/>
      <c r="AB120" s="735"/>
      <c r="AC120" s="735"/>
      <c r="AD120" s="798"/>
      <c r="AE120" s="798"/>
      <c r="AF120" s="798"/>
      <c r="AG120" s="798"/>
      <c r="AH120" s="798"/>
      <c r="AI120" s="798"/>
      <c r="AJ120" s="735"/>
      <c r="AK120" s="735"/>
      <c r="AL120" s="735"/>
      <c r="AM120" s="735"/>
      <c r="AN120" s="735"/>
      <c r="AO120" s="735"/>
      <c r="AP120" s="735"/>
      <c r="AQ120" s="735"/>
      <c r="AR120" s="735"/>
      <c r="AS120" s="735"/>
      <c r="AT120" s="735"/>
      <c r="AU120" s="735"/>
      <c r="AV120" s="735"/>
      <c r="AW120" s="735"/>
      <c r="AX120" s="735"/>
      <c r="AY120" s="735"/>
      <c r="AZ120" s="735"/>
      <c r="BA120" s="735"/>
      <c r="BB120" s="735"/>
      <c r="BC120" s="735"/>
      <c r="BD120" s="735"/>
      <c r="BE120" s="735"/>
      <c r="BF120" s="735"/>
      <c r="BG120" s="735"/>
      <c r="BH120" s="735"/>
      <c r="BI120" s="735"/>
      <c r="BJ120" s="735"/>
      <c r="BK120" s="735"/>
      <c r="BL120" s="735"/>
      <c r="BM120" s="735"/>
      <c r="BN120" s="735"/>
      <c r="BO120" s="735"/>
      <c r="BP120" s="735"/>
      <c r="BQ120" s="735"/>
      <c r="BR120" s="735"/>
      <c r="BS120" s="735"/>
      <c r="BT120" s="735"/>
      <c r="BU120" s="735"/>
      <c r="BV120" s="735"/>
      <c r="BW120" s="782"/>
      <c r="BX120" s="782"/>
      <c r="BY120" s="782"/>
      <c r="BZ120" s="735"/>
      <c r="CA120" s="735"/>
      <c r="CB120" s="735"/>
      <c r="CC120" s="735"/>
      <c r="CD120" s="735"/>
      <c r="CE120" s="735"/>
      <c r="CF120" s="735"/>
      <c r="CG120" s="735"/>
      <c r="CH120" s="735"/>
      <c r="CI120" s="735"/>
      <c r="CJ120" s="735"/>
      <c r="CK120" s="735"/>
      <c r="CL120" s="735"/>
      <c r="CM120" s="735"/>
      <c r="CN120" s="735"/>
      <c r="CO120" s="735"/>
      <c r="CP120" s="735"/>
      <c r="CQ120" s="735"/>
      <c r="CR120" s="735"/>
      <c r="CS120" s="735"/>
      <c r="CT120" s="735"/>
      <c r="CU120" s="735"/>
      <c r="CV120" s="735"/>
      <c r="CW120" s="735"/>
      <c r="CX120" s="735"/>
      <c r="CY120" s="735"/>
      <c r="CZ120" s="735"/>
      <c r="DA120" s="735"/>
      <c r="DB120" s="735"/>
      <c r="DC120" s="735"/>
      <c r="DD120" s="735"/>
      <c r="DE120" s="735"/>
      <c r="DF120" s="735"/>
      <c r="DG120" s="735"/>
      <c r="DH120" s="735"/>
      <c r="DI120" s="735"/>
      <c r="DJ120" s="735"/>
      <c r="DK120" s="735"/>
      <c r="DL120" s="735"/>
      <c r="DM120" s="735"/>
      <c r="DN120" s="735"/>
      <c r="DO120" s="735"/>
      <c r="DP120" s="735"/>
      <c r="DQ120" s="735"/>
      <c r="DR120" s="735"/>
      <c r="DS120" s="735"/>
      <c r="DT120" s="735"/>
      <c r="DU120" s="735"/>
      <c r="DV120" s="735"/>
      <c r="DW120" s="735"/>
      <c r="DX120" s="735"/>
      <c r="DY120" s="735"/>
      <c r="DZ120" s="735"/>
      <c r="EA120" s="735"/>
      <c r="EB120" s="735"/>
      <c r="EC120" s="735"/>
      <c r="ED120" s="735"/>
      <c r="EE120" s="735"/>
      <c r="EF120" s="735"/>
      <c r="EG120" s="735"/>
      <c r="EH120" s="735"/>
      <c r="EI120" s="735"/>
      <c r="EJ120" s="735"/>
      <c r="EK120" s="735"/>
      <c r="EL120" s="735"/>
      <c r="EM120" s="735"/>
      <c r="EN120" s="735"/>
      <c r="EO120" s="735"/>
      <c r="EP120" s="735"/>
      <c r="EQ120" s="735"/>
      <c r="ER120" s="735"/>
      <c r="ES120" s="735"/>
      <c r="ET120" s="735"/>
      <c r="EU120" s="735"/>
      <c r="EV120" s="735"/>
      <c r="EW120" s="735"/>
      <c r="EX120" s="735"/>
      <c r="EY120" s="735"/>
      <c r="EZ120" s="735"/>
      <c r="FA120" s="735"/>
      <c r="FB120" s="735"/>
      <c r="FC120" s="735"/>
      <c r="FD120" s="238"/>
      <c r="FE120" s="735"/>
      <c r="FF120" s="735"/>
      <c r="FG120" s="735"/>
      <c r="FH120" s="735"/>
      <c r="FI120" s="735"/>
      <c r="FJ120" s="735"/>
      <c r="FK120" s="735"/>
      <c r="FL120" s="735"/>
      <c r="FM120" s="735"/>
      <c r="FN120" s="735"/>
      <c r="FO120" s="735"/>
      <c r="FP120" s="735"/>
      <c r="FQ120" s="735"/>
      <c r="FR120" s="735"/>
      <c r="FS120" s="735"/>
      <c r="FT120" s="735"/>
      <c r="FU120" s="735"/>
      <c r="FV120" s="735"/>
      <c r="FW120" s="735"/>
      <c r="FX120" s="735"/>
      <c r="FY120" s="735"/>
      <c r="FZ120" s="735"/>
      <c r="GA120" s="735"/>
      <c r="GB120" s="735"/>
      <c r="GC120" s="735"/>
      <c r="GD120" s="735"/>
      <c r="GE120" s="735"/>
      <c r="GF120" s="783"/>
      <c r="GG120" s="735"/>
      <c r="GH120" s="735"/>
      <c r="GI120" s="782"/>
      <c r="GJ120" s="735"/>
      <c r="GK120" s="735"/>
      <c r="GL120" s="735"/>
      <c r="GM120" s="735"/>
      <c r="GN120" s="735"/>
      <c r="GO120" s="735"/>
      <c r="GP120" s="782"/>
      <c r="GQ120" s="782"/>
      <c r="GR120" s="782"/>
      <c r="GS120" s="735"/>
      <c r="GT120" s="735"/>
      <c r="GU120" s="735"/>
      <c r="GV120" s="735"/>
      <c r="GW120" s="735"/>
      <c r="GX120" s="735"/>
      <c r="GY120" s="735"/>
      <c r="GZ120" s="735"/>
      <c r="HA120" s="735"/>
      <c r="HB120" s="735"/>
      <c r="HC120" s="735"/>
      <c r="HD120" s="735"/>
      <c r="HE120" s="735"/>
      <c r="HF120" s="735"/>
      <c r="HG120" s="735"/>
      <c r="HH120" s="735"/>
      <c r="HI120" s="735"/>
      <c r="HJ120" s="735"/>
      <c r="HK120" s="735"/>
      <c r="HL120" s="735"/>
      <c r="HM120" s="735"/>
      <c r="HN120" s="735"/>
      <c r="HO120" s="735"/>
      <c r="HP120" s="735"/>
      <c r="HQ120" s="735"/>
      <c r="HR120" s="735"/>
      <c r="HS120" s="735"/>
      <c r="HT120" s="735"/>
      <c r="HU120" s="735"/>
      <c r="HV120" s="735"/>
      <c r="HW120" s="735"/>
      <c r="HX120" s="735"/>
      <c r="HY120" s="735"/>
      <c r="HZ120" s="735"/>
      <c r="IA120" s="735"/>
      <c r="IB120" s="735"/>
      <c r="IC120" s="735"/>
      <c r="ID120" s="735"/>
      <c r="IE120" s="735"/>
      <c r="IF120" s="735"/>
      <c r="IG120" s="735"/>
      <c r="IH120" s="735"/>
      <c r="II120" s="735"/>
      <c r="IJ120" s="735"/>
      <c r="IK120" s="735"/>
      <c r="IL120" s="735"/>
      <c r="IM120" s="735"/>
      <c r="IN120" s="735"/>
      <c r="IO120" s="732"/>
      <c r="IP120" s="732"/>
      <c r="IQ120" s="732"/>
      <c r="IR120" s="721"/>
      <c r="IS120" s="721"/>
      <c r="IT120" s="721"/>
      <c r="IU120" s="721"/>
      <c r="IV120" s="721"/>
      <c r="IW120" s="721"/>
      <c r="IX120" s="721"/>
      <c r="IY120" s="721"/>
      <c r="IZ120" s="721"/>
      <c r="JA120" s="721"/>
      <c r="JB120" s="721"/>
      <c r="JC120" s="721"/>
      <c r="JD120" s="721"/>
      <c r="JE120" s="721"/>
      <c r="JF120" s="721"/>
      <c r="JG120" s="721"/>
      <c r="JH120" s="721"/>
      <c r="JI120" s="721"/>
      <c r="JJ120" s="721"/>
      <c r="JK120" s="721"/>
      <c r="JL120" s="721"/>
      <c r="JM120" s="721"/>
      <c r="JN120" s="721"/>
      <c r="JO120" s="721"/>
      <c r="JP120" s="721"/>
      <c r="JQ120" s="721"/>
      <c r="JR120" s="721"/>
      <c r="JS120" s="721"/>
      <c r="JT120" s="721"/>
      <c r="JU120" s="721"/>
      <c r="JV120" s="721"/>
      <c r="JW120" s="721"/>
      <c r="JX120" s="721"/>
      <c r="JY120" s="721"/>
      <c r="JZ120" s="721"/>
      <c r="KA120" s="721"/>
      <c r="KB120" s="721"/>
      <c r="KC120" s="721"/>
      <c r="KD120" s="721"/>
      <c r="KE120" s="721"/>
      <c r="KF120" s="721"/>
      <c r="KG120" s="721"/>
      <c r="KH120" s="721"/>
      <c r="KI120" s="721"/>
      <c r="KJ120" s="721"/>
      <c r="KK120" s="721"/>
      <c r="KL120" s="721"/>
      <c r="KM120" s="721"/>
      <c r="KN120" s="721"/>
      <c r="KO120" s="721"/>
      <c r="KP120" s="721"/>
      <c r="KQ120" s="721"/>
      <c r="KR120" s="721"/>
      <c r="KS120" s="721"/>
      <c r="KT120" s="721"/>
      <c r="KU120" s="721"/>
      <c r="KV120" s="721"/>
      <c r="KW120" s="721"/>
      <c r="KX120" s="721"/>
      <c r="KY120" s="721"/>
      <c r="KZ120" s="721"/>
      <c r="LA120" s="721"/>
      <c r="LB120" s="721"/>
      <c r="LC120" s="721"/>
      <c r="LD120" s="721"/>
      <c r="LE120" s="721"/>
      <c r="LF120" s="721"/>
      <c r="LG120" s="721"/>
      <c r="LH120" s="721"/>
      <c r="LI120" s="721"/>
      <c r="LJ120" s="721"/>
      <c r="LK120" s="721"/>
      <c r="LL120" s="721"/>
      <c r="LM120" s="721"/>
      <c r="LN120" s="721"/>
      <c r="LO120" s="721"/>
      <c r="LP120" s="721"/>
      <c r="LQ120" s="721"/>
      <c r="LR120" s="721"/>
      <c r="LS120" s="721"/>
      <c r="LT120" s="721"/>
      <c r="LU120" s="721"/>
      <c r="LV120" s="721"/>
      <c r="LW120" s="721"/>
      <c r="LX120" s="721"/>
      <c r="LY120" s="721"/>
      <c r="LZ120" s="721"/>
      <c r="MA120" s="721"/>
      <c r="MB120" s="721"/>
      <c r="MC120" s="721"/>
      <c r="MD120" s="721"/>
      <c r="ME120" s="721"/>
      <c r="MF120" s="721"/>
      <c r="MG120" s="721"/>
      <c r="MH120" s="721"/>
      <c r="MI120" s="721"/>
      <c r="MJ120" s="721"/>
      <c r="MK120" s="721"/>
      <c r="ML120" s="721"/>
      <c r="MM120" s="721"/>
      <c r="MN120" s="721"/>
      <c r="MO120" s="721"/>
      <c r="MP120" s="721"/>
      <c r="MQ120" s="721"/>
    </row>
    <row r="121" spans="1:355">
      <c r="A121" s="634"/>
      <c r="B121" s="721"/>
      <c r="C121" s="889"/>
      <c r="D121" s="889"/>
      <c r="E121" s="889"/>
      <c r="F121" s="798"/>
      <c r="G121" s="798"/>
      <c r="H121" s="798"/>
      <c r="I121" s="798"/>
      <c r="J121" s="798"/>
      <c r="K121" s="798"/>
      <c r="L121" s="798"/>
      <c r="M121" s="798"/>
      <c r="N121" s="798"/>
      <c r="O121" s="798"/>
      <c r="P121" s="798"/>
      <c r="Q121" s="798"/>
      <c r="R121" s="798"/>
      <c r="S121" s="798"/>
      <c r="T121" s="798"/>
      <c r="U121" s="735"/>
      <c r="V121" s="735"/>
      <c r="W121" s="735"/>
      <c r="X121" s="735"/>
      <c r="Y121" s="735"/>
      <c r="Z121" s="735"/>
      <c r="AA121" s="735"/>
      <c r="AB121" s="735"/>
      <c r="AC121" s="735"/>
      <c r="AD121" s="798"/>
      <c r="AE121" s="798"/>
      <c r="AF121" s="798"/>
      <c r="AG121" s="798"/>
      <c r="AH121" s="798"/>
      <c r="AI121" s="798"/>
      <c r="AJ121" s="722"/>
      <c r="AK121" s="722"/>
      <c r="AL121" s="722"/>
      <c r="AM121" s="722"/>
      <c r="AN121" s="722"/>
      <c r="AO121" s="722"/>
      <c r="AP121" s="722"/>
      <c r="AQ121" s="722"/>
      <c r="AR121" s="722"/>
      <c r="AS121" s="722"/>
      <c r="AT121" s="722"/>
      <c r="AU121" s="722"/>
      <c r="AV121" s="721"/>
      <c r="AW121" s="721"/>
      <c r="AX121" s="721"/>
      <c r="AY121" s="721"/>
      <c r="AZ121" s="721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  <c r="BK121" s="721"/>
      <c r="BL121" s="721"/>
      <c r="BM121" s="721"/>
      <c r="BN121" s="722"/>
      <c r="BO121" s="722"/>
      <c r="BP121" s="722"/>
      <c r="BQ121" s="721"/>
      <c r="BR121" s="721"/>
      <c r="BS121" s="721"/>
      <c r="BT121" s="721"/>
      <c r="BU121" s="721"/>
      <c r="BV121" s="721"/>
      <c r="BW121" s="732"/>
      <c r="BX121" s="732"/>
      <c r="BY121" s="732"/>
      <c r="BZ121" s="722"/>
      <c r="CA121" s="722"/>
      <c r="CB121" s="722"/>
      <c r="CC121" s="721"/>
      <c r="CD121" s="721"/>
      <c r="CE121" s="721"/>
      <c r="CF121" s="721"/>
      <c r="CG121" s="721"/>
      <c r="CH121" s="721"/>
      <c r="CI121" s="721"/>
      <c r="CJ121" s="721"/>
      <c r="CK121" s="721"/>
      <c r="CL121" s="722"/>
      <c r="CM121" s="722"/>
      <c r="CN121" s="722"/>
      <c r="CO121" s="721"/>
      <c r="CP121" s="721"/>
      <c r="CQ121" s="721"/>
      <c r="CR121" s="721"/>
      <c r="CS121" s="721"/>
      <c r="CT121" s="721"/>
      <c r="CU121" s="721"/>
      <c r="CV121" s="721"/>
      <c r="CW121" s="721"/>
      <c r="CX121" s="721"/>
      <c r="CY121" s="721"/>
      <c r="CZ121" s="721"/>
      <c r="DA121" s="735"/>
      <c r="DB121" s="735"/>
      <c r="DC121" s="735"/>
      <c r="DD121" s="722"/>
      <c r="DE121" s="722"/>
      <c r="DF121" s="722"/>
      <c r="DG121" s="722"/>
      <c r="DH121" s="722"/>
      <c r="DI121" s="722"/>
      <c r="DJ121" s="722"/>
      <c r="DK121" s="722"/>
      <c r="DL121" s="722"/>
      <c r="DM121" s="722"/>
      <c r="DN121" s="722"/>
      <c r="DO121" s="722"/>
      <c r="DP121" s="722"/>
      <c r="DQ121" s="722"/>
      <c r="DR121" s="722"/>
      <c r="DS121" s="722"/>
      <c r="DT121" s="722"/>
      <c r="DU121" s="722"/>
      <c r="DV121" s="722"/>
      <c r="DW121" s="722"/>
      <c r="DX121" s="722"/>
      <c r="DY121" s="722"/>
      <c r="DZ121" s="722"/>
      <c r="EA121" s="722"/>
      <c r="EB121" s="722"/>
      <c r="EC121" s="722"/>
      <c r="ED121" s="722"/>
      <c r="EE121" s="722"/>
      <c r="EF121" s="722"/>
      <c r="EG121" s="722"/>
      <c r="EH121" s="722"/>
      <c r="EI121" s="722"/>
      <c r="EJ121" s="722"/>
      <c r="EK121" s="722"/>
      <c r="EL121" s="722"/>
      <c r="EM121" s="722"/>
      <c r="EN121" s="721"/>
      <c r="EO121" s="721"/>
      <c r="EP121" s="721"/>
      <c r="EQ121" s="722"/>
      <c r="ER121" s="722"/>
      <c r="ES121" s="722"/>
      <c r="ET121" s="722"/>
      <c r="EU121" s="722"/>
      <c r="EV121" s="722"/>
      <c r="EW121" s="721"/>
      <c r="EX121" s="721"/>
      <c r="EY121" s="721"/>
      <c r="EZ121" s="721"/>
      <c r="FA121" s="721"/>
      <c r="FB121" s="721"/>
      <c r="FC121" s="721"/>
      <c r="FD121" s="630"/>
      <c r="FE121" s="721"/>
      <c r="FF121" s="721"/>
      <c r="FG121" s="721"/>
      <c r="FH121" s="721"/>
      <c r="FI121" s="721"/>
      <c r="FJ121" s="721"/>
      <c r="FK121" s="721"/>
      <c r="FL121" s="721"/>
      <c r="FM121" s="721"/>
      <c r="FN121" s="721"/>
      <c r="FO121" s="721"/>
      <c r="FP121" s="721"/>
      <c r="FQ121" s="721"/>
      <c r="FR121" s="722"/>
      <c r="FS121" s="722"/>
      <c r="FT121" s="722"/>
      <c r="FU121" s="722"/>
      <c r="FV121" s="722"/>
      <c r="FW121" s="722"/>
      <c r="FX121" s="722"/>
      <c r="FY121" s="722"/>
      <c r="GA121" s="722"/>
      <c r="GB121" s="722"/>
      <c r="GD121" s="721"/>
      <c r="GE121" s="721"/>
      <c r="GF121" s="734"/>
      <c r="GG121" s="722"/>
      <c r="GH121" s="722"/>
      <c r="GI121" s="732"/>
      <c r="GJ121" s="722"/>
      <c r="GK121" s="722"/>
      <c r="GL121" s="722"/>
      <c r="GM121" s="721"/>
      <c r="GN121" s="721"/>
      <c r="GO121" s="721"/>
      <c r="GP121" s="732"/>
      <c r="GQ121" s="732"/>
      <c r="GR121" s="732"/>
      <c r="GS121" s="722"/>
      <c r="GT121" s="722"/>
      <c r="GU121" s="722"/>
      <c r="GV121" s="722"/>
      <c r="GW121" s="722"/>
      <c r="GX121" s="722"/>
      <c r="GY121" s="721"/>
      <c r="GZ121" s="721"/>
      <c r="HA121" s="721"/>
      <c r="HB121" s="721"/>
      <c r="HC121" s="721"/>
      <c r="HD121" s="721"/>
      <c r="HE121" s="721"/>
      <c r="HF121" s="721"/>
      <c r="HG121" s="721"/>
      <c r="HH121" s="721"/>
      <c r="HI121" s="721"/>
      <c r="HJ121" s="721"/>
      <c r="HK121" s="721"/>
      <c r="HL121" s="721"/>
      <c r="HM121" s="721"/>
      <c r="HN121" s="722"/>
      <c r="HO121" s="722"/>
      <c r="HP121" s="722"/>
      <c r="HQ121" s="721"/>
      <c r="HR121" s="721"/>
      <c r="HS121" s="721"/>
      <c r="HT121" s="721"/>
      <c r="HU121" s="721"/>
      <c r="HV121" s="721"/>
      <c r="HW121" s="721"/>
      <c r="HX121" s="721"/>
      <c r="HY121" s="721"/>
      <c r="HZ121" s="721"/>
      <c r="IA121" s="721"/>
      <c r="IB121" s="721"/>
      <c r="IC121" s="721"/>
      <c r="ID121" s="721"/>
      <c r="IE121" s="721"/>
      <c r="IF121" s="721"/>
      <c r="IG121" s="721"/>
      <c r="IH121" s="721"/>
      <c r="II121" s="721"/>
      <c r="IJ121" s="721"/>
      <c r="IK121" s="721"/>
      <c r="IL121" s="721"/>
      <c r="IM121" s="721"/>
      <c r="IN121" s="721"/>
      <c r="IO121" s="721"/>
      <c r="IP121" s="721"/>
      <c r="IQ121" s="721"/>
      <c r="IR121" s="721"/>
      <c r="IS121" s="721"/>
      <c r="IT121" s="721"/>
      <c r="IU121" s="721"/>
      <c r="IV121" s="721"/>
      <c r="IW121" s="721"/>
      <c r="IX121" s="721"/>
      <c r="IY121" s="721"/>
      <c r="IZ121" s="721"/>
      <c r="JA121" s="721"/>
      <c r="JB121" s="721"/>
      <c r="JC121" s="721"/>
      <c r="JD121" s="721"/>
      <c r="JE121" s="721"/>
      <c r="JF121" s="721"/>
      <c r="JG121" s="721"/>
      <c r="JH121" s="721"/>
      <c r="JI121" s="721"/>
      <c r="JJ121" s="721"/>
      <c r="JK121" s="721"/>
      <c r="JL121" s="721"/>
      <c r="JM121" s="721"/>
      <c r="JN121" s="721"/>
      <c r="JO121" s="721"/>
      <c r="JP121" s="721"/>
      <c r="JQ121" s="721"/>
      <c r="JR121" s="721"/>
      <c r="JS121" s="721"/>
      <c r="JT121" s="721"/>
      <c r="JU121" s="721"/>
      <c r="JV121" s="721"/>
      <c r="JW121" s="721"/>
      <c r="JX121" s="721"/>
      <c r="JY121" s="721"/>
      <c r="JZ121" s="721"/>
      <c r="KA121" s="721"/>
      <c r="KB121" s="721"/>
      <c r="KC121" s="721"/>
      <c r="KD121" s="721"/>
      <c r="KE121" s="721"/>
      <c r="KF121" s="721"/>
      <c r="KG121" s="721"/>
      <c r="KH121" s="721"/>
      <c r="KI121" s="721"/>
      <c r="KJ121" s="721"/>
      <c r="KK121" s="721"/>
      <c r="KL121" s="721"/>
      <c r="KM121" s="721"/>
      <c r="KN121" s="721"/>
      <c r="KO121" s="721"/>
      <c r="KP121" s="721"/>
      <c r="KQ121" s="721"/>
      <c r="KR121" s="721"/>
      <c r="KS121" s="721"/>
      <c r="KT121" s="721"/>
      <c r="KU121" s="721"/>
      <c r="KV121" s="721"/>
      <c r="KW121" s="721"/>
      <c r="KX121" s="721"/>
      <c r="KY121" s="721"/>
      <c r="KZ121" s="721"/>
      <c r="LA121" s="721"/>
      <c r="LB121" s="721"/>
      <c r="LC121" s="721"/>
      <c r="LD121" s="721"/>
      <c r="LE121" s="721"/>
      <c r="LF121" s="721"/>
      <c r="LG121" s="721"/>
      <c r="LH121" s="721"/>
      <c r="LI121" s="721"/>
      <c r="LJ121" s="721"/>
      <c r="LK121" s="721"/>
      <c r="LL121" s="721"/>
      <c r="LM121" s="721"/>
      <c r="LN121" s="721"/>
      <c r="LO121" s="721"/>
      <c r="LP121" s="721"/>
      <c r="LQ121" s="721"/>
      <c r="LR121" s="721"/>
      <c r="LS121" s="721"/>
      <c r="LT121" s="721"/>
      <c r="LU121" s="721"/>
      <c r="LV121" s="721"/>
      <c r="LW121" s="721"/>
      <c r="LX121" s="721"/>
      <c r="LY121" s="721"/>
      <c r="LZ121" s="721"/>
      <c r="MA121" s="721"/>
      <c r="MB121" s="721"/>
      <c r="MC121" s="721"/>
      <c r="MD121" s="721"/>
      <c r="ME121" s="721"/>
      <c r="MF121" s="721"/>
      <c r="MG121" s="721"/>
      <c r="MH121" s="721"/>
      <c r="MI121" s="721"/>
      <c r="MJ121" s="721"/>
      <c r="MK121" s="721"/>
      <c r="ML121" s="721"/>
      <c r="MM121" s="721"/>
      <c r="MN121" s="721"/>
      <c r="MO121" s="721"/>
      <c r="MP121" s="721"/>
      <c r="MQ121" s="721"/>
    </row>
    <row r="122" spans="1:355">
      <c r="A122" s="634"/>
      <c r="B122" s="721"/>
      <c r="U122" s="721"/>
      <c r="V122" s="721"/>
      <c r="W122" s="721"/>
      <c r="X122" s="721"/>
      <c r="Y122" s="721"/>
      <c r="Z122" s="721"/>
      <c r="AA122" s="721"/>
      <c r="AB122" s="721"/>
      <c r="AC122" s="721"/>
      <c r="AJ122" s="722"/>
      <c r="AK122" s="722"/>
      <c r="AL122" s="722"/>
      <c r="AM122" s="722"/>
      <c r="AN122" s="722"/>
      <c r="AO122" s="722"/>
      <c r="AP122" s="722"/>
      <c r="AQ122" s="722"/>
      <c r="AR122" s="722"/>
      <c r="AS122" s="722"/>
      <c r="AT122" s="722"/>
      <c r="AU122" s="722"/>
      <c r="AV122" s="721"/>
      <c r="AW122" s="721"/>
      <c r="AX122" s="721"/>
      <c r="AY122" s="721"/>
      <c r="AZ122" s="721"/>
      <c r="BA122" s="721"/>
      <c r="BB122" s="721"/>
      <c r="BC122" s="721"/>
      <c r="BD122" s="721"/>
      <c r="BE122" s="721"/>
      <c r="BF122" s="721"/>
      <c r="BG122" s="721"/>
      <c r="BH122" s="721"/>
      <c r="BI122" s="721"/>
      <c r="BJ122" s="721"/>
      <c r="BK122" s="721"/>
      <c r="BL122" s="721"/>
      <c r="BM122" s="721"/>
      <c r="BN122" s="722"/>
      <c r="BO122" s="722"/>
      <c r="BP122" s="722"/>
      <c r="BQ122" s="721"/>
      <c r="BR122" s="721"/>
      <c r="BS122" s="721"/>
      <c r="BT122" s="721"/>
      <c r="BU122" s="721"/>
      <c r="BV122" s="721"/>
      <c r="BW122" s="721"/>
      <c r="BX122" s="721"/>
      <c r="BY122" s="721"/>
      <c r="BZ122" s="722"/>
      <c r="CA122" s="722"/>
      <c r="CB122" s="722"/>
      <c r="CC122" s="721"/>
      <c r="CD122" s="721"/>
      <c r="CE122" s="721"/>
      <c r="CF122" s="721"/>
      <c r="CG122" s="721"/>
      <c r="CH122" s="721"/>
      <c r="CI122" s="721"/>
      <c r="CJ122" s="721"/>
      <c r="CK122" s="721"/>
      <c r="CL122" s="722"/>
      <c r="CM122" s="722"/>
      <c r="CN122" s="722"/>
      <c r="CO122" s="721"/>
      <c r="CP122" s="721"/>
      <c r="CQ122" s="721"/>
      <c r="CR122" s="721"/>
      <c r="CS122" s="721"/>
      <c r="CT122" s="721"/>
      <c r="CU122" s="721"/>
      <c r="CV122" s="721"/>
      <c r="CW122" s="721"/>
      <c r="CX122" s="721"/>
      <c r="CY122" s="721"/>
      <c r="CZ122" s="721"/>
      <c r="DA122" s="735"/>
      <c r="DB122" s="735"/>
      <c r="DC122" s="735"/>
      <c r="DD122" s="722"/>
      <c r="DE122" s="722"/>
      <c r="DF122" s="722"/>
      <c r="DG122" s="722"/>
      <c r="DH122" s="722"/>
      <c r="DI122" s="722"/>
      <c r="DJ122" s="722"/>
      <c r="DK122" s="722"/>
      <c r="DL122" s="722"/>
      <c r="DM122" s="722"/>
      <c r="DN122" s="722"/>
      <c r="DO122" s="722"/>
      <c r="DP122" s="722"/>
      <c r="DQ122" s="722"/>
      <c r="DR122" s="722"/>
      <c r="DS122" s="722"/>
      <c r="DT122" s="722"/>
      <c r="DU122" s="722"/>
      <c r="DV122" s="722"/>
      <c r="DW122" s="722"/>
      <c r="DX122" s="722"/>
      <c r="DY122" s="722"/>
      <c r="DZ122" s="722"/>
      <c r="EA122" s="722"/>
      <c r="EB122" s="722"/>
      <c r="EC122" s="722"/>
      <c r="ED122" s="722"/>
      <c r="EE122" s="722"/>
      <c r="EF122" s="722"/>
      <c r="EG122" s="722"/>
      <c r="EH122" s="722"/>
      <c r="EI122" s="722"/>
      <c r="EJ122" s="722"/>
      <c r="EK122" s="722"/>
      <c r="EL122" s="722"/>
      <c r="EM122" s="722"/>
      <c r="EN122" s="721"/>
      <c r="EO122" s="721"/>
      <c r="EP122" s="721"/>
      <c r="EQ122" s="722"/>
      <c r="ER122" s="722"/>
      <c r="ES122" s="722"/>
      <c r="ET122" s="722"/>
      <c r="EU122" s="722"/>
      <c r="EV122" s="722"/>
      <c r="EW122" s="721"/>
      <c r="EX122" s="721"/>
      <c r="EY122" s="721"/>
      <c r="EZ122" s="721"/>
      <c r="FA122" s="721"/>
      <c r="FB122" s="721"/>
      <c r="FC122" s="721"/>
      <c r="FD122" s="630"/>
      <c r="FE122" s="721"/>
      <c r="FF122" s="721"/>
      <c r="FG122" s="721"/>
      <c r="FH122" s="721"/>
      <c r="FI122" s="721"/>
      <c r="FJ122" s="721"/>
      <c r="FK122" s="721"/>
      <c r="FL122" s="721"/>
      <c r="FM122" s="721"/>
      <c r="FN122" s="721"/>
      <c r="FO122" s="721"/>
      <c r="FP122" s="721"/>
      <c r="FQ122" s="721"/>
      <c r="FR122" s="722"/>
      <c r="FS122" s="722"/>
      <c r="FT122" s="722"/>
      <c r="FU122" s="722"/>
      <c r="FV122" s="722"/>
      <c r="FW122" s="722"/>
      <c r="FX122" s="722"/>
      <c r="FY122" s="722"/>
      <c r="GA122" s="722"/>
      <c r="GB122" s="722"/>
      <c r="GD122" s="721"/>
      <c r="GE122" s="721"/>
      <c r="GF122" s="734"/>
      <c r="GG122" s="722"/>
      <c r="GH122" s="722"/>
      <c r="GI122" s="732"/>
      <c r="GJ122" s="722"/>
      <c r="GK122" s="722"/>
      <c r="GL122" s="722"/>
      <c r="GM122" s="721"/>
      <c r="GN122" s="721"/>
      <c r="GO122" s="721"/>
      <c r="GP122" s="732"/>
      <c r="GQ122" s="732"/>
      <c r="GR122" s="732"/>
      <c r="GS122" s="722"/>
      <c r="GT122" s="722"/>
      <c r="GU122" s="722"/>
      <c r="GV122" s="722"/>
      <c r="GW122" s="722"/>
      <c r="GX122" s="722"/>
      <c r="GY122" s="721"/>
      <c r="GZ122" s="721"/>
      <c r="HA122" s="721"/>
      <c r="HB122" s="721"/>
      <c r="HC122" s="721"/>
      <c r="HD122" s="721"/>
      <c r="HE122" s="721"/>
      <c r="HF122" s="721"/>
      <c r="HG122" s="721"/>
      <c r="HH122" s="721"/>
      <c r="HI122" s="721"/>
      <c r="HJ122" s="721"/>
      <c r="HK122" s="721"/>
      <c r="HL122" s="721"/>
      <c r="HM122" s="721"/>
      <c r="HN122" s="722"/>
      <c r="HO122" s="722"/>
      <c r="HP122" s="722"/>
      <c r="HQ122" s="721"/>
      <c r="HR122" s="721"/>
      <c r="HS122" s="721"/>
      <c r="HT122" s="721"/>
      <c r="HU122" s="721"/>
      <c r="HV122" s="721"/>
      <c r="HW122" s="721"/>
      <c r="HX122" s="721"/>
      <c r="HY122" s="721"/>
      <c r="HZ122" s="721"/>
      <c r="IA122" s="721"/>
      <c r="IB122" s="721"/>
      <c r="IC122" s="721"/>
      <c r="ID122" s="721"/>
      <c r="IE122" s="721"/>
      <c r="IF122" s="721"/>
      <c r="IG122" s="721"/>
      <c r="IH122" s="721"/>
      <c r="II122" s="721"/>
      <c r="IJ122" s="721"/>
      <c r="IK122" s="721"/>
      <c r="IL122" s="721"/>
      <c r="IM122" s="721"/>
      <c r="IN122" s="721"/>
      <c r="IO122" s="732">
        <f t="shared" ref="IO122:JA122" si="22">SUM(IO10:IO112)</f>
        <v>11077.628708999999</v>
      </c>
      <c r="IP122" s="785">
        <f t="shared" si="22"/>
        <v>2209.4625000000005</v>
      </c>
      <c r="IQ122" s="732">
        <f t="shared" si="22"/>
        <v>28.703857999999986</v>
      </c>
      <c r="IR122" s="721">
        <f t="shared" si="22"/>
        <v>11600.407130000003</v>
      </c>
      <c r="IS122" s="721">
        <f t="shared" si="22"/>
        <v>2551.2525000000001</v>
      </c>
      <c r="IT122" s="721">
        <f t="shared" si="22"/>
        <v>30.189657999999987</v>
      </c>
      <c r="IU122" s="721">
        <f t="shared" si="22"/>
        <v>11412.433790000003</v>
      </c>
      <c r="IV122" s="721">
        <f t="shared" si="22"/>
        <v>2437.8187500000004</v>
      </c>
      <c r="IW122" s="721">
        <f t="shared" si="22"/>
        <v>31.476857999999993</v>
      </c>
      <c r="IX122" s="721">
        <f t="shared" si="22"/>
        <v>11294.303790000002</v>
      </c>
      <c r="IY122" s="721">
        <f t="shared" si="22"/>
        <v>2827.4726666666684</v>
      </c>
      <c r="IZ122" s="721">
        <f t="shared" si="22"/>
        <v>31.353806999999993</v>
      </c>
      <c r="JA122" s="721">
        <f t="shared" si="22"/>
        <v>10762.358199999997</v>
      </c>
      <c r="JB122" s="721"/>
      <c r="JC122" s="721"/>
      <c r="JD122" s="721">
        <f>SUM(JD10:JD112)</f>
        <v>10462.858199999995</v>
      </c>
      <c r="JE122" s="721"/>
      <c r="JF122" s="721"/>
      <c r="JG122" s="721"/>
      <c r="JH122" s="721"/>
      <c r="JI122" s="721"/>
      <c r="JJ122" s="721"/>
      <c r="JK122" s="721"/>
      <c r="JL122" s="721"/>
      <c r="JM122" s="721"/>
      <c r="JN122" s="721"/>
      <c r="JO122" s="721"/>
      <c r="JP122" s="721"/>
      <c r="JQ122" s="721"/>
      <c r="JR122" s="721"/>
      <c r="JS122" s="721"/>
      <c r="JT122" s="721"/>
      <c r="JU122" s="721"/>
      <c r="JV122" s="721"/>
      <c r="JW122" s="721"/>
      <c r="JX122" s="721"/>
      <c r="JY122" s="721"/>
      <c r="JZ122" s="721"/>
      <c r="KA122" s="721"/>
      <c r="KB122" s="721"/>
      <c r="KC122" s="721"/>
      <c r="KD122" s="721"/>
      <c r="KE122" s="721"/>
      <c r="KF122" s="721"/>
      <c r="KG122" s="721"/>
      <c r="KH122" s="721"/>
      <c r="KI122" s="721"/>
      <c r="KJ122" s="721"/>
      <c r="KK122" s="721"/>
      <c r="KL122" s="721"/>
      <c r="KM122" s="721"/>
      <c r="KN122" s="721"/>
      <c r="KO122" s="721"/>
      <c r="KP122" s="721"/>
      <c r="KQ122" s="721"/>
      <c r="KR122" s="721"/>
      <c r="KS122" s="721"/>
      <c r="KT122" s="721"/>
      <c r="KU122" s="721"/>
      <c r="KV122" s="721"/>
      <c r="KW122" s="721"/>
      <c r="KX122" s="721"/>
      <c r="KY122" s="721"/>
      <c r="KZ122" s="721"/>
      <c r="LA122" s="721"/>
      <c r="LB122" s="721"/>
      <c r="LC122" s="721"/>
      <c r="LD122" s="721"/>
      <c r="LE122" s="721"/>
      <c r="LF122" s="721"/>
      <c r="LG122" s="721"/>
      <c r="LH122" s="721"/>
      <c r="LI122" s="721"/>
      <c r="LJ122" s="721"/>
      <c r="LK122" s="721"/>
      <c r="LL122" s="721"/>
      <c r="LM122" s="721"/>
      <c r="LN122" s="721"/>
      <c r="LO122" s="721"/>
      <c r="LP122" s="721">
        <v>29.060861111111102</v>
      </c>
      <c r="LQ122" s="721"/>
      <c r="LR122" s="721"/>
      <c r="LS122" s="721">
        <v>27.064133986928098</v>
      </c>
      <c r="LT122" s="721"/>
      <c r="LU122" s="721"/>
      <c r="LV122" s="721"/>
      <c r="LW122" s="721"/>
      <c r="LX122" s="721"/>
      <c r="LY122" s="721"/>
      <c r="LZ122" s="721"/>
      <c r="MA122" s="721"/>
      <c r="MB122" s="721"/>
      <c r="MC122" s="721"/>
      <c r="MD122" s="721"/>
      <c r="ME122" s="721"/>
      <c r="MF122" s="721"/>
      <c r="MG122" s="721"/>
      <c r="MH122" s="721"/>
      <c r="MI122" s="721"/>
      <c r="MJ122" s="721"/>
      <c r="MK122" s="721"/>
      <c r="ML122" s="721"/>
      <c r="MM122" s="721"/>
      <c r="MN122" s="721"/>
      <c r="MO122" s="721"/>
      <c r="MP122" s="721"/>
      <c r="MQ122" s="721"/>
    </row>
    <row r="123" spans="1:355">
      <c r="A123" s="634"/>
      <c r="B123" s="721"/>
      <c r="U123" s="721"/>
      <c r="V123" s="721"/>
      <c r="W123" s="721"/>
      <c r="X123" s="721"/>
      <c r="Y123" s="721"/>
      <c r="Z123" s="721"/>
      <c r="AA123" s="721"/>
      <c r="AB123" s="721"/>
      <c r="AC123" s="721"/>
      <c r="AJ123" s="722"/>
      <c r="AK123" s="722"/>
      <c r="AL123" s="722"/>
      <c r="AM123" s="722"/>
      <c r="AN123" s="722"/>
      <c r="AO123" s="722"/>
      <c r="AP123" s="722"/>
      <c r="AQ123" s="722"/>
      <c r="AR123" s="722"/>
      <c r="AS123" s="722"/>
      <c r="AT123" s="722"/>
      <c r="AU123" s="722"/>
      <c r="AV123" s="721"/>
      <c r="AW123" s="721"/>
      <c r="AX123" s="721"/>
      <c r="AY123" s="721"/>
      <c r="AZ123" s="721"/>
      <c r="BA123" s="721"/>
      <c r="BB123" s="721"/>
      <c r="BC123" s="721"/>
      <c r="BD123" s="721"/>
      <c r="BE123" s="721"/>
      <c r="BF123" s="721"/>
      <c r="BG123" s="721"/>
      <c r="BH123" s="721"/>
      <c r="BI123" s="721"/>
      <c r="BJ123" s="721"/>
      <c r="BK123" s="721"/>
      <c r="BL123" s="721"/>
      <c r="BM123" s="721"/>
      <c r="BN123" s="722"/>
      <c r="BO123" s="722"/>
      <c r="BP123" s="722"/>
      <c r="BQ123" s="721"/>
      <c r="BR123" s="721"/>
      <c r="BS123" s="721"/>
      <c r="BT123" s="721"/>
      <c r="BU123" s="721"/>
      <c r="BV123" s="721"/>
      <c r="BW123" s="721"/>
      <c r="BX123" s="721"/>
      <c r="BY123" s="721"/>
      <c r="BZ123" s="722"/>
      <c r="CA123" s="722"/>
      <c r="CB123" s="722"/>
      <c r="CC123" s="721"/>
      <c r="CD123" s="721"/>
      <c r="CE123" s="721"/>
      <c r="CF123" s="721"/>
      <c r="CG123" s="721"/>
      <c r="CH123" s="721"/>
      <c r="CI123" s="721"/>
      <c r="CJ123" s="721"/>
      <c r="CK123" s="721"/>
      <c r="CL123" s="722"/>
      <c r="CM123" s="722"/>
      <c r="CN123" s="722"/>
      <c r="CO123" s="721"/>
      <c r="CP123" s="721"/>
      <c r="CQ123" s="721"/>
      <c r="CR123" s="721"/>
      <c r="CS123" s="721"/>
      <c r="CT123" s="721"/>
      <c r="CU123" s="721"/>
      <c r="CV123" s="721"/>
      <c r="CW123" s="721"/>
      <c r="CX123" s="721"/>
      <c r="CY123" s="721"/>
      <c r="CZ123" s="721"/>
      <c r="DA123" s="735"/>
      <c r="DB123" s="735"/>
      <c r="DC123" s="735"/>
      <c r="DD123" s="722"/>
      <c r="DE123" s="722"/>
      <c r="DF123" s="722"/>
      <c r="DG123" s="722"/>
      <c r="DH123" s="722"/>
      <c r="DI123" s="722"/>
      <c r="DJ123" s="722"/>
      <c r="DK123" s="722"/>
      <c r="DL123" s="722"/>
      <c r="DM123" s="722"/>
      <c r="DN123" s="722"/>
      <c r="DO123" s="722"/>
      <c r="DP123" s="722"/>
      <c r="DQ123" s="722"/>
      <c r="DR123" s="722"/>
      <c r="DS123" s="722"/>
      <c r="DT123" s="722"/>
      <c r="DU123" s="722"/>
      <c r="DV123" s="722"/>
      <c r="DW123" s="722"/>
      <c r="DX123" s="722"/>
      <c r="DY123" s="722"/>
      <c r="DZ123" s="722"/>
      <c r="EA123" s="722"/>
      <c r="EB123" s="722"/>
      <c r="EC123" s="722"/>
      <c r="ED123" s="722"/>
      <c r="EE123" s="722"/>
      <c r="EF123" s="722"/>
      <c r="EG123" s="722"/>
      <c r="EH123" s="722"/>
      <c r="EI123" s="722"/>
      <c r="EJ123" s="722"/>
      <c r="EK123" s="722"/>
      <c r="EL123" s="722"/>
      <c r="EM123" s="722"/>
      <c r="EN123" s="721"/>
      <c r="EO123" s="721"/>
      <c r="EP123" s="721"/>
      <c r="EQ123" s="722"/>
      <c r="ER123" s="722"/>
      <c r="ES123" s="722"/>
      <c r="ET123" s="722"/>
      <c r="EU123" s="722"/>
      <c r="EV123" s="722"/>
      <c r="EW123" s="721"/>
      <c r="EX123" s="721"/>
      <c r="EY123" s="721"/>
      <c r="EZ123" s="721"/>
      <c r="FA123" s="721"/>
      <c r="FB123" s="721"/>
      <c r="FC123" s="721"/>
      <c r="FD123" s="630"/>
      <c r="FE123" s="721"/>
      <c r="FF123" s="721"/>
      <c r="FG123" s="721"/>
      <c r="FH123" s="721"/>
      <c r="FI123" s="721"/>
      <c r="FJ123" s="721"/>
      <c r="FK123" s="721"/>
      <c r="FL123" s="721"/>
      <c r="FM123" s="721"/>
      <c r="FN123" s="721"/>
      <c r="FO123" s="721"/>
      <c r="FP123" s="721"/>
      <c r="FQ123" s="721"/>
      <c r="FR123" s="722"/>
      <c r="FS123" s="722"/>
      <c r="FT123" s="722"/>
      <c r="FU123" s="722"/>
      <c r="FV123" s="722"/>
      <c r="FW123" s="722"/>
      <c r="FX123" s="722"/>
      <c r="FY123" s="722"/>
      <c r="GA123" s="722"/>
      <c r="GB123" s="722"/>
      <c r="GD123" s="721"/>
      <c r="GE123" s="721"/>
      <c r="GF123" s="734"/>
      <c r="GG123" s="722"/>
      <c r="GH123" s="722"/>
      <c r="GI123" s="732"/>
      <c r="GJ123" s="722"/>
      <c r="GK123" s="722"/>
      <c r="GL123" s="722"/>
      <c r="GM123" s="721"/>
      <c r="GN123" s="721"/>
      <c r="GO123" s="721"/>
      <c r="GP123" s="732"/>
      <c r="GQ123" s="732"/>
      <c r="GR123" s="732"/>
      <c r="GS123" s="722"/>
      <c r="GT123" s="722"/>
      <c r="GU123" s="722"/>
      <c r="GV123" s="722"/>
      <c r="GW123" s="722"/>
      <c r="GX123" s="722"/>
      <c r="GY123" s="721"/>
      <c r="GZ123" s="721"/>
      <c r="HA123" s="721"/>
      <c r="HB123" s="721"/>
      <c r="HC123" s="721"/>
      <c r="HD123" s="721"/>
      <c r="HE123" s="721"/>
      <c r="HF123" s="721"/>
      <c r="HG123" s="721"/>
      <c r="HH123" s="721"/>
      <c r="HI123" s="721"/>
      <c r="HJ123" s="721"/>
      <c r="HK123" s="721"/>
      <c r="HL123" s="721"/>
      <c r="HM123" s="721"/>
      <c r="HN123" s="722"/>
      <c r="HO123" s="722"/>
      <c r="HP123" s="722"/>
      <c r="HQ123" s="721"/>
      <c r="HR123" s="721"/>
      <c r="HS123" s="721"/>
      <c r="HT123" s="721"/>
      <c r="HU123" s="721"/>
      <c r="HV123" s="721"/>
      <c r="HW123" s="721"/>
      <c r="HX123" s="721"/>
      <c r="HY123" s="721"/>
      <c r="HZ123" s="721"/>
      <c r="IA123" s="721"/>
      <c r="IB123" s="721"/>
      <c r="IC123" s="721"/>
      <c r="ID123" s="721"/>
      <c r="IE123" s="721"/>
      <c r="IF123" s="721"/>
      <c r="IG123" s="721"/>
      <c r="IH123" s="721"/>
      <c r="II123" s="721"/>
      <c r="IJ123" s="721"/>
      <c r="IK123" s="721"/>
      <c r="IL123" s="721"/>
      <c r="IM123" s="721"/>
      <c r="IN123" s="721"/>
      <c r="IO123" s="721"/>
      <c r="IP123" s="721"/>
      <c r="IQ123" s="721"/>
      <c r="IR123" s="721"/>
      <c r="IS123" s="721"/>
      <c r="IT123" s="721"/>
      <c r="IU123" s="721"/>
      <c r="IV123" s="721"/>
      <c r="IW123" s="721"/>
      <c r="IX123" s="721"/>
      <c r="IY123" s="721"/>
      <c r="IZ123" s="721"/>
      <c r="JA123" s="721"/>
      <c r="JB123" s="721"/>
      <c r="JC123" s="721"/>
      <c r="JD123" s="721"/>
      <c r="JE123" s="721"/>
      <c r="JF123" s="721"/>
      <c r="JG123" s="721"/>
      <c r="JH123" s="721"/>
      <c r="JI123" s="721"/>
      <c r="JJ123" s="721"/>
      <c r="JK123" s="721"/>
      <c r="JL123" s="721"/>
      <c r="JM123" s="721"/>
      <c r="JN123" s="721"/>
      <c r="JO123" s="721"/>
      <c r="JP123" s="721"/>
      <c r="JQ123" s="721"/>
      <c r="JR123" s="721"/>
      <c r="JS123" s="721"/>
      <c r="JT123" s="721"/>
      <c r="JU123" s="721"/>
      <c r="JV123" s="721"/>
      <c r="JW123" s="721">
        <v>25.826726190476101</v>
      </c>
      <c r="JX123" s="721">
        <v>0.39070578231292502</v>
      </c>
      <c r="JY123" s="721"/>
      <c r="JZ123" s="721"/>
      <c r="KA123" s="721"/>
      <c r="KB123" s="721">
        <v>96.128410204081604</v>
      </c>
      <c r="KC123" s="721">
        <v>26.218095238095199</v>
      </c>
      <c r="KD123" s="721">
        <v>0.39236394557823101</v>
      </c>
      <c r="KE123" s="721">
        <v>96.008093877551005</v>
      </c>
      <c r="KF123" s="721">
        <v>26.174498299319701</v>
      </c>
      <c r="KG123" s="721">
        <v>0.389872448979591</v>
      </c>
      <c r="KH123" s="721">
        <v>95.534300000000002</v>
      </c>
      <c r="KI123" s="721">
        <v>26.690025510203998</v>
      </c>
      <c r="KJ123" s="721">
        <v>0.390017006802721</v>
      </c>
      <c r="KK123" s="721">
        <v>94.053529591836707</v>
      </c>
      <c r="KL123" s="721">
        <v>25.2929931972789</v>
      </c>
      <c r="KM123" s="721">
        <v>0.39026360544217598</v>
      </c>
      <c r="KN123" s="721">
        <v>93.405741717171693</v>
      </c>
      <c r="KO123" s="721">
        <v>23.787819865319801</v>
      </c>
      <c r="KP123" s="721">
        <v>0.38994528619528601</v>
      </c>
      <c r="KQ123" s="721">
        <v>93.404786868686799</v>
      </c>
      <c r="KR123" s="721">
        <v>22.768047138047098</v>
      </c>
      <c r="KS123" s="721">
        <v>0.38944865319865302</v>
      </c>
      <c r="KT123" s="721">
        <v>93.116365656565605</v>
      </c>
      <c r="KU123" s="721">
        <v>22.076182659932599</v>
      </c>
      <c r="KV123" s="721">
        <v>0.38763047138047102</v>
      </c>
      <c r="KW123" s="721">
        <v>92.747162000000003</v>
      </c>
      <c r="KX123" s="721">
        <v>22.300034013605401</v>
      </c>
      <c r="KY123" s="721">
        <v>0.38852500000000001</v>
      </c>
      <c r="KZ123" s="721">
        <v>92.909961999999993</v>
      </c>
      <c r="LA123" s="721">
        <v>21.837174999999998</v>
      </c>
      <c r="LB123" s="721">
        <v>0.39067000000000002</v>
      </c>
      <c r="LC123" s="721">
        <v>92.670856000000001</v>
      </c>
      <c r="LD123" s="721">
        <v>24.1315833333333</v>
      </c>
      <c r="LE123" s="721">
        <v>0.39067000000000002</v>
      </c>
      <c r="LF123" s="721">
        <v>92.314500990099006</v>
      </c>
      <c r="LG123" s="721">
        <v>26.6825825082508</v>
      </c>
      <c r="LH123" s="721">
        <v>0.386658415841584</v>
      </c>
      <c r="LI123" s="721">
        <v>92.314500990099006</v>
      </c>
      <c r="LJ123" s="721">
        <v>28.961608333333299</v>
      </c>
      <c r="LK123" s="721">
        <v>0.38362046204620398</v>
      </c>
      <c r="LL123" s="721">
        <v>91.896510396039602</v>
      </c>
      <c r="LM123" s="721">
        <v>28.002929042904199</v>
      </c>
      <c r="LN123" s="721">
        <v>0.38155940594059401</v>
      </c>
      <c r="LO123" s="721">
        <v>91.441153960395994</v>
      </c>
      <c r="LP123" s="721">
        <v>27.7003712871287</v>
      </c>
      <c r="LQ123" s="721">
        <v>0.38075247524752398</v>
      </c>
      <c r="LR123" s="721">
        <v>89.956360891089105</v>
      </c>
      <c r="LS123" s="721">
        <v>25.796023102310201</v>
      </c>
      <c r="LT123" s="721">
        <v>0.381254125412541</v>
      </c>
      <c r="LU123" s="721">
        <v>89.956360891089105</v>
      </c>
      <c r="LV123" s="721">
        <v>25.808688118811801</v>
      </c>
      <c r="LW123" s="721">
        <v>0.37884653465346502</v>
      </c>
      <c r="LX123" s="721">
        <v>89.682603960395994</v>
      </c>
      <c r="LY123" s="721">
        <v>24.860132013201302</v>
      </c>
      <c r="LZ123" s="721">
        <v>0.37980693069306898</v>
      </c>
      <c r="MA123" s="721">
        <v>88.731234701960702</v>
      </c>
      <c r="MB123" s="721">
        <v>24.344584909987301</v>
      </c>
      <c r="MC123" s="721">
        <v>0.37733147820531698</v>
      </c>
      <c r="MD123" s="721">
        <v>87.823384211764704</v>
      </c>
      <c r="ME123" s="721">
        <v>25.513451213818801</v>
      </c>
      <c r="MF123" s="721">
        <v>0.37487413795927699</v>
      </c>
      <c r="MG123" s="721">
        <v>87.626654799999997</v>
      </c>
      <c r="MH123" s="721">
        <v>24.183883933690399</v>
      </c>
      <c r="MI123" s="721">
        <v>0.370160085671695</v>
      </c>
      <c r="MJ123" s="721">
        <v>87.490982741176396</v>
      </c>
      <c r="MK123" s="721">
        <v>22.3826785100004</v>
      </c>
      <c r="ML123" s="721">
        <v>0.36462795059544201</v>
      </c>
      <c r="MM123" s="721">
        <v>87.365138133333303</v>
      </c>
      <c r="MN123" s="721">
        <v>23.314315199764099</v>
      </c>
      <c r="MO123" s="721">
        <v>0.36906259111831802</v>
      </c>
      <c r="MP123" s="721">
        <v>86.740340211764703</v>
      </c>
      <c r="MQ123" s="721">
        <v>21.552963802480001</v>
      </c>
    </row>
    <row r="124" spans="1:355">
      <c r="A124" s="634"/>
      <c r="B124" s="721"/>
      <c r="U124" s="721"/>
      <c r="V124" s="721"/>
      <c r="W124" s="721"/>
      <c r="X124" s="721"/>
      <c r="Y124" s="721"/>
      <c r="Z124" s="721"/>
      <c r="AA124" s="721"/>
      <c r="AB124" s="721"/>
      <c r="AC124" s="721"/>
      <c r="AJ124" s="722"/>
      <c r="AK124" s="722"/>
      <c r="AL124" s="722"/>
      <c r="AM124" s="722"/>
      <c r="AN124" s="722"/>
      <c r="AO124" s="722"/>
      <c r="AP124" s="722"/>
      <c r="AQ124" s="722"/>
      <c r="AR124" s="722"/>
      <c r="AS124" s="722"/>
      <c r="AT124" s="722"/>
      <c r="AU124" s="722"/>
      <c r="AV124" s="721"/>
      <c r="AW124" s="721"/>
      <c r="AX124" s="721"/>
      <c r="AY124" s="721"/>
      <c r="AZ124" s="721"/>
      <c r="BA124" s="721"/>
      <c r="BB124" s="721"/>
      <c r="BC124" s="721"/>
      <c r="BD124" s="721"/>
      <c r="BE124" s="721"/>
      <c r="BF124" s="721"/>
      <c r="BG124" s="721"/>
      <c r="BH124" s="721"/>
      <c r="BI124" s="721"/>
      <c r="BJ124" s="721"/>
      <c r="BK124" s="721"/>
      <c r="BL124" s="721"/>
      <c r="BM124" s="721"/>
      <c r="BN124" s="722"/>
      <c r="BO124" s="722"/>
      <c r="BP124" s="722"/>
      <c r="BQ124" s="721"/>
      <c r="BR124" s="721"/>
      <c r="BS124" s="721"/>
      <c r="BT124" s="721"/>
      <c r="BU124" s="721"/>
      <c r="BV124" s="721"/>
      <c r="BW124" s="721"/>
      <c r="BX124" s="721"/>
      <c r="BY124" s="721"/>
      <c r="BZ124" s="722"/>
      <c r="CA124" s="722"/>
      <c r="CB124" s="722"/>
      <c r="CC124" s="721"/>
      <c r="CD124" s="721"/>
      <c r="CE124" s="721"/>
      <c r="CF124" s="721"/>
      <c r="CG124" s="721"/>
      <c r="CH124" s="721"/>
      <c r="CI124" s="721"/>
      <c r="CJ124" s="721"/>
      <c r="CK124" s="721"/>
      <c r="CL124" s="722"/>
      <c r="CM124" s="722"/>
      <c r="CN124" s="722"/>
      <c r="CO124" s="721"/>
      <c r="CP124" s="721"/>
      <c r="CQ124" s="721"/>
      <c r="CR124" s="721"/>
      <c r="CS124" s="721"/>
      <c r="CT124" s="721"/>
      <c r="CU124" s="721"/>
      <c r="CV124" s="721"/>
      <c r="CW124" s="721"/>
      <c r="CX124" s="721"/>
      <c r="CY124" s="721"/>
      <c r="CZ124" s="721"/>
      <c r="DA124" s="735"/>
      <c r="DB124" s="735"/>
      <c r="DC124" s="735"/>
      <c r="DD124" s="722"/>
      <c r="DE124" s="722"/>
      <c r="DF124" s="722"/>
      <c r="DG124" s="722"/>
      <c r="DH124" s="722"/>
      <c r="DI124" s="722"/>
      <c r="DJ124" s="722"/>
      <c r="DK124" s="722"/>
      <c r="DL124" s="722"/>
      <c r="DM124" s="722"/>
      <c r="DN124" s="722"/>
      <c r="DO124" s="722"/>
      <c r="DP124" s="722"/>
      <c r="DQ124" s="722"/>
      <c r="DR124" s="722"/>
      <c r="DS124" s="722"/>
      <c r="DT124" s="722"/>
      <c r="DU124" s="722"/>
      <c r="DV124" s="722"/>
      <c r="DW124" s="722"/>
      <c r="DX124" s="722"/>
      <c r="DY124" s="722"/>
      <c r="DZ124" s="722"/>
      <c r="EA124" s="722"/>
      <c r="EB124" s="722"/>
      <c r="EC124" s="722"/>
      <c r="ED124" s="722"/>
      <c r="EE124" s="722"/>
      <c r="EF124" s="722"/>
      <c r="EG124" s="722"/>
      <c r="EH124" s="722"/>
      <c r="EI124" s="722"/>
      <c r="EJ124" s="722"/>
      <c r="EK124" s="722"/>
      <c r="EL124" s="722"/>
      <c r="EM124" s="722"/>
      <c r="EN124" s="721"/>
      <c r="EO124" s="721"/>
      <c r="EP124" s="721"/>
      <c r="EQ124" s="722"/>
      <c r="ER124" s="722"/>
      <c r="ES124" s="722"/>
      <c r="ET124" s="722"/>
      <c r="EU124" s="722"/>
      <c r="EV124" s="722"/>
      <c r="EW124" s="721"/>
      <c r="EX124" s="721"/>
      <c r="EY124" s="721"/>
      <c r="EZ124" s="721"/>
      <c r="FA124" s="721"/>
      <c r="FB124" s="721"/>
      <c r="FC124" s="721"/>
      <c r="FD124" s="630"/>
      <c r="FE124" s="721"/>
      <c r="FF124" s="721"/>
      <c r="FG124" s="721"/>
      <c r="FH124" s="721"/>
      <c r="FI124" s="721"/>
      <c r="FJ124" s="721"/>
      <c r="FK124" s="721"/>
      <c r="FL124" s="721"/>
      <c r="FM124" s="721"/>
      <c r="FN124" s="721"/>
      <c r="FO124" s="721"/>
      <c r="FP124" s="721"/>
      <c r="FQ124" s="721"/>
      <c r="FR124" s="722"/>
      <c r="FS124" s="722"/>
      <c r="FT124" s="722"/>
      <c r="FU124" s="722"/>
      <c r="FV124" s="722"/>
      <c r="FW124" s="722"/>
      <c r="FX124" s="722"/>
      <c r="FY124" s="722"/>
      <c r="GA124" s="722"/>
      <c r="GB124" s="722"/>
      <c r="GD124" s="721"/>
      <c r="GE124" s="721"/>
      <c r="GF124" s="734"/>
      <c r="GG124" s="722"/>
      <c r="GH124" s="722"/>
      <c r="GI124" s="732"/>
      <c r="GJ124" s="722"/>
      <c r="GK124" s="722"/>
      <c r="GL124" s="722"/>
      <c r="GM124" s="721"/>
      <c r="GN124" s="721"/>
      <c r="GO124" s="721"/>
      <c r="GP124" s="732"/>
      <c r="GQ124" s="732"/>
      <c r="GR124" s="732"/>
      <c r="GS124" s="722"/>
      <c r="GT124" s="722"/>
      <c r="GU124" s="722"/>
      <c r="GV124" s="722"/>
      <c r="GW124" s="722"/>
      <c r="GX124" s="722"/>
      <c r="GY124" s="721"/>
      <c r="GZ124" s="721"/>
      <c r="HA124" s="721"/>
      <c r="HB124" s="721"/>
      <c r="HC124" s="721"/>
      <c r="HD124" s="721"/>
      <c r="HE124" s="721"/>
      <c r="HF124" s="721"/>
      <c r="HG124" s="721"/>
      <c r="HH124" s="721"/>
      <c r="HI124" s="721"/>
      <c r="HJ124" s="721"/>
      <c r="HK124" s="721"/>
      <c r="HL124" s="721"/>
      <c r="HM124" s="721"/>
      <c r="HN124" s="722"/>
      <c r="HO124" s="722"/>
      <c r="HP124" s="722"/>
      <c r="HQ124" s="721"/>
      <c r="HR124" s="721"/>
      <c r="HS124" s="721"/>
      <c r="HT124" s="721"/>
      <c r="HU124" s="721"/>
      <c r="HV124" s="721"/>
      <c r="HW124" s="721"/>
      <c r="HX124" s="721"/>
      <c r="HY124" s="721"/>
      <c r="HZ124" s="721"/>
      <c r="IA124" s="721"/>
      <c r="IB124" s="721"/>
      <c r="IC124" s="721"/>
      <c r="ID124" s="721"/>
      <c r="IE124" s="721"/>
      <c r="IF124" s="721"/>
      <c r="IG124" s="721"/>
      <c r="IH124" s="721"/>
      <c r="II124" s="721"/>
      <c r="IJ124" s="721"/>
      <c r="IK124" s="721"/>
      <c r="IL124" s="721"/>
      <c r="IM124" s="721"/>
      <c r="IN124" s="721"/>
      <c r="IO124" s="721"/>
      <c r="IP124" s="721"/>
      <c r="IQ124" s="721"/>
      <c r="IR124" s="721"/>
      <c r="IS124" s="721"/>
      <c r="IT124" s="721"/>
      <c r="IU124" s="721"/>
      <c r="IV124" s="721"/>
      <c r="IW124" s="721"/>
      <c r="IX124" s="721"/>
      <c r="IY124" s="721"/>
      <c r="IZ124" s="721"/>
      <c r="JA124" s="721"/>
      <c r="JB124" s="721"/>
      <c r="JC124" s="721"/>
      <c r="JD124" s="721"/>
      <c r="JE124" s="721"/>
      <c r="JF124" s="721"/>
      <c r="JG124" s="721"/>
      <c r="JH124" s="721"/>
      <c r="JI124" s="721"/>
      <c r="JJ124" s="721"/>
      <c r="JK124" s="721"/>
      <c r="JL124" s="721"/>
      <c r="JM124" s="721"/>
      <c r="JN124" s="721"/>
      <c r="JO124" s="721"/>
      <c r="JP124" s="721"/>
      <c r="JQ124" s="721"/>
      <c r="JR124" s="721"/>
      <c r="JS124" s="721"/>
      <c r="JT124" s="721"/>
      <c r="JU124" s="721"/>
      <c r="JV124" s="721"/>
      <c r="JW124" s="721"/>
      <c r="JX124" s="721"/>
      <c r="JY124" s="721"/>
      <c r="JZ124" s="721"/>
      <c r="KA124" s="721"/>
      <c r="KB124" s="721"/>
      <c r="KC124" s="721"/>
      <c r="KD124" s="721"/>
      <c r="KE124" s="721"/>
      <c r="KF124" s="721"/>
      <c r="KG124" s="721"/>
      <c r="KH124" s="721"/>
      <c r="KI124" s="721"/>
      <c r="KJ124" s="721"/>
      <c r="KK124" s="721"/>
      <c r="KL124" s="721"/>
      <c r="KM124" s="721"/>
      <c r="KN124" s="721"/>
      <c r="KO124" s="721"/>
      <c r="KP124" s="721"/>
      <c r="KQ124" s="721"/>
      <c r="KR124" s="721"/>
      <c r="KS124" s="721"/>
      <c r="KT124" s="721"/>
      <c r="KU124" s="721"/>
      <c r="KV124" s="721"/>
      <c r="KW124" s="721"/>
      <c r="KX124" s="721"/>
      <c r="KY124" s="721"/>
      <c r="KZ124" s="721"/>
      <c r="LA124" s="721"/>
      <c r="LB124" s="721"/>
      <c r="LC124" s="721"/>
      <c r="LD124" s="721"/>
      <c r="LE124" s="721"/>
      <c r="LF124" s="721"/>
      <c r="LG124" s="721"/>
      <c r="LH124" s="721"/>
      <c r="LI124" s="721"/>
      <c r="LJ124" s="721"/>
      <c r="LK124" s="721"/>
      <c r="LL124" s="721"/>
      <c r="LM124" s="721"/>
      <c r="LN124" s="721"/>
      <c r="LO124" s="721"/>
      <c r="LP124" s="721"/>
      <c r="LQ124" s="721"/>
      <c r="LR124" s="721"/>
      <c r="LS124" s="721"/>
      <c r="LT124" s="721"/>
      <c r="LU124" s="721"/>
      <c r="LV124" s="721"/>
      <c r="LW124" s="721"/>
      <c r="LX124" s="721"/>
      <c r="LY124" s="721"/>
      <c r="LZ124" s="721"/>
      <c r="MA124" s="721"/>
      <c r="MB124" s="721"/>
      <c r="MC124" s="721"/>
      <c r="MD124" s="721"/>
      <c r="ME124" s="721"/>
      <c r="MF124" s="721"/>
      <c r="MG124" s="721"/>
      <c r="MH124" s="721"/>
      <c r="MI124" s="721"/>
      <c r="MJ124" s="721"/>
      <c r="MK124" s="721"/>
      <c r="ML124" s="721"/>
      <c r="MM124" s="721"/>
      <c r="MN124" s="721"/>
      <c r="MO124" s="721"/>
      <c r="MP124" s="721"/>
      <c r="MQ124" s="721"/>
    </row>
    <row r="125" spans="1:355">
      <c r="A125" s="634"/>
      <c r="B125" s="721"/>
      <c r="U125" s="721"/>
      <c r="V125" s="721"/>
      <c r="W125" s="721"/>
      <c r="X125" s="721"/>
      <c r="Y125" s="721"/>
      <c r="Z125" s="721"/>
      <c r="AA125" s="721"/>
      <c r="AB125" s="721"/>
      <c r="AC125" s="721"/>
      <c r="AJ125" s="722"/>
      <c r="AK125" s="722"/>
      <c r="AL125" s="722"/>
      <c r="AM125" s="722"/>
      <c r="AN125" s="722"/>
      <c r="AO125" s="722"/>
      <c r="AP125" s="722"/>
      <c r="AQ125" s="722"/>
      <c r="AR125" s="722"/>
      <c r="AS125" s="722"/>
      <c r="AT125" s="722"/>
      <c r="AU125" s="722"/>
      <c r="AV125" s="721"/>
      <c r="AW125" s="721"/>
      <c r="AX125" s="721"/>
      <c r="AY125" s="721"/>
      <c r="AZ125" s="721"/>
      <c r="BA125" s="721"/>
      <c r="BB125" s="721"/>
      <c r="BC125" s="721"/>
      <c r="BD125" s="721"/>
      <c r="BE125" s="721"/>
      <c r="BF125" s="721"/>
      <c r="BG125" s="721"/>
      <c r="BH125" s="721"/>
      <c r="BI125" s="721"/>
      <c r="BJ125" s="721"/>
      <c r="BK125" s="721"/>
      <c r="BL125" s="721"/>
      <c r="BM125" s="721"/>
      <c r="BN125" s="722"/>
      <c r="BO125" s="722"/>
      <c r="BP125" s="722"/>
      <c r="BQ125" s="721"/>
      <c r="BR125" s="721"/>
      <c r="BS125" s="721"/>
      <c r="BT125" s="721"/>
      <c r="BU125" s="721"/>
      <c r="BV125" s="721"/>
      <c r="BW125" s="721"/>
      <c r="BX125" s="721"/>
      <c r="BY125" s="721"/>
      <c r="BZ125" s="722"/>
      <c r="CA125" s="722"/>
      <c r="CB125" s="722"/>
      <c r="CC125" s="721"/>
      <c r="CD125" s="721"/>
      <c r="CE125" s="721"/>
      <c r="CF125" s="721"/>
      <c r="CG125" s="721"/>
      <c r="CH125" s="721"/>
      <c r="CI125" s="721"/>
      <c r="CJ125" s="721"/>
      <c r="CK125" s="721"/>
      <c r="CL125" s="722"/>
      <c r="CM125" s="722"/>
      <c r="CN125" s="722"/>
      <c r="CO125" s="721"/>
      <c r="CP125" s="721"/>
      <c r="CQ125" s="721"/>
      <c r="CR125" s="721"/>
      <c r="CS125" s="721"/>
      <c r="CT125" s="721"/>
      <c r="CU125" s="721"/>
      <c r="CV125" s="721"/>
      <c r="CW125" s="721"/>
      <c r="CX125" s="721"/>
      <c r="CY125" s="721"/>
      <c r="CZ125" s="721"/>
      <c r="DA125" s="735"/>
      <c r="DB125" s="735"/>
      <c r="DC125" s="735"/>
      <c r="DD125" s="722"/>
      <c r="DE125" s="722"/>
      <c r="DF125" s="722"/>
      <c r="DG125" s="722"/>
      <c r="DH125" s="722"/>
      <c r="DI125" s="722"/>
      <c r="DJ125" s="722"/>
      <c r="DK125" s="722"/>
      <c r="DL125" s="722"/>
      <c r="DM125" s="722"/>
      <c r="DN125" s="722"/>
      <c r="DO125" s="722"/>
      <c r="DP125" s="722"/>
      <c r="DQ125" s="722"/>
      <c r="DR125" s="722"/>
      <c r="DS125" s="722"/>
      <c r="DT125" s="722"/>
      <c r="DU125" s="722"/>
      <c r="DV125" s="722"/>
      <c r="DW125" s="722"/>
      <c r="DX125" s="722"/>
      <c r="DY125" s="722"/>
      <c r="DZ125" s="722"/>
      <c r="EA125" s="722"/>
      <c r="EB125" s="722"/>
      <c r="EC125" s="722"/>
      <c r="ED125" s="722"/>
      <c r="EE125" s="722"/>
      <c r="EF125" s="722"/>
      <c r="EG125" s="722"/>
      <c r="EH125" s="722"/>
      <c r="EI125" s="722"/>
      <c r="EJ125" s="722"/>
      <c r="EK125" s="722"/>
      <c r="EL125" s="722"/>
      <c r="EM125" s="722"/>
      <c r="EN125" s="721"/>
      <c r="EO125" s="721"/>
      <c r="EP125" s="721"/>
      <c r="EQ125" s="722"/>
      <c r="ER125" s="722"/>
      <c r="ES125" s="722"/>
      <c r="ET125" s="722"/>
      <c r="EU125" s="722"/>
      <c r="EV125" s="722"/>
      <c r="EW125" s="721"/>
      <c r="EX125" s="721"/>
      <c r="EY125" s="721"/>
      <c r="EZ125" s="721"/>
      <c r="FA125" s="721"/>
      <c r="FB125" s="721"/>
      <c r="FC125" s="721"/>
      <c r="FD125" s="630"/>
      <c r="FE125" s="721"/>
      <c r="FF125" s="721"/>
      <c r="FG125" s="721"/>
      <c r="FH125" s="721"/>
      <c r="FI125" s="721"/>
      <c r="FJ125" s="721"/>
      <c r="FK125" s="721"/>
      <c r="FL125" s="721"/>
      <c r="FM125" s="721"/>
      <c r="FN125" s="721"/>
      <c r="FO125" s="721"/>
      <c r="FP125" s="721"/>
      <c r="FQ125" s="721"/>
      <c r="FR125" s="722"/>
      <c r="FS125" s="722"/>
      <c r="FT125" s="722"/>
      <c r="FU125" s="722"/>
      <c r="FV125" s="722"/>
      <c r="FW125" s="722"/>
      <c r="FX125" s="722"/>
      <c r="FY125" s="722"/>
      <c r="GA125" s="722"/>
      <c r="GB125" s="722"/>
      <c r="GD125" s="721"/>
      <c r="GE125" s="721"/>
      <c r="GF125" s="734"/>
      <c r="GG125" s="722"/>
      <c r="GH125" s="722"/>
      <c r="GI125" s="732"/>
      <c r="GJ125" s="722"/>
      <c r="GK125" s="722"/>
      <c r="GL125" s="722"/>
      <c r="GM125" s="721"/>
      <c r="GN125" s="721"/>
      <c r="GO125" s="721"/>
      <c r="GP125" s="732"/>
      <c r="GQ125" s="732"/>
      <c r="GR125" s="732"/>
      <c r="GS125" s="722"/>
      <c r="GT125" s="722"/>
      <c r="GU125" s="722"/>
      <c r="GV125" s="722"/>
      <c r="GW125" s="722"/>
      <c r="GX125" s="722"/>
      <c r="GY125" s="721"/>
      <c r="GZ125" s="721"/>
      <c r="HA125" s="721"/>
      <c r="HB125" s="721"/>
      <c r="HC125" s="721"/>
      <c r="HD125" s="721"/>
      <c r="HE125" s="721"/>
      <c r="HF125" s="721"/>
      <c r="HG125" s="721"/>
      <c r="HH125" s="721"/>
      <c r="HI125" s="721"/>
      <c r="HJ125" s="721"/>
      <c r="HK125" s="721"/>
      <c r="HL125" s="721"/>
      <c r="HM125" s="721"/>
      <c r="HN125" s="722"/>
      <c r="HO125" s="722"/>
      <c r="HP125" s="722"/>
      <c r="HQ125" s="721"/>
      <c r="HR125" s="721"/>
      <c r="HS125" s="721"/>
      <c r="HT125" s="721"/>
      <c r="HU125" s="721"/>
      <c r="HV125" s="721"/>
      <c r="HW125" s="721"/>
      <c r="HX125" s="721"/>
      <c r="HY125" s="721"/>
      <c r="HZ125" s="721"/>
      <c r="IA125" s="721"/>
      <c r="IB125" s="721"/>
      <c r="IC125" s="721"/>
      <c r="ID125" s="721"/>
      <c r="IE125" s="721"/>
      <c r="IF125" s="721"/>
      <c r="IG125" s="721"/>
      <c r="IH125" s="721"/>
      <c r="II125" s="721"/>
      <c r="IJ125" s="721"/>
      <c r="IK125" s="721"/>
      <c r="IL125" s="721"/>
      <c r="IM125" s="721"/>
      <c r="IN125" s="721"/>
      <c r="IO125" s="721"/>
      <c r="IP125" s="721"/>
      <c r="IQ125" s="721"/>
      <c r="IR125" s="721"/>
      <c r="IS125" s="721"/>
      <c r="IT125" s="721"/>
      <c r="IU125" s="721"/>
      <c r="IV125" s="721"/>
      <c r="IW125" s="721"/>
      <c r="IX125" s="721"/>
      <c r="IY125" s="721"/>
      <c r="IZ125" s="721"/>
      <c r="JA125" s="721"/>
      <c r="JB125" s="721"/>
      <c r="JC125" s="721"/>
      <c r="JD125" s="721"/>
      <c r="JE125" s="721"/>
      <c r="JF125" s="721"/>
      <c r="JG125" s="721"/>
      <c r="JH125" s="721"/>
      <c r="JI125" s="721"/>
      <c r="JJ125" s="721"/>
      <c r="JK125" s="721"/>
      <c r="JL125" s="721"/>
      <c r="JM125" s="721"/>
      <c r="JN125" s="721"/>
      <c r="JO125" s="721"/>
      <c r="JP125" s="721"/>
      <c r="JQ125" s="721"/>
      <c r="JR125" s="721"/>
      <c r="JS125" s="721"/>
      <c r="JT125" s="721"/>
      <c r="JU125" s="721"/>
      <c r="JV125" s="721"/>
      <c r="JW125" s="721"/>
      <c r="JX125" s="721"/>
      <c r="JY125" s="721"/>
      <c r="JZ125" s="721"/>
      <c r="KA125" s="721"/>
      <c r="KB125" s="721"/>
      <c r="KC125" s="721"/>
      <c r="KD125" s="721"/>
      <c r="KE125" s="721"/>
      <c r="KF125" s="721"/>
      <c r="KG125" s="721"/>
      <c r="KH125" s="721"/>
      <c r="KI125" s="721"/>
      <c r="KJ125" s="721"/>
      <c r="KK125" s="721"/>
      <c r="KL125" s="721"/>
      <c r="KM125" s="721"/>
      <c r="KN125" s="721"/>
      <c r="KO125" s="721"/>
      <c r="KP125" s="721"/>
      <c r="KQ125" s="721"/>
      <c r="KR125" s="721"/>
      <c r="KS125" s="721"/>
      <c r="KT125" s="721"/>
      <c r="KU125" s="721"/>
      <c r="KV125" s="721"/>
      <c r="KW125" s="721"/>
      <c r="KX125" s="721"/>
      <c r="KY125" s="721"/>
      <c r="KZ125" s="721"/>
      <c r="LA125" s="721"/>
      <c r="LB125" s="721"/>
      <c r="LC125" s="721"/>
      <c r="LD125" s="721"/>
      <c r="LE125" s="721"/>
      <c r="LF125" s="721"/>
      <c r="LG125" s="721"/>
      <c r="LH125" s="721"/>
      <c r="LI125" s="721"/>
      <c r="LJ125" s="721"/>
      <c r="LK125" s="721"/>
      <c r="LL125" s="721"/>
      <c r="LM125" s="721"/>
      <c r="LN125" s="721"/>
      <c r="LO125" s="721"/>
      <c r="LP125" s="721"/>
      <c r="LQ125" s="721"/>
      <c r="LR125" s="721"/>
      <c r="LS125" s="721"/>
      <c r="LT125" s="721"/>
      <c r="LU125" s="721"/>
      <c r="LV125" s="721"/>
      <c r="LW125" s="721"/>
      <c r="LX125" s="721"/>
      <c r="LY125" s="721"/>
      <c r="LZ125" s="721"/>
      <c r="MA125" s="721"/>
      <c r="MB125" s="721"/>
      <c r="MC125" s="721"/>
      <c r="MD125" s="721"/>
      <c r="ME125" s="721"/>
      <c r="MF125" s="721"/>
      <c r="MG125" s="721"/>
      <c r="MH125" s="721"/>
      <c r="MI125" s="721"/>
      <c r="MJ125" s="721"/>
      <c r="MK125" s="721"/>
      <c r="ML125" s="721"/>
      <c r="MM125" s="721"/>
      <c r="MN125" s="721"/>
      <c r="MO125" s="721"/>
      <c r="MP125" s="721"/>
      <c r="MQ125" s="721"/>
    </row>
    <row r="126" spans="1:355">
      <c r="A126" s="634"/>
      <c r="B126" s="721"/>
      <c r="U126" s="721"/>
      <c r="V126" s="721"/>
      <c r="W126" s="721"/>
      <c r="X126" s="721"/>
      <c r="Y126" s="721"/>
      <c r="Z126" s="721"/>
      <c r="AA126" s="721"/>
      <c r="AB126" s="721"/>
      <c r="AC126" s="721"/>
      <c r="AJ126" s="722"/>
      <c r="AK126" s="722"/>
      <c r="AL126" s="722"/>
      <c r="AM126" s="722"/>
      <c r="AN126" s="722"/>
      <c r="AO126" s="722"/>
      <c r="AP126" s="722"/>
      <c r="AQ126" s="722"/>
      <c r="AR126" s="722"/>
      <c r="AS126" s="722"/>
      <c r="AT126" s="722"/>
      <c r="AU126" s="722"/>
      <c r="AV126" s="721"/>
      <c r="AW126" s="721"/>
      <c r="AX126" s="721"/>
      <c r="AY126" s="721"/>
      <c r="AZ126" s="721"/>
      <c r="BA126" s="721"/>
      <c r="BB126" s="721"/>
      <c r="BC126" s="721"/>
      <c r="BD126" s="721"/>
      <c r="BE126" s="721"/>
      <c r="BF126" s="721"/>
      <c r="BG126" s="721"/>
      <c r="BH126" s="721"/>
      <c r="BI126" s="721"/>
      <c r="BJ126" s="721"/>
      <c r="BK126" s="721"/>
      <c r="BL126" s="721"/>
      <c r="BM126" s="721"/>
      <c r="BN126" s="722"/>
      <c r="BO126" s="722"/>
      <c r="BP126" s="722"/>
      <c r="BQ126" s="721"/>
      <c r="BR126" s="721"/>
      <c r="BS126" s="721"/>
      <c r="BT126" s="721"/>
      <c r="BU126" s="721"/>
      <c r="BV126" s="721"/>
      <c r="BW126" s="721"/>
      <c r="BX126" s="721"/>
      <c r="BY126" s="721"/>
      <c r="BZ126" s="722"/>
      <c r="CA126" s="722"/>
      <c r="CB126" s="722"/>
      <c r="CC126" s="721"/>
      <c r="CD126" s="721"/>
      <c r="CE126" s="721"/>
      <c r="CF126" s="721"/>
      <c r="CG126" s="721"/>
      <c r="CH126" s="721"/>
      <c r="CI126" s="721"/>
      <c r="CJ126" s="721"/>
      <c r="CK126" s="721"/>
      <c r="CL126" s="722"/>
      <c r="CM126" s="722"/>
      <c r="CN126" s="722"/>
      <c r="CO126" s="721"/>
      <c r="CP126" s="721"/>
      <c r="CQ126" s="721"/>
      <c r="CR126" s="721"/>
      <c r="CS126" s="721"/>
      <c r="CT126" s="721"/>
      <c r="CU126" s="721"/>
      <c r="CV126" s="721"/>
      <c r="CW126" s="721"/>
      <c r="CX126" s="721"/>
      <c r="CY126" s="721"/>
      <c r="CZ126" s="721"/>
      <c r="DA126" s="735"/>
      <c r="DB126" s="735"/>
      <c r="DC126" s="735"/>
      <c r="DD126" s="722"/>
      <c r="DE126" s="722"/>
      <c r="DF126" s="722"/>
      <c r="DG126" s="722"/>
      <c r="DH126" s="722"/>
      <c r="DI126" s="722"/>
      <c r="DJ126" s="722"/>
      <c r="DK126" s="722"/>
      <c r="DL126" s="722"/>
      <c r="DM126" s="722"/>
      <c r="DN126" s="722"/>
      <c r="DO126" s="722"/>
      <c r="DP126" s="722"/>
      <c r="DQ126" s="722"/>
      <c r="DR126" s="722"/>
      <c r="DS126" s="722"/>
      <c r="DT126" s="722"/>
      <c r="DU126" s="722"/>
      <c r="DV126" s="722"/>
      <c r="DW126" s="722"/>
      <c r="DX126" s="722"/>
      <c r="DY126" s="722"/>
      <c r="DZ126" s="722"/>
      <c r="EA126" s="722"/>
      <c r="EB126" s="722"/>
      <c r="EC126" s="722"/>
      <c r="ED126" s="722"/>
      <c r="EE126" s="722"/>
      <c r="EF126" s="722"/>
      <c r="EG126" s="722"/>
      <c r="EH126" s="722"/>
      <c r="EI126" s="722"/>
      <c r="EJ126" s="722"/>
      <c r="EK126" s="722"/>
      <c r="EL126" s="722"/>
      <c r="EM126" s="722"/>
      <c r="EN126" s="721"/>
      <c r="EO126" s="721"/>
      <c r="EP126" s="721"/>
      <c r="EQ126" s="722"/>
      <c r="ER126" s="722"/>
      <c r="ES126" s="722"/>
      <c r="ET126" s="722"/>
      <c r="EU126" s="722"/>
      <c r="EV126" s="722"/>
      <c r="EW126" s="721"/>
      <c r="EX126" s="721"/>
      <c r="EY126" s="721"/>
      <c r="EZ126" s="721"/>
      <c r="FA126" s="721"/>
      <c r="FB126" s="721"/>
      <c r="FC126" s="721"/>
      <c r="FD126" s="630"/>
      <c r="FE126" s="721"/>
      <c r="FF126" s="721"/>
      <c r="FG126" s="721"/>
      <c r="FH126" s="721"/>
      <c r="FI126" s="721"/>
      <c r="FJ126" s="721"/>
      <c r="FK126" s="721"/>
      <c r="FL126" s="721"/>
      <c r="FM126" s="721"/>
      <c r="FN126" s="721"/>
      <c r="FO126" s="721"/>
      <c r="FP126" s="721"/>
      <c r="FQ126" s="721"/>
      <c r="FR126" s="722"/>
      <c r="FS126" s="722"/>
      <c r="FT126" s="722"/>
      <c r="FU126" s="722"/>
      <c r="FV126" s="722"/>
      <c r="FW126" s="722"/>
      <c r="FX126" s="722"/>
      <c r="FY126" s="722"/>
      <c r="GA126" s="722"/>
      <c r="GB126" s="722"/>
      <c r="GD126" s="721"/>
      <c r="GE126" s="721"/>
      <c r="GF126" s="734"/>
      <c r="GG126" s="722"/>
      <c r="GH126" s="722"/>
      <c r="GI126" s="732"/>
      <c r="GJ126" s="722"/>
      <c r="GK126" s="722"/>
      <c r="GL126" s="722"/>
      <c r="GM126" s="721"/>
      <c r="GN126" s="721"/>
      <c r="GO126" s="721"/>
      <c r="GP126" s="732"/>
      <c r="GQ126" s="732"/>
      <c r="GR126" s="732"/>
      <c r="GS126" s="722"/>
      <c r="GT126" s="722"/>
      <c r="GU126" s="722"/>
      <c r="GV126" s="722"/>
      <c r="GW126" s="722"/>
      <c r="GX126" s="722"/>
      <c r="GY126" s="721"/>
      <c r="GZ126" s="721"/>
      <c r="HA126" s="721"/>
      <c r="HB126" s="721"/>
      <c r="HC126" s="721"/>
      <c r="HD126" s="721"/>
      <c r="HE126" s="721"/>
      <c r="HF126" s="721"/>
      <c r="HG126" s="721"/>
      <c r="HH126" s="721"/>
      <c r="HI126" s="721"/>
      <c r="HJ126" s="721"/>
      <c r="HK126" s="721"/>
      <c r="HL126" s="721"/>
      <c r="HM126" s="721"/>
      <c r="HN126" s="722"/>
      <c r="HO126" s="722"/>
      <c r="HP126" s="722"/>
      <c r="HQ126" s="721"/>
      <c r="HR126" s="721"/>
      <c r="HS126" s="721"/>
      <c r="HT126" s="721"/>
      <c r="HU126" s="721"/>
      <c r="HV126" s="721"/>
      <c r="HW126" s="721"/>
      <c r="HX126" s="721"/>
      <c r="HY126" s="721"/>
      <c r="HZ126" s="721"/>
      <c r="IA126" s="721"/>
      <c r="IB126" s="721"/>
      <c r="IC126" s="721"/>
      <c r="ID126" s="721"/>
      <c r="IE126" s="721"/>
      <c r="IF126" s="721"/>
      <c r="IG126" s="721"/>
      <c r="IH126" s="721"/>
      <c r="II126" s="721"/>
      <c r="IJ126" s="721"/>
      <c r="IK126" s="721"/>
      <c r="IL126" s="721"/>
      <c r="IM126" s="721"/>
      <c r="IN126" s="721"/>
      <c r="IO126" s="721"/>
      <c r="IP126" s="721"/>
      <c r="IQ126" s="721"/>
      <c r="IR126" s="721"/>
      <c r="IS126" s="721"/>
      <c r="IT126" s="721"/>
      <c r="IU126" s="721"/>
      <c r="IV126" s="721"/>
      <c r="IW126" s="721"/>
      <c r="IX126" s="721"/>
      <c r="IY126" s="721"/>
      <c r="IZ126" s="721"/>
      <c r="JA126" s="721"/>
      <c r="JB126" s="721"/>
      <c r="JC126" s="721"/>
      <c r="JD126" s="721"/>
      <c r="JE126" s="721"/>
      <c r="JF126" s="721"/>
      <c r="JG126" s="721"/>
      <c r="JH126" s="721"/>
      <c r="JI126" s="721"/>
      <c r="JJ126" s="721"/>
      <c r="JK126" s="721"/>
      <c r="JL126" s="721"/>
      <c r="JM126" s="721"/>
      <c r="JN126" s="721"/>
      <c r="JO126" s="721"/>
      <c r="JP126" s="721"/>
      <c r="JQ126" s="721"/>
      <c r="JR126" s="721"/>
      <c r="JS126" s="721"/>
      <c r="JT126" s="721"/>
      <c r="JU126" s="721"/>
      <c r="JV126" s="721"/>
      <c r="JW126" s="721"/>
      <c r="JX126" s="721"/>
      <c r="JY126" s="721"/>
      <c r="JZ126" s="721"/>
      <c r="KA126" s="721"/>
      <c r="KB126" s="721"/>
      <c r="KC126" s="721"/>
      <c r="KD126" s="721"/>
      <c r="KE126" s="721"/>
      <c r="KF126" s="721"/>
      <c r="KG126" s="721"/>
      <c r="KH126" s="721"/>
      <c r="KI126" s="721"/>
      <c r="KJ126" s="721"/>
      <c r="KK126" s="721"/>
      <c r="KL126" s="721"/>
      <c r="KM126" s="721"/>
      <c r="KN126" s="721"/>
      <c r="KO126" s="721"/>
      <c r="KP126" s="721"/>
      <c r="KQ126" s="721"/>
      <c r="KR126" s="721"/>
      <c r="KS126" s="721"/>
      <c r="KT126" s="721"/>
      <c r="KU126" s="721"/>
      <c r="KV126" s="721"/>
      <c r="KW126" s="721"/>
      <c r="KX126" s="721"/>
      <c r="KY126" s="721"/>
      <c r="KZ126" s="721"/>
      <c r="LA126" s="721"/>
      <c r="LB126" s="721"/>
      <c r="LC126" s="721"/>
      <c r="LD126" s="721"/>
      <c r="LE126" s="721"/>
      <c r="LF126" s="721"/>
      <c r="LG126" s="721"/>
      <c r="LH126" s="721"/>
      <c r="LI126" s="721"/>
      <c r="LJ126" s="721"/>
      <c r="LK126" s="721"/>
      <c r="LL126" s="721"/>
      <c r="LM126" s="721"/>
      <c r="LN126" s="721"/>
      <c r="LO126" s="721"/>
      <c r="LP126" s="721"/>
      <c r="LQ126" s="721"/>
      <c r="LR126" s="721"/>
      <c r="LS126" s="721"/>
      <c r="LT126" s="721"/>
      <c r="LU126" s="721"/>
      <c r="LV126" s="721"/>
      <c r="LW126" s="721"/>
      <c r="LX126" s="721"/>
      <c r="LY126" s="721"/>
      <c r="LZ126" s="721"/>
      <c r="MA126" s="721"/>
      <c r="MB126" s="721"/>
      <c r="MC126" s="721"/>
      <c r="MD126" s="721"/>
      <c r="ME126" s="721"/>
      <c r="MF126" s="721"/>
      <c r="MG126" s="721"/>
      <c r="MH126" s="721"/>
      <c r="MI126" s="721"/>
      <c r="MJ126" s="721"/>
      <c r="MK126" s="721"/>
      <c r="ML126" s="721"/>
      <c r="MM126" s="721"/>
      <c r="MN126" s="721"/>
      <c r="MO126" s="721"/>
      <c r="MP126" s="721"/>
      <c r="MQ126" s="721"/>
    </row>
    <row r="127" spans="1:355">
      <c r="A127" s="634"/>
      <c r="B127" s="721"/>
      <c r="U127" s="721"/>
      <c r="V127" s="721"/>
      <c r="W127" s="721"/>
      <c r="X127" s="721"/>
      <c r="Y127" s="721"/>
      <c r="Z127" s="721"/>
      <c r="AA127" s="721"/>
      <c r="AB127" s="721"/>
      <c r="AC127" s="721"/>
      <c r="AJ127" s="722"/>
      <c r="AK127" s="722"/>
      <c r="AL127" s="722"/>
      <c r="AM127" s="722"/>
      <c r="AN127" s="722"/>
      <c r="AO127" s="722"/>
      <c r="AP127" s="722"/>
      <c r="AQ127" s="722"/>
      <c r="AR127" s="722"/>
      <c r="AS127" s="722"/>
      <c r="AT127" s="722"/>
      <c r="AU127" s="722"/>
      <c r="AV127" s="721"/>
      <c r="AW127" s="721"/>
      <c r="AX127" s="721"/>
      <c r="AY127" s="721"/>
      <c r="AZ127" s="721"/>
      <c r="BA127" s="721"/>
      <c r="BB127" s="721"/>
      <c r="BC127" s="721"/>
      <c r="BD127" s="721"/>
      <c r="BE127" s="721"/>
      <c r="BF127" s="721"/>
      <c r="BG127" s="721"/>
      <c r="BH127" s="721"/>
      <c r="BI127" s="721"/>
      <c r="BJ127" s="721"/>
      <c r="BK127" s="721"/>
      <c r="BL127" s="721"/>
      <c r="BM127" s="721"/>
      <c r="BN127" s="722"/>
      <c r="BO127" s="722"/>
      <c r="BP127" s="722"/>
      <c r="BQ127" s="721"/>
      <c r="BR127" s="721"/>
      <c r="BS127" s="721"/>
      <c r="BT127" s="721"/>
      <c r="BU127" s="721"/>
      <c r="BV127" s="721"/>
      <c r="BW127" s="721"/>
      <c r="BX127" s="721"/>
      <c r="BY127" s="721"/>
      <c r="BZ127" s="722"/>
      <c r="CA127" s="722"/>
      <c r="CB127" s="722"/>
      <c r="CC127" s="721"/>
      <c r="CD127" s="721"/>
      <c r="CE127" s="721"/>
      <c r="CF127" s="721"/>
      <c r="CG127" s="721"/>
      <c r="CH127" s="721"/>
      <c r="CI127" s="721"/>
      <c r="CJ127" s="721"/>
      <c r="CK127" s="721"/>
      <c r="CL127" s="722"/>
      <c r="CM127" s="722"/>
      <c r="CN127" s="722"/>
      <c r="CO127" s="721"/>
      <c r="CP127" s="721"/>
      <c r="CQ127" s="721"/>
      <c r="CR127" s="721"/>
      <c r="CS127" s="721"/>
      <c r="CT127" s="721"/>
      <c r="CU127" s="721"/>
      <c r="CV127" s="721"/>
      <c r="CW127" s="721"/>
      <c r="CX127" s="721"/>
      <c r="CY127" s="721"/>
      <c r="CZ127" s="721"/>
      <c r="DA127" s="722"/>
      <c r="DB127" s="722"/>
      <c r="DC127" s="722"/>
      <c r="DD127" s="722"/>
      <c r="DE127" s="722"/>
      <c r="DF127" s="722"/>
      <c r="DG127" s="722"/>
      <c r="DH127" s="722"/>
      <c r="DI127" s="722"/>
      <c r="DJ127" s="722"/>
      <c r="DK127" s="722"/>
      <c r="DL127" s="722"/>
      <c r="DM127" s="722"/>
      <c r="DN127" s="722"/>
      <c r="DO127" s="722"/>
      <c r="DP127" s="722"/>
      <c r="DQ127" s="722"/>
      <c r="DR127" s="722"/>
      <c r="DS127" s="722"/>
      <c r="DT127" s="722"/>
      <c r="DU127" s="722"/>
      <c r="DV127" s="722"/>
      <c r="DW127" s="722"/>
      <c r="DX127" s="722"/>
      <c r="DY127" s="722"/>
      <c r="DZ127" s="722"/>
      <c r="EA127" s="722"/>
      <c r="EB127" s="722"/>
      <c r="EC127" s="722"/>
      <c r="ED127" s="722"/>
      <c r="EE127" s="722"/>
      <c r="EF127" s="722"/>
      <c r="EG127" s="722"/>
      <c r="EH127" s="722"/>
      <c r="EI127" s="722"/>
      <c r="EJ127" s="722"/>
      <c r="EK127" s="722"/>
      <c r="EL127" s="722"/>
      <c r="EM127" s="722"/>
      <c r="EN127" s="721"/>
      <c r="EO127" s="721"/>
      <c r="EP127" s="721"/>
      <c r="EQ127" s="722"/>
      <c r="ER127" s="722"/>
      <c r="ES127" s="722"/>
      <c r="ET127" s="722"/>
      <c r="EU127" s="722"/>
      <c r="EV127" s="722"/>
      <c r="EW127" s="721"/>
      <c r="EX127" s="721"/>
      <c r="EY127" s="721"/>
      <c r="EZ127" s="721"/>
      <c r="FA127" s="721"/>
      <c r="FB127" s="721"/>
      <c r="FC127" s="721"/>
      <c r="FD127" s="630"/>
      <c r="FE127" s="721"/>
      <c r="FF127" s="721"/>
      <c r="FG127" s="721"/>
      <c r="FH127" s="721"/>
      <c r="FI127" s="721"/>
      <c r="FJ127" s="721"/>
      <c r="FK127" s="721"/>
      <c r="FL127" s="721"/>
      <c r="FM127" s="721"/>
      <c r="FN127" s="721"/>
      <c r="FO127" s="721"/>
      <c r="FP127" s="721"/>
      <c r="FQ127" s="721"/>
      <c r="FR127" s="722"/>
      <c r="FS127" s="722"/>
      <c r="FT127" s="722"/>
      <c r="FU127" s="722"/>
      <c r="FV127" s="722"/>
      <c r="FW127" s="722"/>
      <c r="FX127" s="722"/>
      <c r="FY127" s="722"/>
      <c r="GA127" s="722"/>
      <c r="GB127" s="722"/>
      <c r="GD127" s="721"/>
      <c r="GE127" s="721"/>
      <c r="GF127" s="734"/>
      <c r="GG127" s="722"/>
      <c r="GH127" s="722"/>
      <c r="GI127" s="732"/>
      <c r="GJ127" s="722"/>
      <c r="GK127" s="722"/>
      <c r="GL127" s="722"/>
      <c r="GM127" s="721"/>
      <c r="GN127" s="721"/>
      <c r="GO127" s="721"/>
      <c r="GP127" s="732"/>
      <c r="GQ127" s="732"/>
      <c r="GR127" s="732"/>
      <c r="GS127" s="722"/>
      <c r="GT127" s="722"/>
      <c r="GU127" s="722"/>
      <c r="GV127" s="722"/>
      <c r="GW127" s="722"/>
      <c r="GX127" s="722"/>
      <c r="GY127" s="721"/>
      <c r="GZ127" s="721"/>
      <c r="HA127" s="721"/>
      <c r="HB127" s="721"/>
      <c r="HC127" s="721"/>
      <c r="HD127" s="721"/>
      <c r="HE127" s="721"/>
      <c r="HF127" s="721"/>
      <c r="HG127" s="721"/>
      <c r="HH127" s="721"/>
      <c r="HI127" s="721"/>
      <c r="HJ127" s="721"/>
      <c r="HK127" s="721"/>
      <c r="HL127" s="721"/>
      <c r="HM127" s="721"/>
      <c r="HN127" s="722"/>
      <c r="HO127" s="722"/>
      <c r="HP127" s="722"/>
      <c r="HQ127" s="721"/>
      <c r="HR127" s="721"/>
      <c r="HS127" s="721"/>
      <c r="HT127" s="721"/>
      <c r="HU127" s="721"/>
      <c r="HV127" s="721"/>
      <c r="HW127" s="721"/>
      <c r="HX127" s="721"/>
      <c r="HY127" s="721"/>
      <c r="HZ127" s="721"/>
      <c r="IA127" s="721"/>
      <c r="IB127" s="721"/>
      <c r="IC127" s="721"/>
      <c r="ID127" s="721"/>
      <c r="IE127" s="721"/>
      <c r="IF127" s="721"/>
      <c r="IG127" s="721"/>
      <c r="IH127" s="721"/>
      <c r="II127" s="721"/>
      <c r="IJ127" s="721"/>
      <c r="IK127" s="721"/>
      <c r="IL127" s="721"/>
      <c r="IM127" s="721"/>
      <c r="IN127" s="721"/>
      <c r="IO127" s="721"/>
      <c r="IP127" s="721"/>
      <c r="IQ127" s="721"/>
      <c r="IR127" s="721"/>
      <c r="IS127" s="721"/>
      <c r="IT127" s="721"/>
      <c r="IU127" s="721"/>
      <c r="IV127" s="721"/>
      <c r="IW127" s="721"/>
      <c r="IX127" s="721"/>
      <c r="IY127" s="721"/>
      <c r="IZ127" s="721"/>
      <c r="JA127" s="721"/>
      <c r="JB127" s="721"/>
      <c r="JC127" s="721"/>
      <c r="JD127" s="721"/>
      <c r="JE127" s="721"/>
      <c r="JF127" s="721"/>
      <c r="JG127" s="721"/>
      <c r="JH127" s="721"/>
      <c r="JI127" s="721"/>
      <c r="JJ127" s="721"/>
      <c r="JK127" s="721"/>
      <c r="JL127" s="721"/>
      <c r="JM127" s="721"/>
      <c r="JN127" s="721"/>
      <c r="JO127" s="721"/>
      <c r="JP127" s="721"/>
      <c r="JQ127" s="721"/>
      <c r="JR127" s="721"/>
      <c r="JS127" s="721"/>
      <c r="JT127" s="721"/>
      <c r="JU127" s="721"/>
      <c r="JV127" s="721">
        <v>9487.14</v>
      </c>
      <c r="JW127" s="721"/>
      <c r="JX127" s="721">
        <v>25.827000000000002</v>
      </c>
      <c r="JY127" s="721"/>
      <c r="JZ127" s="721"/>
      <c r="KA127" s="721"/>
      <c r="KB127" s="721">
        <v>9420.5840000000007</v>
      </c>
      <c r="KC127" s="721"/>
      <c r="KD127" s="721"/>
      <c r="KE127" s="721">
        <v>9408.7929999999997</v>
      </c>
      <c r="KF127" s="721"/>
      <c r="KG127" s="721"/>
      <c r="KH127" s="721">
        <v>9362.3610000000008</v>
      </c>
      <c r="KI127" s="721"/>
      <c r="KJ127" s="721"/>
      <c r="KK127" s="721">
        <v>9217.2459999999992</v>
      </c>
      <c r="KL127" s="721"/>
      <c r="KM127" s="721"/>
      <c r="KN127" s="721">
        <v>9247.1679999999997</v>
      </c>
      <c r="KO127" s="721"/>
      <c r="KP127" s="721"/>
      <c r="KQ127" s="721">
        <v>9247.0740000000005</v>
      </c>
      <c r="KR127" s="721"/>
      <c r="KS127" s="721"/>
      <c r="KT127" s="721">
        <v>9218.52</v>
      </c>
      <c r="KU127" s="721"/>
      <c r="KV127" s="721"/>
      <c r="KW127" s="721">
        <v>9274.7160000000003</v>
      </c>
      <c r="KX127" s="721">
        <v>21.853999999999999</v>
      </c>
      <c r="KY127" s="721"/>
      <c r="KZ127" s="721"/>
      <c r="LA127" s="721"/>
      <c r="LB127" s="721"/>
      <c r="LC127" s="721"/>
      <c r="LD127" s="721"/>
      <c r="LE127" s="721"/>
      <c r="LF127" s="721"/>
      <c r="LG127" s="721"/>
      <c r="LH127" s="721"/>
      <c r="LI127" s="721"/>
      <c r="LJ127" s="721"/>
      <c r="LK127" s="721"/>
      <c r="LL127" s="721"/>
      <c r="LM127" s="721"/>
      <c r="LN127" s="721"/>
      <c r="LO127" s="721"/>
      <c r="LP127" s="721"/>
      <c r="LQ127" s="721"/>
      <c r="LR127" s="721"/>
      <c r="LS127" s="721"/>
      <c r="LT127" s="721"/>
      <c r="LU127" s="721"/>
      <c r="LV127" s="721"/>
      <c r="LW127" s="721"/>
      <c r="LX127" s="721"/>
      <c r="LY127" s="721"/>
      <c r="LZ127" s="721"/>
      <c r="MA127" s="721"/>
      <c r="MB127" s="721"/>
      <c r="MC127" s="721"/>
      <c r="MD127" s="721"/>
      <c r="ME127" s="721"/>
      <c r="MF127" s="721"/>
      <c r="MG127" s="721"/>
      <c r="MH127" s="721"/>
      <c r="MI127" s="721"/>
      <c r="MJ127" s="721"/>
      <c r="MK127" s="721"/>
      <c r="ML127" s="721"/>
      <c r="MM127" s="721"/>
      <c r="MN127" s="721"/>
      <c r="MO127" s="721"/>
      <c r="MP127" s="721"/>
      <c r="MQ127" s="721"/>
    </row>
    <row r="128" spans="1:355">
      <c r="A128" s="634"/>
      <c r="B128" s="721"/>
      <c r="U128" s="721"/>
      <c r="V128" s="721"/>
      <c r="W128" s="721"/>
      <c r="X128" s="721"/>
      <c r="Y128" s="721"/>
      <c r="Z128" s="721"/>
      <c r="AA128" s="721"/>
      <c r="AB128" s="721"/>
      <c r="AC128" s="721"/>
      <c r="AJ128" s="722"/>
      <c r="AK128" s="722"/>
      <c r="AL128" s="722"/>
      <c r="AM128" s="722"/>
      <c r="AN128" s="722"/>
      <c r="AO128" s="722"/>
      <c r="AP128" s="722"/>
      <c r="AQ128" s="722"/>
      <c r="AR128" s="722"/>
      <c r="AS128" s="722"/>
      <c r="AT128" s="722"/>
      <c r="AU128" s="722"/>
      <c r="AV128" s="721"/>
      <c r="AW128" s="721"/>
      <c r="AX128" s="721"/>
      <c r="AY128" s="721"/>
      <c r="AZ128" s="721"/>
      <c r="BA128" s="721"/>
      <c r="BB128" s="721"/>
      <c r="BC128" s="721"/>
      <c r="BD128" s="721"/>
      <c r="BE128" s="721"/>
      <c r="BF128" s="721"/>
      <c r="BG128" s="721"/>
      <c r="BH128" s="721"/>
      <c r="BI128" s="721"/>
      <c r="BJ128" s="721"/>
      <c r="BK128" s="721"/>
      <c r="BL128" s="721"/>
      <c r="BM128" s="721"/>
      <c r="BN128" s="722"/>
      <c r="BO128" s="722"/>
      <c r="BP128" s="722"/>
      <c r="BQ128" s="721"/>
      <c r="BR128" s="721"/>
      <c r="BS128" s="721"/>
      <c r="BT128" s="721"/>
      <c r="BU128" s="721"/>
      <c r="BV128" s="721"/>
      <c r="BW128" s="721"/>
      <c r="BX128" s="721"/>
      <c r="BY128" s="721"/>
      <c r="BZ128" s="722"/>
      <c r="CA128" s="722"/>
      <c r="CB128" s="722"/>
      <c r="CC128" s="721"/>
      <c r="CD128" s="721"/>
      <c r="CE128" s="721"/>
      <c r="CF128" s="721"/>
      <c r="CG128" s="721"/>
      <c r="CH128" s="721"/>
      <c r="CI128" s="721"/>
      <c r="CJ128" s="721"/>
      <c r="CK128" s="721"/>
      <c r="CL128" s="722"/>
      <c r="CM128" s="722"/>
      <c r="CN128" s="722"/>
      <c r="CO128" s="721"/>
      <c r="CP128" s="721"/>
      <c r="CQ128" s="721"/>
      <c r="CR128" s="721"/>
      <c r="CS128" s="721"/>
      <c r="CT128" s="721"/>
      <c r="CU128" s="721"/>
      <c r="CV128" s="721"/>
      <c r="CW128" s="721"/>
      <c r="CX128" s="721"/>
      <c r="CY128" s="721"/>
      <c r="CZ128" s="721"/>
      <c r="DA128" s="722"/>
      <c r="DB128" s="722"/>
      <c r="DC128" s="722"/>
      <c r="DD128" s="722"/>
      <c r="DE128" s="722"/>
      <c r="DF128" s="722"/>
      <c r="DG128" s="722"/>
      <c r="DH128" s="722"/>
      <c r="DI128" s="722"/>
      <c r="DJ128" s="722"/>
      <c r="DK128" s="722"/>
      <c r="DL128" s="722"/>
      <c r="DM128" s="722"/>
      <c r="DN128" s="722"/>
      <c r="DO128" s="722"/>
      <c r="DP128" s="722"/>
      <c r="DQ128" s="722"/>
      <c r="DR128" s="722"/>
      <c r="DS128" s="722"/>
      <c r="DT128" s="722"/>
      <c r="DU128" s="722"/>
      <c r="DV128" s="722"/>
      <c r="DW128" s="722"/>
      <c r="DX128" s="722"/>
      <c r="DY128" s="722"/>
      <c r="DZ128" s="722"/>
      <c r="EA128" s="722"/>
      <c r="EB128" s="722"/>
      <c r="EC128" s="722"/>
      <c r="ED128" s="722"/>
      <c r="EE128" s="722"/>
      <c r="EF128" s="722"/>
      <c r="EG128" s="722"/>
      <c r="EH128" s="722"/>
      <c r="EI128" s="722"/>
      <c r="EJ128" s="722"/>
      <c r="EK128" s="722"/>
      <c r="EL128" s="722"/>
      <c r="EM128" s="722"/>
      <c r="EN128" s="721"/>
      <c r="EO128" s="721"/>
      <c r="EP128" s="721"/>
      <c r="EQ128" s="722"/>
      <c r="ER128" s="722"/>
      <c r="ES128" s="722"/>
      <c r="ET128" s="722"/>
      <c r="EU128" s="722"/>
      <c r="EV128" s="722"/>
      <c r="EW128" s="721"/>
      <c r="EX128" s="721"/>
      <c r="EY128" s="721"/>
      <c r="EZ128" s="721"/>
      <c r="FA128" s="721"/>
      <c r="FB128" s="721"/>
      <c r="FC128" s="721"/>
      <c r="FD128" s="630"/>
      <c r="FE128" s="721"/>
      <c r="FF128" s="721"/>
      <c r="FG128" s="721"/>
      <c r="FH128" s="721"/>
      <c r="FI128" s="721"/>
      <c r="FJ128" s="721"/>
      <c r="FK128" s="721"/>
      <c r="FL128" s="721"/>
      <c r="FM128" s="721"/>
      <c r="FN128" s="721"/>
      <c r="FO128" s="721"/>
      <c r="FP128" s="721"/>
      <c r="FQ128" s="721"/>
      <c r="FR128" s="722"/>
      <c r="FS128" s="722"/>
      <c r="FT128" s="722"/>
      <c r="FU128" s="722"/>
      <c r="FV128" s="722"/>
      <c r="FW128" s="722"/>
      <c r="FX128" s="722"/>
      <c r="FY128" s="722"/>
      <c r="GA128" s="722"/>
      <c r="GB128" s="722"/>
      <c r="GD128" s="721"/>
      <c r="GE128" s="721"/>
      <c r="GF128" s="734"/>
      <c r="GG128" s="722"/>
      <c r="GH128" s="722"/>
      <c r="GI128" s="732"/>
      <c r="GJ128" s="722"/>
      <c r="GK128" s="722"/>
      <c r="GL128" s="722"/>
      <c r="GM128" s="721"/>
      <c r="GN128" s="721"/>
      <c r="GO128" s="721"/>
      <c r="GP128" s="732"/>
      <c r="GQ128" s="732"/>
      <c r="GR128" s="732"/>
      <c r="GS128" s="722"/>
      <c r="GT128" s="722"/>
      <c r="GU128" s="722"/>
      <c r="GV128" s="722"/>
      <c r="GW128" s="722"/>
      <c r="GX128" s="722"/>
      <c r="GY128" s="721"/>
      <c r="GZ128" s="721"/>
      <c r="HA128" s="721"/>
      <c r="HB128" s="721"/>
      <c r="HC128" s="721"/>
      <c r="HD128" s="721"/>
      <c r="HE128" s="721"/>
      <c r="HF128" s="721"/>
      <c r="HG128" s="721"/>
      <c r="HH128" s="721"/>
      <c r="HI128" s="721"/>
      <c r="HJ128" s="721"/>
      <c r="HK128" s="721"/>
      <c r="HL128" s="721"/>
      <c r="HM128" s="721"/>
      <c r="HN128" s="722"/>
      <c r="HO128" s="722"/>
      <c r="HP128" s="722"/>
      <c r="HQ128" s="721"/>
      <c r="HR128" s="721"/>
      <c r="HS128" s="721"/>
      <c r="HT128" s="721"/>
      <c r="HU128" s="721"/>
      <c r="HV128" s="721"/>
      <c r="HW128" s="721"/>
      <c r="HX128" s="721"/>
      <c r="HY128" s="721"/>
      <c r="HZ128" s="721"/>
      <c r="IA128" s="721"/>
      <c r="IB128" s="721"/>
      <c r="IC128" s="721"/>
      <c r="ID128" s="721"/>
      <c r="IE128" s="721"/>
      <c r="IF128" s="721"/>
      <c r="IG128" s="721"/>
      <c r="IH128" s="721"/>
      <c r="II128" s="721"/>
      <c r="IJ128" s="721"/>
      <c r="IK128" s="721"/>
      <c r="IL128" s="721"/>
      <c r="IM128" s="721"/>
      <c r="IN128" s="721"/>
      <c r="IO128" s="721"/>
      <c r="IP128" s="721"/>
      <c r="IQ128" s="721"/>
      <c r="IR128" s="721"/>
      <c r="IS128" s="721"/>
      <c r="IT128" s="721"/>
      <c r="IU128" s="721"/>
      <c r="IV128" s="721"/>
      <c r="IW128" s="721"/>
      <c r="IX128" s="721"/>
      <c r="IY128" s="721"/>
      <c r="IZ128" s="721"/>
      <c r="JA128" s="721"/>
      <c r="JB128" s="721"/>
      <c r="JC128" s="721"/>
      <c r="JD128" s="721"/>
      <c r="JE128" s="721"/>
      <c r="JF128" s="721"/>
      <c r="JG128" s="721"/>
      <c r="JH128" s="721"/>
      <c r="JI128" s="721"/>
      <c r="JJ128" s="721"/>
      <c r="JK128" s="721"/>
      <c r="JL128" s="721"/>
      <c r="JM128" s="721"/>
      <c r="JN128" s="721"/>
      <c r="JO128" s="721"/>
      <c r="JP128" s="721"/>
      <c r="JQ128" s="721"/>
      <c r="JR128" s="721"/>
      <c r="JS128" s="721"/>
      <c r="JT128" s="721"/>
      <c r="JU128" s="721"/>
      <c r="JV128" s="721"/>
      <c r="JW128" s="721">
        <v>25.826726190476101</v>
      </c>
      <c r="JX128" s="721">
        <v>1.5628231292517001</v>
      </c>
      <c r="JY128" s="721">
        <v>6.0510000000000001E-2</v>
      </c>
      <c r="JZ128" s="721"/>
      <c r="KA128" s="721"/>
      <c r="KB128" s="721"/>
      <c r="KC128" s="721"/>
      <c r="KD128" s="721"/>
      <c r="KE128" s="721"/>
      <c r="KF128" s="721"/>
      <c r="KG128" s="721"/>
      <c r="KH128" s="721"/>
      <c r="KI128" s="721"/>
      <c r="KJ128" s="721"/>
      <c r="KK128" s="721"/>
      <c r="KL128" s="721"/>
      <c r="KM128" s="721"/>
      <c r="KN128" s="721"/>
      <c r="KO128" s="721"/>
      <c r="KP128" s="721"/>
      <c r="KQ128" s="721"/>
      <c r="KR128" s="721"/>
      <c r="KS128" s="721"/>
      <c r="KT128" s="721"/>
      <c r="KU128" s="721"/>
      <c r="KV128" s="721"/>
      <c r="KW128" s="721"/>
      <c r="KX128" s="721"/>
      <c r="KY128" s="721"/>
      <c r="KZ128" s="721"/>
      <c r="LA128" s="721"/>
      <c r="LB128" s="721"/>
      <c r="LC128" s="721"/>
      <c r="LD128" s="721"/>
      <c r="LE128" s="721"/>
      <c r="LF128" s="721"/>
      <c r="LG128" s="721">
        <v>26.6825825082508</v>
      </c>
      <c r="LH128" s="721">
        <v>1.5325907590759</v>
      </c>
      <c r="LI128" s="721"/>
      <c r="LJ128" s="721"/>
      <c r="LK128" s="721"/>
      <c r="LL128" s="721"/>
      <c r="LM128" s="721"/>
      <c r="LN128" s="721"/>
      <c r="LO128" s="721"/>
      <c r="LP128" s="721"/>
      <c r="LQ128" s="721"/>
      <c r="LR128" s="721"/>
      <c r="LS128" s="721">
        <v>25.796023102310201</v>
      </c>
      <c r="LT128" s="721">
        <v>1.51723906896439</v>
      </c>
      <c r="LU128" s="721"/>
      <c r="LV128" s="721"/>
      <c r="LW128" s="721"/>
      <c r="LX128" s="721"/>
      <c r="LY128" s="721"/>
      <c r="LZ128" s="721"/>
      <c r="MA128" s="721"/>
      <c r="MB128" s="721"/>
      <c r="MC128" s="721"/>
      <c r="MD128" s="721"/>
      <c r="ME128" s="721">
        <v>25.513451213818801</v>
      </c>
      <c r="MF128" s="721">
        <v>1.47872476534473</v>
      </c>
      <c r="MG128" s="721"/>
      <c r="MH128" s="721"/>
      <c r="MI128" s="721"/>
      <c r="MJ128" s="721"/>
      <c r="MK128" s="721"/>
      <c r="ML128" s="721"/>
      <c r="MM128" s="721"/>
      <c r="MN128" s="721"/>
      <c r="MO128" s="721"/>
      <c r="MP128" s="721"/>
      <c r="MQ128" s="721">
        <v>21.552963802480001</v>
      </c>
    </row>
    <row r="129" spans="1:355">
      <c r="A129" s="634"/>
      <c r="B129" s="721"/>
      <c r="U129" s="721"/>
      <c r="V129" s="721"/>
      <c r="W129" s="721"/>
      <c r="X129" s="721"/>
      <c r="Y129" s="721"/>
      <c r="Z129" s="721"/>
      <c r="AA129" s="721"/>
      <c r="AB129" s="721"/>
      <c r="AC129" s="721"/>
      <c r="AJ129" s="722"/>
      <c r="AK129" s="722"/>
      <c r="AL129" s="722"/>
      <c r="AM129" s="722"/>
      <c r="AN129" s="722"/>
      <c r="AO129" s="722"/>
      <c r="AP129" s="722"/>
      <c r="AQ129" s="722"/>
      <c r="AR129" s="722"/>
      <c r="AS129" s="722"/>
      <c r="AT129" s="722"/>
      <c r="AU129" s="722"/>
      <c r="AV129" s="721"/>
      <c r="AW129" s="721"/>
      <c r="AX129" s="721"/>
      <c r="AY129" s="721"/>
      <c r="AZ129" s="721"/>
      <c r="BA129" s="721"/>
      <c r="BB129" s="721"/>
      <c r="BC129" s="721"/>
      <c r="BD129" s="721"/>
      <c r="BE129" s="721"/>
      <c r="BF129" s="721"/>
      <c r="BG129" s="721"/>
      <c r="BH129" s="721"/>
      <c r="BI129" s="721"/>
      <c r="BJ129" s="721"/>
      <c r="BK129" s="721"/>
      <c r="BL129" s="721"/>
      <c r="BM129" s="721"/>
      <c r="BN129" s="722"/>
      <c r="BO129" s="722"/>
      <c r="BP129" s="722"/>
      <c r="BQ129" s="721"/>
      <c r="BR129" s="721"/>
      <c r="BS129" s="721"/>
      <c r="BT129" s="721"/>
      <c r="BU129" s="721"/>
      <c r="BV129" s="721"/>
      <c r="BW129" s="721"/>
      <c r="BX129" s="721"/>
      <c r="BY129" s="721"/>
      <c r="BZ129" s="722"/>
      <c r="CA129" s="722"/>
      <c r="CB129" s="722"/>
      <c r="CC129" s="721"/>
      <c r="CD129" s="721"/>
      <c r="CE129" s="721"/>
      <c r="CF129" s="721"/>
      <c r="CG129" s="721"/>
      <c r="CH129" s="721"/>
      <c r="CI129" s="721"/>
      <c r="CJ129" s="721"/>
      <c r="CK129" s="721"/>
      <c r="CL129" s="722"/>
      <c r="CM129" s="722"/>
      <c r="CN129" s="722"/>
      <c r="CO129" s="721"/>
      <c r="CP129" s="721"/>
      <c r="CQ129" s="721"/>
      <c r="CR129" s="721"/>
      <c r="CS129" s="721"/>
      <c r="CT129" s="721"/>
      <c r="CU129" s="721"/>
      <c r="CV129" s="721"/>
      <c r="CW129" s="721"/>
      <c r="CX129" s="721"/>
      <c r="CY129" s="721"/>
      <c r="CZ129" s="721"/>
      <c r="DA129" s="722"/>
      <c r="DB129" s="722"/>
      <c r="DC129" s="722"/>
      <c r="DD129" s="722"/>
      <c r="DE129" s="722"/>
      <c r="DF129" s="722"/>
      <c r="DG129" s="722"/>
      <c r="DH129" s="722"/>
      <c r="DI129" s="722"/>
      <c r="DJ129" s="722"/>
      <c r="DK129" s="722"/>
      <c r="DL129" s="722"/>
      <c r="DM129" s="722"/>
      <c r="DN129" s="722"/>
      <c r="DO129" s="722"/>
      <c r="DP129" s="722"/>
      <c r="DQ129" s="722"/>
      <c r="DR129" s="722"/>
      <c r="DS129" s="722"/>
      <c r="DT129" s="722"/>
      <c r="DU129" s="722"/>
      <c r="DV129" s="722"/>
      <c r="DW129" s="722"/>
      <c r="DX129" s="722"/>
      <c r="DY129" s="722"/>
      <c r="DZ129" s="722"/>
      <c r="EA129" s="722"/>
      <c r="EB129" s="722"/>
      <c r="EC129" s="722"/>
      <c r="ED129" s="722"/>
      <c r="EE129" s="722"/>
      <c r="EF129" s="722"/>
      <c r="EG129" s="722"/>
      <c r="EH129" s="722"/>
      <c r="EI129" s="722"/>
      <c r="EJ129" s="722"/>
      <c r="EK129" s="722"/>
      <c r="EL129" s="722"/>
      <c r="EM129" s="722"/>
      <c r="EN129" s="721"/>
      <c r="EO129" s="721"/>
      <c r="EP129" s="721"/>
      <c r="EQ129" s="722"/>
      <c r="ER129" s="722"/>
      <c r="ES129" s="722"/>
      <c r="ET129" s="722"/>
      <c r="EU129" s="722"/>
      <c r="EV129" s="722"/>
      <c r="EW129" s="721"/>
      <c r="EX129" s="721"/>
      <c r="EY129" s="721"/>
      <c r="EZ129" s="721"/>
      <c r="FA129" s="721"/>
      <c r="FB129" s="721"/>
      <c r="FC129" s="721"/>
      <c r="FD129" s="630"/>
      <c r="FE129" s="721"/>
      <c r="FF129" s="721"/>
      <c r="FG129" s="721"/>
      <c r="FH129" s="721"/>
      <c r="FI129" s="721"/>
      <c r="FJ129" s="721"/>
      <c r="FK129" s="721"/>
      <c r="FL129" s="721"/>
      <c r="FM129" s="721"/>
      <c r="FN129" s="721"/>
      <c r="FO129" s="721"/>
      <c r="FP129" s="721"/>
      <c r="FQ129" s="721"/>
      <c r="FR129" s="722"/>
      <c r="FS129" s="722"/>
      <c r="FT129" s="722"/>
      <c r="FU129" s="722"/>
      <c r="FV129" s="722"/>
      <c r="FW129" s="722"/>
      <c r="FX129" s="722"/>
      <c r="FY129" s="722"/>
      <c r="GA129" s="722"/>
      <c r="GB129" s="722"/>
      <c r="GD129" s="721"/>
      <c r="GE129" s="721"/>
      <c r="GF129" s="734"/>
      <c r="GG129" s="722"/>
      <c r="GH129" s="722"/>
      <c r="GI129" s="732"/>
      <c r="GJ129" s="722"/>
      <c r="GK129" s="722"/>
      <c r="GL129" s="722"/>
      <c r="GM129" s="721"/>
      <c r="GN129" s="721"/>
      <c r="GO129" s="721"/>
      <c r="GP129" s="732"/>
      <c r="GQ129" s="732"/>
      <c r="GR129" s="732"/>
      <c r="GS129" s="722"/>
      <c r="GT129" s="722"/>
      <c r="GU129" s="722"/>
      <c r="GV129" s="722"/>
      <c r="GW129" s="722"/>
      <c r="GX129" s="722"/>
      <c r="GY129" s="721"/>
      <c r="GZ129" s="721"/>
      <c r="HA129" s="721"/>
      <c r="HB129" s="721"/>
      <c r="HC129" s="721"/>
      <c r="HD129" s="721"/>
      <c r="HE129" s="721"/>
      <c r="HF129" s="721"/>
      <c r="HG129" s="721"/>
      <c r="HH129" s="721"/>
      <c r="HI129" s="721"/>
      <c r="HJ129" s="721"/>
      <c r="HK129" s="721"/>
      <c r="HL129" s="721"/>
      <c r="HM129" s="721"/>
      <c r="HN129" s="722"/>
      <c r="HO129" s="722"/>
      <c r="HP129" s="722"/>
      <c r="HQ129" s="721"/>
      <c r="HR129" s="721"/>
      <c r="HS129" s="721"/>
      <c r="HT129" s="721"/>
      <c r="HU129" s="721"/>
      <c r="HV129" s="721"/>
      <c r="HW129" s="721"/>
      <c r="HX129" s="721"/>
      <c r="HY129" s="721"/>
      <c r="HZ129" s="721"/>
      <c r="IA129" s="721"/>
      <c r="IB129" s="721"/>
      <c r="IC129" s="721"/>
      <c r="ID129" s="721"/>
      <c r="IE129" s="721"/>
      <c r="IF129" s="721"/>
      <c r="IG129" s="721"/>
      <c r="IH129" s="721"/>
      <c r="II129" s="721"/>
      <c r="IJ129" s="721"/>
      <c r="IK129" s="721"/>
      <c r="IL129" s="721"/>
      <c r="IM129" s="721"/>
      <c r="IN129" s="721"/>
      <c r="IO129" s="721"/>
      <c r="IP129" s="721"/>
      <c r="IQ129" s="721"/>
      <c r="IR129" s="721"/>
      <c r="IS129" s="721"/>
      <c r="IT129" s="721"/>
      <c r="IU129" s="721"/>
      <c r="IV129" s="721"/>
      <c r="IW129" s="721"/>
      <c r="IX129" s="721"/>
      <c r="IY129" s="721"/>
      <c r="IZ129" s="721"/>
      <c r="JA129" s="721"/>
      <c r="JB129" s="721"/>
      <c r="JC129" s="721"/>
      <c r="JD129" s="721"/>
      <c r="JE129" s="721"/>
      <c r="JF129" s="721"/>
      <c r="JG129" s="721"/>
      <c r="JH129" s="721"/>
      <c r="JI129" s="721"/>
      <c r="JJ129" s="721"/>
      <c r="JK129" s="721"/>
      <c r="JL129" s="721"/>
      <c r="JM129" s="721"/>
      <c r="JN129" s="721"/>
      <c r="JO129" s="721"/>
      <c r="JP129" s="721"/>
      <c r="JQ129" s="721"/>
      <c r="JR129" s="721"/>
      <c r="JS129" s="721"/>
      <c r="JT129" s="721"/>
      <c r="JU129" s="721"/>
      <c r="JV129" s="721"/>
      <c r="JW129" s="721"/>
      <c r="JX129" s="721"/>
      <c r="JY129" s="721"/>
      <c r="JZ129" s="721"/>
      <c r="KA129" s="721"/>
      <c r="KB129" s="721"/>
      <c r="KC129" s="721"/>
      <c r="KD129" s="721"/>
      <c r="KE129" s="721"/>
      <c r="KF129" s="721"/>
      <c r="KG129" s="721"/>
      <c r="KH129" s="721"/>
      <c r="KI129" s="721"/>
      <c r="KJ129" s="721"/>
      <c r="KK129" s="721"/>
      <c r="KL129" s="721"/>
      <c r="KM129" s="721"/>
      <c r="KN129" s="721"/>
      <c r="KO129" s="721"/>
      <c r="KP129" s="721"/>
      <c r="KQ129" s="721"/>
      <c r="KR129" s="721"/>
      <c r="KS129" s="721"/>
      <c r="KT129" s="721"/>
      <c r="KU129" s="721"/>
      <c r="KV129" s="721"/>
      <c r="KW129" s="721"/>
      <c r="KX129" s="721"/>
      <c r="KY129" s="721"/>
      <c r="KZ129" s="721"/>
      <c r="LA129" s="721"/>
      <c r="LB129" s="721"/>
      <c r="LC129" s="721"/>
      <c r="LD129" s="721"/>
      <c r="LE129" s="721"/>
      <c r="LF129" s="721">
        <v>1993</v>
      </c>
      <c r="LG129" s="786">
        <v>9.3799999999999994E-2</v>
      </c>
      <c r="LH129" s="721"/>
      <c r="LI129" s="721"/>
      <c r="LJ129" s="721"/>
      <c r="LK129" s="721"/>
      <c r="LL129" s="721"/>
      <c r="LM129" s="721"/>
      <c r="LN129" s="721"/>
      <c r="LO129" s="721"/>
      <c r="LP129" s="721"/>
      <c r="LQ129" s="721"/>
      <c r="LR129" s="721"/>
      <c r="LS129" s="786">
        <v>7.0499999999999993E-2</v>
      </c>
      <c r="LT129" s="721"/>
      <c r="LU129" s="721"/>
      <c r="LV129" s="721"/>
      <c r="LW129" s="721"/>
      <c r="LX129" s="721"/>
      <c r="LY129" s="721"/>
      <c r="LZ129" s="721"/>
      <c r="MA129" s="721"/>
      <c r="MB129" s="721"/>
      <c r="MC129" s="721"/>
      <c r="MD129" s="721"/>
      <c r="ME129" s="786">
        <v>0.25240000000000001</v>
      </c>
      <c r="MF129" s="721"/>
      <c r="MG129" s="721"/>
      <c r="MH129" s="721"/>
      <c r="MI129" s="721"/>
      <c r="MJ129" s="721"/>
      <c r="MK129" s="721"/>
      <c r="ML129" s="721"/>
      <c r="MM129" s="721"/>
      <c r="MN129" s="721"/>
      <c r="MO129" s="721"/>
      <c r="MP129" s="721"/>
      <c r="MQ129" s="786">
        <v>-6.2600000000000003E-2</v>
      </c>
    </row>
    <row r="130" spans="1:355">
      <c r="A130" s="634"/>
      <c r="B130" s="721"/>
      <c r="U130" s="721"/>
      <c r="V130" s="721"/>
      <c r="W130" s="721"/>
      <c r="X130" s="721"/>
      <c r="Y130" s="721"/>
      <c r="Z130" s="721"/>
      <c r="AA130" s="721"/>
      <c r="AB130" s="721"/>
      <c r="AC130" s="721"/>
      <c r="AJ130" s="722"/>
      <c r="AK130" s="722"/>
      <c r="AL130" s="722"/>
      <c r="AM130" s="722"/>
      <c r="AN130" s="722"/>
      <c r="AO130" s="722"/>
      <c r="AP130" s="722"/>
      <c r="AQ130" s="722"/>
      <c r="AR130" s="722"/>
      <c r="AS130" s="722"/>
      <c r="AT130" s="722"/>
      <c r="AU130" s="722"/>
      <c r="AV130" s="721"/>
      <c r="AW130" s="721"/>
      <c r="AX130" s="721"/>
      <c r="AY130" s="721"/>
      <c r="AZ130" s="721"/>
      <c r="BA130" s="721"/>
      <c r="BB130" s="721"/>
      <c r="BC130" s="721"/>
      <c r="BD130" s="721"/>
      <c r="BE130" s="721"/>
      <c r="BF130" s="721"/>
      <c r="BG130" s="721"/>
      <c r="BH130" s="721"/>
      <c r="BI130" s="721"/>
      <c r="BJ130" s="721"/>
      <c r="BK130" s="721"/>
      <c r="BL130" s="721"/>
      <c r="BM130" s="721"/>
      <c r="BN130" s="722"/>
      <c r="BO130" s="722"/>
      <c r="BP130" s="722"/>
      <c r="BQ130" s="721"/>
      <c r="BR130" s="721"/>
      <c r="BS130" s="721"/>
      <c r="BT130" s="721"/>
      <c r="BU130" s="721"/>
      <c r="BV130" s="721"/>
      <c r="BW130" s="721"/>
      <c r="BX130" s="721"/>
      <c r="BY130" s="721"/>
      <c r="BZ130" s="722"/>
      <c r="CA130" s="722"/>
      <c r="CB130" s="722"/>
      <c r="CC130" s="721"/>
      <c r="CD130" s="721"/>
      <c r="CE130" s="721"/>
      <c r="CF130" s="721"/>
      <c r="CG130" s="721"/>
      <c r="CH130" s="721"/>
      <c r="CI130" s="721"/>
      <c r="CJ130" s="721"/>
      <c r="CK130" s="721"/>
      <c r="CL130" s="722"/>
      <c r="CM130" s="722"/>
      <c r="CN130" s="722"/>
      <c r="CO130" s="721"/>
      <c r="CP130" s="721"/>
      <c r="CQ130" s="721"/>
      <c r="CR130" s="721"/>
      <c r="CS130" s="721"/>
      <c r="CT130" s="721"/>
      <c r="CU130" s="721"/>
      <c r="CV130" s="721"/>
      <c r="CW130" s="721"/>
      <c r="CX130" s="721"/>
      <c r="CY130" s="721"/>
      <c r="CZ130" s="721"/>
      <c r="DA130" s="722"/>
      <c r="DB130" s="722"/>
      <c r="DC130" s="722"/>
      <c r="DD130" s="722"/>
      <c r="DE130" s="722"/>
      <c r="DF130" s="722"/>
      <c r="DG130" s="722"/>
      <c r="DH130" s="722"/>
      <c r="DI130" s="722"/>
      <c r="DJ130" s="722"/>
      <c r="DK130" s="722"/>
      <c r="DL130" s="722"/>
      <c r="DM130" s="722"/>
      <c r="DN130" s="722"/>
      <c r="DO130" s="722"/>
      <c r="DP130" s="722"/>
      <c r="DQ130" s="722"/>
      <c r="DR130" s="722"/>
      <c r="DS130" s="722"/>
      <c r="DT130" s="722"/>
      <c r="DU130" s="722"/>
      <c r="DV130" s="722"/>
      <c r="DW130" s="722"/>
      <c r="DX130" s="722"/>
      <c r="DY130" s="722"/>
      <c r="DZ130" s="722"/>
      <c r="EA130" s="722"/>
      <c r="EB130" s="722"/>
      <c r="EC130" s="722"/>
      <c r="ED130" s="722"/>
      <c r="EE130" s="722"/>
      <c r="EF130" s="722"/>
      <c r="EG130" s="722"/>
      <c r="EH130" s="722"/>
      <c r="EI130" s="722"/>
      <c r="EJ130" s="722"/>
      <c r="EK130" s="722"/>
      <c r="EL130" s="722"/>
      <c r="EM130" s="722"/>
      <c r="EN130" s="721"/>
      <c r="EO130" s="721"/>
      <c r="EP130" s="721"/>
      <c r="EQ130" s="722"/>
      <c r="ER130" s="722"/>
      <c r="ES130" s="722"/>
      <c r="ET130" s="722"/>
      <c r="EU130" s="722"/>
      <c r="EV130" s="722"/>
      <c r="EW130" s="721"/>
      <c r="EX130" s="721"/>
      <c r="EY130" s="721"/>
      <c r="EZ130" s="721"/>
      <c r="FA130" s="721"/>
      <c r="FB130" s="721"/>
      <c r="FC130" s="721"/>
      <c r="FD130" s="630"/>
      <c r="FE130" s="721"/>
      <c r="FF130" s="721"/>
      <c r="FG130" s="721"/>
      <c r="FH130" s="721"/>
      <c r="FI130" s="721"/>
      <c r="FJ130" s="721"/>
      <c r="FK130" s="721"/>
      <c r="FL130" s="721"/>
      <c r="FM130" s="721"/>
      <c r="FN130" s="721"/>
      <c r="FO130" s="721"/>
      <c r="FP130" s="721"/>
      <c r="FQ130" s="721"/>
      <c r="FR130" s="722"/>
      <c r="FS130" s="722"/>
      <c r="FT130" s="722"/>
      <c r="FU130" s="722"/>
      <c r="FV130" s="722"/>
      <c r="FW130" s="722"/>
      <c r="FX130" s="722"/>
      <c r="FY130" s="722"/>
      <c r="GA130" s="722"/>
      <c r="GB130" s="722"/>
      <c r="GD130" s="721"/>
      <c r="GE130" s="721"/>
      <c r="GF130" s="734"/>
      <c r="GG130" s="722"/>
      <c r="GH130" s="722"/>
      <c r="GI130" s="732"/>
      <c r="GJ130" s="722"/>
      <c r="GK130" s="722"/>
      <c r="GL130" s="722"/>
      <c r="GM130" s="721"/>
      <c r="GN130" s="721"/>
      <c r="GO130" s="721"/>
      <c r="GP130" s="732"/>
      <c r="GQ130" s="732"/>
      <c r="GR130" s="732"/>
      <c r="GS130" s="722"/>
      <c r="GT130" s="722"/>
      <c r="GU130" s="722"/>
      <c r="GV130" s="722"/>
      <c r="GW130" s="722"/>
      <c r="GX130" s="722"/>
      <c r="GY130" s="721"/>
      <c r="GZ130" s="721"/>
      <c r="HA130" s="721"/>
      <c r="HB130" s="721"/>
      <c r="HC130" s="721"/>
      <c r="HD130" s="721"/>
      <c r="HE130" s="721"/>
      <c r="HF130" s="721"/>
      <c r="HG130" s="721"/>
      <c r="HH130" s="721"/>
      <c r="HI130" s="721"/>
      <c r="HJ130" s="721"/>
      <c r="HK130" s="721"/>
      <c r="HL130" s="721"/>
      <c r="HM130" s="721"/>
      <c r="HN130" s="722"/>
      <c r="HO130" s="722"/>
      <c r="HP130" s="722"/>
      <c r="HQ130" s="721"/>
      <c r="HR130" s="721"/>
      <c r="HS130" s="721"/>
      <c r="HT130" s="721"/>
      <c r="HU130" s="721"/>
      <c r="HV130" s="721"/>
      <c r="HW130" s="721"/>
      <c r="HX130" s="721"/>
      <c r="HY130" s="721"/>
      <c r="HZ130" s="721"/>
      <c r="IA130" s="721"/>
      <c r="IB130" s="721"/>
      <c r="IC130" s="721"/>
      <c r="ID130" s="721"/>
      <c r="IE130" s="721"/>
      <c r="IF130" s="721"/>
      <c r="IG130" s="721"/>
      <c r="IH130" s="721"/>
      <c r="II130" s="721"/>
      <c r="IJ130" s="721"/>
      <c r="IK130" s="721"/>
      <c r="IL130" s="721"/>
      <c r="IM130" s="721"/>
      <c r="IN130" s="721"/>
      <c r="IO130" s="721"/>
      <c r="IP130" s="721"/>
      <c r="IQ130" s="721"/>
      <c r="IR130" s="721"/>
      <c r="IS130" s="721"/>
      <c r="IT130" s="721"/>
      <c r="IU130" s="721">
        <f t="shared" ref="IU130:IU193" si="23">IU10*IV10</f>
        <v>3611.6850000000004</v>
      </c>
      <c r="IV130" s="721">
        <f t="shared" ref="IV130:IV193" si="24">KU10*KT10</f>
        <v>2561.8454999999999</v>
      </c>
      <c r="IW130" s="721"/>
      <c r="IX130" s="721"/>
      <c r="IY130" s="721"/>
      <c r="IZ130" s="721"/>
      <c r="JA130" s="721"/>
      <c r="JB130" s="721"/>
      <c r="JC130" s="721"/>
      <c r="JD130" s="721"/>
      <c r="JE130" s="721"/>
      <c r="JF130" s="721"/>
      <c r="JG130" s="721"/>
      <c r="JH130" s="721"/>
      <c r="JI130" s="721"/>
      <c r="JJ130" s="721"/>
      <c r="JK130" s="721"/>
      <c r="JL130" s="721"/>
      <c r="JM130" s="721"/>
      <c r="JN130" s="721"/>
      <c r="JO130" s="721"/>
      <c r="JP130" s="721"/>
      <c r="JQ130" s="721"/>
      <c r="JR130" s="721"/>
      <c r="JS130" s="721"/>
      <c r="JT130" s="721"/>
      <c r="JU130" s="721"/>
      <c r="JV130" s="721"/>
      <c r="JW130" s="721"/>
      <c r="JX130" s="721"/>
      <c r="JY130" s="721">
        <v>0</v>
      </c>
      <c r="JZ130" s="786">
        <v>0</v>
      </c>
      <c r="KA130" s="721">
        <v>0</v>
      </c>
      <c r="KB130" s="721">
        <v>0</v>
      </c>
      <c r="KC130" s="721">
        <v>0</v>
      </c>
      <c r="KD130" s="721">
        <v>0</v>
      </c>
      <c r="KE130" s="721"/>
      <c r="KF130" s="721"/>
      <c r="KG130" s="721"/>
      <c r="KH130" s="721"/>
      <c r="KI130" s="721"/>
      <c r="KJ130" s="721"/>
      <c r="KK130" s="721"/>
      <c r="KL130" s="721"/>
      <c r="KM130" s="721"/>
      <c r="KN130" s="721"/>
      <c r="KO130" s="721"/>
      <c r="KP130" s="721"/>
      <c r="KQ130" s="721"/>
      <c r="KR130" s="721"/>
      <c r="KS130" s="721"/>
      <c r="KT130" s="721"/>
      <c r="KU130" s="721"/>
      <c r="KV130" s="721"/>
      <c r="KW130" s="721"/>
      <c r="KX130" s="721"/>
      <c r="KY130" s="721"/>
      <c r="KZ130" s="721"/>
      <c r="LA130" s="721"/>
      <c r="LB130" s="721"/>
      <c r="LC130" s="721"/>
      <c r="LD130" s="721"/>
      <c r="LE130" s="721"/>
      <c r="LF130" s="721">
        <v>1990</v>
      </c>
      <c r="LG130" s="786">
        <v>-6.2600000000000003E-2</v>
      </c>
      <c r="LH130" s="721"/>
      <c r="LI130" s="721"/>
      <c r="LJ130" s="721"/>
      <c r="LK130" s="721"/>
      <c r="LL130" s="721"/>
      <c r="LM130" s="721"/>
      <c r="LN130" s="721"/>
      <c r="LO130" s="721"/>
      <c r="LP130" s="721"/>
      <c r="LQ130" s="721"/>
      <c r="LR130" s="721"/>
      <c r="LS130" s="721"/>
      <c r="LT130" s="721"/>
      <c r="LU130" s="721"/>
      <c r="LV130" s="721"/>
      <c r="LW130" s="721"/>
      <c r="LX130" s="721"/>
      <c r="LY130" s="721"/>
      <c r="LZ130" s="721"/>
      <c r="MA130" s="721"/>
      <c r="MB130" s="721"/>
      <c r="MC130" s="721"/>
      <c r="MD130" s="721"/>
      <c r="ME130" s="721"/>
      <c r="MF130" s="721"/>
      <c r="MG130" s="721"/>
      <c r="MH130" s="721"/>
      <c r="MI130" s="721"/>
      <c r="MJ130" s="721"/>
      <c r="MK130" s="721"/>
      <c r="ML130" s="721"/>
      <c r="MM130" s="721"/>
      <c r="MN130" s="721"/>
      <c r="MO130" s="721"/>
      <c r="MP130" s="721"/>
      <c r="MQ130" s="721"/>
    </row>
    <row r="131" spans="1:355">
      <c r="A131" s="634"/>
      <c r="B131" s="721"/>
      <c r="U131" s="721"/>
      <c r="V131" s="721"/>
      <c r="W131" s="721"/>
      <c r="X131" s="721"/>
      <c r="Y131" s="721"/>
      <c r="Z131" s="721"/>
      <c r="AA131" s="721"/>
      <c r="AB131" s="721"/>
      <c r="AC131" s="721"/>
      <c r="AJ131" s="722"/>
      <c r="AK131" s="722"/>
      <c r="AL131" s="722"/>
      <c r="AM131" s="722"/>
      <c r="AN131" s="722"/>
      <c r="AO131" s="722"/>
      <c r="AP131" s="722"/>
      <c r="AQ131" s="722"/>
      <c r="AR131" s="722"/>
      <c r="AS131" s="722"/>
      <c r="AT131" s="722"/>
      <c r="AU131" s="722"/>
      <c r="AV131" s="721"/>
      <c r="AW131" s="721"/>
      <c r="AX131" s="721"/>
      <c r="AY131" s="721"/>
      <c r="AZ131" s="721"/>
      <c r="BA131" s="721"/>
      <c r="BB131" s="721"/>
      <c r="BC131" s="721"/>
      <c r="BD131" s="721"/>
      <c r="BE131" s="721"/>
      <c r="BF131" s="721"/>
      <c r="BG131" s="721"/>
      <c r="BH131" s="721"/>
      <c r="BI131" s="721"/>
      <c r="BJ131" s="721"/>
      <c r="BK131" s="721"/>
      <c r="BL131" s="721"/>
      <c r="BM131" s="721"/>
      <c r="BN131" s="722"/>
      <c r="BO131" s="722"/>
      <c r="BP131" s="722"/>
      <c r="BQ131" s="721"/>
      <c r="BR131" s="721"/>
      <c r="BS131" s="721"/>
      <c r="BT131" s="721"/>
      <c r="BU131" s="721"/>
      <c r="BV131" s="721"/>
      <c r="BW131" s="721"/>
      <c r="BX131" s="721"/>
      <c r="BY131" s="721"/>
      <c r="BZ131" s="722"/>
      <c r="CA131" s="722"/>
      <c r="CB131" s="722"/>
      <c r="CC131" s="721"/>
      <c r="CD131" s="721"/>
      <c r="CE131" s="721"/>
      <c r="CF131" s="721"/>
      <c r="CG131" s="721"/>
      <c r="CH131" s="721"/>
      <c r="CI131" s="721"/>
      <c r="CJ131" s="721"/>
      <c r="CK131" s="721"/>
      <c r="CL131" s="722"/>
      <c r="CM131" s="722"/>
      <c r="CN131" s="722"/>
      <c r="CO131" s="721"/>
      <c r="CP131" s="721"/>
      <c r="CQ131" s="721"/>
      <c r="CR131" s="721"/>
      <c r="CS131" s="721"/>
      <c r="CT131" s="721"/>
      <c r="CU131" s="721"/>
      <c r="CV131" s="721"/>
      <c r="CW131" s="721"/>
      <c r="CX131" s="721"/>
      <c r="CY131" s="721"/>
      <c r="CZ131" s="721"/>
      <c r="DA131" s="722"/>
      <c r="DB131" s="722"/>
      <c r="DC131" s="722"/>
      <c r="DD131" s="722"/>
      <c r="DE131" s="722"/>
      <c r="DF131" s="722"/>
      <c r="DG131" s="722"/>
      <c r="DH131" s="722"/>
      <c r="DI131" s="722"/>
      <c r="DJ131" s="722"/>
      <c r="DK131" s="722"/>
      <c r="DL131" s="722"/>
      <c r="DM131" s="722"/>
      <c r="DN131" s="722"/>
      <c r="DO131" s="722"/>
      <c r="DP131" s="722"/>
      <c r="DQ131" s="722"/>
      <c r="DR131" s="722"/>
      <c r="DS131" s="722"/>
      <c r="DT131" s="722"/>
      <c r="DU131" s="722"/>
      <c r="DV131" s="722"/>
      <c r="DW131" s="722"/>
      <c r="DX131" s="722"/>
      <c r="DY131" s="722"/>
      <c r="DZ131" s="722"/>
      <c r="EA131" s="722"/>
      <c r="EB131" s="722"/>
      <c r="EC131" s="722"/>
      <c r="ED131" s="722"/>
      <c r="EE131" s="722"/>
      <c r="EF131" s="722"/>
      <c r="EG131" s="722"/>
      <c r="EH131" s="722"/>
      <c r="EI131" s="722"/>
      <c r="EJ131" s="722"/>
      <c r="EK131" s="722"/>
      <c r="EL131" s="722"/>
      <c r="EM131" s="722"/>
      <c r="EN131" s="721"/>
      <c r="EO131" s="721"/>
      <c r="EP131" s="721"/>
      <c r="EQ131" s="722"/>
      <c r="ER131" s="722"/>
      <c r="ES131" s="722"/>
      <c r="ET131" s="722"/>
      <c r="EU131" s="722"/>
      <c r="EV131" s="722"/>
      <c r="EW131" s="721"/>
      <c r="EX131" s="721"/>
      <c r="EY131" s="721"/>
      <c r="EZ131" s="721"/>
      <c r="FA131" s="721"/>
      <c r="FB131" s="721"/>
      <c r="FC131" s="721"/>
      <c r="FD131" s="630"/>
      <c r="FE131" s="721"/>
      <c r="FF131" s="721"/>
      <c r="FG131" s="721"/>
      <c r="FH131" s="721"/>
      <c r="FI131" s="721"/>
      <c r="FJ131" s="721"/>
      <c r="FK131" s="721"/>
      <c r="FL131" s="721"/>
      <c r="FM131" s="721"/>
      <c r="FN131" s="721"/>
      <c r="FO131" s="721"/>
      <c r="FP131" s="721"/>
      <c r="FQ131" s="721"/>
      <c r="FR131" s="722"/>
      <c r="FS131" s="722"/>
      <c r="FT131" s="722"/>
      <c r="FU131" s="722"/>
      <c r="FV131" s="722"/>
      <c r="FW131" s="722"/>
      <c r="FX131" s="722"/>
      <c r="FY131" s="722"/>
      <c r="GA131" s="722"/>
      <c r="GB131" s="722"/>
      <c r="GD131" s="721"/>
      <c r="GE131" s="721"/>
      <c r="GF131" s="734"/>
      <c r="GG131" s="722"/>
      <c r="GH131" s="722"/>
      <c r="GI131" s="732"/>
      <c r="GJ131" s="722"/>
      <c r="GK131" s="722"/>
      <c r="GL131" s="722"/>
      <c r="GM131" s="721"/>
      <c r="GN131" s="721"/>
      <c r="GO131" s="721"/>
      <c r="GP131" s="732"/>
      <c r="GQ131" s="732"/>
      <c r="GR131" s="732"/>
      <c r="GS131" s="722"/>
      <c r="GT131" s="722"/>
      <c r="GU131" s="722"/>
      <c r="GV131" s="722"/>
      <c r="GW131" s="722"/>
      <c r="GX131" s="722"/>
      <c r="GY131" s="721"/>
      <c r="GZ131" s="721"/>
      <c r="HA131" s="721"/>
      <c r="HB131" s="721"/>
      <c r="HC131" s="721"/>
      <c r="HD131" s="721"/>
      <c r="HE131" s="721"/>
      <c r="HF131" s="721"/>
      <c r="HG131" s="721"/>
      <c r="HH131" s="721"/>
      <c r="HI131" s="721"/>
      <c r="HJ131" s="721"/>
      <c r="HK131" s="721"/>
      <c r="HL131" s="721"/>
      <c r="HM131" s="721"/>
      <c r="HN131" s="722"/>
      <c r="HO131" s="722"/>
      <c r="HP131" s="722"/>
      <c r="HQ131" s="721"/>
      <c r="HR131" s="721"/>
      <c r="HS131" s="721"/>
      <c r="HT131" s="721"/>
      <c r="HU131" s="721"/>
      <c r="HV131" s="721"/>
      <c r="HW131" s="721"/>
      <c r="HX131" s="721"/>
      <c r="HY131" s="721"/>
      <c r="HZ131" s="721"/>
      <c r="IA131" s="721"/>
      <c r="IB131" s="721"/>
      <c r="IC131" s="721"/>
      <c r="ID131" s="721"/>
      <c r="IE131" s="721"/>
      <c r="IF131" s="721"/>
      <c r="IG131" s="721"/>
      <c r="IH131" s="721"/>
      <c r="II131" s="721"/>
      <c r="IJ131" s="721"/>
      <c r="IK131" s="721"/>
      <c r="IL131" s="721"/>
      <c r="IM131" s="721"/>
      <c r="IN131" s="721"/>
      <c r="IO131" s="721"/>
      <c r="IP131" s="721"/>
      <c r="IQ131" s="721"/>
      <c r="IR131" s="721"/>
      <c r="IS131" s="721"/>
      <c r="IT131" s="721"/>
      <c r="IU131" s="721">
        <f t="shared" si="23"/>
        <v>7576.34375</v>
      </c>
      <c r="IV131" s="721">
        <f t="shared" si="24"/>
        <v>6067.5414999999994</v>
      </c>
      <c r="IW131" s="721"/>
      <c r="IX131" s="721"/>
      <c r="IY131" s="721"/>
      <c r="IZ131" s="721"/>
      <c r="JA131" s="721"/>
      <c r="JB131" s="721"/>
      <c r="JC131" s="721"/>
      <c r="JD131" s="721"/>
      <c r="JE131" s="721"/>
      <c r="JF131" s="721"/>
      <c r="JG131" s="721"/>
      <c r="JH131" s="721"/>
      <c r="JI131" s="721"/>
      <c r="JJ131" s="721"/>
      <c r="JK131" s="721"/>
      <c r="JL131" s="721"/>
      <c r="JM131" s="721"/>
      <c r="JN131" s="721"/>
      <c r="JO131" s="721"/>
      <c r="JP131" s="721"/>
      <c r="JQ131" s="721"/>
      <c r="JR131" s="721"/>
      <c r="JS131" s="721"/>
      <c r="JT131" s="721"/>
      <c r="JU131" s="721"/>
      <c r="JV131" s="721"/>
      <c r="JW131" s="721"/>
      <c r="JX131" s="721"/>
      <c r="JY131" s="721">
        <v>0</v>
      </c>
      <c r="JZ131" s="786">
        <v>0</v>
      </c>
      <c r="KA131" s="721">
        <v>0</v>
      </c>
      <c r="KB131" s="721">
        <v>0</v>
      </c>
      <c r="KC131" s="721">
        <v>0</v>
      </c>
      <c r="KD131" s="721">
        <v>0</v>
      </c>
      <c r="KE131" s="721"/>
      <c r="KF131" s="721"/>
      <c r="KG131" s="721"/>
      <c r="KH131" s="721"/>
      <c r="KI131" s="721"/>
      <c r="KJ131" s="721"/>
      <c r="KK131" s="721"/>
      <c r="KL131" s="721"/>
      <c r="KM131" s="721"/>
      <c r="KN131" s="721"/>
      <c r="KO131" s="721"/>
      <c r="KP131" s="721"/>
      <c r="KQ131" s="721"/>
      <c r="KR131" s="721"/>
      <c r="KS131" s="721"/>
      <c r="KT131" s="721"/>
      <c r="KU131" s="721"/>
      <c r="KV131" s="721"/>
      <c r="KW131" s="721"/>
      <c r="KX131" s="721"/>
      <c r="KY131" s="721"/>
      <c r="KZ131" s="721"/>
      <c r="LA131" s="721"/>
      <c r="LB131" s="721"/>
      <c r="LC131" s="721"/>
      <c r="LD131" s="721"/>
      <c r="LE131" s="721"/>
      <c r="LF131" s="721"/>
      <c r="LG131" s="721"/>
      <c r="LH131" s="721"/>
      <c r="LI131" s="721"/>
      <c r="LJ131" s="721"/>
      <c r="LK131" s="721"/>
      <c r="LL131" s="721"/>
      <c r="LM131" s="721"/>
      <c r="LN131" s="721"/>
      <c r="LO131" s="721"/>
      <c r="LP131" s="721"/>
      <c r="LQ131" s="721"/>
      <c r="LR131" s="721"/>
      <c r="LS131" s="721"/>
      <c r="LT131" s="721"/>
      <c r="LU131" s="721"/>
      <c r="LV131" s="721"/>
      <c r="LW131" s="721"/>
      <c r="LX131" s="721"/>
      <c r="LY131" s="721"/>
      <c r="LZ131" s="721"/>
      <c r="MA131" s="721"/>
      <c r="MB131" s="721"/>
      <c r="MC131" s="721"/>
      <c r="MD131" s="721"/>
      <c r="ME131" s="721"/>
      <c r="MF131" s="721"/>
      <c r="MG131" s="721"/>
      <c r="MH131" s="721"/>
      <c r="MI131" s="721"/>
      <c r="MJ131" s="721"/>
      <c r="MK131" s="721"/>
      <c r="ML131" s="721"/>
      <c r="MM131" s="721"/>
      <c r="MN131" s="721"/>
      <c r="MO131" s="721"/>
      <c r="MP131" s="721"/>
      <c r="MQ131" s="721"/>
    </row>
    <row r="132" spans="1:355">
      <c r="A132" s="634"/>
      <c r="B132" s="721"/>
      <c r="U132" s="721"/>
      <c r="V132" s="721"/>
      <c r="W132" s="721"/>
      <c r="X132" s="721"/>
      <c r="Y132" s="721"/>
      <c r="Z132" s="721"/>
      <c r="AA132" s="721"/>
      <c r="AB132" s="721"/>
      <c r="AC132" s="721"/>
      <c r="AJ132" s="722"/>
      <c r="AK132" s="722"/>
      <c r="AL132" s="722"/>
      <c r="AM132" s="722"/>
      <c r="AN132" s="722"/>
      <c r="AO132" s="722"/>
      <c r="AP132" s="722"/>
      <c r="AQ132" s="722"/>
      <c r="AR132" s="722"/>
      <c r="AS132" s="722"/>
      <c r="AT132" s="722"/>
      <c r="AU132" s="722"/>
      <c r="AV132" s="721"/>
      <c r="AW132" s="721"/>
      <c r="AX132" s="721"/>
      <c r="AY132" s="721"/>
      <c r="AZ132" s="721"/>
      <c r="BA132" s="721"/>
      <c r="BB132" s="721"/>
      <c r="BC132" s="721"/>
      <c r="BD132" s="721"/>
      <c r="BE132" s="721"/>
      <c r="BF132" s="721"/>
      <c r="BG132" s="721"/>
      <c r="BH132" s="721"/>
      <c r="BI132" s="721"/>
      <c r="BJ132" s="721"/>
      <c r="BK132" s="721"/>
      <c r="BL132" s="721"/>
      <c r="BM132" s="721"/>
      <c r="BN132" s="722"/>
      <c r="BO132" s="722"/>
      <c r="BP132" s="722"/>
      <c r="BQ132" s="721"/>
      <c r="BR132" s="721"/>
      <c r="BS132" s="721"/>
      <c r="BT132" s="721"/>
      <c r="BU132" s="721"/>
      <c r="BV132" s="721"/>
      <c r="BW132" s="721"/>
      <c r="BX132" s="721"/>
      <c r="BY132" s="721"/>
      <c r="BZ132" s="722"/>
      <c r="CA132" s="722"/>
      <c r="CB132" s="722"/>
      <c r="CC132" s="721"/>
      <c r="CD132" s="721"/>
      <c r="CE132" s="721"/>
      <c r="CF132" s="721"/>
      <c r="CG132" s="721"/>
      <c r="CH132" s="721"/>
      <c r="CI132" s="721"/>
      <c r="CJ132" s="721"/>
      <c r="CK132" s="721"/>
      <c r="CL132" s="722"/>
      <c r="CM132" s="722"/>
      <c r="CN132" s="722"/>
      <c r="CO132" s="721"/>
      <c r="CP132" s="721"/>
      <c r="CQ132" s="721"/>
      <c r="CR132" s="721"/>
      <c r="CS132" s="721"/>
      <c r="CT132" s="721"/>
      <c r="CU132" s="721"/>
      <c r="CV132" s="721"/>
      <c r="CW132" s="721"/>
      <c r="CX132" s="721"/>
      <c r="CY132" s="721"/>
      <c r="CZ132" s="721"/>
      <c r="DA132" s="722"/>
      <c r="DB132" s="722"/>
      <c r="DC132" s="722"/>
      <c r="DD132" s="722"/>
      <c r="DE132" s="722"/>
      <c r="DF132" s="722"/>
      <c r="DG132" s="722"/>
      <c r="DH132" s="722"/>
      <c r="DI132" s="722"/>
      <c r="DJ132" s="722"/>
      <c r="DK132" s="722"/>
      <c r="DL132" s="722"/>
      <c r="DM132" s="722"/>
      <c r="DN132" s="722"/>
      <c r="DO132" s="722"/>
      <c r="DP132" s="722"/>
      <c r="DQ132" s="722"/>
      <c r="DR132" s="722"/>
      <c r="DS132" s="722"/>
      <c r="DT132" s="722"/>
      <c r="DU132" s="722"/>
      <c r="DV132" s="722"/>
      <c r="DW132" s="722"/>
      <c r="DX132" s="722"/>
      <c r="DY132" s="722"/>
      <c r="DZ132" s="722"/>
      <c r="EA132" s="722"/>
      <c r="EB132" s="722"/>
      <c r="EC132" s="722"/>
      <c r="ED132" s="722"/>
      <c r="EE132" s="722"/>
      <c r="EF132" s="722"/>
      <c r="EG132" s="722"/>
      <c r="EH132" s="722"/>
      <c r="EI132" s="722"/>
      <c r="EJ132" s="722"/>
      <c r="EK132" s="722"/>
      <c r="EL132" s="722"/>
      <c r="EM132" s="722"/>
      <c r="EN132" s="721"/>
      <c r="EO132" s="721"/>
      <c r="EP132" s="721"/>
      <c r="EQ132" s="722"/>
      <c r="ER132" s="722"/>
      <c r="ES132" s="722"/>
      <c r="ET132" s="722"/>
      <c r="EU132" s="722"/>
      <c r="EV132" s="722"/>
      <c r="EW132" s="721"/>
      <c r="EX132" s="721"/>
      <c r="EY132" s="721"/>
      <c r="EZ132" s="721"/>
      <c r="FA132" s="721"/>
      <c r="FB132" s="721"/>
      <c r="FC132" s="721"/>
      <c r="FD132" s="630"/>
      <c r="FE132" s="721"/>
      <c r="FF132" s="721"/>
      <c r="FG132" s="721"/>
      <c r="FH132" s="721"/>
      <c r="FI132" s="721"/>
      <c r="FJ132" s="721"/>
      <c r="FK132" s="721"/>
      <c r="FL132" s="721"/>
      <c r="FM132" s="721"/>
      <c r="FN132" s="721"/>
      <c r="FO132" s="721"/>
      <c r="FP132" s="721"/>
      <c r="FQ132" s="721"/>
      <c r="FR132" s="722"/>
      <c r="FS132" s="722"/>
      <c r="FT132" s="722"/>
      <c r="FU132" s="722"/>
      <c r="FV132" s="722"/>
      <c r="FW132" s="722"/>
      <c r="FX132" s="722"/>
      <c r="FY132" s="722"/>
      <c r="GA132" s="722"/>
      <c r="GB132" s="722"/>
      <c r="GD132" s="721"/>
      <c r="GE132" s="721"/>
      <c r="GF132" s="734"/>
      <c r="GG132" s="722"/>
      <c r="GH132" s="722"/>
      <c r="GI132" s="732"/>
      <c r="GJ132" s="722"/>
      <c r="GK132" s="722"/>
      <c r="GL132" s="722"/>
      <c r="GM132" s="721"/>
      <c r="GN132" s="721"/>
      <c r="GO132" s="721"/>
      <c r="GP132" s="732"/>
      <c r="GQ132" s="732"/>
      <c r="GR132" s="732"/>
      <c r="GS132" s="722"/>
      <c r="GT132" s="722"/>
      <c r="GU132" s="722"/>
      <c r="GV132" s="722"/>
      <c r="GW132" s="722"/>
      <c r="GX132" s="722"/>
      <c r="GY132" s="721"/>
      <c r="GZ132" s="721"/>
      <c r="HA132" s="721"/>
      <c r="HB132" s="721"/>
      <c r="HC132" s="721"/>
      <c r="HD132" s="721"/>
      <c r="HE132" s="721"/>
      <c r="HF132" s="721"/>
      <c r="HG132" s="721"/>
      <c r="HH132" s="721"/>
      <c r="HI132" s="721"/>
      <c r="HJ132" s="721"/>
      <c r="HK132" s="721"/>
      <c r="HL132" s="721"/>
      <c r="HM132" s="721"/>
      <c r="HN132" s="722"/>
      <c r="HO132" s="722"/>
      <c r="HP132" s="722"/>
      <c r="HQ132" s="721"/>
      <c r="HR132" s="721"/>
      <c r="HS132" s="721"/>
      <c r="HT132" s="721"/>
      <c r="HU132" s="721"/>
      <c r="HV132" s="721"/>
      <c r="HW132" s="721"/>
      <c r="HX132" s="721"/>
      <c r="HY132" s="721"/>
      <c r="HZ132" s="721"/>
      <c r="IA132" s="721"/>
      <c r="IB132" s="721"/>
      <c r="IC132" s="721"/>
      <c r="ID132" s="721"/>
      <c r="IE132" s="721"/>
      <c r="IF132" s="721"/>
      <c r="IG132" s="721"/>
      <c r="IH132" s="721"/>
      <c r="II132" s="721"/>
      <c r="IJ132" s="721"/>
      <c r="IK132" s="721"/>
      <c r="IL132" s="721"/>
      <c r="IM132" s="721"/>
      <c r="IN132" s="721"/>
      <c r="IO132" s="721"/>
      <c r="IP132" s="721"/>
      <c r="IQ132" s="721"/>
      <c r="IR132" s="721"/>
      <c r="IS132" s="721"/>
      <c r="IT132" s="721"/>
      <c r="IU132" s="721">
        <f t="shared" si="23"/>
        <v>0</v>
      </c>
      <c r="IV132" s="721">
        <f t="shared" si="24"/>
        <v>917.94524999999999</v>
      </c>
      <c r="IW132" s="721"/>
      <c r="IX132" s="721"/>
      <c r="IY132" s="721"/>
      <c r="IZ132" s="721"/>
      <c r="JA132" s="721"/>
      <c r="JB132" s="721"/>
      <c r="JC132" s="721"/>
      <c r="JD132" s="721"/>
      <c r="JE132" s="721"/>
      <c r="JF132" s="721"/>
      <c r="JG132" s="721"/>
      <c r="JH132" s="721"/>
      <c r="JI132" s="721"/>
      <c r="JJ132" s="721"/>
      <c r="JK132" s="721"/>
      <c r="JL132" s="721"/>
      <c r="JM132" s="721"/>
      <c r="JN132" s="721"/>
      <c r="JO132" s="721"/>
      <c r="JP132" s="721"/>
      <c r="JQ132" s="721"/>
      <c r="JR132" s="721"/>
      <c r="JS132" s="721"/>
      <c r="JT132" s="721"/>
      <c r="JU132" s="721"/>
      <c r="JV132" s="721"/>
      <c r="JW132" s="721"/>
      <c r="JX132" s="721"/>
      <c r="JY132" s="721">
        <v>0</v>
      </c>
      <c r="JZ132" s="786">
        <v>0</v>
      </c>
      <c r="KA132" s="721">
        <v>0</v>
      </c>
      <c r="KB132" s="721">
        <v>0</v>
      </c>
      <c r="KC132" s="721">
        <v>0</v>
      </c>
      <c r="KD132" s="721">
        <v>0</v>
      </c>
      <c r="KE132" s="721"/>
      <c r="KF132" s="721"/>
      <c r="KG132" s="721"/>
      <c r="KH132" s="721"/>
      <c r="KI132" s="721"/>
      <c r="KJ132" s="721"/>
      <c r="KK132" s="721"/>
      <c r="KL132" s="721"/>
      <c r="KM132" s="721"/>
      <c r="KN132" s="721"/>
      <c r="KO132" s="721"/>
      <c r="KP132" s="721"/>
      <c r="KQ132" s="721"/>
      <c r="KR132" s="721"/>
      <c r="KS132" s="721"/>
      <c r="KT132" s="721"/>
      <c r="KU132" s="721"/>
      <c r="KV132" s="721"/>
      <c r="KW132" s="721"/>
      <c r="KX132" s="721"/>
      <c r="KY132" s="721"/>
      <c r="KZ132" s="721"/>
      <c r="LA132" s="721"/>
      <c r="LB132" s="721"/>
      <c r="LC132" s="721"/>
      <c r="LD132" s="721"/>
      <c r="LE132" s="721"/>
      <c r="LF132" s="721"/>
      <c r="LG132" s="721"/>
      <c r="LH132" s="721"/>
      <c r="LI132" s="721"/>
      <c r="LJ132" s="721"/>
      <c r="LK132" s="721"/>
      <c r="LL132" s="721"/>
      <c r="LM132" s="721"/>
      <c r="LN132" s="721"/>
      <c r="LO132" s="721"/>
      <c r="LP132" s="721"/>
      <c r="LQ132" s="721"/>
      <c r="LR132" s="721"/>
      <c r="LS132" s="721"/>
      <c r="LT132" s="721"/>
      <c r="LU132" s="721"/>
      <c r="LV132" s="721"/>
      <c r="LW132" s="721"/>
      <c r="LX132" s="721"/>
      <c r="LY132" s="721"/>
      <c r="LZ132" s="721"/>
      <c r="MA132" s="721"/>
      <c r="MB132" s="721"/>
      <c r="MC132" s="721"/>
      <c r="MD132" s="721"/>
      <c r="ME132" s="721"/>
      <c r="MF132" s="721"/>
      <c r="MG132" s="721"/>
      <c r="MH132" s="721"/>
      <c r="MI132" s="721"/>
      <c r="MJ132" s="721"/>
      <c r="MK132" s="721"/>
      <c r="ML132" s="721"/>
      <c r="MM132" s="721"/>
      <c r="MN132" s="721"/>
      <c r="MO132" s="721"/>
      <c r="MP132" s="721"/>
      <c r="MQ132" s="721"/>
    </row>
    <row r="133" spans="1:355">
      <c r="A133" s="634"/>
      <c r="B133" s="721"/>
      <c r="U133" s="721"/>
      <c r="V133" s="721"/>
      <c r="W133" s="721"/>
      <c r="X133" s="721"/>
      <c r="Y133" s="721"/>
      <c r="Z133" s="721"/>
      <c r="AA133" s="721"/>
      <c r="AB133" s="721"/>
      <c r="AC133" s="721"/>
      <c r="AJ133" s="722"/>
      <c r="AK133" s="722"/>
      <c r="AL133" s="722"/>
      <c r="AM133" s="722"/>
      <c r="AN133" s="722"/>
      <c r="AO133" s="722"/>
      <c r="AP133" s="722"/>
      <c r="AQ133" s="722"/>
      <c r="AR133" s="722"/>
      <c r="AS133" s="722"/>
      <c r="AT133" s="722"/>
      <c r="AU133" s="722"/>
      <c r="AV133" s="721"/>
      <c r="AW133" s="721"/>
      <c r="AX133" s="721"/>
      <c r="AY133" s="721"/>
      <c r="AZ133" s="721"/>
      <c r="BA133" s="721"/>
      <c r="BB133" s="721"/>
      <c r="BC133" s="721"/>
      <c r="BD133" s="721"/>
      <c r="BE133" s="721"/>
      <c r="BF133" s="721"/>
      <c r="BG133" s="721"/>
      <c r="BH133" s="721"/>
      <c r="BI133" s="721"/>
      <c r="BJ133" s="721"/>
      <c r="BK133" s="721"/>
      <c r="BL133" s="721"/>
      <c r="BM133" s="721"/>
      <c r="BN133" s="722"/>
      <c r="BO133" s="722"/>
      <c r="BP133" s="722"/>
      <c r="BQ133" s="721"/>
      <c r="BR133" s="721"/>
      <c r="BS133" s="721"/>
      <c r="BT133" s="721"/>
      <c r="BU133" s="721"/>
      <c r="BV133" s="721"/>
      <c r="BW133" s="721"/>
      <c r="BX133" s="721"/>
      <c r="BY133" s="721"/>
      <c r="BZ133" s="722"/>
      <c r="CA133" s="722"/>
      <c r="CB133" s="722"/>
      <c r="CC133" s="721"/>
      <c r="CD133" s="721"/>
      <c r="CE133" s="721"/>
      <c r="CF133" s="721"/>
      <c r="CG133" s="721"/>
      <c r="CH133" s="721"/>
      <c r="CI133" s="721"/>
      <c r="CJ133" s="721"/>
      <c r="CK133" s="721"/>
      <c r="CL133" s="722"/>
      <c r="CM133" s="722"/>
      <c r="CN133" s="722"/>
      <c r="CO133" s="721"/>
      <c r="CP133" s="721"/>
      <c r="CQ133" s="721"/>
      <c r="CR133" s="721"/>
      <c r="CS133" s="721"/>
      <c r="CT133" s="721"/>
      <c r="CU133" s="721"/>
      <c r="CV133" s="721"/>
      <c r="CW133" s="721"/>
      <c r="CX133" s="721"/>
      <c r="CY133" s="721"/>
      <c r="CZ133" s="721"/>
      <c r="DA133" s="722"/>
      <c r="DB133" s="722"/>
      <c r="DC133" s="722"/>
      <c r="DD133" s="722"/>
      <c r="DE133" s="722"/>
      <c r="DF133" s="722"/>
      <c r="DG133" s="722"/>
      <c r="DH133" s="722"/>
      <c r="DI133" s="722"/>
      <c r="DJ133" s="722"/>
      <c r="DK133" s="722"/>
      <c r="DL133" s="722"/>
      <c r="DM133" s="722"/>
      <c r="DN133" s="722"/>
      <c r="DO133" s="722"/>
      <c r="DP133" s="722"/>
      <c r="DQ133" s="722"/>
      <c r="DR133" s="722"/>
      <c r="DS133" s="722"/>
      <c r="DT133" s="722"/>
      <c r="DU133" s="722"/>
      <c r="DV133" s="722"/>
      <c r="DW133" s="722"/>
      <c r="DX133" s="722"/>
      <c r="DY133" s="722"/>
      <c r="DZ133" s="722"/>
      <c r="EA133" s="722"/>
      <c r="EB133" s="722"/>
      <c r="EC133" s="722"/>
      <c r="ED133" s="722"/>
      <c r="EE133" s="722"/>
      <c r="EF133" s="722"/>
      <c r="EG133" s="722"/>
      <c r="EH133" s="722"/>
      <c r="EI133" s="722"/>
      <c r="EJ133" s="722"/>
      <c r="EK133" s="722"/>
      <c r="EL133" s="722"/>
      <c r="EM133" s="722"/>
      <c r="EN133" s="721"/>
      <c r="EO133" s="721"/>
      <c r="EP133" s="721"/>
      <c r="EQ133" s="722"/>
      <c r="ER133" s="722"/>
      <c r="ES133" s="722"/>
      <c r="ET133" s="722"/>
      <c r="EU133" s="722"/>
      <c r="EV133" s="722"/>
      <c r="EW133" s="721"/>
      <c r="EX133" s="721"/>
      <c r="EY133" s="721"/>
      <c r="EZ133" s="721"/>
      <c r="FA133" s="721"/>
      <c r="FB133" s="721"/>
      <c r="FC133" s="721"/>
      <c r="FD133" s="630"/>
      <c r="FE133" s="721"/>
      <c r="FF133" s="721"/>
      <c r="FG133" s="721"/>
      <c r="FH133" s="721"/>
      <c r="FI133" s="721"/>
      <c r="FJ133" s="721"/>
      <c r="FK133" s="721"/>
      <c r="FL133" s="721"/>
      <c r="FM133" s="721"/>
      <c r="FN133" s="721"/>
      <c r="FO133" s="721"/>
      <c r="FP133" s="721"/>
      <c r="FQ133" s="721"/>
      <c r="FR133" s="722"/>
      <c r="FS133" s="722"/>
      <c r="FT133" s="722"/>
      <c r="FU133" s="722"/>
      <c r="FV133" s="722"/>
      <c r="FW133" s="722"/>
      <c r="FX133" s="722"/>
      <c r="FY133" s="722"/>
      <c r="GA133" s="722"/>
      <c r="GB133" s="722"/>
      <c r="GD133" s="721"/>
      <c r="GE133" s="721"/>
      <c r="GF133" s="734"/>
      <c r="GG133" s="722"/>
      <c r="GH133" s="722"/>
      <c r="GI133" s="732"/>
      <c r="GJ133" s="722"/>
      <c r="GK133" s="722"/>
      <c r="GL133" s="722"/>
      <c r="GM133" s="721"/>
      <c r="GN133" s="721"/>
      <c r="GO133" s="721"/>
      <c r="GP133" s="732"/>
      <c r="GQ133" s="732"/>
      <c r="GR133" s="732"/>
      <c r="GS133" s="722"/>
      <c r="GT133" s="722"/>
      <c r="GU133" s="722"/>
      <c r="GV133" s="722"/>
      <c r="GW133" s="722"/>
      <c r="GX133" s="722"/>
      <c r="GY133" s="721"/>
      <c r="GZ133" s="721"/>
      <c r="HA133" s="721"/>
      <c r="HB133" s="721"/>
      <c r="HC133" s="721"/>
      <c r="HD133" s="721"/>
      <c r="HE133" s="721"/>
      <c r="HF133" s="721"/>
      <c r="HG133" s="721"/>
      <c r="HH133" s="721"/>
      <c r="HI133" s="721"/>
      <c r="HJ133" s="721"/>
      <c r="HK133" s="721"/>
      <c r="HL133" s="721"/>
      <c r="HM133" s="721"/>
      <c r="HN133" s="722"/>
      <c r="HO133" s="722"/>
      <c r="HP133" s="722"/>
      <c r="HQ133" s="721"/>
      <c r="HR133" s="721"/>
      <c r="HS133" s="721"/>
      <c r="HT133" s="721"/>
      <c r="HU133" s="721"/>
      <c r="HV133" s="721"/>
      <c r="HW133" s="721"/>
      <c r="HX133" s="721"/>
      <c r="HY133" s="721"/>
      <c r="HZ133" s="721"/>
      <c r="IA133" s="721"/>
      <c r="IB133" s="721"/>
      <c r="IC133" s="721"/>
      <c r="ID133" s="721"/>
      <c r="IE133" s="721"/>
      <c r="IF133" s="721"/>
      <c r="IG133" s="721"/>
      <c r="IH133" s="721"/>
      <c r="II133" s="721"/>
      <c r="IJ133" s="721"/>
      <c r="IK133" s="721"/>
      <c r="IL133" s="721"/>
      <c r="IM133" s="721"/>
      <c r="IN133" s="721"/>
      <c r="IO133" s="721"/>
      <c r="IP133" s="721"/>
      <c r="IQ133" s="721"/>
      <c r="IR133" s="721"/>
      <c r="IS133" s="721"/>
      <c r="IT133" s="721"/>
      <c r="IU133" s="721">
        <f t="shared" si="23"/>
        <v>93.38000000000001</v>
      </c>
      <c r="IV133" s="721">
        <f t="shared" si="24"/>
        <v>69.722250000000003</v>
      </c>
      <c r="IW133" s="721"/>
      <c r="IX133" s="721"/>
      <c r="IY133" s="721"/>
      <c r="IZ133" s="721"/>
      <c r="JA133" s="721"/>
      <c r="JB133" s="721"/>
      <c r="JC133" s="721"/>
      <c r="JD133" s="721"/>
      <c r="JE133" s="721"/>
      <c r="JF133" s="721"/>
      <c r="JG133" s="721"/>
      <c r="JH133" s="721"/>
      <c r="JI133" s="721"/>
      <c r="JJ133" s="721"/>
      <c r="JK133" s="721"/>
      <c r="JL133" s="721"/>
      <c r="JM133" s="721"/>
      <c r="JN133" s="721"/>
      <c r="JO133" s="721"/>
      <c r="JP133" s="721"/>
      <c r="JQ133" s="721"/>
      <c r="JR133" s="721"/>
      <c r="JS133" s="721"/>
      <c r="JT133" s="721"/>
      <c r="JU133" s="721"/>
      <c r="JV133" s="721"/>
      <c r="JW133" s="721"/>
      <c r="JX133" s="721"/>
      <c r="JY133" s="721">
        <v>0</v>
      </c>
      <c r="JZ133" s="786">
        <v>0</v>
      </c>
      <c r="KA133" s="721">
        <v>0</v>
      </c>
      <c r="KB133" s="721">
        <v>0</v>
      </c>
      <c r="KC133" s="721">
        <v>0</v>
      </c>
      <c r="KD133" s="721">
        <v>0</v>
      </c>
      <c r="KE133" s="721"/>
      <c r="KF133" s="721"/>
      <c r="KG133" s="721"/>
      <c r="KH133" s="721"/>
      <c r="KI133" s="721"/>
      <c r="KJ133" s="721"/>
      <c r="KK133" s="721"/>
      <c r="KL133" s="721"/>
      <c r="KM133" s="721"/>
      <c r="KN133" s="721"/>
      <c r="KO133" s="721"/>
      <c r="KP133" s="721"/>
      <c r="KQ133" s="721"/>
      <c r="KR133" s="721"/>
      <c r="KS133" s="721"/>
      <c r="KT133" s="721"/>
      <c r="KU133" s="721"/>
      <c r="KV133" s="721"/>
      <c r="KW133" s="721"/>
      <c r="KX133" s="721"/>
      <c r="KY133" s="721"/>
      <c r="KZ133" s="721"/>
      <c r="LA133" s="721"/>
      <c r="LB133" s="721"/>
      <c r="LC133" s="721"/>
      <c r="LD133" s="721"/>
      <c r="LE133" s="721"/>
      <c r="LF133" s="721"/>
      <c r="LG133" s="721"/>
      <c r="LH133" s="721"/>
      <c r="LI133" s="721"/>
      <c r="LJ133" s="721"/>
      <c r="LK133" s="721"/>
      <c r="LL133" s="721"/>
      <c r="LM133" s="721"/>
      <c r="LN133" s="721"/>
      <c r="LO133" s="721"/>
      <c r="LP133" s="721"/>
      <c r="LQ133" s="721"/>
      <c r="LR133" s="721"/>
      <c r="LS133" s="721"/>
      <c r="LT133" s="721"/>
      <c r="LU133" s="721"/>
      <c r="LV133" s="721"/>
      <c r="LW133" s="721"/>
      <c r="LX133" s="721"/>
      <c r="LY133" s="721"/>
      <c r="LZ133" s="721"/>
      <c r="MA133" s="721"/>
      <c r="MB133" s="721"/>
      <c r="MC133" s="721"/>
      <c r="MD133" s="721"/>
      <c r="ME133" s="721"/>
      <c r="MF133" s="721"/>
      <c r="MG133" s="721"/>
      <c r="MH133" s="721"/>
      <c r="MI133" s="721"/>
      <c r="MJ133" s="721"/>
      <c r="MK133" s="721"/>
      <c r="ML133" s="721"/>
      <c r="MM133" s="721"/>
      <c r="MN133" s="721"/>
      <c r="MO133" s="721"/>
      <c r="MP133" s="721"/>
      <c r="MQ133" s="721"/>
    </row>
    <row r="134" spans="1:355">
      <c r="A134" s="634"/>
      <c r="B134" s="721"/>
      <c r="U134" s="721"/>
      <c r="V134" s="721"/>
      <c r="W134" s="721"/>
      <c r="X134" s="721"/>
      <c r="Y134" s="721"/>
      <c r="Z134" s="721"/>
      <c r="AA134" s="721"/>
      <c r="AB134" s="721"/>
      <c r="AC134" s="721"/>
      <c r="AJ134" s="722"/>
      <c r="AK134" s="722"/>
      <c r="AL134" s="722"/>
      <c r="AM134" s="722"/>
      <c r="AN134" s="722"/>
      <c r="AO134" s="722"/>
      <c r="AP134" s="722"/>
      <c r="AQ134" s="722"/>
      <c r="AR134" s="722"/>
      <c r="AS134" s="722"/>
      <c r="AT134" s="722"/>
      <c r="AU134" s="722"/>
      <c r="AV134" s="721"/>
      <c r="AW134" s="721"/>
      <c r="AX134" s="721"/>
      <c r="AY134" s="721"/>
      <c r="AZ134" s="721"/>
      <c r="BA134" s="721"/>
      <c r="BB134" s="721"/>
      <c r="BC134" s="721"/>
      <c r="BD134" s="721"/>
      <c r="BE134" s="721"/>
      <c r="BF134" s="721"/>
      <c r="BG134" s="721"/>
      <c r="BH134" s="721"/>
      <c r="BI134" s="721"/>
      <c r="BJ134" s="721"/>
      <c r="BK134" s="721"/>
      <c r="BL134" s="721"/>
      <c r="BM134" s="721"/>
      <c r="BN134" s="722"/>
      <c r="BO134" s="722"/>
      <c r="BP134" s="722"/>
      <c r="BQ134" s="721"/>
      <c r="BR134" s="721"/>
      <c r="BS134" s="721"/>
      <c r="BT134" s="721"/>
      <c r="BU134" s="721"/>
      <c r="BV134" s="721"/>
      <c r="BW134" s="721"/>
      <c r="BX134" s="721"/>
      <c r="BY134" s="721"/>
      <c r="BZ134" s="722"/>
      <c r="CA134" s="722"/>
      <c r="CB134" s="722"/>
      <c r="CC134" s="721"/>
      <c r="CD134" s="721"/>
      <c r="CE134" s="721"/>
      <c r="CF134" s="721"/>
      <c r="CG134" s="721"/>
      <c r="CH134" s="721"/>
      <c r="CI134" s="721"/>
      <c r="CJ134" s="721"/>
      <c r="CK134" s="721"/>
      <c r="CL134" s="722"/>
      <c r="CM134" s="722"/>
      <c r="CN134" s="722"/>
      <c r="CO134" s="721"/>
      <c r="CP134" s="721"/>
      <c r="CQ134" s="721"/>
      <c r="CR134" s="721"/>
      <c r="CS134" s="721"/>
      <c r="CT134" s="721"/>
      <c r="CU134" s="721"/>
      <c r="CV134" s="721"/>
      <c r="CW134" s="721"/>
      <c r="CX134" s="721"/>
      <c r="CY134" s="721"/>
      <c r="CZ134" s="721"/>
      <c r="DA134" s="722"/>
      <c r="DB134" s="722"/>
      <c r="DC134" s="722"/>
      <c r="DD134" s="722"/>
      <c r="DE134" s="722"/>
      <c r="DF134" s="722"/>
      <c r="DG134" s="722"/>
      <c r="DH134" s="722"/>
      <c r="DI134" s="722"/>
      <c r="DJ134" s="722"/>
      <c r="DK134" s="722"/>
      <c r="DL134" s="722"/>
      <c r="DM134" s="722"/>
      <c r="DN134" s="722"/>
      <c r="DO134" s="722"/>
      <c r="DP134" s="722"/>
      <c r="DQ134" s="722"/>
      <c r="DR134" s="722"/>
      <c r="DS134" s="722"/>
      <c r="DT134" s="722"/>
      <c r="DU134" s="722"/>
      <c r="DV134" s="722"/>
      <c r="DW134" s="722"/>
      <c r="DX134" s="722"/>
      <c r="DY134" s="722"/>
      <c r="DZ134" s="722"/>
      <c r="EA134" s="722"/>
      <c r="EB134" s="722"/>
      <c r="EC134" s="722"/>
      <c r="ED134" s="722"/>
      <c r="EE134" s="722"/>
      <c r="EF134" s="722"/>
      <c r="EG134" s="722"/>
      <c r="EH134" s="722"/>
      <c r="EI134" s="722"/>
      <c r="EJ134" s="722"/>
      <c r="EK134" s="722"/>
      <c r="EL134" s="722"/>
      <c r="EM134" s="722"/>
      <c r="EN134" s="721"/>
      <c r="EO134" s="721"/>
      <c r="EP134" s="721"/>
      <c r="EQ134" s="722"/>
      <c r="ER134" s="722"/>
      <c r="ES134" s="722"/>
      <c r="ET134" s="722"/>
      <c r="EU134" s="722"/>
      <c r="EV134" s="722"/>
      <c r="EW134" s="721"/>
      <c r="EX134" s="721"/>
      <c r="EY134" s="721"/>
      <c r="EZ134" s="721"/>
      <c r="FA134" s="721"/>
      <c r="FB134" s="721"/>
      <c r="FC134" s="721"/>
      <c r="FD134" s="630"/>
      <c r="FE134" s="721"/>
      <c r="FF134" s="721"/>
      <c r="FG134" s="721"/>
      <c r="FH134" s="721"/>
      <c r="FI134" s="721"/>
      <c r="FJ134" s="721"/>
      <c r="FK134" s="721"/>
      <c r="FL134" s="721"/>
      <c r="FM134" s="721"/>
      <c r="FN134" s="721"/>
      <c r="FO134" s="721"/>
      <c r="FP134" s="721"/>
      <c r="FQ134" s="721"/>
      <c r="FR134" s="722"/>
      <c r="FS134" s="722"/>
      <c r="FT134" s="722"/>
      <c r="FU134" s="722"/>
      <c r="FV134" s="722"/>
      <c r="FW134" s="722"/>
      <c r="FX134" s="722"/>
      <c r="FY134" s="722"/>
      <c r="GA134" s="722"/>
      <c r="GB134" s="722"/>
      <c r="GD134" s="721"/>
      <c r="GE134" s="721"/>
      <c r="GF134" s="734"/>
      <c r="GG134" s="722"/>
      <c r="GH134" s="722"/>
      <c r="GI134" s="732"/>
      <c r="GJ134" s="722"/>
      <c r="GK134" s="722"/>
      <c r="GL134" s="722"/>
      <c r="GM134" s="721"/>
      <c r="GN134" s="721"/>
      <c r="GO134" s="721"/>
      <c r="GP134" s="732"/>
      <c r="GQ134" s="732"/>
      <c r="GR134" s="732"/>
      <c r="GS134" s="722"/>
      <c r="GT134" s="722"/>
      <c r="GU134" s="722"/>
      <c r="GV134" s="722"/>
      <c r="GW134" s="722"/>
      <c r="GX134" s="722"/>
      <c r="GY134" s="721"/>
      <c r="GZ134" s="721"/>
      <c r="HA134" s="721"/>
      <c r="HB134" s="721"/>
      <c r="HC134" s="721"/>
      <c r="HD134" s="721"/>
      <c r="HE134" s="721"/>
      <c r="HF134" s="721"/>
      <c r="HG134" s="721"/>
      <c r="HH134" s="721"/>
      <c r="HI134" s="721"/>
      <c r="HJ134" s="721"/>
      <c r="HK134" s="721"/>
      <c r="HL134" s="721"/>
      <c r="HM134" s="721"/>
      <c r="HN134" s="722"/>
      <c r="HO134" s="722"/>
      <c r="HP134" s="722"/>
      <c r="HQ134" s="721"/>
      <c r="HR134" s="721"/>
      <c r="HS134" s="721"/>
      <c r="HT134" s="721"/>
      <c r="HU134" s="721"/>
      <c r="HV134" s="721"/>
      <c r="HW134" s="721"/>
      <c r="HX134" s="721"/>
      <c r="HY134" s="721"/>
      <c r="HZ134" s="721"/>
      <c r="IA134" s="721"/>
      <c r="IB134" s="721"/>
      <c r="IC134" s="721"/>
      <c r="ID134" s="721"/>
      <c r="IE134" s="721"/>
      <c r="IF134" s="721"/>
      <c r="IG134" s="721"/>
      <c r="IH134" s="721"/>
      <c r="II134" s="721"/>
      <c r="IJ134" s="721"/>
      <c r="IK134" s="721"/>
      <c r="IL134" s="721"/>
      <c r="IM134" s="721"/>
      <c r="IN134" s="721"/>
      <c r="IO134" s="721"/>
      <c r="IP134" s="721"/>
      <c r="IQ134" s="721"/>
      <c r="IR134" s="721"/>
      <c r="IS134" s="721"/>
      <c r="IT134" s="721"/>
      <c r="IU134" s="721">
        <f t="shared" si="23"/>
        <v>459.71062499999999</v>
      </c>
      <c r="IV134" s="721">
        <f t="shared" si="24"/>
        <v>312.71625</v>
      </c>
      <c r="IW134" s="721"/>
      <c r="IX134" s="721"/>
      <c r="IY134" s="721"/>
      <c r="IZ134" s="721"/>
      <c r="JA134" s="721"/>
      <c r="JB134" s="721"/>
      <c r="JC134" s="721"/>
      <c r="JD134" s="721"/>
      <c r="JE134" s="721"/>
      <c r="JF134" s="721"/>
      <c r="JG134" s="721"/>
      <c r="JH134" s="721"/>
      <c r="JI134" s="721"/>
      <c r="JJ134" s="721"/>
      <c r="JK134" s="721"/>
      <c r="JL134" s="721"/>
      <c r="JM134" s="721"/>
      <c r="JN134" s="721"/>
      <c r="JO134" s="721"/>
      <c r="JP134" s="721"/>
      <c r="JQ134" s="721"/>
      <c r="JR134" s="721"/>
      <c r="JS134" s="721"/>
      <c r="JT134" s="721"/>
      <c r="JU134" s="721"/>
      <c r="JV134" s="721"/>
      <c r="JW134" s="721"/>
      <c r="JX134" s="721"/>
      <c r="JY134" s="721">
        <v>0</v>
      </c>
      <c r="JZ134" s="786">
        <v>0</v>
      </c>
      <c r="KA134" s="721">
        <v>6.6666666666666602E-3</v>
      </c>
      <c r="KB134" s="721">
        <v>-2.8985507246376802E-2</v>
      </c>
      <c r="KC134" s="721">
        <v>0</v>
      </c>
      <c r="KD134" s="721">
        <v>0</v>
      </c>
      <c r="KE134" s="721"/>
      <c r="KF134" s="721"/>
      <c r="KG134" s="721"/>
      <c r="KH134" s="721"/>
      <c r="KI134" s="721"/>
      <c r="KJ134" s="721"/>
      <c r="KK134" s="721"/>
      <c r="KL134" s="721"/>
      <c r="KM134" s="721"/>
      <c r="KN134" s="721"/>
      <c r="KO134" s="721"/>
      <c r="KP134" s="721"/>
      <c r="KQ134" s="721"/>
      <c r="KR134" s="721"/>
      <c r="KS134" s="721"/>
      <c r="KT134" s="721"/>
      <c r="KU134" s="721"/>
      <c r="KV134" s="721"/>
      <c r="KW134" s="721"/>
      <c r="KX134" s="721"/>
      <c r="KY134" s="721"/>
      <c r="KZ134" s="721"/>
      <c r="LA134" s="721"/>
      <c r="LB134" s="721"/>
      <c r="LC134" s="721"/>
      <c r="LD134" s="721"/>
      <c r="LE134" s="721"/>
      <c r="LF134" s="721"/>
      <c r="LG134" s="721"/>
      <c r="LH134" s="721"/>
      <c r="LI134" s="721"/>
      <c r="LJ134" s="721"/>
      <c r="LK134" s="721"/>
      <c r="LL134" s="721"/>
      <c r="LM134" s="721"/>
      <c r="LN134" s="721"/>
      <c r="LO134" s="721"/>
      <c r="LP134" s="721"/>
      <c r="LQ134" s="721"/>
      <c r="LR134" s="721"/>
      <c r="LS134" s="721"/>
      <c r="LT134" s="721"/>
      <c r="LU134" s="721"/>
      <c r="LV134" s="721"/>
      <c r="LW134" s="721"/>
      <c r="LX134" s="721"/>
      <c r="LY134" s="721"/>
      <c r="LZ134" s="721"/>
      <c r="MA134" s="721"/>
      <c r="MB134" s="721"/>
      <c r="MC134" s="721"/>
      <c r="MD134" s="721"/>
      <c r="ME134" s="721"/>
      <c r="MF134" s="721"/>
      <c r="MG134" s="721"/>
      <c r="MH134" s="721"/>
      <c r="MI134" s="721"/>
      <c r="MJ134" s="721"/>
      <c r="MK134" s="721"/>
      <c r="ML134" s="721"/>
      <c r="MM134" s="721"/>
      <c r="MN134" s="721"/>
      <c r="MO134" s="721"/>
      <c r="MP134" s="721"/>
      <c r="MQ134" s="721"/>
    </row>
    <row r="135" spans="1:355">
      <c r="A135" s="634"/>
      <c r="B135" s="721"/>
      <c r="U135" s="721"/>
      <c r="V135" s="721"/>
      <c r="W135" s="721"/>
      <c r="X135" s="721"/>
      <c r="Y135" s="721"/>
      <c r="Z135" s="721"/>
      <c r="AA135" s="721"/>
      <c r="AB135" s="721"/>
      <c r="AC135" s="721"/>
      <c r="AJ135" s="722"/>
      <c r="AK135" s="722"/>
      <c r="AL135" s="722"/>
      <c r="AM135" s="722"/>
      <c r="AN135" s="722"/>
      <c r="AO135" s="722"/>
      <c r="AP135" s="722"/>
      <c r="AQ135" s="722"/>
      <c r="AR135" s="722"/>
      <c r="AS135" s="722"/>
      <c r="AT135" s="722"/>
      <c r="AU135" s="722"/>
      <c r="AV135" s="721"/>
      <c r="AW135" s="721"/>
      <c r="AX135" s="721"/>
      <c r="AY135" s="721"/>
      <c r="AZ135" s="721"/>
      <c r="BA135" s="721"/>
      <c r="BB135" s="721"/>
      <c r="BC135" s="721"/>
      <c r="BD135" s="721"/>
      <c r="BE135" s="721"/>
      <c r="BF135" s="721"/>
      <c r="BG135" s="721"/>
      <c r="BH135" s="721"/>
      <c r="BI135" s="721"/>
      <c r="BJ135" s="721"/>
      <c r="BK135" s="721"/>
      <c r="BL135" s="721"/>
      <c r="BM135" s="721"/>
      <c r="BN135" s="722"/>
      <c r="BO135" s="722"/>
      <c r="BP135" s="722"/>
      <c r="BQ135" s="721"/>
      <c r="BR135" s="721"/>
      <c r="BS135" s="721"/>
      <c r="BT135" s="721"/>
      <c r="BU135" s="721"/>
      <c r="BV135" s="721"/>
      <c r="BW135" s="721"/>
      <c r="BX135" s="721"/>
      <c r="BY135" s="721"/>
      <c r="BZ135" s="722"/>
      <c r="CA135" s="722"/>
      <c r="CB135" s="722"/>
      <c r="CC135" s="721"/>
      <c r="CD135" s="721"/>
      <c r="CE135" s="721"/>
      <c r="CF135" s="721"/>
      <c r="CG135" s="721"/>
      <c r="CH135" s="721"/>
      <c r="CI135" s="721"/>
      <c r="CJ135" s="721"/>
      <c r="CK135" s="721"/>
      <c r="CL135" s="722"/>
      <c r="CM135" s="722"/>
      <c r="CN135" s="722"/>
      <c r="CO135" s="721"/>
      <c r="CP135" s="721"/>
      <c r="CQ135" s="721"/>
      <c r="CR135" s="721"/>
      <c r="CS135" s="721"/>
      <c r="CT135" s="721"/>
      <c r="CU135" s="721"/>
      <c r="CV135" s="721"/>
      <c r="CW135" s="721"/>
      <c r="CX135" s="721"/>
      <c r="CY135" s="721"/>
      <c r="CZ135" s="721"/>
      <c r="DA135" s="722"/>
      <c r="DB135" s="722"/>
      <c r="DC135" s="722"/>
      <c r="DD135" s="722"/>
      <c r="DE135" s="722"/>
      <c r="DF135" s="722"/>
      <c r="DG135" s="722"/>
      <c r="DH135" s="722"/>
      <c r="DI135" s="722"/>
      <c r="DJ135" s="722"/>
      <c r="DK135" s="722"/>
      <c r="DL135" s="722"/>
      <c r="DM135" s="722"/>
      <c r="DN135" s="722"/>
      <c r="DO135" s="722"/>
      <c r="DP135" s="722"/>
      <c r="DQ135" s="722"/>
      <c r="DR135" s="722"/>
      <c r="DS135" s="722"/>
      <c r="DT135" s="722"/>
      <c r="DU135" s="722"/>
      <c r="DV135" s="722"/>
      <c r="DW135" s="722"/>
      <c r="DX135" s="722"/>
      <c r="DY135" s="722"/>
      <c r="DZ135" s="722"/>
      <c r="EA135" s="722"/>
      <c r="EB135" s="722"/>
      <c r="EC135" s="722"/>
      <c r="ED135" s="722"/>
      <c r="EE135" s="722"/>
      <c r="EF135" s="722"/>
      <c r="EG135" s="722"/>
      <c r="EH135" s="722"/>
      <c r="EI135" s="722"/>
      <c r="EJ135" s="722"/>
      <c r="EK135" s="722"/>
      <c r="EL135" s="722"/>
      <c r="EM135" s="722"/>
      <c r="EN135" s="721"/>
      <c r="EO135" s="721"/>
      <c r="EP135" s="721"/>
      <c r="EQ135" s="722"/>
      <c r="ER135" s="722"/>
      <c r="ES135" s="722"/>
      <c r="ET135" s="722"/>
      <c r="EU135" s="722"/>
      <c r="EV135" s="722"/>
      <c r="EW135" s="721"/>
      <c r="EX135" s="721"/>
      <c r="EY135" s="721"/>
      <c r="EZ135" s="721"/>
      <c r="FA135" s="721"/>
      <c r="FB135" s="721"/>
      <c r="FC135" s="721"/>
      <c r="FD135" s="630"/>
      <c r="FE135" s="721"/>
      <c r="FF135" s="721"/>
      <c r="FG135" s="721"/>
      <c r="FH135" s="721"/>
      <c r="FI135" s="721"/>
      <c r="FJ135" s="721"/>
      <c r="FK135" s="721"/>
      <c r="FL135" s="721"/>
      <c r="FM135" s="721"/>
      <c r="FN135" s="721"/>
      <c r="FO135" s="721"/>
      <c r="FP135" s="721"/>
      <c r="FQ135" s="721"/>
      <c r="FR135" s="732"/>
      <c r="FS135" s="732"/>
      <c r="FT135" s="732"/>
      <c r="FU135" s="722"/>
      <c r="FV135" s="722"/>
      <c r="FW135" s="722"/>
      <c r="FX135" s="722"/>
      <c r="FY135" s="722"/>
      <c r="GA135" s="722"/>
      <c r="GB135" s="722"/>
      <c r="GD135" s="721"/>
      <c r="GE135" s="721"/>
      <c r="GF135" s="734"/>
      <c r="GG135" s="722"/>
      <c r="GH135" s="722"/>
      <c r="GI135" s="732"/>
      <c r="GJ135" s="722"/>
      <c r="GK135" s="722"/>
      <c r="GL135" s="722"/>
      <c r="GM135" s="721"/>
      <c r="GN135" s="721"/>
      <c r="GO135" s="721"/>
      <c r="GP135" s="732"/>
      <c r="GQ135" s="732"/>
      <c r="GR135" s="732"/>
      <c r="GS135" s="722"/>
      <c r="GT135" s="722"/>
      <c r="GU135" s="722"/>
      <c r="GV135" s="722"/>
      <c r="GW135" s="722"/>
      <c r="GX135" s="722"/>
      <c r="GY135" s="721"/>
      <c r="GZ135" s="721"/>
      <c r="HA135" s="721"/>
      <c r="HB135" s="721"/>
      <c r="HC135" s="721"/>
      <c r="HD135" s="721"/>
      <c r="HE135" s="721"/>
      <c r="HF135" s="721"/>
      <c r="HG135" s="721"/>
      <c r="HH135" s="721"/>
      <c r="HI135" s="721"/>
      <c r="HJ135" s="721"/>
      <c r="HK135" s="721"/>
      <c r="HL135" s="721"/>
      <c r="HM135" s="721"/>
      <c r="HN135" s="722"/>
      <c r="HO135" s="722"/>
      <c r="HP135" s="722"/>
      <c r="HQ135" s="721"/>
      <c r="HR135" s="721"/>
      <c r="HS135" s="721"/>
      <c r="HT135" s="721"/>
      <c r="HU135" s="721"/>
      <c r="HV135" s="721"/>
      <c r="HW135" s="721"/>
      <c r="HX135" s="721"/>
      <c r="HY135" s="721"/>
      <c r="HZ135" s="721"/>
      <c r="IA135" s="721"/>
      <c r="IB135" s="721"/>
      <c r="IC135" s="721"/>
      <c r="ID135" s="721"/>
      <c r="IE135" s="721"/>
      <c r="IF135" s="721"/>
      <c r="IG135" s="721"/>
      <c r="IH135" s="721"/>
      <c r="II135" s="721"/>
      <c r="IJ135" s="721"/>
      <c r="IK135" s="721"/>
      <c r="IL135" s="721"/>
      <c r="IM135" s="721"/>
      <c r="IN135" s="721"/>
      <c r="IO135" s="721"/>
      <c r="IP135" s="721"/>
      <c r="IQ135" s="721"/>
      <c r="IR135" s="721"/>
      <c r="IS135" s="721"/>
      <c r="IT135" s="721"/>
      <c r="IU135" s="721">
        <f t="shared" si="23"/>
        <v>0</v>
      </c>
      <c r="IV135" s="721">
        <f t="shared" si="24"/>
        <v>1086.864</v>
      </c>
      <c r="IW135" s="721"/>
      <c r="IX135" s="721"/>
      <c r="IY135" s="721"/>
      <c r="IZ135" s="721"/>
      <c r="JA135" s="721"/>
      <c r="JB135" s="721"/>
      <c r="JC135" s="721"/>
      <c r="JD135" s="721"/>
      <c r="JE135" s="721"/>
      <c r="JF135" s="721"/>
      <c r="JG135" s="721"/>
      <c r="JH135" s="721"/>
      <c r="JI135" s="721"/>
      <c r="JJ135" s="721"/>
      <c r="JK135" s="721"/>
      <c r="JL135" s="721"/>
      <c r="JM135" s="721"/>
      <c r="JN135" s="721"/>
      <c r="JO135" s="721"/>
      <c r="JP135" s="721"/>
      <c r="JQ135" s="721"/>
      <c r="JR135" s="721"/>
      <c r="JS135" s="721"/>
      <c r="JT135" s="721"/>
      <c r="JU135" s="721"/>
      <c r="JV135" s="721"/>
      <c r="JW135" s="721"/>
      <c r="JX135" s="721"/>
      <c r="JY135" s="721">
        <v>0</v>
      </c>
      <c r="JZ135" s="786">
        <v>0</v>
      </c>
      <c r="KA135" s="721">
        <v>0</v>
      </c>
      <c r="KB135" s="721">
        <v>0</v>
      </c>
      <c r="KC135" s="721">
        <v>0</v>
      </c>
      <c r="KD135" s="721">
        <v>0</v>
      </c>
      <c r="KE135" s="721"/>
      <c r="KF135" s="721"/>
      <c r="KG135" s="721"/>
      <c r="KH135" s="721"/>
      <c r="KI135" s="721"/>
      <c r="KJ135" s="721"/>
      <c r="KK135" s="721"/>
      <c r="KL135" s="721"/>
      <c r="KM135" s="721"/>
      <c r="KN135" s="721"/>
      <c r="KO135" s="721"/>
      <c r="KP135" s="721"/>
      <c r="KQ135" s="721"/>
      <c r="KR135" s="721"/>
      <c r="KS135" s="721"/>
      <c r="KT135" s="721"/>
      <c r="KU135" s="721"/>
      <c r="KV135" s="721"/>
      <c r="KW135" s="721"/>
      <c r="KX135" s="721"/>
      <c r="KY135" s="721"/>
      <c r="KZ135" s="721"/>
      <c r="LA135" s="721"/>
      <c r="LB135" s="721"/>
      <c r="LC135" s="721"/>
      <c r="LD135" s="721"/>
      <c r="LE135" s="721"/>
      <c r="LF135" s="721"/>
      <c r="LG135" s="721"/>
      <c r="LH135" s="721"/>
      <c r="LI135" s="721"/>
      <c r="LJ135" s="721"/>
      <c r="LK135" s="721"/>
      <c r="LL135" s="721"/>
      <c r="LM135" s="721"/>
      <c r="LN135" s="721"/>
      <c r="LO135" s="721"/>
      <c r="LP135" s="721"/>
      <c r="LQ135" s="721"/>
      <c r="LR135" s="721"/>
      <c r="LS135" s="721"/>
      <c r="LT135" s="721"/>
      <c r="LU135" s="721"/>
      <c r="LV135" s="721"/>
      <c r="LW135" s="721"/>
      <c r="LX135" s="721"/>
      <c r="LY135" s="721"/>
      <c r="LZ135" s="721"/>
      <c r="MA135" s="721"/>
      <c r="MB135" s="721"/>
      <c r="MC135" s="721"/>
      <c r="MD135" s="721"/>
      <c r="ME135" s="721"/>
      <c r="MF135" s="721"/>
      <c r="MG135" s="721"/>
      <c r="MH135" s="721"/>
      <c r="MI135" s="721"/>
      <c r="MJ135" s="721"/>
      <c r="MK135" s="721"/>
      <c r="ML135" s="721"/>
      <c r="MM135" s="721"/>
      <c r="MN135" s="721"/>
      <c r="MO135" s="721"/>
      <c r="MP135" s="721"/>
      <c r="MQ135" s="721"/>
    </row>
    <row r="136" spans="1:355">
      <c r="A136" s="634"/>
      <c r="B136" s="721"/>
      <c r="U136" s="721"/>
      <c r="V136" s="721"/>
      <c r="W136" s="721"/>
      <c r="X136" s="721"/>
      <c r="Y136" s="721"/>
      <c r="Z136" s="721"/>
      <c r="AA136" s="721"/>
      <c r="AB136" s="721"/>
      <c r="AC136" s="721"/>
      <c r="AJ136" s="722"/>
      <c r="AK136" s="722"/>
      <c r="AL136" s="722"/>
      <c r="AM136" s="722"/>
      <c r="AN136" s="722"/>
      <c r="AO136" s="722"/>
      <c r="AP136" s="722"/>
      <c r="AQ136" s="722"/>
      <c r="AR136" s="722"/>
      <c r="AS136" s="722"/>
      <c r="AT136" s="722"/>
      <c r="AU136" s="722"/>
      <c r="AV136" s="721"/>
      <c r="AW136" s="721"/>
      <c r="AX136" s="721"/>
      <c r="AY136" s="721"/>
      <c r="AZ136" s="721"/>
      <c r="BA136" s="721"/>
      <c r="BB136" s="721"/>
      <c r="BC136" s="721"/>
      <c r="BD136" s="721"/>
      <c r="BE136" s="721"/>
      <c r="BF136" s="721"/>
      <c r="BG136" s="721"/>
      <c r="BH136" s="721"/>
      <c r="BI136" s="721"/>
      <c r="BJ136" s="721"/>
      <c r="BK136" s="721"/>
      <c r="BL136" s="721"/>
      <c r="BM136" s="721"/>
      <c r="BN136" s="722"/>
      <c r="BO136" s="722"/>
      <c r="BP136" s="722"/>
      <c r="BQ136" s="721"/>
      <c r="BR136" s="721"/>
      <c r="BS136" s="721"/>
      <c r="BT136" s="721"/>
      <c r="BU136" s="721"/>
      <c r="BV136" s="721"/>
      <c r="BW136" s="721"/>
      <c r="BX136" s="721"/>
      <c r="BY136" s="721"/>
      <c r="BZ136" s="722"/>
      <c r="CA136" s="722"/>
      <c r="CB136" s="722"/>
      <c r="CC136" s="721"/>
      <c r="CD136" s="721"/>
      <c r="CE136" s="721"/>
      <c r="CF136" s="721"/>
      <c r="CG136" s="721"/>
      <c r="CH136" s="721"/>
      <c r="CI136" s="721"/>
      <c r="CJ136" s="721"/>
      <c r="CK136" s="721"/>
      <c r="CL136" s="722"/>
      <c r="CM136" s="722"/>
      <c r="CN136" s="722"/>
      <c r="CO136" s="721"/>
      <c r="CP136" s="721"/>
      <c r="CQ136" s="721"/>
      <c r="CR136" s="721"/>
      <c r="CS136" s="721"/>
      <c r="CT136" s="721"/>
      <c r="CU136" s="721"/>
      <c r="CV136" s="721"/>
      <c r="CW136" s="721"/>
      <c r="CX136" s="721"/>
      <c r="CY136" s="721"/>
      <c r="CZ136" s="721"/>
      <c r="DA136" s="722"/>
      <c r="DB136" s="722"/>
      <c r="DC136" s="722"/>
      <c r="DD136" s="722"/>
      <c r="DE136" s="722"/>
      <c r="DF136" s="722"/>
      <c r="DG136" s="722"/>
      <c r="DH136" s="722"/>
      <c r="DI136" s="722"/>
      <c r="DJ136" s="722"/>
      <c r="DK136" s="722"/>
      <c r="DL136" s="722"/>
      <c r="DM136" s="722"/>
      <c r="DN136" s="722"/>
      <c r="DO136" s="722"/>
      <c r="DP136" s="722"/>
      <c r="DQ136" s="722"/>
      <c r="DR136" s="722"/>
      <c r="DS136" s="722"/>
      <c r="DT136" s="722"/>
      <c r="DU136" s="722"/>
      <c r="DV136" s="722"/>
      <c r="DW136" s="722"/>
      <c r="DX136" s="722"/>
      <c r="DY136" s="722"/>
      <c r="DZ136" s="722"/>
      <c r="EA136" s="722"/>
      <c r="EB136" s="722"/>
      <c r="EC136" s="722"/>
      <c r="ED136" s="722"/>
      <c r="EE136" s="722"/>
      <c r="EF136" s="722"/>
      <c r="EG136" s="722"/>
      <c r="EH136" s="722"/>
      <c r="EI136" s="722"/>
      <c r="EJ136" s="722"/>
      <c r="EK136" s="722"/>
      <c r="EL136" s="722"/>
      <c r="EM136" s="722"/>
      <c r="EN136" s="721"/>
      <c r="EO136" s="721"/>
      <c r="EP136" s="721"/>
      <c r="EQ136" s="722"/>
      <c r="ER136" s="722"/>
      <c r="ES136" s="722"/>
      <c r="ET136" s="722"/>
      <c r="EU136" s="722"/>
      <c r="EV136" s="722"/>
      <c r="EW136" s="721"/>
      <c r="EX136" s="721"/>
      <c r="EY136" s="721"/>
      <c r="EZ136" s="721"/>
      <c r="FA136" s="721"/>
      <c r="FB136" s="721"/>
      <c r="FC136" s="721"/>
      <c r="FD136" s="721"/>
      <c r="FE136" s="721"/>
      <c r="FF136" s="721"/>
      <c r="FG136" s="721"/>
      <c r="FH136" s="721"/>
      <c r="FI136" s="721"/>
      <c r="FJ136" s="721"/>
      <c r="FK136" s="721"/>
      <c r="FL136" s="721"/>
      <c r="FM136" s="721"/>
      <c r="FN136" s="721"/>
      <c r="FO136" s="721"/>
      <c r="FP136" s="721"/>
      <c r="FQ136" s="721"/>
      <c r="FR136" s="732"/>
      <c r="FS136" s="732"/>
      <c r="FT136" s="732"/>
      <c r="FU136" s="722"/>
      <c r="FV136" s="722"/>
      <c r="FW136" s="722"/>
      <c r="FX136" s="722"/>
      <c r="FY136" s="722"/>
      <c r="GA136" s="722"/>
      <c r="GB136" s="722"/>
      <c r="GD136" s="721"/>
      <c r="GE136" s="721"/>
      <c r="GF136" s="734"/>
      <c r="GG136" s="722"/>
      <c r="GH136" s="722"/>
      <c r="GI136" s="732"/>
      <c r="GJ136" s="722"/>
      <c r="GK136" s="722"/>
      <c r="GL136" s="722"/>
      <c r="GM136" s="721"/>
      <c r="GN136" s="721"/>
      <c r="GO136" s="721"/>
      <c r="GP136" s="732"/>
      <c r="GQ136" s="732"/>
      <c r="GR136" s="732"/>
      <c r="GS136" s="722"/>
      <c r="GT136" s="722"/>
      <c r="GU136" s="722"/>
      <c r="GV136" s="722"/>
      <c r="GW136" s="722"/>
      <c r="GX136" s="722"/>
      <c r="GY136" s="721"/>
      <c r="GZ136" s="721"/>
      <c r="HA136" s="721"/>
      <c r="HB136" s="721"/>
      <c r="HC136" s="721"/>
      <c r="HD136" s="721"/>
      <c r="HE136" s="721"/>
      <c r="HF136" s="721"/>
      <c r="HG136" s="721"/>
      <c r="HH136" s="721"/>
      <c r="HI136" s="721"/>
      <c r="HJ136" s="721"/>
      <c r="HK136" s="721"/>
      <c r="HL136" s="721"/>
      <c r="HM136" s="721"/>
      <c r="HN136" s="722"/>
      <c r="HO136" s="722"/>
      <c r="HP136" s="722"/>
      <c r="HQ136" s="721"/>
      <c r="HR136" s="721"/>
      <c r="HS136" s="721"/>
      <c r="HT136" s="721"/>
      <c r="HU136" s="721"/>
      <c r="HV136" s="721"/>
      <c r="HW136" s="721"/>
      <c r="HX136" s="721"/>
      <c r="HY136" s="721"/>
      <c r="HZ136" s="721"/>
      <c r="IA136" s="721"/>
      <c r="IB136" s="721"/>
      <c r="IC136" s="721"/>
      <c r="ID136" s="721"/>
      <c r="IE136" s="721"/>
      <c r="IF136" s="721"/>
      <c r="IG136" s="721"/>
      <c r="IH136" s="721"/>
      <c r="II136" s="721"/>
      <c r="IJ136" s="721"/>
      <c r="IK136" s="721"/>
      <c r="IL136" s="721"/>
      <c r="IM136" s="721"/>
      <c r="IN136" s="721"/>
      <c r="IO136" s="721"/>
      <c r="IP136" s="721"/>
      <c r="IQ136" s="721"/>
      <c r="IR136" s="721"/>
      <c r="IS136" s="721"/>
      <c r="IT136" s="721"/>
      <c r="IU136" s="721">
        <f t="shared" si="23"/>
        <v>5445</v>
      </c>
      <c r="IV136" s="721">
        <f t="shared" si="24"/>
        <v>4074.2906250000001</v>
      </c>
      <c r="IW136" s="721"/>
      <c r="IX136" s="721"/>
      <c r="IY136" s="721"/>
      <c r="IZ136" s="721"/>
      <c r="JA136" s="721"/>
      <c r="JB136" s="721"/>
      <c r="JC136" s="721"/>
      <c r="JD136" s="721"/>
      <c r="JE136" s="721"/>
      <c r="JF136" s="721"/>
      <c r="JG136" s="721"/>
      <c r="JH136" s="721"/>
      <c r="JI136" s="721"/>
      <c r="JJ136" s="721"/>
      <c r="JK136" s="721"/>
      <c r="JL136" s="721"/>
      <c r="JM136" s="721"/>
      <c r="JN136" s="721"/>
      <c r="JO136" s="721"/>
      <c r="JP136" s="721"/>
      <c r="JQ136" s="721"/>
      <c r="JR136" s="721"/>
      <c r="JS136" s="721"/>
      <c r="JT136" s="721"/>
      <c r="JU136" s="721"/>
      <c r="JV136" s="721"/>
      <c r="JW136" s="721"/>
      <c r="JX136" s="721"/>
      <c r="JY136" s="721">
        <v>0</v>
      </c>
      <c r="JZ136" s="786">
        <v>0</v>
      </c>
      <c r="KA136" s="721">
        <v>0</v>
      </c>
      <c r="KB136" s="721">
        <v>0</v>
      </c>
      <c r="KC136" s="721">
        <v>0</v>
      </c>
      <c r="KD136" s="721">
        <v>0</v>
      </c>
      <c r="KE136" s="721"/>
      <c r="KF136" s="721"/>
      <c r="KG136" s="721"/>
      <c r="KH136" s="721"/>
      <c r="KI136" s="721"/>
      <c r="KJ136" s="721"/>
      <c r="KK136" s="721"/>
      <c r="KL136" s="721"/>
      <c r="KM136" s="721"/>
      <c r="KN136" s="721"/>
      <c r="KO136" s="721"/>
      <c r="KP136" s="721"/>
      <c r="KQ136" s="721"/>
      <c r="KR136" s="721"/>
      <c r="KS136" s="721"/>
      <c r="KT136" s="721"/>
      <c r="KU136" s="721"/>
      <c r="KV136" s="721"/>
      <c r="KW136" s="721"/>
      <c r="KX136" s="721"/>
      <c r="KY136" s="721"/>
      <c r="KZ136" s="721"/>
      <c r="LA136" s="721"/>
      <c r="LB136" s="721"/>
      <c r="LC136" s="721"/>
      <c r="LD136" s="721"/>
      <c r="LE136" s="721"/>
      <c r="LF136" s="721"/>
      <c r="LG136" s="721"/>
      <c r="LH136" s="721"/>
      <c r="LI136" s="721"/>
      <c r="LJ136" s="721"/>
      <c r="LK136" s="721"/>
      <c r="LL136" s="721"/>
      <c r="LM136" s="721"/>
      <c r="LN136" s="721"/>
      <c r="LO136" s="721"/>
      <c r="LP136" s="721"/>
      <c r="LQ136" s="721"/>
      <c r="LR136" s="721"/>
      <c r="LS136" s="721"/>
      <c r="LT136" s="721"/>
      <c r="LU136" s="721"/>
      <c r="LV136" s="721"/>
      <c r="LW136" s="721"/>
      <c r="LX136" s="721"/>
      <c r="LY136" s="721"/>
      <c r="LZ136" s="721"/>
      <c r="MA136" s="721"/>
      <c r="MB136" s="721"/>
      <c r="MC136" s="721"/>
      <c r="MD136" s="721"/>
      <c r="ME136" s="721"/>
      <c r="MF136" s="721"/>
      <c r="MG136" s="721"/>
      <c r="MH136" s="721"/>
      <c r="MI136" s="721"/>
      <c r="MJ136" s="721"/>
      <c r="MK136" s="721"/>
      <c r="ML136" s="721"/>
      <c r="MM136" s="721"/>
      <c r="MN136" s="721"/>
      <c r="MO136" s="721"/>
      <c r="MP136" s="721"/>
      <c r="MQ136" s="721"/>
    </row>
    <row r="137" spans="1:355">
      <c r="A137" s="634"/>
      <c r="B137" s="721"/>
      <c r="U137" s="721"/>
      <c r="V137" s="721"/>
      <c r="W137" s="721"/>
      <c r="X137" s="721"/>
      <c r="Y137" s="721"/>
      <c r="Z137" s="721"/>
      <c r="AA137" s="721"/>
      <c r="AB137" s="721"/>
      <c r="AC137" s="721"/>
      <c r="AJ137" s="722"/>
      <c r="AK137" s="722"/>
      <c r="AL137" s="722"/>
      <c r="AM137" s="722"/>
      <c r="AN137" s="722"/>
      <c r="AO137" s="722"/>
      <c r="AP137" s="722"/>
      <c r="AQ137" s="722"/>
      <c r="AR137" s="722"/>
      <c r="AS137" s="722"/>
      <c r="AT137" s="722"/>
      <c r="AU137" s="722"/>
      <c r="AV137" s="721"/>
      <c r="AW137" s="721"/>
      <c r="AX137" s="721"/>
      <c r="AY137" s="721"/>
      <c r="AZ137" s="721"/>
      <c r="BA137" s="721"/>
      <c r="BB137" s="721"/>
      <c r="BC137" s="721"/>
      <c r="BD137" s="721"/>
      <c r="BE137" s="721"/>
      <c r="BF137" s="721"/>
      <c r="BG137" s="721"/>
      <c r="BH137" s="721"/>
      <c r="BI137" s="721"/>
      <c r="BJ137" s="721"/>
      <c r="BK137" s="721"/>
      <c r="BL137" s="721"/>
      <c r="BM137" s="721"/>
      <c r="BN137" s="722"/>
      <c r="BO137" s="722"/>
      <c r="BP137" s="722"/>
      <c r="BQ137" s="721"/>
      <c r="BR137" s="721"/>
      <c r="BS137" s="721"/>
      <c r="BT137" s="721"/>
      <c r="BU137" s="721"/>
      <c r="BV137" s="721"/>
      <c r="BW137" s="721"/>
      <c r="BX137" s="721"/>
      <c r="BY137" s="721"/>
      <c r="BZ137" s="721"/>
      <c r="CA137" s="721"/>
      <c r="CB137" s="721"/>
      <c r="CC137" s="721"/>
      <c r="CD137" s="721"/>
      <c r="CE137" s="721"/>
      <c r="CF137" s="721"/>
      <c r="CG137" s="721"/>
      <c r="CH137" s="721"/>
      <c r="CI137" s="721"/>
      <c r="CJ137" s="721"/>
      <c r="CK137" s="721"/>
      <c r="CL137" s="722"/>
      <c r="CM137" s="722"/>
      <c r="CN137" s="722"/>
      <c r="CO137" s="721"/>
      <c r="CP137" s="721"/>
      <c r="CQ137" s="721"/>
      <c r="CR137" s="721"/>
      <c r="CS137" s="721"/>
      <c r="CT137" s="721"/>
      <c r="CU137" s="721"/>
      <c r="CV137" s="721"/>
      <c r="CW137" s="721"/>
      <c r="CX137" s="721"/>
      <c r="CY137" s="721"/>
      <c r="CZ137" s="721"/>
      <c r="DA137" s="722"/>
      <c r="DB137" s="722"/>
      <c r="DC137" s="722"/>
      <c r="DD137" s="722"/>
      <c r="DE137" s="722"/>
      <c r="DF137" s="722"/>
      <c r="DG137" s="722"/>
      <c r="DH137" s="722"/>
      <c r="DI137" s="722"/>
      <c r="DJ137" s="722"/>
      <c r="DK137" s="722"/>
      <c r="DL137" s="722"/>
      <c r="DM137" s="722"/>
      <c r="DN137" s="722"/>
      <c r="DO137" s="722"/>
      <c r="DP137" s="722"/>
      <c r="DQ137" s="722"/>
      <c r="DR137" s="722"/>
      <c r="DS137" s="722"/>
      <c r="DT137" s="722"/>
      <c r="DU137" s="722"/>
      <c r="DV137" s="722"/>
      <c r="DW137" s="722"/>
      <c r="DX137" s="722"/>
      <c r="DY137" s="722"/>
      <c r="DZ137" s="722"/>
      <c r="EA137" s="722"/>
      <c r="EB137" s="722"/>
      <c r="EC137" s="722"/>
      <c r="ED137" s="722"/>
      <c r="EE137" s="722"/>
      <c r="EF137" s="722"/>
      <c r="EG137" s="722"/>
      <c r="EH137" s="722"/>
      <c r="EI137" s="722"/>
      <c r="EJ137" s="722"/>
      <c r="EK137" s="722"/>
      <c r="EL137" s="722"/>
      <c r="EM137" s="722"/>
      <c r="EN137" s="721"/>
      <c r="EO137" s="721"/>
      <c r="EP137" s="721"/>
      <c r="EQ137" s="722"/>
      <c r="ER137" s="722"/>
      <c r="ES137" s="722"/>
      <c r="ET137" s="722"/>
      <c r="EU137" s="722"/>
      <c r="EV137" s="722"/>
      <c r="EW137" s="721"/>
      <c r="EX137" s="721"/>
      <c r="EY137" s="721"/>
      <c r="EZ137" s="721"/>
      <c r="FA137" s="721"/>
      <c r="FB137" s="721"/>
      <c r="FC137" s="721"/>
      <c r="FD137" s="721"/>
      <c r="FE137" s="721"/>
      <c r="FF137" s="721"/>
      <c r="FG137" s="721"/>
      <c r="FH137" s="721"/>
      <c r="FI137" s="721"/>
      <c r="FJ137" s="721"/>
      <c r="FK137" s="721"/>
      <c r="FL137" s="721"/>
      <c r="FM137" s="721"/>
      <c r="FN137" s="721"/>
      <c r="FO137" s="721"/>
      <c r="FP137" s="721"/>
      <c r="FQ137" s="721"/>
      <c r="FR137" s="732"/>
      <c r="FS137" s="732"/>
      <c r="FT137" s="732"/>
      <c r="FU137" s="722"/>
      <c r="FV137" s="722"/>
      <c r="FW137" s="722"/>
      <c r="FX137" s="722"/>
      <c r="FY137" s="722"/>
      <c r="GA137" s="722"/>
      <c r="GB137" s="722"/>
      <c r="GD137" s="721"/>
      <c r="GE137" s="721"/>
      <c r="GF137" s="734"/>
      <c r="GG137" s="722"/>
      <c r="GH137" s="722"/>
      <c r="GI137" s="732"/>
      <c r="GJ137" s="722"/>
      <c r="GK137" s="722"/>
      <c r="GL137" s="722"/>
      <c r="GM137" s="721"/>
      <c r="GN137" s="721"/>
      <c r="GO137" s="721"/>
      <c r="GP137" s="732"/>
      <c r="GQ137" s="732"/>
      <c r="GR137" s="732"/>
      <c r="GS137" s="722"/>
      <c r="GT137" s="722"/>
      <c r="GU137" s="722"/>
      <c r="GV137" s="722"/>
      <c r="GW137" s="722"/>
      <c r="GX137" s="722"/>
      <c r="GY137" s="721"/>
      <c r="GZ137" s="721"/>
      <c r="HA137" s="721"/>
      <c r="HB137" s="721"/>
      <c r="HC137" s="721"/>
      <c r="HD137" s="721"/>
      <c r="HE137" s="721"/>
      <c r="HF137" s="721"/>
      <c r="HG137" s="721"/>
      <c r="HH137" s="721"/>
      <c r="HI137" s="721"/>
      <c r="HJ137" s="721"/>
      <c r="HK137" s="721"/>
      <c r="HL137" s="721"/>
      <c r="HM137" s="721"/>
      <c r="HN137" s="722"/>
      <c r="HO137" s="722"/>
      <c r="HP137" s="722"/>
      <c r="HQ137" s="721"/>
      <c r="HR137" s="721"/>
      <c r="HS137" s="721"/>
      <c r="HT137" s="721"/>
      <c r="HU137" s="721"/>
      <c r="HV137" s="721"/>
      <c r="HW137" s="721"/>
      <c r="HX137" s="721"/>
      <c r="HY137" s="721"/>
      <c r="HZ137" s="721"/>
      <c r="IA137" s="721"/>
      <c r="IB137" s="721"/>
      <c r="IC137" s="721"/>
      <c r="ID137" s="721"/>
      <c r="IE137" s="721"/>
      <c r="IF137" s="721"/>
      <c r="IG137" s="721"/>
      <c r="IH137" s="721"/>
      <c r="II137" s="721"/>
      <c r="IJ137" s="721"/>
      <c r="IK137" s="721"/>
      <c r="IL137" s="721"/>
      <c r="IM137" s="721"/>
      <c r="IN137" s="721"/>
      <c r="IO137" s="721"/>
      <c r="IP137" s="721"/>
      <c r="IQ137" s="721"/>
      <c r="IR137" s="721"/>
      <c r="IS137" s="721"/>
      <c r="IT137" s="721"/>
      <c r="IU137" s="721">
        <f t="shared" si="23"/>
        <v>0</v>
      </c>
      <c r="IV137" s="721">
        <f t="shared" si="24"/>
        <v>1311.5474999999999</v>
      </c>
      <c r="IW137" s="721"/>
      <c r="IX137" s="721"/>
      <c r="IY137" s="721"/>
      <c r="IZ137" s="721"/>
      <c r="JA137" s="721"/>
      <c r="JB137" s="721"/>
      <c r="JC137" s="721"/>
      <c r="JD137" s="721"/>
      <c r="JE137" s="721"/>
      <c r="JF137" s="721"/>
      <c r="JG137" s="721"/>
      <c r="JH137" s="721"/>
      <c r="JI137" s="721"/>
      <c r="JJ137" s="721"/>
      <c r="JK137" s="721"/>
      <c r="JL137" s="721"/>
      <c r="JM137" s="721"/>
      <c r="JN137" s="721"/>
      <c r="JO137" s="721"/>
      <c r="JP137" s="721"/>
      <c r="JQ137" s="721"/>
      <c r="JR137" s="721"/>
      <c r="JS137" s="721"/>
      <c r="JT137" s="721"/>
      <c r="JU137" s="721"/>
      <c r="JV137" s="721"/>
      <c r="JW137" s="721"/>
      <c r="JX137" s="721"/>
      <c r="JY137" s="721">
        <v>0</v>
      </c>
      <c r="JZ137" s="786">
        <v>0</v>
      </c>
      <c r="KA137" s="721">
        <v>0</v>
      </c>
      <c r="KB137" s="721">
        <v>0</v>
      </c>
      <c r="KC137" s="721">
        <v>0</v>
      </c>
      <c r="KD137" s="721">
        <v>0</v>
      </c>
      <c r="KE137" s="721"/>
      <c r="KF137" s="721"/>
      <c r="KG137" s="721"/>
      <c r="KH137" s="721"/>
      <c r="KI137" s="721"/>
      <c r="KJ137" s="721"/>
      <c r="KK137" s="721"/>
      <c r="KL137" s="721"/>
      <c r="KM137" s="721"/>
      <c r="KN137" s="721"/>
      <c r="KO137" s="721"/>
      <c r="KP137" s="721"/>
      <c r="KQ137" s="721"/>
      <c r="KR137" s="721"/>
      <c r="KS137" s="721"/>
      <c r="KT137" s="721"/>
      <c r="KU137" s="721"/>
      <c r="KV137" s="721"/>
      <c r="KW137" s="721"/>
      <c r="KX137" s="721"/>
      <c r="KY137" s="721"/>
      <c r="KZ137" s="721"/>
      <c r="LA137" s="721"/>
      <c r="LB137" s="721"/>
      <c r="LC137" s="721"/>
      <c r="LD137" s="721"/>
      <c r="LE137" s="721"/>
      <c r="LF137" s="721"/>
      <c r="LG137" s="721"/>
      <c r="LH137" s="721"/>
      <c r="LI137" s="721"/>
      <c r="LJ137" s="721"/>
      <c r="LK137" s="721"/>
      <c r="LL137" s="721"/>
      <c r="LM137" s="721"/>
      <c r="LN137" s="721"/>
      <c r="LO137" s="721"/>
      <c r="LP137" s="721"/>
      <c r="LQ137" s="721"/>
      <c r="LR137" s="721"/>
      <c r="LS137" s="721"/>
      <c r="LT137" s="721"/>
      <c r="LU137" s="721"/>
      <c r="LV137" s="721"/>
      <c r="LW137" s="721"/>
      <c r="LX137" s="721"/>
      <c r="LY137" s="721"/>
      <c r="LZ137" s="721"/>
      <c r="MA137" s="721"/>
      <c r="MB137" s="721"/>
      <c r="MC137" s="721"/>
      <c r="MD137" s="721"/>
      <c r="ME137" s="721"/>
      <c r="MF137" s="721"/>
      <c r="MG137" s="721"/>
      <c r="MH137" s="721"/>
      <c r="MI137" s="721"/>
      <c r="MJ137" s="721"/>
      <c r="MK137" s="721"/>
      <c r="ML137" s="721"/>
      <c r="MM137" s="721"/>
      <c r="MN137" s="721"/>
      <c r="MO137" s="721"/>
      <c r="MP137" s="721"/>
      <c r="MQ137" s="721"/>
    </row>
    <row r="138" spans="1:355">
      <c r="A138" s="634"/>
      <c r="B138" s="721"/>
      <c r="U138" s="721"/>
      <c r="V138" s="721"/>
      <c r="W138" s="721"/>
      <c r="X138" s="721"/>
      <c r="Y138" s="721"/>
      <c r="Z138" s="721"/>
      <c r="AA138" s="721"/>
      <c r="AB138" s="721"/>
      <c r="AC138" s="721"/>
      <c r="AJ138" s="722"/>
      <c r="AK138" s="722"/>
      <c r="AL138" s="722"/>
      <c r="AM138" s="722"/>
      <c r="AN138" s="722"/>
      <c r="AO138" s="722"/>
      <c r="AP138" s="722"/>
      <c r="AQ138" s="722"/>
      <c r="AR138" s="722"/>
      <c r="AS138" s="722"/>
      <c r="AT138" s="722"/>
      <c r="AU138" s="722"/>
      <c r="AV138" s="721"/>
      <c r="AW138" s="721"/>
      <c r="AX138" s="721"/>
      <c r="AY138" s="721"/>
      <c r="AZ138" s="721"/>
      <c r="BA138" s="721"/>
      <c r="BB138" s="721"/>
      <c r="BC138" s="721"/>
      <c r="BD138" s="721"/>
      <c r="BE138" s="721"/>
      <c r="BF138" s="721"/>
      <c r="BG138" s="721"/>
      <c r="BH138" s="721"/>
      <c r="BI138" s="721"/>
      <c r="BJ138" s="721"/>
      <c r="BK138" s="721"/>
      <c r="BL138" s="721"/>
      <c r="BM138" s="721"/>
      <c r="BN138" s="722"/>
      <c r="BO138" s="722"/>
      <c r="BP138" s="722"/>
      <c r="BQ138" s="721"/>
      <c r="BR138" s="721"/>
      <c r="BS138" s="721"/>
      <c r="BT138" s="721"/>
      <c r="BU138" s="721"/>
      <c r="BV138" s="721"/>
      <c r="BW138" s="721"/>
      <c r="BX138" s="721"/>
      <c r="BY138" s="721"/>
      <c r="BZ138" s="721"/>
      <c r="CA138" s="721"/>
      <c r="CB138" s="721"/>
      <c r="CC138" s="721"/>
      <c r="CD138" s="721"/>
      <c r="CE138" s="721"/>
      <c r="CF138" s="721"/>
      <c r="CG138" s="721"/>
      <c r="CH138" s="721"/>
      <c r="CI138" s="721"/>
      <c r="CJ138" s="721"/>
      <c r="CK138" s="721"/>
      <c r="CL138" s="722"/>
      <c r="CM138" s="722"/>
      <c r="CN138" s="722"/>
      <c r="CO138" s="721"/>
      <c r="CP138" s="721"/>
      <c r="CQ138" s="721"/>
      <c r="CR138" s="721"/>
      <c r="CS138" s="721"/>
      <c r="CT138" s="721"/>
      <c r="CU138" s="721"/>
      <c r="CV138" s="721"/>
      <c r="CW138" s="721"/>
      <c r="CX138" s="721"/>
      <c r="CY138" s="721"/>
      <c r="CZ138" s="721"/>
      <c r="DA138" s="722"/>
      <c r="DB138" s="722"/>
      <c r="DC138" s="722"/>
      <c r="DD138" s="722"/>
      <c r="DE138" s="722"/>
      <c r="DF138" s="722"/>
      <c r="DG138" s="722"/>
      <c r="DH138" s="722"/>
      <c r="DI138" s="722"/>
      <c r="DJ138" s="722"/>
      <c r="DK138" s="722"/>
      <c r="DL138" s="722"/>
      <c r="DM138" s="722"/>
      <c r="DN138" s="722"/>
      <c r="DO138" s="722"/>
      <c r="DP138" s="722"/>
      <c r="DQ138" s="722"/>
      <c r="DR138" s="722"/>
      <c r="DS138" s="722"/>
      <c r="DT138" s="722"/>
      <c r="DU138" s="722"/>
      <c r="DV138" s="722"/>
      <c r="DW138" s="722"/>
      <c r="DX138" s="722"/>
      <c r="DY138" s="722"/>
      <c r="DZ138" s="722"/>
      <c r="EA138" s="722"/>
      <c r="EB138" s="722"/>
      <c r="EC138" s="722"/>
      <c r="ED138" s="722"/>
      <c r="EE138" s="722"/>
      <c r="EF138" s="722"/>
      <c r="EG138" s="722"/>
      <c r="EH138" s="722"/>
      <c r="EI138" s="722"/>
      <c r="EJ138" s="722"/>
      <c r="EK138" s="722"/>
      <c r="EL138" s="722"/>
      <c r="EM138" s="722"/>
      <c r="EN138" s="721"/>
      <c r="EO138" s="721"/>
      <c r="EP138" s="721"/>
      <c r="EQ138" s="722"/>
      <c r="ER138" s="722"/>
      <c r="ES138" s="722"/>
      <c r="ET138" s="722"/>
      <c r="EU138" s="722"/>
      <c r="EV138" s="722"/>
      <c r="EW138" s="721"/>
      <c r="EX138" s="721"/>
      <c r="EY138" s="721"/>
      <c r="EZ138" s="721"/>
      <c r="FA138" s="721"/>
      <c r="FB138" s="721"/>
      <c r="FC138" s="721"/>
      <c r="FD138" s="721"/>
      <c r="FE138" s="721"/>
      <c r="FF138" s="721"/>
      <c r="FG138" s="721"/>
      <c r="FH138" s="721"/>
      <c r="FI138" s="721"/>
      <c r="FJ138" s="721"/>
      <c r="FK138" s="721"/>
      <c r="FL138" s="721"/>
      <c r="FM138" s="721"/>
      <c r="FN138" s="721"/>
      <c r="FO138" s="721"/>
      <c r="FP138" s="721"/>
      <c r="FQ138" s="721"/>
      <c r="FR138" s="732"/>
      <c r="FS138" s="732"/>
      <c r="FT138" s="732"/>
      <c r="FU138" s="722"/>
      <c r="FV138" s="722"/>
      <c r="FW138" s="722"/>
      <c r="FX138" s="722"/>
      <c r="FY138" s="722"/>
      <c r="GA138" s="722"/>
      <c r="GB138" s="722"/>
      <c r="GD138" s="721"/>
      <c r="GE138" s="721"/>
      <c r="GF138" s="734"/>
      <c r="GG138" s="722"/>
      <c r="GH138" s="722"/>
      <c r="GI138" s="732"/>
      <c r="GJ138" s="722"/>
      <c r="GK138" s="722"/>
      <c r="GL138" s="722"/>
      <c r="GM138" s="721"/>
      <c r="GN138" s="721"/>
      <c r="GO138" s="721"/>
      <c r="GP138" s="732"/>
      <c r="GQ138" s="732"/>
      <c r="GR138" s="732"/>
      <c r="GS138" s="722"/>
      <c r="GT138" s="722"/>
      <c r="GU138" s="722"/>
      <c r="GV138" s="722"/>
      <c r="GW138" s="722"/>
      <c r="GX138" s="722"/>
      <c r="GY138" s="721"/>
      <c r="GZ138" s="721"/>
      <c r="HA138" s="721"/>
      <c r="HB138" s="721"/>
      <c r="HC138" s="721"/>
      <c r="HD138" s="721"/>
      <c r="HE138" s="721"/>
      <c r="HF138" s="721"/>
      <c r="HG138" s="721"/>
      <c r="HH138" s="721"/>
      <c r="HI138" s="721"/>
      <c r="HJ138" s="721"/>
      <c r="HK138" s="721"/>
      <c r="HL138" s="721"/>
      <c r="HM138" s="721"/>
      <c r="HN138" s="722"/>
      <c r="HO138" s="722"/>
      <c r="HP138" s="722"/>
      <c r="HQ138" s="721"/>
      <c r="HR138" s="721"/>
      <c r="HS138" s="721"/>
      <c r="HT138" s="721"/>
      <c r="HU138" s="721"/>
      <c r="HV138" s="721"/>
      <c r="HW138" s="721"/>
      <c r="HX138" s="721"/>
      <c r="HY138" s="721"/>
      <c r="HZ138" s="721"/>
      <c r="IA138" s="721"/>
      <c r="IB138" s="721"/>
      <c r="IC138" s="721"/>
      <c r="ID138" s="721"/>
      <c r="IE138" s="721"/>
      <c r="IF138" s="721"/>
      <c r="IG138" s="721"/>
      <c r="IH138" s="721"/>
      <c r="II138" s="721"/>
      <c r="IJ138" s="721"/>
      <c r="IK138" s="721"/>
      <c r="IL138" s="721"/>
      <c r="IM138" s="721"/>
      <c r="IN138" s="721"/>
      <c r="IO138" s="721"/>
      <c r="IP138" s="721"/>
      <c r="IQ138" s="721"/>
      <c r="IR138" s="721"/>
      <c r="IS138" s="721"/>
      <c r="IT138" s="721"/>
      <c r="IU138" s="721">
        <f t="shared" si="23"/>
        <v>4980.46875</v>
      </c>
      <c r="IV138" s="721">
        <f t="shared" si="24"/>
        <v>4289.7</v>
      </c>
      <c r="IW138" s="721"/>
      <c r="IX138" s="721"/>
      <c r="IY138" s="721"/>
      <c r="IZ138" s="721"/>
      <c r="JA138" s="721"/>
      <c r="JB138" s="721"/>
      <c r="JC138" s="721"/>
      <c r="JD138" s="721"/>
      <c r="JE138" s="721"/>
      <c r="JF138" s="721"/>
      <c r="JG138" s="721"/>
      <c r="JH138" s="721"/>
      <c r="JI138" s="721"/>
      <c r="JJ138" s="721"/>
      <c r="JK138" s="721"/>
      <c r="JL138" s="721"/>
      <c r="JM138" s="721"/>
      <c r="JN138" s="721"/>
      <c r="JO138" s="721"/>
      <c r="JP138" s="721"/>
      <c r="JQ138" s="721"/>
      <c r="JR138" s="721"/>
      <c r="JS138" s="721"/>
      <c r="JT138" s="721"/>
      <c r="JU138" s="721"/>
      <c r="JV138" s="721"/>
      <c r="JW138" s="721"/>
      <c r="JX138" s="721"/>
      <c r="JY138" s="721">
        <v>0</v>
      </c>
      <c r="JZ138" s="786">
        <v>0</v>
      </c>
      <c r="KA138" s="721">
        <v>5.0000000000000001E-3</v>
      </c>
      <c r="KB138" s="721">
        <v>-1.1494252873563199E-2</v>
      </c>
      <c r="KC138" s="721">
        <v>0</v>
      </c>
      <c r="KD138" s="721">
        <v>0</v>
      </c>
      <c r="KE138" s="721"/>
      <c r="KF138" s="721"/>
      <c r="KG138" s="721"/>
      <c r="KH138" s="721"/>
      <c r="KI138" s="721"/>
      <c r="KJ138" s="721"/>
      <c r="KK138" s="721"/>
      <c r="KL138" s="721"/>
      <c r="KM138" s="721"/>
      <c r="KN138" s="721"/>
      <c r="KO138" s="721"/>
      <c r="KP138" s="721"/>
      <c r="KQ138" s="721"/>
      <c r="KR138" s="721"/>
      <c r="KS138" s="721"/>
      <c r="KT138" s="721"/>
      <c r="KU138" s="721"/>
      <c r="KV138" s="721"/>
      <c r="KW138" s="721"/>
      <c r="KX138" s="721"/>
      <c r="KY138" s="721"/>
      <c r="KZ138" s="721"/>
      <c r="LA138" s="721"/>
      <c r="LB138" s="721"/>
      <c r="LC138" s="721"/>
      <c r="LD138" s="721"/>
      <c r="LE138" s="721"/>
      <c r="LF138" s="721"/>
      <c r="LG138" s="721"/>
      <c r="LH138" s="721"/>
      <c r="LI138" s="721"/>
      <c r="LJ138" s="721"/>
      <c r="LK138" s="721"/>
      <c r="LL138" s="721"/>
      <c r="LM138" s="721"/>
      <c r="LN138" s="721"/>
      <c r="LO138" s="721"/>
      <c r="LP138" s="721"/>
      <c r="LQ138" s="721"/>
      <c r="LR138" s="721"/>
      <c r="LS138" s="721"/>
      <c r="LT138" s="721"/>
      <c r="LU138" s="721"/>
      <c r="LV138" s="721"/>
      <c r="LW138" s="721"/>
      <c r="LX138" s="721"/>
      <c r="LY138" s="721"/>
      <c r="LZ138" s="721"/>
      <c r="MA138" s="721"/>
      <c r="MB138" s="721"/>
      <c r="MC138" s="721"/>
      <c r="MD138" s="721"/>
      <c r="ME138" s="721"/>
      <c r="MF138" s="721"/>
      <c r="MG138" s="721"/>
      <c r="MH138" s="721"/>
      <c r="MI138" s="721"/>
      <c r="MJ138" s="721"/>
      <c r="MK138" s="721"/>
      <c r="ML138" s="721"/>
      <c r="MM138" s="721"/>
      <c r="MN138" s="721"/>
      <c r="MO138" s="721"/>
      <c r="MP138" s="721"/>
      <c r="MQ138" s="721"/>
    </row>
    <row r="139" spans="1:355">
      <c r="A139" s="634"/>
      <c r="B139" s="721"/>
      <c r="U139" s="721"/>
      <c r="V139" s="721"/>
      <c r="W139" s="721"/>
      <c r="X139" s="721"/>
      <c r="Y139" s="721"/>
      <c r="Z139" s="721"/>
      <c r="AA139" s="721"/>
      <c r="AB139" s="721"/>
      <c r="AC139" s="721"/>
      <c r="AJ139" s="722"/>
      <c r="AK139" s="722"/>
      <c r="AL139" s="722"/>
      <c r="AM139" s="722"/>
      <c r="AN139" s="722"/>
      <c r="AO139" s="722"/>
      <c r="AP139" s="722"/>
      <c r="AQ139" s="722"/>
      <c r="AR139" s="722"/>
      <c r="AS139" s="722"/>
      <c r="AT139" s="722"/>
      <c r="AU139" s="722"/>
      <c r="AV139" s="721"/>
      <c r="AW139" s="721"/>
      <c r="AX139" s="721"/>
      <c r="AY139" s="721"/>
      <c r="AZ139" s="721"/>
      <c r="BA139" s="721"/>
      <c r="BB139" s="721"/>
      <c r="BC139" s="721"/>
      <c r="BD139" s="721"/>
      <c r="BE139" s="721"/>
      <c r="BF139" s="721"/>
      <c r="BG139" s="721"/>
      <c r="BH139" s="721"/>
      <c r="BI139" s="721"/>
      <c r="BJ139" s="721"/>
      <c r="BK139" s="721"/>
      <c r="BL139" s="721"/>
      <c r="BM139" s="721"/>
      <c r="BN139" s="722"/>
      <c r="BO139" s="722"/>
      <c r="BP139" s="722"/>
      <c r="BQ139" s="721"/>
      <c r="BR139" s="721"/>
      <c r="BS139" s="721"/>
      <c r="BT139" s="721"/>
      <c r="BU139" s="721"/>
      <c r="BV139" s="721"/>
      <c r="BW139" s="721"/>
      <c r="BX139" s="721"/>
      <c r="BY139" s="721"/>
      <c r="BZ139" s="721"/>
      <c r="CA139" s="721"/>
      <c r="CB139" s="721"/>
      <c r="CC139" s="721"/>
      <c r="CD139" s="721"/>
      <c r="CE139" s="721"/>
      <c r="CF139" s="721"/>
      <c r="CG139" s="721"/>
      <c r="CH139" s="721"/>
      <c r="CI139" s="721"/>
      <c r="CJ139" s="721"/>
      <c r="CK139" s="721"/>
      <c r="CL139" s="722"/>
      <c r="CM139" s="722"/>
      <c r="CN139" s="722"/>
      <c r="CO139" s="721"/>
      <c r="CP139" s="721"/>
      <c r="CQ139" s="721"/>
      <c r="CR139" s="721"/>
      <c r="CS139" s="721"/>
      <c r="CT139" s="721"/>
      <c r="CU139" s="721"/>
      <c r="CV139" s="721"/>
      <c r="CW139" s="721"/>
      <c r="CX139" s="721"/>
      <c r="CY139" s="721"/>
      <c r="CZ139" s="721"/>
      <c r="DA139" s="722"/>
      <c r="DB139" s="722"/>
      <c r="DC139" s="722"/>
      <c r="DD139" s="722"/>
      <c r="DE139" s="722"/>
      <c r="DF139" s="722"/>
      <c r="DG139" s="722"/>
      <c r="DH139" s="722"/>
      <c r="DI139" s="722"/>
      <c r="DJ139" s="722"/>
      <c r="DK139" s="722"/>
      <c r="DL139" s="722"/>
      <c r="DM139" s="722"/>
      <c r="DN139" s="722"/>
      <c r="DO139" s="722"/>
      <c r="DP139" s="722"/>
      <c r="DQ139" s="722"/>
      <c r="DR139" s="722"/>
      <c r="DS139" s="722"/>
      <c r="DT139" s="722"/>
      <c r="DU139" s="722"/>
      <c r="DV139" s="722"/>
      <c r="DW139" s="722"/>
      <c r="DX139" s="722"/>
      <c r="DY139" s="722"/>
      <c r="DZ139" s="722"/>
      <c r="EA139" s="722"/>
      <c r="EB139" s="722"/>
      <c r="EC139" s="722"/>
      <c r="ED139" s="722"/>
      <c r="EE139" s="722"/>
      <c r="EF139" s="722"/>
      <c r="EG139" s="722"/>
      <c r="EH139" s="722"/>
      <c r="EI139" s="722"/>
      <c r="EJ139" s="722"/>
      <c r="EK139" s="722"/>
      <c r="EL139" s="722"/>
      <c r="EM139" s="722"/>
      <c r="EN139" s="721"/>
      <c r="EO139" s="721"/>
      <c r="EP139" s="721"/>
      <c r="EQ139" s="722"/>
      <c r="ER139" s="722"/>
      <c r="ES139" s="722"/>
      <c r="ET139" s="722"/>
      <c r="EU139" s="722"/>
      <c r="EV139" s="722"/>
      <c r="EW139" s="721"/>
      <c r="EX139" s="721"/>
      <c r="EY139" s="721"/>
      <c r="EZ139" s="721"/>
      <c r="FA139" s="721"/>
      <c r="FB139" s="721"/>
      <c r="FC139" s="721"/>
      <c r="FD139" s="721"/>
      <c r="FE139" s="721"/>
      <c r="FF139" s="721"/>
      <c r="FG139" s="721"/>
      <c r="FH139" s="721"/>
      <c r="FI139" s="721"/>
      <c r="FJ139" s="721"/>
      <c r="FK139" s="721"/>
      <c r="FL139" s="721"/>
      <c r="FM139" s="721"/>
      <c r="FN139" s="721"/>
      <c r="FO139" s="721"/>
      <c r="FP139" s="721"/>
      <c r="FQ139" s="721"/>
      <c r="FR139" s="732"/>
      <c r="FS139" s="732"/>
      <c r="FT139" s="732"/>
      <c r="FU139" s="722"/>
      <c r="FV139" s="722"/>
      <c r="FW139" s="722"/>
      <c r="FX139" s="722"/>
      <c r="FY139" s="722"/>
      <c r="GA139" s="722"/>
      <c r="GB139" s="722"/>
      <c r="GD139" s="721"/>
      <c r="GE139" s="721"/>
      <c r="GF139" s="734"/>
      <c r="GG139" s="722"/>
      <c r="GH139" s="722"/>
      <c r="GI139" s="732"/>
      <c r="GJ139" s="722"/>
      <c r="GK139" s="722"/>
      <c r="GL139" s="722"/>
      <c r="GM139" s="721"/>
      <c r="GN139" s="721"/>
      <c r="GO139" s="721"/>
      <c r="GP139" s="732"/>
      <c r="GQ139" s="732"/>
      <c r="GR139" s="732"/>
      <c r="GS139" s="722"/>
      <c r="GT139" s="722"/>
      <c r="GU139" s="722"/>
      <c r="GV139" s="722"/>
      <c r="GW139" s="722"/>
      <c r="GX139" s="722"/>
      <c r="GY139" s="721"/>
      <c r="GZ139" s="721"/>
      <c r="HA139" s="721"/>
      <c r="HB139" s="721"/>
      <c r="HC139" s="721"/>
      <c r="HD139" s="721"/>
      <c r="HE139" s="721"/>
      <c r="HF139" s="721"/>
      <c r="HG139" s="721"/>
      <c r="HH139" s="721"/>
      <c r="HI139" s="721"/>
      <c r="HJ139" s="721"/>
      <c r="HK139" s="721"/>
      <c r="HL139" s="721"/>
      <c r="HM139" s="721"/>
      <c r="HN139" s="722"/>
      <c r="HO139" s="722"/>
      <c r="HP139" s="722"/>
      <c r="HQ139" s="721"/>
      <c r="HR139" s="721"/>
      <c r="HS139" s="721"/>
      <c r="HT139" s="721"/>
      <c r="HU139" s="721"/>
      <c r="HV139" s="721"/>
      <c r="HW139" s="721"/>
      <c r="HX139" s="721"/>
      <c r="HY139" s="721"/>
      <c r="HZ139" s="721"/>
      <c r="IA139" s="721"/>
      <c r="IB139" s="721"/>
      <c r="IC139" s="721"/>
      <c r="ID139" s="721"/>
      <c r="IE139" s="721"/>
      <c r="IF139" s="721"/>
      <c r="IG139" s="721"/>
      <c r="IH139" s="721"/>
      <c r="II139" s="721"/>
      <c r="IJ139" s="721"/>
      <c r="IK139" s="721"/>
      <c r="IL139" s="721"/>
      <c r="IM139" s="721"/>
      <c r="IN139" s="721"/>
      <c r="IO139" s="721"/>
      <c r="IP139" s="721"/>
      <c r="IQ139" s="721"/>
      <c r="IR139" s="721"/>
      <c r="IS139" s="721"/>
      <c r="IT139" s="721"/>
      <c r="IU139" s="721">
        <f t="shared" si="23"/>
        <v>663.16</v>
      </c>
      <c r="IV139" s="721">
        <f t="shared" si="24"/>
        <v>519.30725000000007</v>
      </c>
      <c r="IW139" s="721"/>
      <c r="IX139" s="721"/>
      <c r="IY139" s="721"/>
      <c r="IZ139" s="721"/>
      <c r="JA139" s="721"/>
      <c r="JB139" s="721"/>
      <c r="JC139" s="721"/>
      <c r="JD139" s="721"/>
      <c r="JE139" s="721"/>
      <c r="JF139" s="721"/>
      <c r="JG139" s="721"/>
      <c r="JH139" s="721"/>
      <c r="JI139" s="721"/>
      <c r="JJ139" s="721"/>
      <c r="JK139" s="721"/>
      <c r="JL139" s="721"/>
      <c r="JM139" s="721"/>
      <c r="JN139" s="721"/>
      <c r="JO139" s="721"/>
      <c r="JP139" s="721"/>
      <c r="JQ139" s="721"/>
      <c r="JR139" s="721"/>
      <c r="JS139" s="721"/>
      <c r="JT139" s="721"/>
      <c r="JU139" s="721"/>
      <c r="JV139" s="721"/>
      <c r="JW139" s="721"/>
      <c r="JX139" s="721"/>
      <c r="JY139" s="721">
        <v>0</v>
      </c>
      <c r="JZ139" s="786">
        <v>0</v>
      </c>
      <c r="KA139" s="721">
        <v>9.9999999999999898E-3</v>
      </c>
      <c r="KB139" s="721">
        <v>-2.5974025974025899E-2</v>
      </c>
      <c r="KC139" s="721">
        <v>0</v>
      </c>
      <c r="KD139" s="721">
        <v>0</v>
      </c>
      <c r="KE139" s="721"/>
      <c r="KF139" s="721"/>
      <c r="KG139" s="721"/>
      <c r="KH139" s="721"/>
      <c r="KI139" s="721"/>
      <c r="KJ139" s="721"/>
      <c r="KK139" s="721"/>
      <c r="KL139" s="721"/>
      <c r="KM139" s="721"/>
      <c r="KN139" s="721"/>
      <c r="KO139" s="721"/>
      <c r="KP139" s="721"/>
      <c r="KQ139" s="721"/>
      <c r="KR139" s="721"/>
      <c r="KS139" s="721"/>
      <c r="KT139" s="721"/>
      <c r="KU139" s="721"/>
      <c r="KV139" s="721"/>
      <c r="KW139" s="721"/>
      <c r="KX139" s="721"/>
      <c r="KY139" s="721"/>
      <c r="KZ139" s="721"/>
      <c r="LA139" s="721"/>
      <c r="LB139" s="721"/>
      <c r="LC139" s="721"/>
      <c r="LD139" s="721"/>
      <c r="LE139" s="721"/>
      <c r="LF139" s="721"/>
      <c r="LG139" s="721"/>
      <c r="LH139" s="721"/>
      <c r="LI139" s="721"/>
      <c r="LJ139" s="721"/>
      <c r="LK139" s="721"/>
      <c r="LL139" s="721"/>
      <c r="LM139" s="721"/>
      <c r="LN139" s="721"/>
      <c r="LO139" s="721"/>
      <c r="LP139" s="721"/>
      <c r="LQ139" s="721"/>
      <c r="LR139" s="721"/>
      <c r="LS139" s="721"/>
      <c r="LT139" s="721"/>
      <c r="LU139" s="721"/>
      <c r="LV139" s="721"/>
      <c r="LW139" s="721"/>
      <c r="LX139" s="721"/>
      <c r="LY139" s="721"/>
      <c r="LZ139" s="721"/>
      <c r="MA139" s="721"/>
      <c r="MB139" s="721"/>
      <c r="MC139" s="721"/>
      <c r="MD139" s="721"/>
      <c r="ME139" s="721"/>
      <c r="MF139" s="721"/>
      <c r="MG139" s="721"/>
      <c r="MH139" s="721"/>
      <c r="MI139" s="721"/>
      <c r="MJ139" s="721"/>
      <c r="MK139" s="721"/>
      <c r="ML139" s="721"/>
      <c r="MM139" s="721"/>
      <c r="MN139" s="721"/>
      <c r="MO139" s="721"/>
      <c r="MP139" s="721"/>
      <c r="MQ139" s="721"/>
    </row>
    <row r="140" spans="1:355">
      <c r="A140" s="634"/>
      <c r="B140" s="721"/>
      <c r="U140" s="721"/>
      <c r="V140" s="721"/>
      <c r="W140" s="721"/>
      <c r="X140" s="721"/>
      <c r="Y140" s="721"/>
      <c r="Z140" s="721"/>
      <c r="AA140" s="721"/>
      <c r="AB140" s="721"/>
      <c r="AC140" s="721"/>
      <c r="AJ140" s="722"/>
      <c r="AK140" s="722"/>
      <c r="AL140" s="722"/>
      <c r="AM140" s="722"/>
      <c r="AN140" s="722"/>
      <c r="AO140" s="722"/>
      <c r="AP140" s="722"/>
      <c r="AQ140" s="722"/>
      <c r="AR140" s="722"/>
      <c r="AS140" s="722"/>
      <c r="AT140" s="722"/>
      <c r="AU140" s="722"/>
      <c r="AV140" s="721"/>
      <c r="AW140" s="721"/>
      <c r="AX140" s="721"/>
      <c r="AY140" s="721"/>
      <c r="AZ140" s="721"/>
      <c r="BA140" s="721"/>
      <c r="BB140" s="721"/>
      <c r="BC140" s="721"/>
      <c r="BD140" s="721"/>
      <c r="BE140" s="721"/>
      <c r="BF140" s="721"/>
      <c r="BG140" s="721"/>
      <c r="BH140" s="721"/>
      <c r="BI140" s="721"/>
      <c r="BJ140" s="721"/>
      <c r="BK140" s="721"/>
      <c r="BL140" s="721"/>
      <c r="BM140" s="721"/>
      <c r="BN140" s="722"/>
      <c r="BO140" s="722"/>
      <c r="BP140" s="722"/>
      <c r="BQ140" s="721"/>
      <c r="BR140" s="721"/>
      <c r="BS140" s="721"/>
      <c r="BT140" s="721"/>
      <c r="BU140" s="721"/>
      <c r="BV140" s="721"/>
      <c r="BW140" s="721"/>
      <c r="BX140" s="721"/>
      <c r="BY140" s="721"/>
      <c r="BZ140" s="721"/>
      <c r="CA140" s="721"/>
      <c r="CB140" s="721"/>
      <c r="CC140" s="721"/>
      <c r="CD140" s="721"/>
      <c r="CE140" s="721"/>
      <c r="CF140" s="721"/>
      <c r="CG140" s="721"/>
      <c r="CH140" s="721"/>
      <c r="CI140" s="721"/>
      <c r="CJ140" s="721"/>
      <c r="CK140" s="721"/>
      <c r="CL140" s="722"/>
      <c r="CM140" s="722"/>
      <c r="CN140" s="722"/>
      <c r="CO140" s="721"/>
      <c r="CP140" s="721"/>
      <c r="CQ140" s="721"/>
      <c r="CR140" s="721"/>
      <c r="CS140" s="721"/>
      <c r="CT140" s="721"/>
      <c r="CU140" s="721"/>
      <c r="CV140" s="721"/>
      <c r="CW140" s="721"/>
      <c r="CX140" s="721"/>
      <c r="CY140" s="721"/>
      <c r="CZ140" s="721"/>
      <c r="DA140" s="722"/>
      <c r="DB140" s="722"/>
      <c r="DC140" s="722"/>
      <c r="DD140" s="722"/>
      <c r="DE140" s="722"/>
      <c r="DF140" s="722"/>
      <c r="DG140" s="722"/>
      <c r="DH140" s="722"/>
      <c r="DI140" s="722"/>
      <c r="DJ140" s="722"/>
      <c r="DK140" s="722"/>
      <c r="DL140" s="722"/>
      <c r="DM140" s="722"/>
      <c r="DN140" s="722"/>
      <c r="DO140" s="722"/>
      <c r="DP140" s="722"/>
      <c r="DQ140" s="722"/>
      <c r="DR140" s="722"/>
      <c r="DS140" s="722"/>
      <c r="DT140" s="722"/>
      <c r="DU140" s="722"/>
      <c r="DV140" s="722"/>
      <c r="DW140" s="722"/>
      <c r="DX140" s="722"/>
      <c r="DY140" s="722"/>
      <c r="DZ140" s="722"/>
      <c r="EA140" s="722"/>
      <c r="EB140" s="722"/>
      <c r="EC140" s="722"/>
      <c r="ED140" s="722"/>
      <c r="EE140" s="722"/>
      <c r="EF140" s="722"/>
      <c r="EG140" s="722"/>
      <c r="EH140" s="722"/>
      <c r="EI140" s="722"/>
      <c r="EJ140" s="722"/>
      <c r="EK140" s="722"/>
      <c r="EL140" s="722"/>
      <c r="EM140" s="722"/>
      <c r="EN140" s="721"/>
      <c r="EO140" s="721"/>
      <c r="EP140" s="721"/>
      <c r="EQ140" s="722"/>
      <c r="ER140" s="722"/>
      <c r="ES140" s="722"/>
      <c r="ET140" s="722"/>
      <c r="EU140" s="722"/>
      <c r="EV140" s="722"/>
      <c r="EW140" s="721"/>
      <c r="EX140" s="721"/>
      <c r="EY140" s="721"/>
      <c r="EZ140" s="721"/>
      <c r="FA140" s="721"/>
      <c r="FB140" s="721"/>
      <c r="FC140" s="721"/>
      <c r="FD140" s="721"/>
      <c r="FE140" s="721"/>
      <c r="FF140" s="721"/>
      <c r="FG140" s="721"/>
      <c r="FH140" s="721"/>
      <c r="FI140" s="721"/>
      <c r="FJ140" s="721"/>
      <c r="FK140" s="721"/>
      <c r="FL140" s="721"/>
      <c r="FM140" s="721"/>
      <c r="FN140" s="721"/>
      <c r="FO140" s="721"/>
      <c r="FP140" s="721"/>
      <c r="FQ140" s="721"/>
      <c r="FR140" s="732"/>
      <c r="FS140" s="732"/>
      <c r="FT140" s="732"/>
      <c r="FU140" s="722"/>
      <c r="FV140" s="722"/>
      <c r="FW140" s="722"/>
      <c r="FX140" s="722"/>
      <c r="FY140" s="722"/>
      <c r="GA140" s="722"/>
      <c r="GB140" s="722"/>
      <c r="GD140" s="721"/>
      <c r="GE140" s="721"/>
      <c r="GF140" s="734"/>
      <c r="GG140" s="722"/>
      <c r="GH140" s="722"/>
      <c r="GI140" s="732"/>
      <c r="GJ140" s="722"/>
      <c r="GK140" s="722"/>
      <c r="GL140" s="722"/>
      <c r="GM140" s="721"/>
      <c r="GN140" s="721"/>
      <c r="GO140" s="721"/>
      <c r="GP140" s="732"/>
      <c r="GQ140" s="732"/>
      <c r="GR140" s="732"/>
      <c r="GS140" s="722"/>
      <c r="GT140" s="722"/>
      <c r="GU140" s="722"/>
      <c r="GV140" s="722"/>
      <c r="GW140" s="722"/>
      <c r="GX140" s="722"/>
      <c r="GY140" s="721"/>
      <c r="GZ140" s="721"/>
      <c r="HA140" s="721"/>
      <c r="HB140" s="721"/>
      <c r="HC140" s="721"/>
      <c r="HD140" s="721"/>
      <c r="HE140" s="721"/>
      <c r="HF140" s="721"/>
      <c r="HG140" s="721"/>
      <c r="HH140" s="721"/>
      <c r="HI140" s="721"/>
      <c r="HJ140" s="721"/>
      <c r="HK140" s="721"/>
      <c r="HL140" s="721"/>
      <c r="HM140" s="721"/>
      <c r="HN140" s="722"/>
      <c r="HO140" s="722"/>
      <c r="HP140" s="722"/>
      <c r="HQ140" s="721"/>
      <c r="HR140" s="721"/>
      <c r="HS140" s="721"/>
      <c r="HT140" s="721"/>
      <c r="HU140" s="721"/>
      <c r="HV140" s="721"/>
      <c r="HW140" s="721"/>
      <c r="HX140" s="721"/>
      <c r="HY140" s="721"/>
      <c r="HZ140" s="721"/>
      <c r="IA140" s="721"/>
      <c r="IB140" s="721"/>
      <c r="IC140" s="721"/>
      <c r="ID140" s="721"/>
      <c r="IE140" s="721"/>
      <c r="IF140" s="721"/>
      <c r="IG140" s="721"/>
      <c r="IH140" s="721"/>
      <c r="II140" s="721"/>
      <c r="IJ140" s="721"/>
      <c r="IK140" s="721"/>
      <c r="IL140" s="721"/>
      <c r="IM140" s="721"/>
      <c r="IN140" s="721"/>
      <c r="IO140" s="721"/>
      <c r="IP140" s="721"/>
      <c r="IQ140" s="721"/>
      <c r="IR140" s="721"/>
      <c r="IS140" s="721"/>
      <c r="IT140" s="721"/>
      <c r="IU140" s="721">
        <f t="shared" si="23"/>
        <v>596.08499999999992</v>
      </c>
      <c r="IV140" s="721">
        <f t="shared" si="24"/>
        <v>439.99462499999998</v>
      </c>
      <c r="IW140" s="721"/>
      <c r="IX140" s="721"/>
      <c r="IY140" s="721"/>
      <c r="IZ140" s="721"/>
      <c r="JA140" s="721"/>
      <c r="JB140" s="721"/>
      <c r="JC140" s="721"/>
      <c r="JD140" s="721"/>
      <c r="JE140" s="721"/>
      <c r="JF140" s="721"/>
      <c r="JG140" s="721"/>
      <c r="JH140" s="721"/>
      <c r="JI140" s="721"/>
      <c r="JJ140" s="721"/>
      <c r="JK140" s="721"/>
      <c r="JL140" s="721"/>
      <c r="JM140" s="721"/>
      <c r="JN140" s="721"/>
      <c r="JO140" s="721"/>
      <c r="JP140" s="721"/>
      <c r="JQ140" s="721"/>
      <c r="JR140" s="721"/>
      <c r="JS140" s="721"/>
      <c r="JT140" s="721"/>
      <c r="JU140" s="721"/>
      <c r="JV140" s="721"/>
      <c r="JW140" s="721"/>
      <c r="JX140" s="721"/>
      <c r="JY140" s="721">
        <v>0</v>
      </c>
      <c r="JZ140" s="786">
        <v>0</v>
      </c>
      <c r="KA140" s="721">
        <v>0</v>
      </c>
      <c r="KB140" s="721">
        <v>0</v>
      </c>
      <c r="KC140" s="721">
        <v>0</v>
      </c>
      <c r="KD140" s="721">
        <v>0</v>
      </c>
      <c r="KE140" s="721"/>
      <c r="KF140" s="721"/>
      <c r="KG140" s="721"/>
      <c r="KH140" s="721"/>
      <c r="KI140" s="721"/>
      <c r="KJ140" s="721"/>
      <c r="KK140" s="721"/>
      <c r="KL140" s="721"/>
      <c r="KM140" s="721"/>
      <c r="KN140" s="721"/>
      <c r="KO140" s="721"/>
      <c r="KP140" s="721"/>
      <c r="KQ140" s="721"/>
      <c r="KR140" s="721"/>
      <c r="KS140" s="721"/>
      <c r="KT140" s="721"/>
      <c r="KU140" s="721"/>
      <c r="KV140" s="721"/>
      <c r="KW140" s="721"/>
      <c r="KX140" s="721"/>
      <c r="KY140" s="721"/>
      <c r="KZ140" s="721"/>
      <c r="LA140" s="721"/>
      <c r="LB140" s="721"/>
      <c r="LC140" s="721"/>
      <c r="LD140" s="721"/>
      <c r="LE140" s="721"/>
      <c r="LF140" s="721"/>
      <c r="LG140" s="721"/>
      <c r="LH140" s="721"/>
      <c r="LI140" s="721"/>
      <c r="LJ140" s="721"/>
      <c r="LK140" s="721"/>
      <c r="LL140" s="721"/>
      <c r="LM140" s="721"/>
      <c r="LN140" s="721"/>
      <c r="LO140" s="721"/>
      <c r="LP140" s="721"/>
      <c r="LQ140" s="721"/>
      <c r="LR140" s="721"/>
      <c r="LS140" s="721"/>
      <c r="LT140" s="721"/>
      <c r="LU140" s="721"/>
      <c r="LV140" s="721"/>
      <c r="LW140" s="721"/>
      <c r="LX140" s="721"/>
      <c r="LY140" s="721"/>
      <c r="LZ140" s="721"/>
      <c r="MA140" s="721"/>
      <c r="MB140" s="721"/>
      <c r="MC140" s="721"/>
      <c r="MD140" s="721"/>
      <c r="ME140" s="721"/>
      <c r="MF140" s="721"/>
      <c r="MG140" s="721"/>
      <c r="MH140" s="721"/>
      <c r="MI140" s="721"/>
      <c r="MJ140" s="721"/>
      <c r="MK140" s="721"/>
      <c r="ML140" s="721"/>
      <c r="MM140" s="721"/>
      <c r="MN140" s="721"/>
      <c r="MO140" s="721"/>
      <c r="MP140" s="721"/>
      <c r="MQ140" s="721"/>
    </row>
    <row r="141" spans="1:355">
      <c r="A141" s="634"/>
      <c r="U141" s="721"/>
      <c r="V141" s="721"/>
      <c r="W141" s="721"/>
      <c r="X141" s="721"/>
      <c r="Y141" s="721"/>
      <c r="Z141" s="721"/>
      <c r="AA141" s="721"/>
      <c r="AB141" s="721"/>
      <c r="AC141" s="721"/>
      <c r="BN141" s="723"/>
      <c r="BO141" s="723"/>
      <c r="BP141" s="723"/>
      <c r="CL141" s="723"/>
      <c r="CM141" s="723"/>
      <c r="CN141" s="723"/>
      <c r="DA141" s="723"/>
      <c r="DB141" s="723"/>
      <c r="DC141" s="723"/>
      <c r="DD141" s="723"/>
      <c r="DE141" s="723"/>
      <c r="DF141" s="723"/>
      <c r="DG141" s="723"/>
      <c r="DH141" s="723"/>
      <c r="DI141" s="723"/>
      <c r="DJ141" s="723"/>
      <c r="DK141" s="723"/>
      <c r="DL141" s="723"/>
      <c r="DM141" s="723"/>
      <c r="DN141" s="723"/>
      <c r="DO141" s="723"/>
      <c r="DP141" s="723"/>
      <c r="DQ141" s="723"/>
      <c r="DR141" s="723"/>
      <c r="DS141" s="723"/>
      <c r="DT141" s="723"/>
      <c r="DU141" s="723"/>
      <c r="DV141" s="723"/>
      <c r="DW141" s="723"/>
      <c r="DX141" s="723"/>
      <c r="DY141" s="723"/>
      <c r="DZ141" s="723"/>
      <c r="EA141" s="723"/>
      <c r="EB141" s="723"/>
      <c r="EC141" s="723"/>
      <c r="ED141" s="723"/>
      <c r="EE141" s="723"/>
      <c r="EF141" s="723"/>
      <c r="EG141" s="723"/>
      <c r="EH141" s="723"/>
      <c r="EI141" s="723"/>
      <c r="EJ141" s="723"/>
      <c r="EK141" s="723"/>
      <c r="EL141" s="723"/>
      <c r="EM141" s="723"/>
      <c r="EQ141" s="723"/>
      <c r="ER141" s="723"/>
      <c r="ES141" s="723"/>
      <c r="ET141" s="722"/>
      <c r="EU141" s="722"/>
      <c r="EV141" s="722"/>
      <c r="GF141" s="724"/>
      <c r="GG141" s="723"/>
      <c r="GH141" s="723"/>
      <c r="GI141" s="728"/>
      <c r="GJ141" s="723"/>
      <c r="GK141" s="723"/>
      <c r="GL141" s="723"/>
      <c r="GP141" s="728"/>
      <c r="GQ141" s="728"/>
      <c r="GR141" s="728"/>
      <c r="GS141" s="723"/>
      <c r="GT141" s="723"/>
      <c r="GU141" s="723"/>
      <c r="GV141" s="723"/>
      <c r="GW141" s="723"/>
      <c r="GX141" s="723"/>
      <c r="HN141" s="723"/>
      <c r="HO141" s="723"/>
      <c r="HP141" s="723"/>
      <c r="IU141" s="720">
        <f t="shared" si="23"/>
        <v>114.91374999999999</v>
      </c>
      <c r="IV141" s="720">
        <f t="shared" si="24"/>
        <v>157.94999999999999</v>
      </c>
      <c r="JY141" s="720">
        <v>0</v>
      </c>
      <c r="JZ141" s="787">
        <v>0</v>
      </c>
      <c r="KA141" s="720">
        <v>0.02</v>
      </c>
      <c r="KB141" s="720">
        <v>-9.0909090909090898E-2</v>
      </c>
      <c r="KC141" s="720">
        <v>0</v>
      </c>
      <c r="KD141" s="720">
        <v>0</v>
      </c>
    </row>
    <row r="142" spans="1:355">
      <c r="A142" s="634"/>
      <c r="BN142" s="723"/>
      <c r="BO142" s="723"/>
      <c r="BP142" s="723"/>
      <c r="DA142" s="723"/>
      <c r="DB142" s="723"/>
      <c r="DC142" s="723"/>
      <c r="DD142" s="723"/>
      <c r="DE142" s="723"/>
      <c r="DF142" s="723"/>
      <c r="DG142" s="723"/>
      <c r="DH142" s="723"/>
      <c r="DI142" s="723"/>
      <c r="DJ142" s="723"/>
      <c r="DK142" s="723"/>
      <c r="DL142" s="723"/>
      <c r="DM142" s="723"/>
      <c r="DN142" s="723"/>
      <c r="DO142" s="723"/>
      <c r="DS142" s="723"/>
      <c r="DT142" s="723"/>
      <c r="DU142" s="723"/>
      <c r="DV142" s="723"/>
      <c r="DW142" s="723"/>
      <c r="DX142" s="723"/>
      <c r="DY142" s="723"/>
      <c r="DZ142" s="723"/>
      <c r="EA142" s="723"/>
      <c r="EB142" s="723"/>
      <c r="EC142" s="723"/>
      <c r="ED142" s="723"/>
      <c r="EE142" s="723"/>
      <c r="EF142" s="723"/>
      <c r="EG142" s="723"/>
      <c r="EH142" s="723"/>
      <c r="EI142" s="723"/>
      <c r="EJ142" s="723"/>
      <c r="EK142" s="723"/>
      <c r="EL142" s="723"/>
      <c r="EM142" s="723"/>
      <c r="EQ142" s="723"/>
      <c r="ER142" s="723"/>
      <c r="ES142" s="723"/>
      <c r="ET142" s="722"/>
      <c r="EU142" s="722"/>
      <c r="EV142" s="722"/>
      <c r="GF142" s="724"/>
      <c r="GG142" s="723"/>
      <c r="GH142" s="723"/>
      <c r="GI142" s="728"/>
      <c r="GJ142" s="723"/>
      <c r="GK142" s="723"/>
      <c r="GL142" s="723"/>
      <c r="GP142" s="728"/>
      <c r="GQ142" s="728"/>
      <c r="GR142" s="728"/>
      <c r="GS142" s="723"/>
      <c r="GT142" s="723"/>
      <c r="GU142" s="723"/>
      <c r="GV142" s="723"/>
      <c r="GW142" s="723"/>
      <c r="GX142" s="723"/>
      <c r="HN142" s="723"/>
      <c r="HO142" s="723"/>
      <c r="HP142" s="723"/>
      <c r="IU142" s="720">
        <f t="shared" si="23"/>
        <v>7934.7937500000007</v>
      </c>
      <c r="IV142" s="720">
        <f t="shared" si="24"/>
        <v>5133.12</v>
      </c>
      <c r="JY142" s="720">
        <v>0</v>
      </c>
      <c r="JZ142" s="787">
        <v>0</v>
      </c>
      <c r="KA142" s="720">
        <v>0</v>
      </c>
      <c r="KB142" s="720">
        <v>0</v>
      </c>
      <c r="KC142" s="720">
        <v>0</v>
      </c>
      <c r="KD142" s="720">
        <v>0</v>
      </c>
    </row>
    <row r="143" spans="1:355">
      <c r="A143" s="634"/>
      <c r="BN143" s="723"/>
      <c r="BO143" s="723"/>
      <c r="BP143" s="723"/>
      <c r="DA143" s="723"/>
      <c r="DB143" s="723"/>
      <c r="DC143" s="723"/>
      <c r="DD143" s="723"/>
      <c r="DE143" s="723"/>
      <c r="DF143" s="723"/>
      <c r="DG143" s="723"/>
      <c r="DH143" s="723"/>
      <c r="DI143" s="723"/>
      <c r="DJ143" s="723"/>
      <c r="DK143" s="723"/>
      <c r="DL143" s="723"/>
      <c r="DM143" s="723"/>
      <c r="DN143" s="723"/>
      <c r="DO143" s="723"/>
      <c r="DS143" s="723"/>
      <c r="DT143" s="723"/>
      <c r="DU143" s="723"/>
      <c r="DV143" s="723"/>
      <c r="DW143" s="723"/>
      <c r="DX143" s="723"/>
      <c r="DY143" s="723"/>
      <c r="DZ143" s="723"/>
      <c r="EA143" s="723"/>
      <c r="EB143" s="723"/>
      <c r="EC143" s="723"/>
      <c r="ED143" s="723"/>
      <c r="EE143" s="723"/>
      <c r="EF143" s="723"/>
      <c r="EG143" s="723"/>
      <c r="EQ143" s="723"/>
      <c r="ER143" s="723"/>
      <c r="ES143" s="723"/>
      <c r="ET143" s="722"/>
      <c r="EU143" s="722"/>
      <c r="EV143" s="722"/>
      <c r="GF143" s="724"/>
      <c r="GG143" s="723"/>
      <c r="GH143" s="723"/>
      <c r="GI143" s="728"/>
      <c r="GJ143" s="723"/>
      <c r="GK143" s="723"/>
      <c r="GL143" s="723"/>
      <c r="GP143" s="728"/>
      <c r="GQ143" s="728"/>
      <c r="GR143" s="728"/>
      <c r="GS143" s="723"/>
      <c r="GT143" s="723"/>
      <c r="GU143" s="723"/>
      <c r="GV143" s="723"/>
      <c r="GW143" s="723"/>
      <c r="GX143" s="723"/>
      <c r="HN143" s="723"/>
      <c r="HO143" s="723"/>
      <c r="HP143" s="723"/>
      <c r="IU143" s="720">
        <f t="shared" si="23"/>
        <v>2983.2724999999996</v>
      </c>
      <c r="IV143" s="720">
        <f t="shared" si="24"/>
        <v>1568.9103750000002</v>
      </c>
      <c r="JY143" s="720">
        <v>0</v>
      </c>
      <c r="JZ143" s="787">
        <v>0</v>
      </c>
      <c r="KA143" s="720">
        <v>0</v>
      </c>
      <c r="KB143" s="720">
        <v>0</v>
      </c>
      <c r="KC143" s="720">
        <v>0</v>
      </c>
      <c r="KD143" s="720">
        <v>0</v>
      </c>
    </row>
    <row r="144" spans="1:355">
      <c r="A144" s="634"/>
      <c r="BN144" s="723"/>
      <c r="BO144" s="723"/>
      <c r="BP144" s="723"/>
      <c r="DA144" s="723"/>
      <c r="DB144" s="723"/>
      <c r="DC144" s="723"/>
      <c r="DD144" s="723"/>
      <c r="DE144" s="723"/>
      <c r="DF144" s="723"/>
      <c r="DG144" s="723"/>
      <c r="DH144" s="723"/>
      <c r="DI144" s="723"/>
      <c r="DJ144" s="723"/>
      <c r="DK144" s="723"/>
      <c r="DL144" s="723"/>
      <c r="DM144" s="723"/>
      <c r="DN144" s="723"/>
      <c r="DO144" s="723"/>
      <c r="DS144" s="723"/>
      <c r="DT144" s="723"/>
      <c r="DU144" s="723"/>
      <c r="DV144" s="723"/>
      <c r="DW144" s="723"/>
      <c r="DX144" s="723"/>
      <c r="DY144" s="723"/>
      <c r="DZ144" s="723"/>
      <c r="EA144" s="723"/>
      <c r="EB144" s="723"/>
      <c r="EC144" s="723"/>
      <c r="ED144" s="723"/>
      <c r="EE144" s="723"/>
      <c r="EF144" s="723"/>
      <c r="EG144" s="723"/>
      <c r="EQ144" s="723"/>
      <c r="ER144" s="723"/>
      <c r="ES144" s="723"/>
      <c r="ET144" s="722"/>
      <c r="EU144" s="722"/>
      <c r="EV144" s="722"/>
      <c r="GF144" s="724"/>
      <c r="GG144" s="723"/>
      <c r="GH144" s="723"/>
      <c r="GI144" s="728"/>
      <c r="GJ144" s="723"/>
      <c r="GK144" s="723"/>
      <c r="GL144" s="723"/>
      <c r="GP144" s="728"/>
      <c r="GQ144" s="728"/>
      <c r="GR144" s="728"/>
      <c r="GS144" s="723"/>
      <c r="GT144" s="723"/>
      <c r="GU144" s="723"/>
      <c r="GV144" s="723"/>
      <c r="GW144" s="723"/>
      <c r="GX144" s="723"/>
      <c r="HN144" s="723"/>
      <c r="HO144" s="723"/>
      <c r="HP144" s="723"/>
      <c r="IU144" s="720">
        <f t="shared" si="23"/>
        <v>5573.4375</v>
      </c>
      <c r="IV144" s="720">
        <f t="shared" si="24"/>
        <v>3832.5897500000001</v>
      </c>
      <c r="JY144" s="720">
        <v>0</v>
      </c>
      <c r="JZ144" s="787">
        <v>0</v>
      </c>
      <c r="KA144" s="720">
        <v>0</v>
      </c>
      <c r="KB144" s="720">
        <v>0</v>
      </c>
      <c r="KC144" s="720">
        <v>0</v>
      </c>
      <c r="KD144" s="720">
        <v>0</v>
      </c>
    </row>
    <row r="145" spans="1:290">
      <c r="A145" s="634"/>
      <c r="BN145" s="723"/>
      <c r="BO145" s="723"/>
      <c r="BP145" s="723"/>
      <c r="DA145" s="723"/>
      <c r="DB145" s="723"/>
      <c r="DC145" s="723"/>
      <c r="DD145" s="723"/>
      <c r="DE145" s="723"/>
      <c r="DF145" s="723"/>
      <c r="DG145" s="723"/>
      <c r="DH145" s="723"/>
      <c r="DI145" s="723"/>
      <c r="DJ145" s="723"/>
      <c r="DK145" s="723"/>
      <c r="DL145" s="723"/>
      <c r="DM145" s="723"/>
      <c r="DN145" s="723"/>
      <c r="DO145" s="723"/>
      <c r="DS145" s="723"/>
      <c r="DT145" s="723"/>
      <c r="DU145" s="723"/>
      <c r="DV145" s="723"/>
      <c r="DW145" s="723"/>
      <c r="DX145" s="723"/>
      <c r="DY145" s="723"/>
      <c r="DZ145" s="723"/>
      <c r="EA145" s="723"/>
      <c r="EB145" s="723"/>
      <c r="EC145" s="723"/>
      <c r="ED145" s="723"/>
      <c r="EE145" s="723"/>
      <c r="EF145" s="723"/>
      <c r="EG145" s="723"/>
      <c r="EQ145" s="723"/>
      <c r="ER145" s="723"/>
      <c r="ES145" s="723"/>
      <c r="ET145" s="722"/>
      <c r="EU145" s="722"/>
      <c r="EV145" s="722"/>
      <c r="GF145" s="724"/>
      <c r="GG145" s="723"/>
      <c r="GH145" s="723"/>
      <c r="GI145" s="728"/>
      <c r="GP145" s="728"/>
      <c r="GQ145" s="728"/>
      <c r="GR145" s="728"/>
      <c r="GS145" s="723"/>
      <c r="GT145" s="723"/>
      <c r="GU145" s="723"/>
      <c r="GV145" s="723"/>
      <c r="GW145" s="723"/>
      <c r="GX145" s="723"/>
      <c r="HN145" s="723"/>
      <c r="HO145" s="723"/>
      <c r="HP145" s="723"/>
      <c r="IU145" s="720">
        <f t="shared" si="23"/>
        <v>7243.4437499999995</v>
      </c>
      <c r="IV145" s="720">
        <f t="shared" si="24"/>
        <v>6159.5999999999995</v>
      </c>
      <c r="JY145" s="720">
        <v>0</v>
      </c>
      <c r="JZ145" s="787">
        <v>0</v>
      </c>
      <c r="KA145" s="720">
        <v>0</v>
      </c>
      <c r="KB145" s="720">
        <v>0</v>
      </c>
      <c r="KC145" s="720">
        <v>0</v>
      </c>
      <c r="KD145" s="720">
        <v>0</v>
      </c>
    </row>
    <row r="146" spans="1:290">
      <c r="A146" s="634"/>
      <c r="BN146" s="723"/>
      <c r="BO146" s="723"/>
      <c r="BP146" s="723"/>
      <c r="DA146" s="723"/>
      <c r="DB146" s="723"/>
      <c r="DC146" s="723"/>
      <c r="DD146" s="723"/>
      <c r="DE146" s="723"/>
      <c r="DF146" s="723"/>
      <c r="DG146" s="723"/>
      <c r="DH146" s="723"/>
      <c r="DI146" s="723"/>
      <c r="DJ146" s="723"/>
      <c r="DK146" s="723"/>
      <c r="DL146" s="723"/>
      <c r="DM146" s="723"/>
      <c r="DN146" s="723"/>
      <c r="DO146" s="723"/>
      <c r="DS146" s="723"/>
      <c r="DT146" s="723"/>
      <c r="DU146" s="723"/>
      <c r="DV146" s="723"/>
      <c r="DW146" s="723"/>
      <c r="DX146" s="723"/>
      <c r="DY146" s="723"/>
      <c r="DZ146" s="723"/>
      <c r="EA146" s="723"/>
      <c r="EB146" s="723"/>
      <c r="EC146" s="723"/>
      <c r="ED146" s="723"/>
      <c r="EE146" s="723"/>
      <c r="EF146" s="723"/>
      <c r="EG146" s="723"/>
      <c r="EQ146" s="723"/>
      <c r="ER146" s="723"/>
      <c r="ES146" s="723"/>
      <c r="ET146" s="722"/>
      <c r="EU146" s="722"/>
      <c r="EV146" s="722"/>
      <c r="GF146" s="724"/>
      <c r="GG146" s="723"/>
      <c r="GH146" s="723"/>
      <c r="GI146" s="728"/>
      <c r="GP146" s="728"/>
      <c r="GQ146" s="728"/>
      <c r="GR146" s="728"/>
      <c r="GS146" s="723"/>
      <c r="GT146" s="723"/>
      <c r="GU146" s="723"/>
      <c r="GV146" s="723"/>
      <c r="GW146" s="723"/>
      <c r="GX146" s="723"/>
      <c r="HN146" s="723"/>
      <c r="HO146" s="723"/>
      <c r="HP146" s="723"/>
      <c r="IU146" s="720">
        <f t="shared" si="23"/>
        <v>19798.274999999998</v>
      </c>
      <c r="IV146" s="720">
        <f t="shared" si="24"/>
        <v>7810.2493750000003</v>
      </c>
      <c r="JY146" s="720">
        <v>0.02</v>
      </c>
      <c r="JZ146" s="787">
        <v>3.9199999999999999E-2</v>
      </c>
      <c r="KA146" s="720">
        <v>0</v>
      </c>
      <c r="KB146" s="720">
        <v>0</v>
      </c>
      <c r="KC146" s="720">
        <v>0</v>
      </c>
      <c r="KD146" s="720">
        <v>0</v>
      </c>
    </row>
    <row r="147" spans="1:290">
      <c r="A147" s="634"/>
      <c r="BN147" s="723"/>
      <c r="BO147" s="723"/>
      <c r="BP147" s="723"/>
      <c r="DA147" s="723"/>
      <c r="DB147" s="723"/>
      <c r="DC147" s="723"/>
      <c r="DD147" s="723"/>
      <c r="DE147" s="723"/>
      <c r="DF147" s="723"/>
      <c r="DG147" s="723"/>
      <c r="DH147" s="723"/>
      <c r="DI147" s="723"/>
      <c r="DJ147" s="723"/>
      <c r="DK147" s="723"/>
      <c r="DL147" s="723"/>
      <c r="DM147" s="723"/>
      <c r="DN147" s="723"/>
      <c r="DO147" s="723"/>
      <c r="DS147" s="723"/>
      <c r="DT147" s="723"/>
      <c r="DU147" s="723"/>
      <c r="DV147" s="723"/>
      <c r="DW147" s="723"/>
      <c r="DX147" s="723"/>
      <c r="DY147" s="723"/>
      <c r="DZ147" s="723"/>
      <c r="EA147" s="723"/>
      <c r="EB147" s="723"/>
      <c r="EC147" s="723"/>
      <c r="ED147" s="723"/>
      <c r="EE147" s="723"/>
      <c r="EF147" s="723"/>
      <c r="EG147" s="723"/>
      <c r="EQ147" s="723"/>
      <c r="ER147" s="723"/>
      <c r="ES147" s="723"/>
      <c r="ET147" s="722"/>
      <c r="EU147" s="722"/>
      <c r="EV147" s="722"/>
      <c r="GF147" s="724"/>
      <c r="GG147" s="723"/>
      <c r="GH147" s="723"/>
      <c r="GI147" s="728"/>
      <c r="GP147" s="728"/>
      <c r="GQ147" s="728"/>
      <c r="GR147" s="728"/>
      <c r="GS147" s="723"/>
      <c r="GT147" s="723"/>
      <c r="GU147" s="723"/>
      <c r="GV147" s="723"/>
      <c r="GW147" s="723"/>
      <c r="GX147" s="723"/>
      <c r="HN147" s="723"/>
      <c r="HO147" s="723"/>
      <c r="HP147" s="723"/>
      <c r="IU147" s="720">
        <f t="shared" si="23"/>
        <v>0</v>
      </c>
      <c r="IV147" s="720">
        <f t="shared" si="24"/>
        <v>31.200000000000003</v>
      </c>
      <c r="JY147" s="720">
        <v>0</v>
      </c>
      <c r="JZ147" s="787">
        <v>0</v>
      </c>
      <c r="KA147" s="720">
        <v>0.01</v>
      </c>
      <c r="KB147" s="720">
        <v>-3.7037037037037E-2</v>
      </c>
      <c r="KC147" s="720">
        <v>0</v>
      </c>
      <c r="KD147" s="720">
        <v>0</v>
      </c>
    </row>
    <row r="148" spans="1:290">
      <c r="A148" s="634"/>
      <c r="BN148" s="723"/>
      <c r="BO148" s="723"/>
      <c r="BP148" s="723"/>
      <c r="DA148" s="723"/>
      <c r="DB148" s="723"/>
      <c r="DC148" s="723"/>
      <c r="DD148" s="723"/>
      <c r="DE148" s="723"/>
      <c r="DF148" s="723"/>
      <c r="DG148" s="723"/>
      <c r="DH148" s="723"/>
      <c r="DI148" s="723"/>
      <c r="DJ148" s="723"/>
      <c r="DK148" s="723"/>
      <c r="DL148" s="723"/>
      <c r="DM148" s="723"/>
      <c r="DN148" s="723"/>
      <c r="DO148" s="723"/>
      <c r="DS148" s="723"/>
      <c r="DT148" s="723"/>
      <c r="DU148" s="723"/>
      <c r="DV148" s="723"/>
      <c r="DW148" s="723"/>
      <c r="DX148" s="723"/>
      <c r="DY148" s="723"/>
      <c r="DZ148" s="723"/>
      <c r="EA148" s="723"/>
      <c r="EB148" s="723"/>
      <c r="EC148" s="723"/>
      <c r="ED148" s="723"/>
      <c r="EE148" s="723"/>
      <c r="EF148" s="723"/>
      <c r="EG148" s="723"/>
      <c r="EQ148" s="723"/>
      <c r="ER148" s="723"/>
      <c r="ES148" s="723"/>
      <c r="ET148" s="722"/>
      <c r="EU148" s="722"/>
      <c r="EV148" s="722"/>
      <c r="GF148" s="724"/>
      <c r="GG148" s="723"/>
      <c r="GH148" s="723"/>
      <c r="GI148" s="728"/>
      <c r="GP148" s="728"/>
      <c r="GQ148" s="728"/>
      <c r="GR148" s="728"/>
      <c r="GS148" s="723"/>
      <c r="GT148" s="723"/>
      <c r="GU148" s="723"/>
      <c r="GV148" s="723"/>
      <c r="GW148" s="723"/>
      <c r="GX148" s="723"/>
      <c r="HN148" s="723"/>
      <c r="HO148" s="723"/>
      <c r="HP148" s="723"/>
      <c r="IU148" s="720">
        <f t="shared" si="23"/>
        <v>578.70749999999998</v>
      </c>
      <c r="IV148" s="720">
        <f t="shared" si="24"/>
        <v>431.26600000000002</v>
      </c>
      <c r="JY148" s="720">
        <v>0</v>
      </c>
      <c r="JZ148" s="787">
        <v>0</v>
      </c>
      <c r="KA148" s="720">
        <v>1.4999999999999999E-2</v>
      </c>
      <c r="KB148" s="720">
        <v>-3.6144578313252997E-2</v>
      </c>
      <c r="KC148" s="720">
        <v>0</v>
      </c>
      <c r="KD148" s="720">
        <v>0</v>
      </c>
    </row>
    <row r="149" spans="1:290">
      <c r="A149" s="634"/>
      <c r="DA149" s="723"/>
      <c r="DB149" s="723"/>
      <c r="DC149" s="723"/>
      <c r="DD149" s="723"/>
      <c r="DE149" s="723"/>
      <c r="DF149" s="723"/>
      <c r="DG149" s="723"/>
      <c r="DH149" s="723"/>
      <c r="DI149" s="723"/>
      <c r="DJ149" s="723"/>
      <c r="DK149" s="723"/>
      <c r="DL149" s="723"/>
      <c r="DM149" s="723"/>
      <c r="DN149" s="723"/>
      <c r="DO149" s="723"/>
      <c r="DS149" s="723"/>
      <c r="DT149" s="723"/>
      <c r="DU149" s="723"/>
      <c r="DV149" s="723"/>
      <c r="DW149" s="723"/>
      <c r="DX149" s="723"/>
      <c r="DY149" s="723"/>
      <c r="DZ149" s="723"/>
      <c r="EA149" s="723"/>
      <c r="EB149" s="723"/>
      <c r="EC149" s="723"/>
      <c r="ED149" s="723"/>
      <c r="EE149" s="723"/>
      <c r="EF149" s="723"/>
      <c r="EG149" s="723"/>
      <c r="EQ149" s="723"/>
      <c r="ER149" s="723"/>
      <c r="ES149" s="723"/>
      <c r="ET149" s="722"/>
      <c r="EU149" s="722"/>
      <c r="EV149" s="722"/>
      <c r="GG149" s="723"/>
      <c r="GH149" s="723"/>
      <c r="GI149" s="723"/>
      <c r="GP149" s="728"/>
      <c r="GQ149" s="728"/>
      <c r="GR149" s="728"/>
      <c r="GS149" s="723"/>
      <c r="GT149" s="723"/>
      <c r="GU149" s="723"/>
      <c r="GV149" s="723"/>
      <c r="GW149" s="723"/>
      <c r="GX149" s="723"/>
      <c r="HN149" s="723"/>
      <c r="HO149" s="723"/>
      <c r="HP149" s="723"/>
      <c r="IU149" s="720">
        <f t="shared" si="23"/>
        <v>462.45625000000001</v>
      </c>
      <c r="IV149" s="720">
        <f t="shared" si="24"/>
        <v>28.879499999999997</v>
      </c>
      <c r="JY149" s="720">
        <v>0</v>
      </c>
    </row>
    <row r="150" spans="1:290">
      <c r="A150" s="634"/>
      <c r="DA150" s="723"/>
      <c r="DB150" s="723"/>
      <c r="DC150" s="723"/>
      <c r="DD150" s="723"/>
      <c r="DE150" s="723"/>
      <c r="DF150" s="723"/>
      <c r="DG150" s="723"/>
      <c r="DH150" s="723"/>
      <c r="DI150" s="723"/>
      <c r="DJ150" s="723"/>
      <c r="DK150" s="723"/>
      <c r="DL150" s="723"/>
      <c r="DM150" s="723"/>
      <c r="DN150" s="723"/>
      <c r="DO150" s="723"/>
      <c r="DS150" s="723"/>
      <c r="DT150" s="723"/>
      <c r="DU150" s="723"/>
      <c r="DV150" s="723"/>
      <c r="DW150" s="723"/>
      <c r="DX150" s="723"/>
      <c r="DY150" s="723"/>
      <c r="DZ150" s="723"/>
      <c r="EA150" s="723"/>
      <c r="EB150" s="723"/>
      <c r="EC150" s="723"/>
      <c r="ED150" s="723"/>
      <c r="EE150" s="723"/>
      <c r="EF150" s="723"/>
      <c r="EG150" s="723"/>
      <c r="EQ150" s="723"/>
      <c r="ER150" s="723"/>
      <c r="ES150" s="723"/>
      <c r="ET150" s="722"/>
      <c r="EU150" s="722"/>
      <c r="EV150" s="722"/>
      <c r="GG150" s="723"/>
      <c r="GH150" s="723"/>
      <c r="GI150" s="723"/>
      <c r="GP150" s="728"/>
      <c r="GQ150" s="728"/>
      <c r="GR150" s="728"/>
      <c r="GS150" s="723"/>
      <c r="GT150" s="723"/>
      <c r="GU150" s="723"/>
      <c r="GV150" s="723"/>
      <c r="GW150" s="723"/>
      <c r="GX150" s="723"/>
      <c r="HN150" s="723"/>
      <c r="HO150" s="723"/>
      <c r="HP150" s="723"/>
      <c r="IU150" s="720">
        <f t="shared" si="23"/>
        <v>387.12812499999995</v>
      </c>
      <c r="IV150" s="720">
        <f t="shared" si="24"/>
        <v>218.33600000000001</v>
      </c>
      <c r="JY150" s="720">
        <v>0</v>
      </c>
      <c r="JZ150" s="787">
        <v>0</v>
      </c>
      <c r="KA150" s="720">
        <v>0</v>
      </c>
      <c r="KB150" s="720">
        <v>0</v>
      </c>
      <c r="KC150" s="720">
        <v>0</v>
      </c>
      <c r="KD150" s="720">
        <v>0</v>
      </c>
    </row>
    <row r="151" spans="1:290">
      <c r="A151" s="634"/>
      <c r="DA151" s="723"/>
      <c r="DB151" s="723"/>
      <c r="DC151" s="723"/>
      <c r="DD151" s="723"/>
      <c r="DE151" s="723"/>
      <c r="DF151" s="723"/>
      <c r="DG151" s="723"/>
      <c r="DH151" s="723"/>
      <c r="DI151" s="723"/>
      <c r="DJ151" s="723"/>
      <c r="DK151" s="723"/>
      <c r="DL151" s="723"/>
      <c r="DM151" s="723"/>
      <c r="DN151" s="723"/>
      <c r="DO151" s="723"/>
      <c r="DS151" s="723"/>
      <c r="DT151" s="723"/>
      <c r="DU151" s="723"/>
      <c r="DV151" s="723"/>
      <c r="DW151" s="723"/>
      <c r="DX151" s="723"/>
      <c r="DY151" s="723"/>
      <c r="DZ151" s="723"/>
      <c r="EA151" s="723"/>
      <c r="EB151" s="723"/>
      <c r="EC151" s="723"/>
      <c r="ED151" s="723"/>
      <c r="EE151" s="723"/>
      <c r="EF151" s="723"/>
      <c r="EG151" s="723"/>
      <c r="EQ151" s="723"/>
      <c r="ER151" s="723"/>
      <c r="ES151" s="723"/>
      <c r="ET151" s="722"/>
      <c r="EU151" s="722"/>
      <c r="EV151" s="722"/>
      <c r="GG151" s="723"/>
      <c r="GH151" s="723"/>
      <c r="GI151" s="723"/>
      <c r="GP151" s="728"/>
      <c r="GQ151" s="728"/>
      <c r="GR151" s="728"/>
      <c r="GS151" s="723"/>
      <c r="GT151" s="723"/>
      <c r="GU151" s="723"/>
      <c r="GV151" s="723"/>
      <c r="GW151" s="723"/>
      <c r="GX151" s="723"/>
      <c r="HN151" s="723"/>
      <c r="HO151" s="723"/>
      <c r="HP151" s="723"/>
      <c r="IU151" s="720">
        <f t="shared" si="23"/>
        <v>6782.05</v>
      </c>
      <c r="IV151" s="720">
        <f t="shared" si="24"/>
        <v>4975.9281250000004</v>
      </c>
      <c r="JY151" s="720">
        <v>0</v>
      </c>
      <c r="JZ151" s="787">
        <v>0</v>
      </c>
      <c r="KA151" s="720">
        <v>0</v>
      </c>
      <c r="KB151" s="720">
        <v>0</v>
      </c>
      <c r="KC151" s="720">
        <v>0</v>
      </c>
      <c r="KD151" s="720">
        <v>0</v>
      </c>
    </row>
    <row r="152" spans="1:290">
      <c r="A152" s="634"/>
      <c r="DA152" s="723"/>
      <c r="DB152" s="723"/>
      <c r="DC152" s="723"/>
      <c r="DD152" s="723"/>
      <c r="DE152" s="723"/>
      <c r="DF152" s="723"/>
      <c r="DG152" s="723"/>
      <c r="DH152" s="723"/>
      <c r="DI152" s="723"/>
      <c r="DJ152" s="723"/>
      <c r="DK152" s="723"/>
      <c r="DL152" s="723"/>
      <c r="DM152" s="723"/>
      <c r="DN152" s="723"/>
      <c r="DO152" s="723"/>
      <c r="DS152" s="723"/>
      <c r="DT152" s="723"/>
      <c r="DU152" s="723"/>
      <c r="DV152" s="723"/>
      <c r="DW152" s="723"/>
      <c r="DX152" s="723"/>
      <c r="DY152" s="723"/>
      <c r="DZ152" s="723"/>
      <c r="EA152" s="723"/>
      <c r="EB152" s="723"/>
      <c r="EC152" s="723"/>
      <c r="ED152" s="723"/>
      <c r="EE152" s="723"/>
      <c r="EF152" s="723"/>
      <c r="EG152" s="723"/>
      <c r="EQ152" s="723"/>
      <c r="ER152" s="723"/>
      <c r="ES152" s="723"/>
      <c r="ET152" s="722"/>
      <c r="EU152" s="722"/>
      <c r="EV152" s="722"/>
      <c r="GG152" s="723"/>
      <c r="GH152" s="723"/>
      <c r="GI152" s="723"/>
      <c r="GP152" s="728"/>
      <c r="GQ152" s="728"/>
      <c r="GR152" s="728"/>
      <c r="GS152" s="723"/>
      <c r="GT152" s="723"/>
      <c r="GU152" s="723"/>
      <c r="GV152" s="723"/>
      <c r="GW152" s="723"/>
      <c r="GX152" s="723"/>
      <c r="HN152" s="723"/>
      <c r="HO152" s="723"/>
      <c r="HP152" s="723"/>
      <c r="IU152" s="720">
        <f t="shared" si="23"/>
        <v>9159</v>
      </c>
      <c r="IV152" s="720">
        <f t="shared" si="24"/>
        <v>6224.2553749999997</v>
      </c>
      <c r="JY152" s="720">
        <v>-5.0000000000000001E-3</v>
      </c>
      <c r="JZ152" s="787">
        <v>-1.0800000000000001E-2</v>
      </c>
      <c r="KA152" s="720">
        <v>2.5000000000000001E-2</v>
      </c>
      <c r="KB152" s="720">
        <v>-5.3763440860214999E-2</v>
      </c>
      <c r="KC152" s="720">
        <v>0</v>
      </c>
      <c r="KD152" s="720">
        <v>0</v>
      </c>
    </row>
    <row r="153" spans="1:290">
      <c r="A153" s="634"/>
      <c r="DA153" s="723"/>
      <c r="DB153" s="723"/>
      <c r="DC153" s="723"/>
      <c r="DD153" s="723"/>
      <c r="DE153" s="723"/>
      <c r="DF153" s="723"/>
      <c r="DG153" s="723"/>
      <c r="DH153" s="723"/>
      <c r="DI153" s="723"/>
      <c r="DJ153" s="723"/>
      <c r="DK153" s="723"/>
      <c r="DL153" s="723"/>
      <c r="DM153" s="723"/>
      <c r="DN153" s="723"/>
      <c r="DO153" s="723"/>
      <c r="DS153" s="723"/>
      <c r="DT153" s="723"/>
      <c r="DU153" s="723"/>
      <c r="DV153" s="723"/>
      <c r="DW153" s="723"/>
      <c r="DX153" s="723"/>
      <c r="DY153" s="723"/>
      <c r="DZ153" s="723"/>
      <c r="EA153" s="723"/>
      <c r="EB153" s="723"/>
      <c r="EC153" s="723"/>
      <c r="ED153" s="723"/>
      <c r="EE153" s="723"/>
      <c r="EF153" s="723"/>
      <c r="EG153" s="723"/>
      <c r="EQ153" s="723"/>
      <c r="ER153" s="723"/>
      <c r="ES153" s="723"/>
      <c r="ET153" s="722"/>
      <c r="EU153" s="722"/>
      <c r="EV153" s="722"/>
      <c r="GG153" s="723"/>
      <c r="GH153" s="723"/>
      <c r="GI153" s="723"/>
      <c r="GP153" s="728"/>
      <c r="GQ153" s="728"/>
      <c r="GR153" s="728"/>
      <c r="GS153" s="723"/>
      <c r="GT153" s="723"/>
      <c r="GU153" s="723"/>
      <c r="GV153" s="723"/>
      <c r="GW153" s="723"/>
      <c r="GX153" s="723"/>
      <c r="HN153" s="723"/>
      <c r="HO153" s="723"/>
      <c r="HP153" s="723"/>
      <c r="IU153" s="720">
        <f t="shared" si="23"/>
        <v>3661.75</v>
      </c>
      <c r="IV153" s="720">
        <f t="shared" si="24"/>
        <v>2658</v>
      </c>
      <c r="JY153" s="720">
        <v>0</v>
      </c>
      <c r="JZ153" s="787">
        <v>0</v>
      </c>
      <c r="KA153" s="720">
        <v>9.9999999999999898E-3</v>
      </c>
      <c r="KB153" s="720">
        <v>-1.94174757281553E-2</v>
      </c>
      <c r="KC153" s="720">
        <v>0</v>
      </c>
      <c r="KD153" s="720">
        <v>0</v>
      </c>
    </row>
    <row r="154" spans="1:290">
      <c r="A154" s="634"/>
      <c r="DA154" s="723"/>
      <c r="DB154" s="723"/>
      <c r="DC154" s="723"/>
      <c r="DD154" s="723"/>
      <c r="DE154" s="723"/>
      <c r="DF154" s="723"/>
      <c r="DG154" s="723"/>
      <c r="DH154" s="723"/>
      <c r="DI154" s="723"/>
      <c r="DJ154" s="723"/>
      <c r="DK154" s="723"/>
      <c r="DL154" s="723"/>
      <c r="DM154" s="723"/>
      <c r="DN154" s="723"/>
      <c r="DO154" s="723"/>
      <c r="DS154" s="723"/>
      <c r="DT154" s="723"/>
      <c r="DU154" s="723"/>
      <c r="DV154" s="723"/>
      <c r="DW154" s="723"/>
      <c r="DX154" s="723"/>
      <c r="DY154" s="723"/>
      <c r="DZ154" s="723"/>
      <c r="EA154" s="723"/>
      <c r="EB154" s="723"/>
      <c r="EC154" s="723"/>
      <c r="ED154" s="723"/>
      <c r="EE154" s="723"/>
      <c r="EF154" s="723"/>
      <c r="EG154" s="723"/>
      <c r="EQ154" s="723"/>
      <c r="ER154" s="723"/>
      <c r="ES154" s="723"/>
      <c r="ET154" s="722"/>
      <c r="EU154" s="722"/>
      <c r="EV154" s="722"/>
      <c r="GG154" s="723"/>
      <c r="GH154" s="723"/>
      <c r="GI154" s="723"/>
      <c r="GP154" s="728"/>
      <c r="GQ154" s="728"/>
      <c r="GR154" s="728"/>
      <c r="GS154" s="723"/>
      <c r="GT154" s="723"/>
      <c r="GU154" s="723"/>
      <c r="GV154" s="723"/>
      <c r="GW154" s="723"/>
      <c r="GX154" s="723"/>
      <c r="HN154" s="723"/>
      <c r="HO154" s="723"/>
      <c r="HP154" s="723"/>
      <c r="IU154" s="720">
        <f t="shared" si="23"/>
        <v>4778.6118749999996</v>
      </c>
      <c r="IV154" s="720">
        <f t="shared" si="24"/>
        <v>3016.9387499999998</v>
      </c>
      <c r="JY154" s="720">
        <v>0</v>
      </c>
      <c r="JZ154" s="787">
        <v>0</v>
      </c>
      <c r="KA154" s="720">
        <v>1.4999999999999999E-2</v>
      </c>
      <c r="KB154" s="720">
        <v>-3.0927835051546299E-2</v>
      </c>
      <c r="KC154" s="720">
        <v>0</v>
      </c>
      <c r="KD154" s="720">
        <v>0</v>
      </c>
    </row>
    <row r="155" spans="1:290">
      <c r="A155" s="634"/>
      <c r="DA155" s="723"/>
      <c r="DB155" s="723"/>
      <c r="DC155" s="723"/>
      <c r="DD155" s="723"/>
      <c r="DE155" s="723"/>
      <c r="DF155" s="723"/>
      <c r="DG155" s="723"/>
      <c r="DH155" s="723"/>
      <c r="DI155" s="723"/>
      <c r="DJ155" s="723"/>
      <c r="DK155" s="723"/>
      <c r="DL155" s="723"/>
      <c r="DM155" s="723"/>
      <c r="DN155" s="723"/>
      <c r="DO155" s="723"/>
      <c r="DS155" s="723"/>
      <c r="DT155" s="723"/>
      <c r="DU155" s="723"/>
      <c r="DV155" s="723"/>
      <c r="DW155" s="723"/>
      <c r="DX155" s="723"/>
      <c r="DY155" s="723"/>
      <c r="DZ155" s="723"/>
      <c r="EA155" s="723"/>
      <c r="EB155" s="723"/>
      <c r="EC155" s="723"/>
      <c r="ED155" s="723"/>
      <c r="EE155" s="723"/>
      <c r="EF155" s="723"/>
      <c r="EG155" s="723"/>
      <c r="EQ155" s="723"/>
      <c r="ER155" s="723"/>
      <c r="ES155" s="723"/>
      <c r="ET155" s="722"/>
      <c r="EU155" s="722"/>
      <c r="EV155" s="722"/>
      <c r="GG155" s="723"/>
      <c r="GH155" s="723"/>
      <c r="GI155" s="723"/>
      <c r="GP155" s="728"/>
      <c r="GQ155" s="728"/>
      <c r="GR155" s="728"/>
      <c r="GS155" s="723"/>
      <c r="GT155" s="723"/>
      <c r="GU155" s="723"/>
      <c r="GV155" s="723"/>
      <c r="GW155" s="723"/>
      <c r="GX155" s="723"/>
      <c r="HN155" s="723"/>
      <c r="HO155" s="723"/>
      <c r="HP155" s="723"/>
      <c r="IU155" s="720">
        <f t="shared" si="23"/>
        <v>50.375</v>
      </c>
      <c r="IV155" s="720">
        <f t="shared" si="24"/>
        <v>127.36087499999999</v>
      </c>
      <c r="JY155" s="720">
        <v>0</v>
      </c>
      <c r="JZ155" s="787">
        <v>0</v>
      </c>
      <c r="KA155" s="720">
        <v>0</v>
      </c>
      <c r="KB155" s="720">
        <v>0</v>
      </c>
      <c r="KC155" s="720">
        <v>0</v>
      </c>
      <c r="KD155" s="720">
        <v>0</v>
      </c>
    </row>
    <row r="156" spans="1:290">
      <c r="A156" s="634"/>
      <c r="DA156" s="723"/>
      <c r="DB156" s="723"/>
      <c r="DC156" s="723"/>
      <c r="DD156" s="723"/>
      <c r="DE156" s="723"/>
      <c r="DF156" s="723"/>
      <c r="DG156" s="723"/>
      <c r="DH156" s="723"/>
      <c r="DI156" s="723"/>
      <c r="DJ156" s="723"/>
      <c r="DK156" s="723"/>
      <c r="DL156" s="723"/>
      <c r="DM156" s="723"/>
      <c r="DN156" s="723"/>
      <c r="DO156" s="723"/>
      <c r="DS156" s="723"/>
      <c r="DT156" s="723"/>
      <c r="DU156" s="723"/>
      <c r="DV156" s="723"/>
      <c r="DW156" s="723"/>
      <c r="DX156" s="723"/>
      <c r="DY156" s="723"/>
      <c r="DZ156" s="723"/>
      <c r="EA156" s="723"/>
      <c r="EB156" s="723"/>
      <c r="EC156" s="723"/>
      <c r="ED156" s="723"/>
      <c r="EE156" s="723"/>
      <c r="EF156" s="723"/>
      <c r="EG156" s="723"/>
      <c r="EQ156" s="723"/>
      <c r="ER156" s="723"/>
      <c r="ES156" s="723"/>
      <c r="ET156" s="722"/>
      <c r="EU156" s="722"/>
      <c r="EV156" s="722"/>
      <c r="GG156" s="723"/>
      <c r="GH156" s="723"/>
      <c r="GI156" s="723"/>
      <c r="GP156" s="728"/>
      <c r="GQ156" s="728"/>
      <c r="GR156" s="728"/>
      <c r="GS156" s="723"/>
      <c r="GT156" s="723"/>
      <c r="GU156" s="723"/>
      <c r="GV156" s="723"/>
      <c r="GW156" s="723"/>
      <c r="GX156" s="723"/>
      <c r="HN156" s="723"/>
      <c r="HO156" s="723"/>
      <c r="HP156" s="723"/>
      <c r="IU156" s="720">
        <f t="shared" si="23"/>
        <v>0</v>
      </c>
      <c r="IV156" s="720">
        <f t="shared" si="24"/>
        <v>0</v>
      </c>
    </row>
    <row r="157" spans="1:290">
      <c r="A157" s="634"/>
      <c r="DA157" s="723"/>
      <c r="DB157" s="723"/>
      <c r="DC157" s="723"/>
      <c r="DD157" s="723"/>
      <c r="DE157" s="723"/>
      <c r="DF157" s="723"/>
      <c r="DG157" s="723"/>
      <c r="DH157" s="723"/>
      <c r="DI157" s="723"/>
      <c r="DJ157" s="723"/>
      <c r="DK157" s="723"/>
      <c r="DL157" s="723"/>
      <c r="DM157" s="723"/>
      <c r="DN157" s="723"/>
      <c r="DO157" s="723"/>
      <c r="DS157" s="723"/>
      <c r="DT157" s="723"/>
      <c r="DU157" s="723"/>
      <c r="DV157" s="723"/>
      <c r="DW157" s="723"/>
      <c r="DX157" s="723"/>
      <c r="DY157" s="723"/>
      <c r="DZ157" s="723"/>
      <c r="EA157" s="723"/>
      <c r="EB157" s="723"/>
      <c r="EC157" s="723"/>
      <c r="ED157" s="723"/>
      <c r="EE157" s="723"/>
      <c r="EF157" s="723"/>
      <c r="EG157" s="723"/>
      <c r="EQ157" s="723"/>
      <c r="ER157" s="723"/>
      <c r="ES157" s="723"/>
      <c r="ET157" s="722"/>
      <c r="EU157" s="722"/>
      <c r="EV157" s="722"/>
      <c r="GG157" s="723"/>
      <c r="GH157" s="723"/>
      <c r="GI157" s="723"/>
      <c r="GP157" s="728"/>
      <c r="GQ157" s="728"/>
      <c r="GR157" s="728"/>
      <c r="GS157" s="723"/>
      <c r="GT157" s="723"/>
      <c r="GU157" s="723"/>
      <c r="GV157" s="723"/>
      <c r="GW157" s="723"/>
      <c r="GX157" s="723"/>
      <c r="HN157" s="723"/>
      <c r="HO157" s="723"/>
      <c r="HP157" s="723"/>
      <c r="IU157" s="720">
        <f t="shared" si="23"/>
        <v>1068.3543749999999</v>
      </c>
      <c r="IV157" s="720">
        <f t="shared" si="24"/>
        <v>914.75562500000001</v>
      </c>
      <c r="JY157" s="720">
        <v>0</v>
      </c>
      <c r="JZ157" s="787">
        <v>0</v>
      </c>
      <c r="KA157" s="720">
        <v>0</v>
      </c>
      <c r="KB157" s="720">
        <v>0</v>
      </c>
      <c r="KC157" s="720">
        <v>0</v>
      </c>
      <c r="KD157" s="720">
        <v>0</v>
      </c>
    </row>
    <row r="158" spans="1:290">
      <c r="A158" s="634"/>
      <c r="DA158" s="723"/>
      <c r="DB158" s="723"/>
      <c r="DC158" s="723"/>
      <c r="DD158" s="723"/>
      <c r="DE158" s="723"/>
      <c r="DF158" s="723"/>
      <c r="DG158" s="723"/>
      <c r="DH158" s="723"/>
      <c r="DI158" s="723"/>
      <c r="DJ158" s="723"/>
      <c r="DK158" s="723"/>
      <c r="DL158" s="723"/>
      <c r="DM158" s="723"/>
      <c r="DN158" s="723"/>
      <c r="DO158" s="723"/>
      <c r="DS158" s="723"/>
      <c r="DT158" s="723"/>
      <c r="DU158" s="723"/>
      <c r="DV158" s="723"/>
      <c r="DW158" s="723"/>
      <c r="DX158" s="723"/>
      <c r="DY158" s="723"/>
      <c r="DZ158" s="723"/>
      <c r="EA158" s="723"/>
      <c r="EB158" s="723"/>
      <c r="EC158" s="723"/>
      <c r="ED158" s="723"/>
      <c r="EE158" s="723"/>
      <c r="EF158" s="723"/>
      <c r="EG158" s="723"/>
      <c r="EQ158" s="723"/>
      <c r="ER158" s="723"/>
      <c r="ES158" s="723"/>
      <c r="ET158" s="722"/>
      <c r="EU158" s="722"/>
      <c r="EV158" s="722"/>
      <c r="GG158" s="723"/>
      <c r="GH158" s="723"/>
      <c r="GI158" s="723"/>
      <c r="GP158" s="728"/>
      <c r="GQ158" s="728"/>
      <c r="GR158" s="728"/>
      <c r="GS158" s="723"/>
      <c r="GT158" s="723"/>
      <c r="GU158" s="723"/>
      <c r="GV158" s="723"/>
      <c r="GW158" s="723"/>
      <c r="GX158" s="723"/>
      <c r="HN158" s="723"/>
      <c r="HO158" s="723"/>
      <c r="HP158" s="723"/>
      <c r="IU158" s="720">
        <f t="shared" si="23"/>
        <v>7406.9624999999996</v>
      </c>
      <c r="IV158" s="720">
        <f t="shared" si="24"/>
        <v>4369.9406250000002</v>
      </c>
      <c r="JY158" s="720">
        <v>0</v>
      </c>
      <c r="JZ158" s="787">
        <v>0</v>
      </c>
      <c r="KA158" s="720">
        <v>0</v>
      </c>
      <c r="KB158" s="720">
        <v>0</v>
      </c>
      <c r="KC158" s="720">
        <v>0</v>
      </c>
      <c r="KD158" s="720">
        <v>0</v>
      </c>
    </row>
    <row r="159" spans="1:290">
      <c r="A159" s="634"/>
      <c r="DA159" s="723"/>
      <c r="DB159" s="723"/>
      <c r="DC159" s="723"/>
      <c r="DD159" s="723"/>
      <c r="DE159" s="723"/>
      <c r="DF159" s="723"/>
      <c r="DG159" s="723"/>
      <c r="DH159" s="723"/>
      <c r="DI159" s="723"/>
      <c r="DJ159" s="723"/>
      <c r="DK159" s="723"/>
      <c r="DL159" s="723"/>
      <c r="DM159" s="723"/>
      <c r="DN159" s="723"/>
      <c r="DO159" s="723"/>
      <c r="DS159" s="723"/>
      <c r="DT159" s="723"/>
      <c r="DU159" s="723"/>
      <c r="DV159" s="723"/>
      <c r="DW159" s="723"/>
      <c r="DX159" s="723"/>
      <c r="DY159" s="723"/>
      <c r="DZ159" s="723"/>
      <c r="EA159" s="723"/>
      <c r="EB159" s="723"/>
      <c r="EC159" s="723"/>
      <c r="ED159" s="723"/>
      <c r="EE159" s="723"/>
      <c r="EF159" s="723"/>
      <c r="EG159" s="723"/>
      <c r="EQ159" s="723"/>
      <c r="ER159" s="723"/>
      <c r="ES159" s="723"/>
      <c r="ET159" s="722"/>
      <c r="EU159" s="722"/>
      <c r="EV159" s="722"/>
      <c r="GG159" s="723"/>
      <c r="GH159" s="723"/>
      <c r="GI159" s="723"/>
      <c r="GP159" s="728"/>
      <c r="GQ159" s="728"/>
      <c r="GR159" s="728"/>
      <c r="GS159" s="723"/>
      <c r="GT159" s="723"/>
      <c r="GU159" s="723"/>
      <c r="GV159" s="723"/>
      <c r="GW159" s="723"/>
      <c r="GX159" s="723"/>
      <c r="HN159" s="723"/>
      <c r="HO159" s="723"/>
      <c r="HP159" s="723"/>
      <c r="IU159" s="720">
        <f t="shared" si="23"/>
        <v>1107.1443750000001</v>
      </c>
      <c r="IV159" s="720">
        <f t="shared" si="24"/>
        <v>877.678</v>
      </c>
      <c r="JY159" s="720">
        <v>0</v>
      </c>
      <c r="JZ159" s="787">
        <v>0</v>
      </c>
      <c r="KA159" s="720">
        <v>0</v>
      </c>
      <c r="KB159" s="720">
        <v>0</v>
      </c>
      <c r="KC159" s="720">
        <v>0</v>
      </c>
      <c r="KD159" s="720">
        <v>0</v>
      </c>
    </row>
    <row r="160" spans="1:290">
      <c r="A160" s="634"/>
      <c r="DA160" s="723"/>
      <c r="DB160" s="723"/>
      <c r="DC160" s="723"/>
      <c r="DD160" s="723"/>
      <c r="DE160" s="723"/>
      <c r="DF160" s="723"/>
      <c r="DG160" s="723"/>
      <c r="DH160" s="723"/>
      <c r="DI160" s="723"/>
      <c r="DJ160" s="723"/>
      <c r="DK160" s="723"/>
      <c r="DL160" s="723"/>
      <c r="DM160" s="723"/>
      <c r="DN160" s="723"/>
      <c r="DO160" s="723"/>
      <c r="DS160" s="723"/>
      <c r="DT160" s="723"/>
      <c r="DU160" s="723"/>
      <c r="DV160" s="723"/>
      <c r="DW160" s="723"/>
      <c r="DX160" s="723"/>
      <c r="DY160" s="723"/>
      <c r="DZ160" s="723"/>
      <c r="EA160" s="723"/>
      <c r="EB160" s="723"/>
      <c r="EC160" s="723"/>
      <c r="ED160" s="723"/>
      <c r="EE160" s="723"/>
      <c r="EF160" s="723"/>
      <c r="EG160" s="723"/>
      <c r="EQ160" s="723"/>
      <c r="ER160" s="723"/>
      <c r="ES160" s="723"/>
      <c r="ET160" s="722"/>
      <c r="EU160" s="722"/>
      <c r="EV160" s="722"/>
      <c r="GG160" s="723"/>
      <c r="GH160" s="723"/>
      <c r="GI160" s="723"/>
      <c r="GP160" s="728"/>
      <c r="GQ160" s="728"/>
      <c r="GR160" s="728"/>
      <c r="GS160" s="723"/>
      <c r="GT160" s="723"/>
      <c r="GU160" s="723"/>
      <c r="GV160" s="723"/>
      <c r="GW160" s="723"/>
      <c r="GX160" s="723"/>
      <c r="HN160" s="723"/>
      <c r="HO160" s="723"/>
      <c r="HP160" s="723"/>
      <c r="IU160" s="720">
        <f t="shared" si="23"/>
        <v>1971.30375</v>
      </c>
      <c r="IV160" s="720">
        <f t="shared" si="24"/>
        <v>1131.6599999999999</v>
      </c>
      <c r="JY160" s="720">
        <v>0</v>
      </c>
      <c r="JZ160" s="787">
        <v>0</v>
      </c>
      <c r="KA160" s="720">
        <v>0</v>
      </c>
      <c r="KB160" s="720">
        <v>0</v>
      </c>
      <c r="KC160" s="720">
        <v>9.9999999999999898E-3</v>
      </c>
      <c r="KD160" s="720">
        <v>2.77777777777777E-2</v>
      </c>
    </row>
    <row r="161" spans="1:309">
      <c r="A161" s="634"/>
      <c r="DA161" s="723"/>
      <c r="DB161" s="723"/>
      <c r="DC161" s="723"/>
      <c r="DD161" s="723"/>
      <c r="DE161" s="723"/>
      <c r="DF161" s="723"/>
      <c r="DG161" s="723"/>
      <c r="DH161" s="723"/>
      <c r="DI161" s="723"/>
      <c r="DJ161" s="723"/>
      <c r="DK161" s="723"/>
      <c r="DL161" s="723"/>
      <c r="DM161" s="723"/>
      <c r="DN161" s="723"/>
      <c r="DO161" s="723"/>
      <c r="DS161" s="723"/>
      <c r="DT161" s="723"/>
      <c r="DU161" s="723"/>
      <c r="DV161" s="723"/>
      <c r="DW161" s="723"/>
      <c r="DX161" s="723"/>
      <c r="DY161" s="723"/>
      <c r="DZ161" s="723"/>
      <c r="EA161" s="723"/>
      <c r="EB161" s="723"/>
      <c r="EC161" s="723"/>
      <c r="ED161" s="723"/>
      <c r="EE161" s="723"/>
      <c r="EF161" s="723"/>
      <c r="EG161" s="723"/>
      <c r="EQ161" s="723"/>
      <c r="ER161" s="723"/>
      <c r="ES161" s="723"/>
      <c r="ET161" s="722"/>
      <c r="EU161" s="722"/>
      <c r="EV161" s="722"/>
      <c r="GG161" s="723"/>
      <c r="GH161" s="723"/>
      <c r="GI161" s="723"/>
      <c r="GP161" s="728"/>
      <c r="GQ161" s="728"/>
      <c r="GR161" s="728"/>
      <c r="GS161" s="723"/>
      <c r="GT161" s="723"/>
      <c r="GU161" s="723"/>
      <c r="GV161" s="723"/>
      <c r="GW161" s="723"/>
      <c r="GX161" s="723"/>
      <c r="HN161" s="723"/>
      <c r="HO161" s="723"/>
      <c r="HP161" s="723"/>
      <c r="IU161" s="720">
        <f t="shared" si="23"/>
        <v>0</v>
      </c>
      <c r="IV161" s="720">
        <f t="shared" si="24"/>
        <v>1021.0859999999999</v>
      </c>
      <c r="JY161" s="720">
        <v>0</v>
      </c>
      <c r="JZ161" s="787">
        <v>0</v>
      </c>
      <c r="KA161" s="720">
        <v>0.01</v>
      </c>
      <c r="KB161" s="720">
        <v>-2.3255813953488299E-2</v>
      </c>
      <c r="KC161" s="720">
        <v>0</v>
      </c>
      <c r="KD161" s="720">
        <v>0</v>
      </c>
    </row>
    <row r="162" spans="1:309">
      <c r="A162" s="634"/>
      <c r="DA162" s="723"/>
      <c r="DB162" s="723"/>
      <c r="DC162" s="723"/>
      <c r="DD162" s="723"/>
      <c r="DE162" s="723"/>
      <c r="DF162" s="723"/>
      <c r="DG162" s="723"/>
      <c r="DH162" s="723"/>
      <c r="DI162" s="723"/>
      <c r="DM162" s="723"/>
      <c r="DN162" s="723"/>
      <c r="DO162" s="723"/>
      <c r="DS162" s="723"/>
      <c r="DT162" s="723"/>
      <c r="DU162" s="723"/>
      <c r="DV162" s="723"/>
      <c r="DW162" s="723"/>
      <c r="DX162" s="723"/>
      <c r="DY162" s="723"/>
      <c r="DZ162" s="723"/>
      <c r="EA162" s="723"/>
      <c r="EB162" s="723"/>
      <c r="EC162" s="723"/>
      <c r="ED162" s="723"/>
      <c r="EE162" s="723"/>
      <c r="EF162" s="723"/>
      <c r="EG162" s="723"/>
      <c r="EQ162" s="723"/>
      <c r="ER162" s="723"/>
      <c r="ES162" s="723"/>
      <c r="ET162" s="722"/>
      <c r="EU162" s="722"/>
      <c r="EV162" s="722"/>
      <c r="GG162" s="723"/>
      <c r="GH162" s="723"/>
      <c r="GI162" s="723"/>
      <c r="GP162" s="728"/>
      <c r="GQ162" s="728"/>
      <c r="GR162" s="728"/>
      <c r="GS162" s="723"/>
      <c r="GT162" s="723"/>
      <c r="GU162" s="723"/>
      <c r="GV162" s="723"/>
      <c r="GW162" s="723"/>
      <c r="GX162" s="723"/>
      <c r="HN162" s="723"/>
      <c r="HO162" s="723"/>
      <c r="HP162" s="723"/>
      <c r="IU162" s="720">
        <f t="shared" si="23"/>
        <v>1753.3687500000001</v>
      </c>
      <c r="IV162" s="720">
        <f t="shared" si="24"/>
        <v>1937.0823750000002</v>
      </c>
      <c r="JY162" s="720">
        <v>0</v>
      </c>
      <c r="JZ162" s="787">
        <v>0</v>
      </c>
      <c r="KA162" s="720">
        <v>0</v>
      </c>
      <c r="KB162" s="720">
        <v>0</v>
      </c>
      <c r="KC162" s="720">
        <v>9.9999999999999898E-3</v>
      </c>
      <c r="KD162" s="720">
        <v>1.9801980198019799E-2</v>
      </c>
      <c r="KT162" s="720">
        <v>1.63</v>
      </c>
      <c r="KU162" s="720">
        <v>-0.88</v>
      </c>
      <c r="KV162" s="720">
        <v>-1.75</v>
      </c>
      <c r="KW162" s="720">
        <v>-4.75</v>
      </c>
    </row>
    <row r="163" spans="1:309">
      <c r="A163" s="634"/>
      <c r="DA163" s="723"/>
      <c r="DB163" s="723"/>
      <c r="DC163" s="723"/>
      <c r="DD163" s="723"/>
      <c r="DE163" s="723"/>
      <c r="DF163" s="723"/>
      <c r="DG163" s="723"/>
      <c r="DH163" s="723"/>
      <c r="DI163" s="723"/>
      <c r="DM163" s="723"/>
      <c r="DN163" s="723"/>
      <c r="DO163" s="723"/>
      <c r="DS163" s="723"/>
      <c r="DT163" s="723"/>
      <c r="DU163" s="723"/>
      <c r="DV163" s="723"/>
      <c r="DW163" s="723"/>
      <c r="DX163" s="723"/>
      <c r="DY163" s="723"/>
      <c r="DZ163" s="723"/>
      <c r="EA163" s="723"/>
      <c r="EB163" s="723"/>
      <c r="EC163" s="723"/>
      <c r="ED163" s="723"/>
      <c r="EE163" s="723"/>
      <c r="EF163" s="723"/>
      <c r="EG163" s="723"/>
      <c r="EQ163" s="723"/>
      <c r="ER163" s="723"/>
      <c r="ES163" s="723"/>
      <c r="ET163" s="722"/>
      <c r="EU163" s="722"/>
      <c r="EV163" s="722"/>
      <c r="GG163" s="723"/>
      <c r="GH163" s="723"/>
      <c r="GI163" s="723"/>
      <c r="GP163" s="728"/>
      <c r="GQ163" s="728"/>
      <c r="GR163" s="728"/>
      <c r="GS163" s="723"/>
      <c r="GT163" s="723"/>
      <c r="GU163" s="723"/>
      <c r="GV163" s="723"/>
      <c r="GW163" s="723"/>
      <c r="GX163" s="723"/>
      <c r="HN163" s="723"/>
      <c r="HO163" s="723"/>
      <c r="HP163" s="723"/>
      <c r="IU163" s="720">
        <f t="shared" si="23"/>
        <v>1523.7950000000001</v>
      </c>
      <c r="IV163" s="720">
        <f t="shared" si="24"/>
        <v>1446.9358750000001</v>
      </c>
      <c r="JY163" s="720">
        <v>1.4999999999999999E-2</v>
      </c>
      <c r="JZ163" s="787">
        <v>3.85E-2</v>
      </c>
      <c r="KA163" s="720">
        <v>0</v>
      </c>
      <c r="KB163" s="720">
        <v>0</v>
      </c>
      <c r="KC163" s="720">
        <v>0</v>
      </c>
      <c r="KD163" s="720">
        <v>0</v>
      </c>
      <c r="KT163" s="720">
        <v>1.5</v>
      </c>
      <c r="KU163" s="720">
        <v>3.13</v>
      </c>
      <c r="KV163" s="720">
        <v>-2.5</v>
      </c>
      <c r="KW163" s="720">
        <v>-4.25</v>
      </c>
    </row>
    <row r="164" spans="1:309">
      <c r="A164" s="634"/>
      <c r="DA164" s="723"/>
      <c r="DB164" s="723"/>
      <c r="DC164" s="723"/>
      <c r="DD164" s="723"/>
      <c r="DE164" s="723"/>
      <c r="DF164" s="723"/>
      <c r="DG164" s="723"/>
      <c r="DH164" s="723"/>
      <c r="DI164" s="723"/>
      <c r="DM164" s="723"/>
      <c r="DN164" s="723"/>
      <c r="DO164" s="723"/>
      <c r="DS164" s="723"/>
      <c r="DT164" s="723"/>
      <c r="DU164" s="723"/>
      <c r="DV164" s="723"/>
      <c r="DW164" s="723"/>
      <c r="DX164" s="723"/>
      <c r="DY164" s="723"/>
      <c r="DZ164" s="723"/>
      <c r="EA164" s="723"/>
      <c r="EB164" s="723"/>
      <c r="EC164" s="723"/>
      <c r="ED164" s="723"/>
      <c r="EE164" s="723"/>
      <c r="EF164" s="723"/>
      <c r="EG164" s="723"/>
      <c r="EQ164" s="723"/>
      <c r="ER164" s="723"/>
      <c r="ES164" s="723"/>
      <c r="ET164" s="722"/>
      <c r="EU164" s="722"/>
      <c r="EV164" s="722"/>
      <c r="GG164" s="723"/>
      <c r="GH164" s="723"/>
      <c r="GI164" s="723"/>
      <c r="GP164" s="728"/>
      <c r="GQ164" s="728"/>
      <c r="GR164" s="728"/>
      <c r="GS164" s="723"/>
      <c r="GT164" s="723"/>
      <c r="GU164" s="723"/>
      <c r="GV164" s="723"/>
      <c r="GW164" s="723"/>
      <c r="GX164" s="723"/>
      <c r="HN164" s="723"/>
      <c r="HO164" s="723"/>
      <c r="HP164" s="723"/>
      <c r="IU164" s="720">
        <f t="shared" si="23"/>
        <v>0</v>
      </c>
      <c r="IV164" s="720">
        <f t="shared" si="24"/>
        <v>0</v>
      </c>
      <c r="KT164" s="720">
        <v>1.25</v>
      </c>
      <c r="KU164" s="720">
        <v>-0.63</v>
      </c>
      <c r="KV164" s="720">
        <v>-3.25</v>
      </c>
      <c r="KW164" s="720">
        <v>-4.13</v>
      </c>
    </row>
    <row r="165" spans="1:309">
      <c r="A165" s="634"/>
      <c r="DA165" s="723"/>
      <c r="DB165" s="723"/>
      <c r="DC165" s="723"/>
      <c r="DD165" s="723"/>
      <c r="DE165" s="723"/>
      <c r="DF165" s="723"/>
      <c r="DG165" s="723"/>
      <c r="DH165" s="723"/>
      <c r="DI165" s="723"/>
      <c r="DM165" s="723"/>
      <c r="DN165" s="723"/>
      <c r="DO165" s="723"/>
      <c r="DS165" s="723"/>
      <c r="DT165" s="723"/>
      <c r="DU165" s="723"/>
      <c r="DV165" s="723"/>
      <c r="DW165" s="723"/>
      <c r="DX165" s="723"/>
      <c r="DY165" s="723"/>
      <c r="DZ165" s="723"/>
      <c r="EA165" s="723"/>
      <c r="EB165" s="723"/>
      <c r="EC165" s="723"/>
      <c r="ED165" s="723"/>
      <c r="EE165" s="723"/>
      <c r="EF165" s="723"/>
      <c r="EG165" s="723"/>
      <c r="EQ165" s="723"/>
      <c r="ER165" s="723"/>
      <c r="ES165" s="723"/>
      <c r="ET165" s="722"/>
      <c r="EU165" s="722"/>
      <c r="EV165" s="722"/>
      <c r="GG165" s="723"/>
      <c r="GH165" s="723"/>
      <c r="GI165" s="723"/>
      <c r="GP165" s="728"/>
      <c r="GQ165" s="728"/>
      <c r="GR165" s="728"/>
      <c r="GS165" s="723"/>
      <c r="GT165" s="723"/>
      <c r="GU165" s="723"/>
      <c r="GV165" s="723"/>
      <c r="GW165" s="723"/>
      <c r="GX165" s="723"/>
      <c r="HN165" s="723"/>
      <c r="HO165" s="723"/>
      <c r="HP165" s="723"/>
      <c r="IU165" s="720">
        <f t="shared" si="23"/>
        <v>21.262500000000003</v>
      </c>
      <c r="IV165" s="720">
        <f t="shared" si="24"/>
        <v>33.615000000000002</v>
      </c>
      <c r="JY165" s="720">
        <v>0</v>
      </c>
      <c r="JZ165" s="787">
        <v>0</v>
      </c>
      <c r="KA165" s="720">
        <v>0</v>
      </c>
      <c r="KB165" s="720">
        <v>0</v>
      </c>
      <c r="KC165" s="720">
        <v>0</v>
      </c>
      <c r="KD165" s="720">
        <v>0</v>
      </c>
      <c r="KT165" s="720">
        <v>-2.5</v>
      </c>
      <c r="KU165" s="720">
        <v>-1</v>
      </c>
      <c r="KV165" s="720">
        <v>-3.13</v>
      </c>
      <c r="KW165" s="720">
        <v>-8.3800000000000008</v>
      </c>
    </row>
    <row r="166" spans="1:309">
      <c r="A166" s="634"/>
      <c r="DA166" s="723"/>
      <c r="DB166" s="723"/>
      <c r="DC166" s="723"/>
      <c r="DD166" s="723"/>
      <c r="DE166" s="723"/>
      <c r="DF166" s="723"/>
      <c r="DG166" s="723"/>
      <c r="DH166" s="723"/>
      <c r="DI166" s="723"/>
      <c r="DM166" s="723"/>
      <c r="DN166" s="723"/>
      <c r="DO166" s="723"/>
      <c r="DS166" s="723"/>
      <c r="DT166" s="723"/>
      <c r="DU166" s="723"/>
      <c r="DV166" s="723"/>
      <c r="DW166" s="723"/>
      <c r="DX166" s="723"/>
      <c r="DY166" s="723"/>
      <c r="DZ166" s="723"/>
      <c r="EA166" s="723"/>
      <c r="EB166" s="723"/>
      <c r="EC166" s="723"/>
      <c r="ED166" s="723"/>
      <c r="EE166" s="723"/>
      <c r="EF166" s="723"/>
      <c r="EG166" s="723"/>
      <c r="EQ166" s="723"/>
      <c r="ER166" s="723"/>
      <c r="ES166" s="723"/>
      <c r="ET166" s="722"/>
      <c r="EU166" s="722"/>
      <c r="EV166" s="722"/>
      <c r="GG166" s="723"/>
      <c r="GH166" s="723"/>
      <c r="GI166" s="723"/>
      <c r="GP166" s="728"/>
      <c r="GQ166" s="728"/>
      <c r="GR166" s="728"/>
      <c r="GS166" s="723"/>
      <c r="GT166" s="723"/>
      <c r="GU166" s="723"/>
      <c r="GV166" s="723"/>
      <c r="GW166" s="723"/>
      <c r="GX166" s="723"/>
      <c r="HN166" s="723"/>
      <c r="HO166" s="723"/>
      <c r="HP166" s="723"/>
      <c r="IU166" s="720">
        <f t="shared" si="23"/>
        <v>1267.2</v>
      </c>
      <c r="IV166" s="720">
        <f t="shared" si="24"/>
        <v>847.04987500000004</v>
      </c>
      <c r="JY166" s="720">
        <v>0</v>
      </c>
      <c r="JZ166" s="787">
        <v>0</v>
      </c>
      <c r="KA166" s="720">
        <v>0</v>
      </c>
      <c r="KB166" s="720">
        <v>0</v>
      </c>
      <c r="KC166" s="720">
        <v>0</v>
      </c>
      <c r="KD166" s="720">
        <v>0</v>
      </c>
      <c r="KT166" s="720">
        <v>1.67</v>
      </c>
      <c r="KU166" s="720">
        <v>0.33</v>
      </c>
      <c r="KV166" s="720">
        <v>-1.83</v>
      </c>
      <c r="KW166" s="720">
        <v>-0.92</v>
      </c>
    </row>
    <row r="167" spans="1:309">
      <c r="A167" s="634"/>
      <c r="DA167" s="723"/>
      <c r="DB167" s="723"/>
      <c r="DC167" s="723"/>
      <c r="DD167" s="723"/>
      <c r="DE167" s="723"/>
      <c r="DF167" s="723"/>
      <c r="DG167" s="723"/>
      <c r="DH167" s="723"/>
      <c r="DI167" s="723"/>
      <c r="DM167" s="723"/>
      <c r="DN167" s="723"/>
      <c r="DO167" s="723"/>
      <c r="DS167" s="723"/>
      <c r="DT167" s="723"/>
      <c r="DU167" s="723"/>
      <c r="DV167" s="723"/>
      <c r="DW167" s="723"/>
      <c r="DX167" s="723"/>
      <c r="DY167" s="723"/>
      <c r="DZ167" s="723"/>
      <c r="EA167" s="723"/>
      <c r="EB167" s="723"/>
      <c r="EC167" s="723"/>
      <c r="ED167" s="723"/>
      <c r="EE167" s="723"/>
      <c r="EF167" s="723"/>
      <c r="EG167" s="723"/>
      <c r="EQ167" s="723"/>
      <c r="ER167" s="723"/>
      <c r="ES167" s="723"/>
      <c r="ET167" s="722"/>
      <c r="EU167" s="722"/>
      <c r="EV167" s="722"/>
      <c r="GG167" s="723"/>
      <c r="GH167" s="723"/>
      <c r="GI167" s="723"/>
      <c r="GP167" s="728"/>
      <c r="GQ167" s="728"/>
      <c r="GR167" s="728"/>
      <c r="GS167" s="723"/>
      <c r="GT167" s="723"/>
      <c r="GU167" s="723"/>
      <c r="GV167" s="723"/>
      <c r="GW167" s="723"/>
      <c r="GX167" s="723"/>
      <c r="HN167" s="723"/>
      <c r="HO167" s="723"/>
      <c r="HP167" s="723"/>
      <c r="IU167" s="720">
        <f t="shared" si="23"/>
        <v>2997.7850000000003</v>
      </c>
      <c r="IV167" s="720">
        <f t="shared" si="24"/>
        <v>2087.1612500000001</v>
      </c>
      <c r="JY167" s="720">
        <v>0</v>
      </c>
      <c r="JZ167" s="787">
        <v>0</v>
      </c>
      <c r="KA167" s="720">
        <v>0</v>
      </c>
      <c r="KB167" s="720">
        <v>0</v>
      </c>
      <c r="KC167" s="720">
        <v>0</v>
      </c>
      <c r="KD167" s="720">
        <v>0</v>
      </c>
      <c r="KT167" s="720">
        <v>0.5</v>
      </c>
      <c r="KU167" s="720">
        <v>-2.88</v>
      </c>
      <c r="KV167" s="720">
        <v>-0.75</v>
      </c>
      <c r="KW167" s="720">
        <v>-5.75</v>
      </c>
    </row>
    <row r="168" spans="1:309">
      <c r="A168" s="634"/>
      <c r="DA168" s="723"/>
      <c r="DB168" s="723"/>
      <c r="DC168" s="723"/>
      <c r="DG168" s="723"/>
      <c r="DH168" s="723"/>
      <c r="DI168" s="723"/>
      <c r="DM168" s="723"/>
      <c r="DN168" s="723"/>
      <c r="DO168" s="723"/>
      <c r="DS168" s="723"/>
      <c r="DT168" s="723"/>
      <c r="DU168" s="723"/>
      <c r="DV168" s="723"/>
      <c r="DW168" s="723"/>
      <c r="DX168" s="723"/>
      <c r="DY168" s="723"/>
      <c r="DZ168" s="723"/>
      <c r="EA168" s="723"/>
      <c r="EB168" s="723"/>
      <c r="EC168" s="723"/>
      <c r="ED168" s="723"/>
      <c r="EE168" s="723"/>
      <c r="EF168" s="723"/>
      <c r="EG168" s="723"/>
      <c r="EQ168" s="723"/>
      <c r="ER168" s="723"/>
      <c r="ES168" s="723"/>
      <c r="ET168" s="722"/>
      <c r="EU168" s="722"/>
      <c r="EV168" s="722"/>
      <c r="GG168" s="723"/>
      <c r="GH168" s="723"/>
      <c r="GI168" s="723"/>
      <c r="GP168" s="728"/>
      <c r="GQ168" s="728"/>
      <c r="GR168" s="728"/>
      <c r="GS168" s="723"/>
      <c r="GT168" s="723"/>
      <c r="GU168" s="723"/>
      <c r="GV168" s="723"/>
      <c r="GW168" s="723"/>
      <c r="GX168" s="723"/>
      <c r="HN168" s="723"/>
      <c r="HO168" s="723"/>
      <c r="HP168" s="723"/>
      <c r="IU168" s="720">
        <f t="shared" si="23"/>
        <v>1812.0749999999998</v>
      </c>
      <c r="IV168" s="720">
        <f t="shared" si="24"/>
        <v>2900.3233749999999</v>
      </c>
      <c r="JY168" s="720">
        <v>-0.19</v>
      </c>
      <c r="JZ168" s="787">
        <v>-0.43180000000000002</v>
      </c>
      <c r="KA168" s="720">
        <v>0</v>
      </c>
      <c r="KB168" s="720">
        <v>0</v>
      </c>
      <c r="KC168" s="720">
        <v>0</v>
      </c>
      <c r="KD168" s="720">
        <v>0</v>
      </c>
      <c r="KT168" s="720">
        <v>0.38</v>
      </c>
      <c r="KU168" s="720">
        <v>3.13</v>
      </c>
      <c r="KV168" s="720">
        <v>-2.5</v>
      </c>
      <c r="KW168" s="720">
        <v>-3.5</v>
      </c>
    </row>
    <row r="169" spans="1:309">
      <c r="A169" s="634"/>
      <c r="DA169" s="723"/>
      <c r="DB169" s="723"/>
      <c r="DC169" s="723"/>
      <c r="DG169" s="723"/>
      <c r="DH169" s="723"/>
      <c r="DI169" s="723"/>
      <c r="DM169" s="723"/>
      <c r="DN169" s="723"/>
      <c r="DO169" s="723"/>
      <c r="DS169" s="723"/>
      <c r="DT169" s="723"/>
      <c r="DU169" s="723"/>
      <c r="DV169" s="723"/>
      <c r="DW169" s="723"/>
      <c r="DX169" s="723"/>
      <c r="DY169" s="723"/>
      <c r="DZ169" s="723"/>
      <c r="EA169" s="723"/>
      <c r="EB169" s="723"/>
      <c r="EC169" s="723"/>
      <c r="ED169" s="723"/>
      <c r="EE169" s="723"/>
      <c r="EF169" s="723"/>
      <c r="EG169" s="723"/>
      <c r="EQ169" s="723"/>
      <c r="ER169" s="723"/>
      <c r="ES169" s="723"/>
      <c r="ET169" s="722"/>
      <c r="EU169" s="722"/>
      <c r="EV169" s="722"/>
      <c r="GG169" s="723"/>
      <c r="GH169" s="723"/>
      <c r="GI169" s="723"/>
      <c r="GP169" s="728"/>
      <c r="GQ169" s="728"/>
      <c r="GR169" s="728"/>
      <c r="GS169" s="723"/>
      <c r="GT169" s="723"/>
      <c r="GU169" s="723"/>
      <c r="GV169" s="723"/>
      <c r="GW169" s="723"/>
      <c r="GX169" s="723"/>
      <c r="HN169" s="723"/>
      <c r="HO169" s="723"/>
      <c r="HP169" s="723"/>
      <c r="IU169" s="720">
        <f t="shared" si="23"/>
        <v>6425.44</v>
      </c>
      <c r="IV169" s="720">
        <f t="shared" si="24"/>
        <v>2647.2945</v>
      </c>
      <c r="JY169" s="720">
        <v>0</v>
      </c>
      <c r="JZ169" s="787">
        <v>0</v>
      </c>
      <c r="KA169" s="720">
        <v>0</v>
      </c>
      <c r="KB169" s="720">
        <v>0</v>
      </c>
      <c r="KC169" s="720">
        <v>0</v>
      </c>
      <c r="KD169" s="720">
        <v>0</v>
      </c>
      <c r="KT169" s="720">
        <v>-0.38</v>
      </c>
      <c r="KU169" s="720">
        <v>-0.88</v>
      </c>
      <c r="KV169" s="720">
        <v>-0.88</v>
      </c>
      <c r="KW169" s="720">
        <v>-4.38</v>
      </c>
    </row>
    <row r="170" spans="1:309">
      <c r="A170" s="634"/>
      <c r="DA170" s="723"/>
      <c r="DB170" s="723"/>
      <c r="DC170" s="723"/>
      <c r="DG170" s="723"/>
      <c r="DH170" s="723"/>
      <c r="DI170" s="723"/>
      <c r="DM170" s="723"/>
      <c r="DN170" s="723"/>
      <c r="DO170" s="723"/>
      <c r="DS170" s="723"/>
      <c r="DT170" s="723"/>
      <c r="DU170" s="723"/>
      <c r="DV170" s="723"/>
      <c r="DW170" s="723"/>
      <c r="DX170" s="723"/>
      <c r="DY170" s="723"/>
      <c r="DZ170" s="723"/>
      <c r="EA170" s="723"/>
      <c r="EB170" s="723"/>
      <c r="EC170" s="723"/>
      <c r="ED170" s="723"/>
      <c r="EE170" s="723"/>
      <c r="EF170" s="723"/>
      <c r="EG170" s="723"/>
      <c r="EQ170" s="723"/>
      <c r="ER170" s="723"/>
      <c r="ES170" s="723"/>
      <c r="ET170" s="722"/>
      <c r="EU170" s="722"/>
      <c r="EV170" s="722"/>
      <c r="GG170" s="723"/>
      <c r="GH170" s="723"/>
      <c r="GI170" s="723"/>
      <c r="GP170" s="728"/>
      <c r="GQ170" s="728"/>
      <c r="GR170" s="728"/>
      <c r="GS170" s="723"/>
      <c r="GT170" s="723"/>
      <c r="GU170" s="723"/>
      <c r="GV170" s="723"/>
      <c r="GW170" s="723"/>
      <c r="GX170" s="723"/>
      <c r="HN170" s="723"/>
      <c r="HO170" s="723"/>
      <c r="HP170" s="723"/>
      <c r="IU170" s="720">
        <f t="shared" si="23"/>
        <v>1822.3731249999998</v>
      </c>
      <c r="IV170" s="720">
        <f t="shared" si="24"/>
        <v>1336.163125</v>
      </c>
      <c r="JY170" s="720">
        <v>0</v>
      </c>
      <c r="JZ170" s="787">
        <v>0</v>
      </c>
      <c r="KA170" s="720">
        <v>0</v>
      </c>
      <c r="KB170" s="720">
        <v>0</v>
      </c>
      <c r="KC170" s="720">
        <v>0</v>
      </c>
      <c r="KD170" s="720">
        <v>0</v>
      </c>
      <c r="KT170" s="720">
        <v>0.38</v>
      </c>
      <c r="KU170" s="720">
        <v>1</v>
      </c>
      <c r="KV170" s="720">
        <v>-3.5</v>
      </c>
      <c r="KW170" s="720">
        <v>-7.63</v>
      </c>
    </row>
    <row r="171" spans="1:309">
      <c r="A171" s="634"/>
      <c r="DA171" s="723"/>
      <c r="DB171" s="723"/>
      <c r="DC171" s="723"/>
      <c r="DG171" s="723"/>
      <c r="DH171" s="723"/>
      <c r="DI171" s="723"/>
      <c r="DM171" s="723"/>
      <c r="DN171" s="723"/>
      <c r="DO171" s="723"/>
      <c r="DS171" s="723"/>
      <c r="DT171" s="723"/>
      <c r="DU171" s="723"/>
      <c r="DV171" s="723"/>
      <c r="DW171" s="723"/>
      <c r="DX171" s="723"/>
      <c r="DY171" s="723"/>
      <c r="DZ171" s="723"/>
      <c r="EA171" s="723"/>
      <c r="EB171" s="723"/>
      <c r="EC171" s="723"/>
      <c r="ED171" s="723"/>
      <c r="EE171" s="723"/>
      <c r="EF171" s="723"/>
      <c r="EG171" s="723"/>
      <c r="EQ171" s="723"/>
      <c r="ER171" s="723"/>
      <c r="ES171" s="723"/>
      <c r="ET171" s="722"/>
      <c r="EU171" s="722"/>
      <c r="EV171" s="722"/>
      <c r="GG171" s="723"/>
      <c r="GH171" s="723"/>
      <c r="GI171" s="723"/>
      <c r="GP171" s="728"/>
      <c r="GQ171" s="728"/>
      <c r="GR171" s="728"/>
      <c r="GS171" s="723"/>
      <c r="GT171" s="723"/>
      <c r="GU171" s="723"/>
      <c r="GV171" s="723"/>
      <c r="GW171" s="723"/>
      <c r="GX171" s="723"/>
      <c r="HN171" s="723"/>
      <c r="HO171" s="723"/>
      <c r="HP171" s="723"/>
      <c r="IU171" s="720">
        <f t="shared" si="23"/>
        <v>471.32249999999999</v>
      </c>
      <c r="IV171" s="720">
        <f t="shared" si="24"/>
        <v>363.34999999999997</v>
      </c>
      <c r="JY171" s="720">
        <v>0</v>
      </c>
      <c r="JZ171" s="787">
        <v>0</v>
      </c>
      <c r="KA171" s="720">
        <v>0</v>
      </c>
      <c r="KB171" s="720">
        <v>0</v>
      </c>
      <c r="KC171" s="720">
        <v>9.9999999999999898E-3</v>
      </c>
      <c r="KD171" s="720">
        <v>2.27272727272727E-2</v>
      </c>
      <c r="KT171" s="720">
        <v>0.81</v>
      </c>
      <c r="KU171" s="720">
        <v>-1.1299999999999999</v>
      </c>
      <c r="KV171" s="720">
        <v>-0.25</v>
      </c>
      <c r="KW171" s="720">
        <v>-1.56</v>
      </c>
    </row>
    <row r="172" spans="1:309">
      <c r="A172" s="634"/>
      <c r="DA172" s="723"/>
      <c r="DB172" s="723"/>
      <c r="DC172" s="723"/>
      <c r="DG172" s="723"/>
      <c r="DH172" s="723"/>
      <c r="DI172" s="723"/>
      <c r="DM172" s="723"/>
      <c r="DN172" s="723"/>
      <c r="DO172" s="723"/>
      <c r="DS172" s="723"/>
      <c r="DT172" s="723"/>
      <c r="DU172" s="723"/>
      <c r="DV172" s="723"/>
      <c r="DW172" s="723"/>
      <c r="DX172" s="723"/>
      <c r="DY172" s="723"/>
      <c r="DZ172" s="723"/>
      <c r="EA172" s="723"/>
      <c r="EB172" s="723"/>
      <c r="EC172" s="723"/>
      <c r="ED172" s="723"/>
      <c r="EE172" s="723"/>
      <c r="EF172" s="723"/>
      <c r="EG172" s="723"/>
      <c r="EQ172" s="723"/>
      <c r="ER172" s="723"/>
      <c r="ES172" s="723"/>
      <c r="ET172" s="722"/>
      <c r="EU172" s="722"/>
      <c r="EV172" s="722"/>
      <c r="GG172" s="723"/>
      <c r="GH172" s="723"/>
      <c r="GI172" s="723"/>
      <c r="GP172" s="728"/>
      <c r="GQ172" s="728"/>
      <c r="GR172" s="728"/>
      <c r="GS172" s="723"/>
      <c r="GT172" s="723"/>
      <c r="GU172" s="723"/>
      <c r="GV172" s="723"/>
      <c r="GW172" s="723"/>
      <c r="GX172" s="723"/>
      <c r="HN172" s="723"/>
      <c r="HO172" s="723"/>
      <c r="HP172" s="723"/>
      <c r="IU172" s="720">
        <f t="shared" si="23"/>
        <v>0</v>
      </c>
      <c r="IV172" s="720">
        <f t="shared" si="24"/>
        <v>0</v>
      </c>
      <c r="KT172" s="720">
        <v>2.31</v>
      </c>
      <c r="KU172" s="720">
        <v>-0.25</v>
      </c>
      <c r="KV172" s="720">
        <v>-1.25</v>
      </c>
      <c r="KW172" s="720">
        <v>-1.44</v>
      </c>
    </row>
    <row r="173" spans="1:309">
      <c r="A173" s="634"/>
      <c r="DA173" s="723"/>
      <c r="DB173" s="723"/>
      <c r="DC173" s="723"/>
      <c r="DG173" s="723"/>
      <c r="DH173" s="723"/>
      <c r="DI173" s="723"/>
      <c r="DM173" s="723"/>
      <c r="DN173" s="723"/>
      <c r="DO173" s="723"/>
      <c r="DS173" s="723"/>
      <c r="DT173" s="723"/>
      <c r="DU173" s="723"/>
      <c r="DV173" s="723"/>
      <c r="DW173" s="723"/>
      <c r="DX173" s="723"/>
      <c r="DY173" s="723"/>
      <c r="DZ173" s="723"/>
      <c r="EA173" s="723"/>
      <c r="EB173" s="723"/>
      <c r="EC173" s="723"/>
      <c r="ED173" s="723"/>
      <c r="EE173" s="723"/>
      <c r="EF173" s="723"/>
      <c r="EG173" s="723"/>
      <c r="EQ173" s="723"/>
      <c r="ER173" s="723"/>
      <c r="ES173" s="723"/>
      <c r="ET173" s="722"/>
      <c r="EU173" s="722"/>
      <c r="EV173" s="722"/>
      <c r="GG173" s="723"/>
      <c r="GH173" s="723"/>
      <c r="GI173" s="723"/>
      <c r="GP173" s="728"/>
      <c r="GQ173" s="728"/>
      <c r="GR173" s="728"/>
      <c r="GS173" s="723"/>
      <c r="GT173" s="723"/>
      <c r="GU173" s="723"/>
      <c r="GV173" s="723"/>
      <c r="GW173" s="723"/>
      <c r="GX173" s="723"/>
      <c r="HN173" s="723"/>
      <c r="HO173" s="723"/>
      <c r="HP173" s="723"/>
      <c r="IU173" s="720">
        <f t="shared" si="23"/>
        <v>4126.2540000000008</v>
      </c>
      <c r="IV173" s="720">
        <f t="shared" si="24"/>
        <v>2891.9900000000002</v>
      </c>
      <c r="JY173" s="720">
        <v>0</v>
      </c>
      <c r="JZ173" s="787">
        <v>0</v>
      </c>
      <c r="KA173" s="720">
        <v>0</v>
      </c>
      <c r="KB173" s="720">
        <v>0</v>
      </c>
      <c r="KC173" s="720">
        <v>0</v>
      </c>
      <c r="KD173" s="720">
        <v>0</v>
      </c>
      <c r="KT173" s="720">
        <v>1</v>
      </c>
      <c r="KU173" s="720">
        <v>-2.13</v>
      </c>
      <c r="KV173" s="720">
        <v>-4.25</v>
      </c>
      <c r="KW173" s="720">
        <v>-7.5</v>
      </c>
    </row>
    <row r="174" spans="1:309">
      <c r="A174" s="634"/>
      <c r="DA174" s="723"/>
      <c r="DB174" s="723"/>
      <c r="DC174" s="723"/>
      <c r="DG174" s="723"/>
      <c r="DH174" s="723"/>
      <c r="DI174" s="723"/>
      <c r="DM174" s="723"/>
      <c r="DN174" s="723"/>
      <c r="DO174" s="723"/>
      <c r="DS174" s="723"/>
      <c r="DT174" s="723"/>
      <c r="DU174" s="723"/>
      <c r="DV174" s="723"/>
      <c r="DW174" s="723"/>
      <c r="DX174" s="723"/>
      <c r="DY174" s="723"/>
      <c r="DZ174" s="723"/>
      <c r="EA174" s="723"/>
      <c r="EB174" s="723"/>
      <c r="EC174" s="723"/>
      <c r="ED174" s="723"/>
      <c r="EE174" s="723"/>
      <c r="EF174" s="723"/>
      <c r="EG174" s="723"/>
      <c r="EQ174" s="723"/>
      <c r="ER174" s="723"/>
      <c r="ES174" s="723"/>
      <c r="ET174" s="722"/>
      <c r="EU174" s="722"/>
      <c r="EV174" s="722"/>
      <c r="GG174" s="723"/>
      <c r="GH174" s="723"/>
      <c r="GI174" s="723"/>
      <c r="GP174" s="728"/>
      <c r="GQ174" s="728"/>
      <c r="GR174" s="728"/>
      <c r="GS174" s="723"/>
      <c r="GT174" s="723"/>
      <c r="GU174" s="723"/>
      <c r="GV174" s="723"/>
      <c r="GW174" s="723"/>
      <c r="GX174" s="723"/>
      <c r="HN174" s="723"/>
      <c r="HO174" s="723"/>
      <c r="HP174" s="723"/>
      <c r="IU174" s="720">
        <f t="shared" si="23"/>
        <v>3083.50875</v>
      </c>
      <c r="IV174" s="720">
        <f t="shared" si="24"/>
        <v>1712.7130000000002</v>
      </c>
      <c r="JY174" s="720">
        <v>0</v>
      </c>
      <c r="JZ174" s="787">
        <v>0</v>
      </c>
      <c r="KA174" s="720">
        <v>0</v>
      </c>
      <c r="KB174" s="720">
        <v>0</v>
      </c>
      <c r="KC174" s="720">
        <v>0</v>
      </c>
      <c r="KD174" s="720">
        <v>0</v>
      </c>
      <c r="KT174" s="720">
        <v>1.75</v>
      </c>
      <c r="KU174" s="720">
        <v>-0.5</v>
      </c>
      <c r="KV174" s="720">
        <v>-2.38</v>
      </c>
      <c r="KW174" s="720">
        <v>-4.13</v>
      </c>
    </row>
    <row r="175" spans="1:309">
      <c r="A175" s="634"/>
      <c r="DA175" s="723"/>
      <c r="DB175" s="723"/>
      <c r="DC175" s="723"/>
      <c r="DG175" s="723"/>
      <c r="DH175" s="723"/>
      <c r="DI175" s="723"/>
      <c r="DM175" s="723"/>
      <c r="DN175" s="723"/>
      <c r="DO175" s="723"/>
      <c r="DS175" s="723"/>
      <c r="DT175" s="723"/>
      <c r="DU175" s="723"/>
      <c r="DV175" s="723"/>
      <c r="DW175" s="723"/>
      <c r="DX175" s="723"/>
      <c r="DY175" s="723"/>
      <c r="DZ175" s="723"/>
      <c r="EA175" s="723"/>
      <c r="EB175" s="723"/>
      <c r="EC175" s="723"/>
      <c r="ED175" s="723"/>
      <c r="EE175" s="723"/>
      <c r="EF175" s="723"/>
      <c r="EG175" s="723"/>
      <c r="EQ175" s="723"/>
      <c r="ER175" s="723"/>
      <c r="ES175" s="723"/>
      <c r="ET175" s="722"/>
      <c r="EU175" s="722"/>
      <c r="EV175" s="722"/>
      <c r="GG175" s="723"/>
      <c r="GH175" s="723"/>
      <c r="GI175" s="723"/>
      <c r="GP175" s="728"/>
      <c r="GQ175" s="728"/>
      <c r="GR175" s="728"/>
      <c r="GS175" s="723"/>
      <c r="GT175" s="723"/>
      <c r="GU175" s="723"/>
      <c r="GV175" s="723"/>
      <c r="GW175" s="723"/>
      <c r="GX175" s="723"/>
      <c r="HN175" s="723"/>
      <c r="HO175" s="723"/>
      <c r="HP175" s="723"/>
      <c r="IU175" s="720">
        <f t="shared" si="23"/>
        <v>19242.875</v>
      </c>
      <c r="IV175" s="720">
        <f t="shared" si="24"/>
        <v>965.2912500000001</v>
      </c>
      <c r="JY175" s="720">
        <v>0</v>
      </c>
      <c r="JZ175" s="787">
        <v>0</v>
      </c>
      <c r="KA175" s="720">
        <v>0</v>
      </c>
      <c r="KB175" s="720">
        <v>0</v>
      </c>
      <c r="KC175" s="720">
        <v>0.02</v>
      </c>
      <c r="KD175" s="720">
        <v>6.6666666666666596E-2</v>
      </c>
      <c r="KT175" s="720">
        <v>0.42</v>
      </c>
      <c r="KU175" s="720">
        <v>-0.42</v>
      </c>
      <c r="KV175" s="720">
        <v>-1.08</v>
      </c>
      <c r="KW175" s="720">
        <v>-3.25</v>
      </c>
    </row>
    <row r="176" spans="1:309">
      <c r="A176" s="634"/>
      <c r="DA176" s="723"/>
      <c r="DB176" s="723"/>
      <c r="DC176" s="723"/>
      <c r="DG176" s="723"/>
      <c r="DH176" s="723"/>
      <c r="DI176" s="723"/>
      <c r="DM176" s="723"/>
      <c r="DN176" s="723"/>
      <c r="DO176" s="723"/>
      <c r="DS176" s="723"/>
      <c r="DT176" s="723"/>
      <c r="DU176" s="723"/>
      <c r="DV176" s="723"/>
      <c r="DW176" s="723"/>
      <c r="DX176" s="723"/>
      <c r="DY176" s="723"/>
      <c r="DZ176" s="723"/>
      <c r="EA176" s="723"/>
      <c r="EB176" s="723"/>
      <c r="EC176" s="723"/>
      <c r="ED176" s="723"/>
      <c r="EE176" s="723"/>
      <c r="EF176" s="723"/>
      <c r="EG176" s="723"/>
      <c r="EQ176" s="723"/>
      <c r="ER176" s="723"/>
      <c r="ES176" s="723"/>
      <c r="ET176" s="722"/>
      <c r="EU176" s="722"/>
      <c r="EV176" s="722"/>
      <c r="GG176" s="723"/>
      <c r="GH176" s="723"/>
      <c r="GI176" s="723"/>
      <c r="GP176" s="728"/>
      <c r="GQ176" s="728"/>
      <c r="GR176" s="728"/>
      <c r="GS176" s="723"/>
      <c r="GT176" s="723"/>
      <c r="GU176" s="723"/>
      <c r="GV176" s="723"/>
      <c r="GW176" s="723"/>
      <c r="GX176" s="723"/>
      <c r="HN176" s="723"/>
      <c r="HO176" s="723"/>
      <c r="HP176" s="723"/>
      <c r="IU176" s="720">
        <f t="shared" si="23"/>
        <v>2748.1824999999999</v>
      </c>
      <c r="IV176" s="720">
        <f t="shared" si="24"/>
        <v>2154.4503749999999</v>
      </c>
      <c r="JY176" s="720">
        <v>0</v>
      </c>
      <c r="JZ176" s="787">
        <v>0</v>
      </c>
      <c r="KA176" s="720">
        <v>0</v>
      </c>
      <c r="KB176" s="720">
        <v>0</v>
      </c>
      <c r="KC176" s="720">
        <v>0</v>
      </c>
      <c r="KD176" s="720">
        <v>0</v>
      </c>
      <c r="KT176" s="720">
        <v>0.63</v>
      </c>
      <c r="KU176" s="720">
        <v>0.75</v>
      </c>
      <c r="KV176" s="720">
        <v>-1.75</v>
      </c>
      <c r="KW176" s="720">
        <v>-3.88</v>
      </c>
    </row>
    <row r="177" spans="1:309">
      <c r="A177" s="634"/>
      <c r="DA177" s="723"/>
      <c r="DB177" s="723"/>
      <c r="DC177" s="723"/>
      <c r="DG177" s="723"/>
      <c r="DH177" s="723"/>
      <c r="DI177" s="723"/>
      <c r="DM177" s="723"/>
      <c r="DN177" s="723"/>
      <c r="DO177" s="723"/>
      <c r="DS177" s="723"/>
      <c r="DT177" s="723"/>
      <c r="DU177" s="723"/>
      <c r="DV177" s="723"/>
      <c r="DW177" s="723"/>
      <c r="DX177" s="723"/>
      <c r="DY177" s="723"/>
      <c r="DZ177" s="723"/>
      <c r="EA177" s="723"/>
      <c r="EB177" s="723"/>
      <c r="EC177" s="723"/>
      <c r="ED177" s="723"/>
      <c r="EE177" s="723"/>
      <c r="EF177" s="723"/>
      <c r="EG177" s="723"/>
      <c r="EQ177" s="723"/>
      <c r="ER177" s="723"/>
      <c r="ES177" s="723"/>
      <c r="ET177" s="722"/>
      <c r="EU177" s="722"/>
      <c r="EV177" s="722"/>
      <c r="GG177" s="723"/>
      <c r="GH177" s="723"/>
      <c r="GI177" s="723"/>
      <c r="GP177" s="728"/>
      <c r="GQ177" s="728"/>
      <c r="GR177" s="728"/>
      <c r="GS177" s="723"/>
      <c r="GT177" s="723"/>
      <c r="GU177" s="723"/>
      <c r="GV177" s="723"/>
      <c r="GW177" s="723"/>
      <c r="GX177" s="723"/>
      <c r="HN177" s="723"/>
      <c r="HO177" s="723"/>
      <c r="HP177" s="723"/>
      <c r="IU177" s="720">
        <f t="shared" si="23"/>
        <v>1950.165</v>
      </c>
      <c r="IV177" s="720">
        <f t="shared" si="24"/>
        <v>1280.533625</v>
      </c>
      <c r="JY177" s="720">
        <v>0</v>
      </c>
      <c r="JZ177" s="787">
        <v>0</v>
      </c>
      <c r="KA177" s="720">
        <v>0</v>
      </c>
      <c r="KB177" s="720">
        <v>0</v>
      </c>
      <c r="KC177" s="720">
        <v>0</v>
      </c>
      <c r="KD177" s="720">
        <v>0</v>
      </c>
      <c r="KT177" s="720">
        <v>-1.25</v>
      </c>
      <c r="KU177" s="720">
        <v>0.88</v>
      </c>
      <c r="KV177" s="720">
        <v>-3.63</v>
      </c>
      <c r="KW177" s="720">
        <v>-9.3800000000000008</v>
      </c>
    </row>
    <row r="178" spans="1:309">
      <c r="A178" s="634"/>
      <c r="DA178" s="723"/>
      <c r="DB178" s="723"/>
      <c r="DC178" s="723"/>
      <c r="DG178" s="723"/>
      <c r="DH178" s="723"/>
      <c r="DI178" s="723"/>
      <c r="DM178" s="723"/>
      <c r="DN178" s="723"/>
      <c r="DO178" s="723"/>
      <c r="DS178" s="723"/>
      <c r="DT178" s="723"/>
      <c r="DU178" s="723"/>
      <c r="DV178" s="723"/>
      <c r="DW178" s="723"/>
      <c r="DX178" s="723"/>
      <c r="DY178" s="723"/>
      <c r="DZ178" s="723"/>
      <c r="EA178" s="723"/>
      <c r="EB178" s="723"/>
      <c r="EC178" s="723"/>
      <c r="ED178" s="723"/>
      <c r="EE178" s="723"/>
      <c r="EF178" s="723"/>
      <c r="EG178" s="723"/>
      <c r="EQ178" s="723"/>
      <c r="ER178" s="723"/>
      <c r="ES178" s="723"/>
      <c r="ET178" s="722"/>
      <c r="EU178" s="722"/>
      <c r="EV178" s="722"/>
      <c r="GG178" s="723"/>
      <c r="GH178" s="723"/>
      <c r="GI178" s="723"/>
      <c r="GP178" s="728"/>
      <c r="GQ178" s="728"/>
      <c r="GR178" s="728"/>
      <c r="GS178" s="723"/>
      <c r="GT178" s="723"/>
      <c r="GU178" s="723"/>
      <c r="GV178" s="723"/>
      <c r="GW178" s="723"/>
      <c r="GX178" s="723"/>
      <c r="HN178" s="723"/>
      <c r="HO178" s="723"/>
      <c r="HP178" s="723"/>
      <c r="IU178" s="720">
        <f t="shared" si="23"/>
        <v>7860.48</v>
      </c>
      <c r="IV178" s="720">
        <f t="shared" si="24"/>
        <v>6549.060375</v>
      </c>
      <c r="JY178" s="720">
        <v>0</v>
      </c>
      <c r="JZ178" s="787">
        <v>0</v>
      </c>
      <c r="KA178" s="720">
        <v>0</v>
      </c>
      <c r="KB178" s="720">
        <v>0</v>
      </c>
      <c r="KC178" s="720">
        <v>0</v>
      </c>
      <c r="KD178" s="720">
        <v>0</v>
      </c>
      <c r="KT178" s="720">
        <v>-0.88</v>
      </c>
      <c r="KU178" s="720">
        <v>3.25</v>
      </c>
      <c r="KV178" s="720">
        <v>-0.38</v>
      </c>
      <c r="KW178" s="720">
        <v>-4.25</v>
      </c>
    </row>
    <row r="179" spans="1:309">
      <c r="A179" s="634"/>
      <c r="DA179" s="723"/>
      <c r="DB179" s="723"/>
      <c r="DC179" s="723"/>
      <c r="DG179" s="723"/>
      <c r="DH179" s="723"/>
      <c r="DI179" s="723"/>
      <c r="DM179" s="723"/>
      <c r="DN179" s="723"/>
      <c r="DO179" s="723"/>
      <c r="DS179" s="723"/>
      <c r="DT179" s="723"/>
      <c r="DU179" s="723"/>
      <c r="DV179" s="723"/>
      <c r="DW179" s="723"/>
      <c r="DX179" s="723"/>
      <c r="DY179" s="723"/>
      <c r="DZ179" s="723"/>
      <c r="EA179" s="723"/>
      <c r="EB179" s="723"/>
      <c r="EC179" s="723"/>
      <c r="ED179" s="723"/>
      <c r="EE179" s="723"/>
      <c r="EF179" s="723"/>
      <c r="EG179" s="723"/>
      <c r="EQ179" s="723"/>
      <c r="ER179" s="723"/>
      <c r="ES179" s="723"/>
      <c r="ET179" s="722"/>
      <c r="EU179" s="722"/>
      <c r="EV179" s="722"/>
      <c r="GG179" s="723"/>
      <c r="GH179" s="723"/>
      <c r="GI179" s="723"/>
      <c r="GP179" s="728"/>
      <c r="GQ179" s="728"/>
      <c r="GR179" s="728"/>
      <c r="GS179" s="723"/>
      <c r="GT179" s="723"/>
      <c r="GU179" s="723"/>
      <c r="GV179" s="723"/>
      <c r="GW179" s="723"/>
      <c r="GX179" s="723"/>
      <c r="HN179" s="723"/>
      <c r="HO179" s="723"/>
      <c r="HP179" s="723"/>
      <c r="IU179" s="720">
        <f t="shared" si="23"/>
        <v>16267.336799999999</v>
      </c>
      <c r="IV179" s="720">
        <f t="shared" si="24"/>
        <v>12872</v>
      </c>
      <c r="JY179" s="720">
        <v>0</v>
      </c>
      <c r="JZ179" s="787">
        <v>0</v>
      </c>
      <c r="KA179" s="720">
        <v>0</v>
      </c>
      <c r="KB179" s="720">
        <v>0</v>
      </c>
      <c r="KC179" s="720">
        <v>9.9999999999999898E-3</v>
      </c>
      <c r="KD179" s="720">
        <v>3.2786885245901599E-2</v>
      </c>
      <c r="KT179" s="720">
        <v>1.75</v>
      </c>
      <c r="KU179" s="720">
        <v>-2</v>
      </c>
      <c r="KV179" s="720">
        <v>0.75</v>
      </c>
      <c r="KW179" s="720">
        <v>1.5</v>
      </c>
    </row>
    <row r="180" spans="1:309">
      <c r="A180" s="634"/>
      <c r="DA180" s="723"/>
      <c r="DB180" s="723"/>
      <c r="DC180" s="723"/>
      <c r="DG180" s="723"/>
      <c r="DH180" s="723"/>
      <c r="DI180" s="723"/>
      <c r="DM180" s="723"/>
      <c r="DN180" s="723"/>
      <c r="DO180" s="723"/>
      <c r="DS180" s="723"/>
      <c r="DT180" s="723"/>
      <c r="DU180" s="723"/>
      <c r="DV180" s="723"/>
      <c r="DW180" s="723"/>
      <c r="DX180" s="723"/>
      <c r="DY180" s="723"/>
      <c r="DZ180" s="723"/>
      <c r="EA180" s="723"/>
      <c r="EB180" s="723"/>
      <c r="EC180" s="723"/>
      <c r="ED180" s="723"/>
      <c r="EE180" s="723"/>
      <c r="EF180" s="723"/>
      <c r="EG180" s="723"/>
      <c r="EQ180" s="723"/>
      <c r="ER180" s="723"/>
      <c r="ES180" s="723"/>
      <c r="ET180" s="722"/>
      <c r="EU180" s="722"/>
      <c r="EV180" s="722"/>
      <c r="GG180" s="723"/>
      <c r="GH180" s="723"/>
      <c r="GI180" s="723"/>
      <c r="GP180" s="728"/>
      <c r="GQ180" s="728"/>
      <c r="GR180" s="728"/>
      <c r="GS180" s="723"/>
      <c r="GT180" s="723"/>
      <c r="GU180" s="723"/>
      <c r="GV180" s="723"/>
      <c r="GW180" s="723"/>
      <c r="GX180" s="723"/>
      <c r="HN180" s="723"/>
      <c r="HO180" s="723"/>
      <c r="HP180" s="723"/>
      <c r="IU180" s="720">
        <f t="shared" si="23"/>
        <v>0</v>
      </c>
      <c r="IV180" s="720">
        <f t="shared" si="24"/>
        <v>1084.327</v>
      </c>
      <c r="JY180" s="720">
        <v>0</v>
      </c>
      <c r="JZ180" s="787">
        <v>0</v>
      </c>
      <c r="KA180" s="720">
        <v>0</v>
      </c>
      <c r="KB180" s="720">
        <v>0</v>
      </c>
      <c r="KC180" s="720">
        <v>0</v>
      </c>
      <c r="KD180" s="720">
        <v>0</v>
      </c>
      <c r="KT180" s="720">
        <v>-0.38</v>
      </c>
      <c r="KU180" s="720">
        <v>-0.75</v>
      </c>
      <c r="KV180" s="720">
        <v>-1.5</v>
      </c>
      <c r="KW180" s="720">
        <v>-6</v>
      </c>
    </row>
    <row r="181" spans="1:309">
      <c r="A181" s="634"/>
      <c r="DA181" s="723"/>
      <c r="DB181" s="723"/>
      <c r="DC181" s="723"/>
      <c r="DG181" s="723"/>
      <c r="DH181" s="723"/>
      <c r="DI181" s="723"/>
      <c r="DM181" s="723"/>
      <c r="DN181" s="723"/>
      <c r="DO181" s="723"/>
      <c r="DS181" s="723"/>
      <c r="DT181" s="723"/>
      <c r="DU181" s="723"/>
      <c r="DV181" s="723"/>
      <c r="DW181" s="723"/>
      <c r="DX181" s="723"/>
      <c r="DY181" s="723"/>
      <c r="DZ181" s="723"/>
      <c r="EA181" s="723"/>
      <c r="EB181" s="723"/>
      <c r="EC181" s="723"/>
      <c r="ED181" s="723"/>
      <c r="EE181" s="723"/>
      <c r="EF181" s="723"/>
      <c r="EG181" s="723"/>
      <c r="EQ181" s="723"/>
      <c r="ER181" s="723"/>
      <c r="ES181" s="723"/>
      <c r="ET181" s="722"/>
      <c r="EU181" s="722"/>
      <c r="EV181" s="722"/>
      <c r="GG181" s="723"/>
      <c r="GH181" s="723"/>
      <c r="GI181" s="723"/>
      <c r="GP181" s="728"/>
      <c r="GQ181" s="728"/>
      <c r="GR181" s="728"/>
      <c r="GS181" s="723"/>
      <c r="GT181" s="723"/>
      <c r="GU181" s="723"/>
      <c r="GV181" s="723"/>
      <c r="GW181" s="723"/>
      <c r="GX181" s="723"/>
      <c r="HN181" s="723"/>
      <c r="HO181" s="723"/>
      <c r="HP181" s="723"/>
      <c r="IU181" s="720">
        <f t="shared" si="23"/>
        <v>2619.5250000000001</v>
      </c>
      <c r="IV181" s="720">
        <f t="shared" si="24"/>
        <v>2337.8219999999997</v>
      </c>
      <c r="JY181" s="720">
        <v>0</v>
      </c>
      <c r="JZ181" s="787">
        <v>0</v>
      </c>
      <c r="KA181" s="720">
        <v>1.4999999999999999E-2</v>
      </c>
      <c r="KB181" s="720">
        <v>-5.3571428571428499E-2</v>
      </c>
      <c r="KC181" s="720">
        <v>0</v>
      </c>
      <c r="KD181" s="720">
        <v>0</v>
      </c>
      <c r="KT181" s="720">
        <v>-8</v>
      </c>
      <c r="KU181" s="720">
        <v>-15.75</v>
      </c>
      <c r="KV181" s="720">
        <v>-12.5</v>
      </c>
      <c r="KW181" s="720">
        <v>-36.25</v>
      </c>
    </row>
    <row r="182" spans="1:309">
      <c r="A182" s="634"/>
      <c r="DA182" s="723"/>
      <c r="DB182" s="723"/>
      <c r="DC182" s="723"/>
      <c r="DG182" s="723"/>
      <c r="DH182" s="723"/>
      <c r="DI182" s="723"/>
      <c r="DM182" s="723"/>
      <c r="DN182" s="723"/>
      <c r="DO182" s="723"/>
      <c r="DS182" s="723"/>
      <c r="DT182" s="723"/>
      <c r="DU182" s="723"/>
      <c r="DV182" s="723"/>
      <c r="DW182" s="723"/>
      <c r="DX182" s="723"/>
      <c r="DY182" s="723"/>
      <c r="DZ182" s="723"/>
      <c r="EA182" s="723"/>
      <c r="EB182" s="723"/>
      <c r="EC182" s="723"/>
      <c r="ED182" s="723"/>
      <c r="EE182" s="723"/>
      <c r="EF182" s="723"/>
      <c r="EG182" s="723"/>
      <c r="EQ182" s="723"/>
      <c r="ER182" s="723"/>
      <c r="ES182" s="723"/>
      <c r="ET182" s="722"/>
      <c r="EU182" s="722"/>
      <c r="EV182" s="722"/>
      <c r="GG182" s="723"/>
      <c r="GH182" s="723"/>
      <c r="GI182" s="723"/>
      <c r="GP182" s="728"/>
      <c r="GQ182" s="728"/>
      <c r="GR182" s="728"/>
      <c r="GS182" s="723"/>
      <c r="GT182" s="723"/>
      <c r="GU182" s="723"/>
      <c r="GV182" s="723"/>
      <c r="GW182" s="723"/>
      <c r="GX182" s="723"/>
      <c r="HN182" s="723"/>
      <c r="HO182" s="723"/>
      <c r="HP182" s="723"/>
      <c r="IU182" s="720">
        <f t="shared" si="23"/>
        <v>381.22499999999997</v>
      </c>
      <c r="IV182" s="720">
        <f t="shared" si="24"/>
        <v>159.01374999999999</v>
      </c>
      <c r="JY182" s="720">
        <v>0.02</v>
      </c>
      <c r="JZ182" s="787">
        <v>9.0899999999999995E-2</v>
      </c>
      <c r="KA182" s="720">
        <v>0</v>
      </c>
      <c r="KB182" s="720">
        <v>0</v>
      </c>
      <c r="KC182" s="720">
        <v>0</v>
      </c>
      <c r="KD182" s="720">
        <v>0</v>
      </c>
      <c r="KT182" s="720">
        <v>-0.75</v>
      </c>
      <c r="KU182" s="720">
        <v>0.38</v>
      </c>
      <c r="KV182" s="720">
        <v>-3.13</v>
      </c>
      <c r="KW182" s="720">
        <v>-4.75</v>
      </c>
    </row>
    <row r="183" spans="1:309">
      <c r="A183" s="634"/>
      <c r="DA183" s="723"/>
      <c r="DB183" s="723"/>
      <c r="DC183" s="723"/>
      <c r="DG183" s="723"/>
      <c r="DH183" s="723"/>
      <c r="DI183" s="723"/>
      <c r="DM183" s="723"/>
      <c r="DN183" s="723"/>
      <c r="DO183" s="723"/>
      <c r="DS183" s="723"/>
      <c r="DT183" s="723"/>
      <c r="DU183" s="723"/>
      <c r="DV183" s="723"/>
      <c r="DW183" s="723"/>
      <c r="DX183" s="723"/>
      <c r="DY183" s="723"/>
      <c r="DZ183" s="723"/>
      <c r="EA183" s="723"/>
      <c r="EB183" s="723"/>
      <c r="EC183" s="723"/>
      <c r="ED183" s="723"/>
      <c r="EE183" s="723"/>
      <c r="EF183" s="723"/>
      <c r="EG183" s="723"/>
      <c r="EQ183" s="723"/>
      <c r="ER183" s="723"/>
      <c r="ES183" s="723"/>
      <c r="ET183" s="722"/>
      <c r="EU183" s="722"/>
      <c r="EV183" s="722"/>
      <c r="GG183" s="723"/>
      <c r="GH183" s="723"/>
      <c r="GI183" s="723"/>
      <c r="GP183" s="728"/>
      <c r="GQ183" s="728"/>
      <c r="GR183" s="728"/>
      <c r="GS183" s="723"/>
      <c r="GT183" s="723"/>
      <c r="GU183" s="723"/>
      <c r="GV183" s="723"/>
      <c r="GW183" s="723"/>
      <c r="GX183" s="723"/>
      <c r="HN183" s="723"/>
      <c r="HO183" s="723"/>
      <c r="HP183" s="723"/>
      <c r="IU183" s="720">
        <f t="shared" si="23"/>
        <v>11818.8</v>
      </c>
      <c r="IV183" s="720">
        <f t="shared" si="24"/>
        <v>7226.9120000000003</v>
      </c>
      <c r="JY183" s="720">
        <v>0</v>
      </c>
      <c r="JZ183" s="787">
        <v>0</v>
      </c>
      <c r="KA183" s="720">
        <v>0</v>
      </c>
      <c r="KB183" s="720">
        <v>0</v>
      </c>
      <c r="KC183" s="720">
        <v>0</v>
      </c>
      <c r="KD183" s="720">
        <v>0</v>
      </c>
      <c r="KT183" s="720">
        <v>-1.38</v>
      </c>
      <c r="KU183" s="720">
        <v>-1.5</v>
      </c>
      <c r="KV183" s="720">
        <v>-7</v>
      </c>
      <c r="KW183" s="720">
        <v>-14.13</v>
      </c>
    </row>
    <row r="184" spans="1:309">
      <c r="A184" s="634"/>
      <c r="DA184" s="723"/>
      <c r="DB184" s="723"/>
      <c r="DC184" s="723"/>
      <c r="DG184" s="723"/>
      <c r="DH184" s="723"/>
      <c r="DI184" s="723"/>
      <c r="DM184" s="723"/>
      <c r="DN184" s="723"/>
      <c r="DO184" s="723"/>
      <c r="DS184" s="723"/>
      <c r="DT184" s="723"/>
      <c r="DU184" s="723"/>
      <c r="DV184" s="723"/>
      <c r="DW184" s="723"/>
      <c r="DX184" s="723"/>
      <c r="DY184" s="723"/>
      <c r="DZ184" s="723"/>
      <c r="EA184" s="723"/>
      <c r="EB184" s="723"/>
      <c r="EC184" s="723"/>
      <c r="ED184" s="723"/>
      <c r="EE184" s="723"/>
      <c r="EF184" s="723"/>
      <c r="EG184" s="723"/>
      <c r="EQ184" s="723"/>
      <c r="ER184" s="723"/>
      <c r="ES184" s="723"/>
      <c r="ET184" s="722"/>
      <c r="EU184" s="722"/>
      <c r="EV184" s="722"/>
      <c r="GG184" s="723"/>
      <c r="GH184" s="723"/>
      <c r="GI184" s="723"/>
      <c r="GP184" s="728"/>
      <c r="GQ184" s="728"/>
      <c r="GR184" s="728"/>
      <c r="GS184" s="723"/>
      <c r="GT184" s="723"/>
      <c r="GU184" s="723"/>
      <c r="GV184" s="723"/>
      <c r="GW184" s="723"/>
      <c r="GX184" s="723"/>
      <c r="HN184" s="723"/>
      <c r="HO184" s="723"/>
      <c r="HP184" s="723"/>
      <c r="IU184" s="720">
        <f t="shared" si="23"/>
        <v>355.65937500000001</v>
      </c>
      <c r="IV184" s="720">
        <f t="shared" si="24"/>
        <v>482.07299999999998</v>
      </c>
      <c r="JY184" s="720">
        <v>0</v>
      </c>
      <c r="KT184" s="720">
        <v>2.75</v>
      </c>
      <c r="KU184" s="720">
        <v>2.63</v>
      </c>
      <c r="KV184" s="720">
        <v>-3.38</v>
      </c>
      <c r="KW184" s="720">
        <v>-4</v>
      </c>
    </row>
    <row r="185" spans="1:309">
      <c r="A185" s="634"/>
      <c r="DA185" s="723"/>
      <c r="DB185" s="723"/>
      <c r="DC185" s="723"/>
      <c r="DG185" s="723"/>
      <c r="DH185" s="723"/>
      <c r="DI185" s="723"/>
      <c r="DM185" s="723"/>
      <c r="DN185" s="723"/>
      <c r="DO185" s="723"/>
      <c r="DS185" s="723"/>
      <c r="DT185" s="723"/>
      <c r="DU185" s="723"/>
      <c r="DV185" s="723"/>
      <c r="DW185" s="723"/>
      <c r="DX185" s="723"/>
      <c r="DY185" s="723"/>
      <c r="DZ185" s="723"/>
      <c r="EA185" s="723"/>
      <c r="EB185" s="723"/>
      <c r="EC185" s="723"/>
      <c r="ED185" s="723"/>
      <c r="EE185" s="723"/>
      <c r="EF185" s="723"/>
      <c r="EG185" s="723"/>
      <c r="EQ185" s="723"/>
      <c r="ER185" s="723"/>
      <c r="ES185" s="723"/>
      <c r="ET185" s="722"/>
      <c r="EU185" s="722"/>
      <c r="EV185" s="722"/>
      <c r="GG185" s="723"/>
      <c r="GH185" s="723"/>
      <c r="GI185" s="723"/>
      <c r="GP185" s="728"/>
      <c r="GQ185" s="728"/>
      <c r="GR185" s="728"/>
      <c r="GS185" s="723"/>
      <c r="GT185" s="723"/>
      <c r="GU185" s="723"/>
      <c r="GV185" s="723"/>
      <c r="GW185" s="723"/>
      <c r="GX185" s="723"/>
      <c r="HN185" s="723"/>
      <c r="HO185" s="723"/>
      <c r="HP185" s="723"/>
      <c r="IU185" s="720">
        <f t="shared" si="23"/>
        <v>4965.6487500000003</v>
      </c>
      <c r="IV185" s="720">
        <f t="shared" si="24"/>
        <v>3612.6364999999996</v>
      </c>
      <c r="JY185" s="720">
        <v>0</v>
      </c>
      <c r="JZ185" s="787">
        <v>0</v>
      </c>
      <c r="KA185" s="720">
        <v>0</v>
      </c>
      <c r="KB185" s="720">
        <v>0</v>
      </c>
      <c r="KC185" s="720">
        <v>0</v>
      </c>
      <c r="KD185" s="720">
        <v>0</v>
      </c>
      <c r="KT185" s="720">
        <v>1.63</v>
      </c>
      <c r="KU185" s="720">
        <v>2.63</v>
      </c>
      <c r="KV185" s="720">
        <v>-3.75</v>
      </c>
      <c r="KW185" s="720">
        <v>-2.63</v>
      </c>
    </row>
    <row r="186" spans="1:309">
      <c r="A186" s="634"/>
      <c r="DA186" s="723"/>
      <c r="DB186" s="723"/>
      <c r="DC186" s="723"/>
      <c r="DG186" s="723"/>
      <c r="DH186" s="723"/>
      <c r="DI186" s="723"/>
      <c r="DM186" s="723"/>
      <c r="DN186" s="723"/>
      <c r="DO186" s="723"/>
      <c r="DS186" s="723"/>
      <c r="DT186" s="723"/>
      <c r="DU186" s="723"/>
      <c r="DV186" s="723"/>
      <c r="DW186" s="723"/>
      <c r="DX186" s="723"/>
      <c r="DY186" s="723"/>
      <c r="DZ186" s="723"/>
      <c r="EA186" s="723"/>
      <c r="EB186" s="723"/>
      <c r="EC186" s="723"/>
      <c r="ED186" s="723"/>
      <c r="EE186" s="723"/>
      <c r="EF186" s="723"/>
      <c r="EG186" s="723"/>
      <c r="EQ186" s="723"/>
      <c r="ER186" s="723"/>
      <c r="ES186" s="723"/>
      <c r="ET186" s="722"/>
      <c r="EU186" s="722"/>
      <c r="EV186" s="722"/>
      <c r="GG186" s="723"/>
      <c r="GH186" s="723"/>
      <c r="GI186" s="723"/>
      <c r="GP186" s="728"/>
      <c r="GQ186" s="728"/>
      <c r="GR186" s="728"/>
      <c r="GS186" s="723"/>
      <c r="GT186" s="723"/>
      <c r="GU186" s="723"/>
      <c r="GV186" s="723"/>
      <c r="GW186" s="723"/>
      <c r="GX186" s="723"/>
      <c r="HN186" s="723"/>
      <c r="HO186" s="723"/>
      <c r="HP186" s="723"/>
      <c r="IU186" s="720">
        <f t="shared" si="23"/>
        <v>587.125</v>
      </c>
      <c r="IV186" s="720">
        <f t="shared" si="24"/>
        <v>415.47800000000001</v>
      </c>
      <c r="JY186" s="720">
        <v>0</v>
      </c>
      <c r="JZ186" s="787">
        <v>0</v>
      </c>
      <c r="KA186" s="720">
        <v>0</v>
      </c>
      <c r="KB186" s="720">
        <v>0</v>
      </c>
      <c r="KC186" s="720">
        <v>1.4999999999999999E-2</v>
      </c>
      <c r="KD186" s="720">
        <v>2.1276595744680799E-2</v>
      </c>
      <c r="KT186" s="720">
        <v>1.5</v>
      </c>
      <c r="KU186" s="720">
        <v>-1.5</v>
      </c>
      <c r="KV186" s="720">
        <v>-2.38</v>
      </c>
      <c r="KW186" s="720">
        <v>-4.63</v>
      </c>
    </row>
    <row r="187" spans="1:309">
      <c r="A187" s="634"/>
      <c r="DA187" s="723"/>
      <c r="DB187" s="723"/>
      <c r="DC187" s="723"/>
      <c r="DG187" s="723"/>
      <c r="DH187" s="723"/>
      <c r="DI187" s="723"/>
      <c r="DM187" s="723"/>
      <c r="DN187" s="723"/>
      <c r="DO187" s="723"/>
      <c r="DS187" s="723"/>
      <c r="DT187" s="723"/>
      <c r="DU187" s="723"/>
      <c r="DV187" s="723"/>
      <c r="DW187" s="723"/>
      <c r="DX187" s="723"/>
      <c r="DY187" s="723"/>
      <c r="DZ187" s="723"/>
      <c r="EA187" s="723"/>
      <c r="EB187" s="723"/>
      <c r="EC187" s="723"/>
      <c r="ED187" s="723"/>
      <c r="EE187" s="723"/>
      <c r="EF187" s="723"/>
      <c r="EG187" s="723"/>
      <c r="EQ187" s="723"/>
      <c r="ER187" s="723"/>
      <c r="ES187" s="723"/>
      <c r="ET187" s="722"/>
      <c r="EU187" s="722"/>
      <c r="EV187" s="722"/>
      <c r="GG187" s="723"/>
      <c r="GH187" s="723"/>
      <c r="GI187" s="723"/>
      <c r="GP187" s="728"/>
      <c r="GQ187" s="728"/>
      <c r="GR187" s="728"/>
      <c r="GS187" s="723"/>
      <c r="GT187" s="723"/>
      <c r="GU187" s="723"/>
      <c r="GV187" s="723"/>
      <c r="GW187" s="723"/>
      <c r="GX187" s="723"/>
      <c r="HN187" s="723"/>
      <c r="HO187" s="723"/>
      <c r="HP187" s="723"/>
      <c r="IU187" s="720">
        <f t="shared" si="23"/>
        <v>103.5</v>
      </c>
      <c r="IV187" s="720">
        <f t="shared" si="24"/>
        <v>68.65625</v>
      </c>
      <c r="JY187" s="720">
        <v>0</v>
      </c>
      <c r="JZ187" s="787">
        <v>0</v>
      </c>
      <c r="KA187" s="720">
        <v>0</v>
      </c>
      <c r="KB187" s="720">
        <v>0</v>
      </c>
      <c r="KC187" s="720">
        <v>0.01</v>
      </c>
      <c r="KD187" s="720">
        <v>3.125E-2</v>
      </c>
      <c r="KT187" s="720">
        <v>3.88</v>
      </c>
      <c r="KU187" s="720">
        <v>-0.63</v>
      </c>
      <c r="KV187" s="720">
        <v>-5.13</v>
      </c>
      <c r="KW187" s="720">
        <v>-3.13</v>
      </c>
    </row>
    <row r="188" spans="1:309">
      <c r="A188" s="634"/>
      <c r="DA188" s="723"/>
      <c r="DB188" s="723"/>
      <c r="DC188" s="723"/>
      <c r="DG188" s="723"/>
      <c r="DH188" s="723"/>
      <c r="DI188" s="723"/>
      <c r="DM188" s="723"/>
      <c r="DN188" s="723"/>
      <c r="DO188" s="723"/>
      <c r="DS188" s="723"/>
      <c r="DT188" s="723"/>
      <c r="DU188" s="723"/>
      <c r="DV188" s="723"/>
      <c r="DW188" s="723"/>
      <c r="DX188" s="723"/>
      <c r="DY188" s="723"/>
      <c r="DZ188" s="723"/>
      <c r="EA188" s="723"/>
      <c r="EB188" s="723"/>
      <c r="EC188" s="723"/>
      <c r="ED188" s="723"/>
      <c r="EE188" s="723"/>
      <c r="EF188" s="723"/>
      <c r="EG188" s="723"/>
      <c r="EQ188" s="723"/>
      <c r="ER188" s="723"/>
      <c r="ES188" s="723"/>
      <c r="ET188" s="722"/>
      <c r="EU188" s="722"/>
      <c r="EV188" s="722"/>
      <c r="GG188" s="723"/>
      <c r="GH188" s="723"/>
      <c r="GI188" s="723"/>
      <c r="GP188" s="728"/>
      <c r="GQ188" s="728"/>
      <c r="GR188" s="728"/>
      <c r="GS188" s="723"/>
      <c r="GT188" s="723"/>
      <c r="GU188" s="723"/>
      <c r="GV188" s="723"/>
      <c r="GW188" s="723"/>
      <c r="GX188" s="723"/>
      <c r="HN188" s="723"/>
      <c r="HO188" s="723"/>
      <c r="HP188" s="723"/>
      <c r="IU188" s="720">
        <f t="shared" si="23"/>
        <v>0</v>
      </c>
      <c r="IV188" s="720">
        <f t="shared" si="24"/>
        <v>46.314</v>
      </c>
      <c r="JY188" s="720">
        <v>0</v>
      </c>
      <c r="JZ188" s="787">
        <v>0</v>
      </c>
      <c r="KA188" s="720">
        <v>0</v>
      </c>
      <c r="KB188" s="720">
        <v>0</v>
      </c>
      <c r="KC188" s="720">
        <v>-7.4999999999999997E-3</v>
      </c>
      <c r="KD188" s="720">
        <v>-2.34375E-2</v>
      </c>
      <c r="KT188" s="720">
        <v>0</v>
      </c>
      <c r="KU188" s="720">
        <v>0</v>
      </c>
      <c r="KV188" s="720">
        <v>0</v>
      </c>
      <c r="KW188" s="720">
        <v>-20.25</v>
      </c>
    </row>
    <row r="189" spans="1:309">
      <c r="A189" s="634"/>
      <c r="DA189" s="723"/>
      <c r="DB189" s="723"/>
      <c r="DC189" s="723"/>
      <c r="DG189" s="723"/>
      <c r="DH189" s="723"/>
      <c r="DI189" s="723"/>
      <c r="DM189" s="723"/>
      <c r="DN189" s="723"/>
      <c r="DO189" s="723"/>
      <c r="DS189" s="723"/>
      <c r="DT189" s="723"/>
      <c r="DU189" s="723"/>
      <c r="DV189" s="723"/>
      <c r="DW189" s="723"/>
      <c r="DX189" s="723"/>
      <c r="DY189" s="723"/>
      <c r="DZ189" s="723"/>
      <c r="EA189" s="723"/>
      <c r="EB189" s="723"/>
      <c r="EC189" s="723"/>
      <c r="ED189" s="723"/>
      <c r="EE189" s="723"/>
      <c r="EF189" s="723"/>
      <c r="EG189" s="723"/>
      <c r="EQ189" s="723"/>
      <c r="ER189" s="723"/>
      <c r="ES189" s="723"/>
      <c r="ET189" s="722"/>
      <c r="EU189" s="722"/>
      <c r="EV189" s="722"/>
      <c r="GG189" s="723"/>
      <c r="GH189" s="723"/>
      <c r="GI189" s="723"/>
      <c r="GP189" s="728"/>
      <c r="GQ189" s="728"/>
      <c r="GR189" s="728"/>
      <c r="GS189" s="723"/>
      <c r="GT189" s="723"/>
      <c r="GU189" s="723"/>
      <c r="GV189" s="723"/>
      <c r="GW189" s="723"/>
      <c r="GX189" s="723"/>
      <c r="HN189" s="723"/>
      <c r="HO189" s="723"/>
      <c r="HP189" s="723"/>
      <c r="IU189" s="720">
        <f t="shared" si="23"/>
        <v>3773.2624999999998</v>
      </c>
      <c r="IV189" s="720">
        <f t="shared" si="24"/>
        <v>3222.1743749999996</v>
      </c>
      <c r="JY189" s="720">
        <v>0</v>
      </c>
      <c r="JZ189" s="787">
        <v>0</v>
      </c>
      <c r="KA189" s="720">
        <v>0.01</v>
      </c>
      <c r="KB189" s="720">
        <v>-2.5000000000000001E-2</v>
      </c>
      <c r="KC189" s="720">
        <v>0</v>
      </c>
      <c r="KD189" s="720">
        <v>0</v>
      </c>
      <c r="KT189" s="720">
        <v>0.75</v>
      </c>
      <c r="KU189" s="720">
        <v>0.63</v>
      </c>
      <c r="KV189" s="720">
        <v>-1.38</v>
      </c>
      <c r="KW189" s="720">
        <v>-3.5</v>
      </c>
    </row>
    <row r="190" spans="1:309">
      <c r="A190" s="634"/>
      <c r="DA190" s="723"/>
      <c r="DB190" s="723"/>
      <c r="DC190" s="723"/>
      <c r="DG190" s="723"/>
      <c r="DH190" s="723"/>
      <c r="DI190" s="723"/>
      <c r="DM190" s="723"/>
      <c r="DN190" s="723"/>
      <c r="DO190" s="723"/>
      <c r="DS190" s="723"/>
      <c r="DT190" s="723"/>
      <c r="DU190" s="723"/>
      <c r="DV190" s="723"/>
      <c r="DW190" s="723"/>
      <c r="DX190" s="723"/>
      <c r="DY190" s="723"/>
      <c r="DZ190" s="723"/>
      <c r="EA190" s="723"/>
      <c r="EB190" s="723"/>
      <c r="EC190" s="723"/>
      <c r="ED190" s="723"/>
      <c r="EE190" s="723"/>
      <c r="EF190" s="723"/>
      <c r="EG190" s="723"/>
      <c r="EQ190" s="723"/>
      <c r="ER190" s="723"/>
      <c r="ES190" s="723"/>
      <c r="ET190" s="722"/>
      <c r="EU190" s="722"/>
      <c r="EV190" s="722"/>
      <c r="GG190" s="723"/>
      <c r="GH190" s="723"/>
      <c r="GI190" s="723"/>
      <c r="GP190" s="728"/>
      <c r="GQ190" s="728"/>
      <c r="GR190" s="728"/>
      <c r="GS190" s="723"/>
      <c r="GT190" s="723"/>
      <c r="GU190" s="723"/>
      <c r="GV190" s="723"/>
      <c r="GW190" s="723"/>
      <c r="GX190" s="723"/>
      <c r="HN190" s="723"/>
      <c r="HO190" s="723"/>
      <c r="HP190" s="723"/>
      <c r="IU190" s="720">
        <f t="shared" si="23"/>
        <v>0</v>
      </c>
      <c r="IV190" s="720">
        <f t="shared" si="24"/>
        <v>920.91599999999994</v>
      </c>
      <c r="JY190" s="720">
        <v>0</v>
      </c>
      <c r="JZ190" s="787">
        <v>0</v>
      </c>
      <c r="KA190" s="720">
        <v>9.9999999999999898E-3</v>
      </c>
      <c r="KB190" s="720">
        <v>-1.9230769230769201E-2</v>
      </c>
      <c r="KC190" s="720">
        <v>0</v>
      </c>
      <c r="KD190" s="720">
        <v>0</v>
      </c>
      <c r="KT190" s="720">
        <v>0.19</v>
      </c>
      <c r="KU190" s="720">
        <v>1.31</v>
      </c>
      <c r="KV190" s="720">
        <v>-1.44</v>
      </c>
      <c r="KW190" s="720">
        <v>-6</v>
      </c>
    </row>
    <row r="191" spans="1:309">
      <c r="A191" s="634"/>
      <c r="DA191" s="723"/>
      <c r="DB191" s="723"/>
      <c r="DC191" s="723"/>
      <c r="DG191" s="723"/>
      <c r="DH191" s="723"/>
      <c r="DI191" s="723"/>
      <c r="DM191" s="723"/>
      <c r="DN191" s="723"/>
      <c r="DO191" s="723"/>
      <c r="DS191" s="723"/>
      <c r="DT191" s="723"/>
      <c r="DU191" s="723"/>
      <c r="DV191" s="723"/>
      <c r="DW191" s="723"/>
      <c r="DX191" s="723"/>
      <c r="DY191" s="723"/>
      <c r="DZ191" s="723"/>
      <c r="EA191" s="723"/>
      <c r="EB191" s="723"/>
      <c r="EC191" s="723"/>
      <c r="ED191" s="723"/>
      <c r="EE191" s="723"/>
      <c r="EF191" s="723"/>
      <c r="EG191" s="723"/>
      <c r="EQ191" s="723"/>
      <c r="ER191" s="723"/>
      <c r="ES191" s="723"/>
      <c r="ET191" s="722"/>
      <c r="EU191" s="722"/>
      <c r="EV191" s="722"/>
      <c r="GG191" s="723"/>
      <c r="GH191" s="723"/>
      <c r="GI191" s="723"/>
      <c r="GP191" s="728"/>
      <c r="GQ191" s="728"/>
      <c r="GR191" s="728"/>
      <c r="GS191" s="723"/>
      <c r="GT191" s="723"/>
      <c r="GU191" s="723"/>
      <c r="GV191" s="723"/>
      <c r="GW191" s="723"/>
      <c r="GX191" s="723"/>
      <c r="HN191" s="723"/>
      <c r="HO191" s="723"/>
      <c r="HP191" s="723"/>
      <c r="IU191" s="720">
        <f t="shared" si="23"/>
        <v>4105.5</v>
      </c>
      <c r="IV191" s="720">
        <f t="shared" si="24"/>
        <v>1836.8625</v>
      </c>
      <c r="JY191" s="720">
        <v>0</v>
      </c>
      <c r="JZ191" s="787">
        <v>0</v>
      </c>
      <c r="KA191" s="720">
        <v>0.03</v>
      </c>
      <c r="KB191" s="720">
        <v>-0.11111111111111099</v>
      </c>
      <c r="KC191" s="720">
        <v>0</v>
      </c>
      <c r="KD191" s="720">
        <v>0</v>
      </c>
      <c r="KT191" s="720">
        <v>-0.38</v>
      </c>
      <c r="KU191" s="720">
        <v>1.1299999999999999</v>
      </c>
      <c r="KV191" s="720">
        <v>-4.75</v>
      </c>
      <c r="KW191" s="720">
        <v>-6.88</v>
      </c>
    </row>
    <row r="192" spans="1:309">
      <c r="A192" s="634"/>
      <c r="DA192" s="723"/>
      <c r="DB192" s="723"/>
      <c r="DC192" s="723"/>
      <c r="DG192" s="723"/>
      <c r="DH192" s="723"/>
      <c r="DI192" s="723"/>
      <c r="DM192" s="723"/>
      <c r="DN192" s="723"/>
      <c r="DO192" s="723"/>
      <c r="DS192" s="723"/>
      <c r="DT192" s="723"/>
      <c r="DU192" s="723"/>
      <c r="DV192" s="723"/>
      <c r="DW192" s="723"/>
      <c r="DX192" s="723"/>
      <c r="DY192" s="723"/>
      <c r="DZ192" s="723"/>
      <c r="EA192" s="723"/>
      <c r="EB192" s="723"/>
      <c r="EC192" s="723"/>
      <c r="ED192" s="723"/>
      <c r="EE192" s="723"/>
      <c r="EF192" s="723"/>
      <c r="EG192" s="723"/>
      <c r="EQ192" s="723"/>
      <c r="ER192" s="723"/>
      <c r="ES192" s="723"/>
      <c r="ET192" s="722"/>
      <c r="EU192" s="722"/>
      <c r="EV192" s="722"/>
      <c r="GG192" s="723"/>
      <c r="GH192" s="723"/>
      <c r="GI192" s="723"/>
      <c r="GP192" s="728"/>
      <c r="GQ192" s="728"/>
      <c r="GR192" s="728"/>
      <c r="GS192" s="723"/>
      <c r="GT192" s="723"/>
      <c r="GU192" s="723"/>
      <c r="GV192" s="723"/>
      <c r="GW192" s="723"/>
      <c r="GX192" s="723"/>
      <c r="HN192" s="723"/>
      <c r="HO192" s="723"/>
      <c r="HP192" s="723"/>
      <c r="IU192" s="720">
        <f t="shared" si="23"/>
        <v>607.38</v>
      </c>
      <c r="IV192" s="720">
        <f t="shared" si="24"/>
        <v>449.57249999999999</v>
      </c>
      <c r="JY192" s="720">
        <v>5.0000000000000001E-3</v>
      </c>
      <c r="JZ192" s="787">
        <v>9.4999999999999998E-3</v>
      </c>
      <c r="KA192" s="720">
        <v>0</v>
      </c>
      <c r="KB192" s="720">
        <v>0</v>
      </c>
      <c r="KC192" s="720">
        <v>0</v>
      </c>
      <c r="KD192" s="720">
        <v>0</v>
      </c>
      <c r="KT192" s="720">
        <v>0.5</v>
      </c>
      <c r="KU192" s="720">
        <v>0.25</v>
      </c>
      <c r="KV192" s="720">
        <v>-2</v>
      </c>
      <c r="KW192" s="720">
        <v>-3.67</v>
      </c>
    </row>
    <row r="193" spans="1:309">
      <c r="A193" s="634"/>
      <c r="DA193" s="723"/>
      <c r="DB193" s="723"/>
      <c r="DC193" s="723"/>
      <c r="DG193" s="723"/>
      <c r="DH193" s="723"/>
      <c r="DI193" s="723"/>
      <c r="DM193" s="723"/>
      <c r="DN193" s="723"/>
      <c r="DO193" s="723"/>
      <c r="DS193" s="723"/>
      <c r="DT193" s="723"/>
      <c r="DU193" s="723"/>
      <c r="DV193" s="723"/>
      <c r="DW193" s="723"/>
      <c r="DX193" s="723"/>
      <c r="DY193" s="723"/>
      <c r="DZ193" s="723"/>
      <c r="EA193" s="723"/>
      <c r="EB193" s="723"/>
      <c r="EC193" s="723"/>
      <c r="ED193" s="723"/>
      <c r="EE193" s="723"/>
      <c r="EF193" s="723"/>
      <c r="EG193" s="723"/>
      <c r="EQ193" s="723"/>
      <c r="ER193" s="723"/>
      <c r="ES193" s="723"/>
      <c r="ET193" s="722"/>
      <c r="EU193" s="722"/>
      <c r="EV193" s="722"/>
      <c r="GG193" s="723"/>
      <c r="GH193" s="723"/>
      <c r="GI193" s="723"/>
      <c r="GP193" s="728"/>
      <c r="GQ193" s="728"/>
      <c r="GR193" s="728"/>
      <c r="GS193" s="723"/>
      <c r="GT193" s="723"/>
      <c r="GU193" s="723"/>
      <c r="GV193" s="723"/>
      <c r="GW193" s="723"/>
      <c r="GX193" s="723"/>
      <c r="HN193" s="723"/>
      <c r="HO193" s="723"/>
      <c r="HP193" s="723"/>
      <c r="IU193" s="720">
        <f t="shared" si="23"/>
        <v>816.85</v>
      </c>
      <c r="IV193" s="720">
        <f t="shared" si="24"/>
        <v>416.56487500000003</v>
      </c>
      <c r="JY193" s="720">
        <v>0</v>
      </c>
      <c r="JZ193" s="787">
        <v>0</v>
      </c>
      <c r="KA193" s="720">
        <v>0</v>
      </c>
      <c r="KB193" s="720">
        <v>0</v>
      </c>
      <c r="KC193" s="720">
        <v>0</v>
      </c>
      <c r="KD193" s="720">
        <v>0</v>
      </c>
      <c r="KT193" s="720">
        <v>-0.13</v>
      </c>
      <c r="KU193" s="720">
        <v>2</v>
      </c>
      <c r="KV193" s="720">
        <v>-3.5</v>
      </c>
      <c r="KW193" s="720">
        <v>-2</v>
      </c>
    </row>
    <row r="194" spans="1:309">
      <c r="A194" s="634"/>
      <c r="DA194" s="723"/>
      <c r="DB194" s="723"/>
      <c r="DC194" s="723"/>
      <c r="DG194" s="723"/>
      <c r="DH194" s="723"/>
      <c r="DI194" s="723"/>
      <c r="DM194" s="723"/>
      <c r="DN194" s="723"/>
      <c r="DO194" s="723"/>
      <c r="DS194" s="723"/>
      <c r="DT194" s="723"/>
      <c r="DU194" s="723"/>
      <c r="DV194" s="723"/>
      <c r="DW194" s="723"/>
      <c r="DX194" s="723"/>
      <c r="DY194" s="723"/>
      <c r="DZ194" s="723"/>
      <c r="EA194" s="723"/>
      <c r="EB194" s="723"/>
      <c r="EC194" s="723"/>
      <c r="ED194" s="723"/>
      <c r="EE194" s="723"/>
      <c r="EF194" s="723"/>
      <c r="EG194" s="723"/>
      <c r="EQ194" s="723"/>
      <c r="ER194" s="723"/>
      <c r="ES194" s="723"/>
      <c r="ET194" s="722"/>
      <c r="EU194" s="722"/>
      <c r="EV194" s="722"/>
      <c r="GG194" s="723"/>
      <c r="GH194" s="723"/>
      <c r="GI194" s="723"/>
      <c r="GP194" s="728"/>
      <c r="GQ194" s="728"/>
      <c r="GR194" s="728"/>
      <c r="GS194" s="723"/>
      <c r="GT194" s="723"/>
      <c r="GU194" s="723"/>
      <c r="GV194" s="723"/>
      <c r="GW194" s="723"/>
      <c r="GX194" s="723"/>
      <c r="HN194" s="723"/>
      <c r="HO194" s="723"/>
      <c r="HP194" s="723"/>
      <c r="IU194" s="720">
        <f t="shared" ref="IU194:IU232" si="25">IU74*IV74</f>
        <v>4358.75</v>
      </c>
      <c r="IV194" s="720">
        <f t="shared" ref="IV194:IV232" si="26">KU74*KT74</f>
        <v>2057.1664999999998</v>
      </c>
      <c r="JY194" s="720">
        <v>0</v>
      </c>
      <c r="JZ194" s="787">
        <v>0</v>
      </c>
      <c r="KA194" s="720">
        <v>0</v>
      </c>
      <c r="KB194" s="720">
        <v>0</v>
      </c>
      <c r="KC194" s="720">
        <v>0</v>
      </c>
      <c r="KD194" s="720">
        <v>0</v>
      </c>
      <c r="KT194" s="720">
        <v>0.25</v>
      </c>
      <c r="KU194" s="720">
        <v>1.5</v>
      </c>
      <c r="KV194" s="720">
        <v>-1.75</v>
      </c>
      <c r="KW194" s="720">
        <v>-6.25</v>
      </c>
    </row>
    <row r="195" spans="1:309">
      <c r="A195" s="634"/>
      <c r="DA195" s="723"/>
      <c r="DB195" s="723"/>
      <c r="DC195" s="723"/>
      <c r="DG195" s="723"/>
      <c r="DH195" s="723"/>
      <c r="DI195" s="723"/>
      <c r="DM195" s="723"/>
      <c r="DN195" s="723"/>
      <c r="DO195" s="723"/>
      <c r="DS195" s="723"/>
      <c r="DT195" s="723"/>
      <c r="DU195" s="723"/>
      <c r="DV195" s="723"/>
      <c r="DW195" s="723"/>
      <c r="DX195" s="723"/>
      <c r="DY195" s="723"/>
      <c r="DZ195" s="723"/>
      <c r="EA195" s="723"/>
      <c r="EB195" s="723"/>
      <c r="EC195" s="723"/>
      <c r="ED195" s="723"/>
      <c r="EE195" s="723"/>
      <c r="EF195" s="723"/>
      <c r="EG195" s="723"/>
      <c r="EQ195" s="723"/>
      <c r="ER195" s="723"/>
      <c r="ES195" s="723"/>
      <c r="ET195" s="722"/>
      <c r="EU195" s="722"/>
      <c r="EV195" s="722"/>
      <c r="GG195" s="723"/>
      <c r="GH195" s="723"/>
      <c r="GI195" s="723"/>
      <c r="GP195" s="728"/>
      <c r="GQ195" s="728"/>
      <c r="GR195" s="728"/>
      <c r="GS195" s="723"/>
      <c r="GT195" s="723"/>
      <c r="GU195" s="723"/>
      <c r="GV195" s="723"/>
      <c r="GW195" s="723"/>
      <c r="GX195" s="723"/>
      <c r="HN195" s="723"/>
      <c r="HO195" s="723"/>
      <c r="HP195" s="723"/>
      <c r="IU195" s="720">
        <f t="shared" si="25"/>
        <v>818.1400000000001</v>
      </c>
      <c r="IV195" s="720">
        <f t="shared" si="26"/>
        <v>376.6995</v>
      </c>
      <c r="JY195" s="720">
        <v>0</v>
      </c>
      <c r="JZ195" s="787">
        <v>0</v>
      </c>
      <c r="KA195" s="720">
        <v>9.9999999999999898E-3</v>
      </c>
      <c r="KB195" s="720">
        <v>-2.5974025974025899E-2</v>
      </c>
      <c r="KC195" s="720">
        <v>0</v>
      </c>
      <c r="KD195" s="720">
        <v>0</v>
      </c>
      <c r="KT195" s="720">
        <v>2.13</v>
      </c>
      <c r="KU195" s="720">
        <v>2.13</v>
      </c>
      <c r="KV195" s="720">
        <v>-2</v>
      </c>
      <c r="KW195" s="720">
        <v>0.38</v>
      </c>
    </row>
    <row r="196" spans="1:309">
      <c r="A196" s="634"/>
      <c r="DA196" s="723"/>
      <c r="DB196" s="723"/>
      <c r="DC196" s="723"/>
      <c r="DG196" s="723"/>
      <c r="DH196" s="723"/>
      <c r="DI196" s="723"/>
      <c r="DM196" s="723"/>
      <c r="DN196" s="723"/>
      <c r="DO196" s="723"/>
      <c r="DS196" s="723"/>
      <c r="DT196" s="723"/>
      <c r="DU196" s="723"/>
      <c r="DV196" s="723"/>
      <c r="DW196" s="723"/>
      <c r="DX196" s="723"/>
      <c r="DY196" s="723"/>
      <c r="DZ196" s="723"/>
      <c r="EA196" s="723"/>
      <c r="EB196" s="723"/>
      <c r="EC196" s="723"/>
      <c r="ED196" s="723"/>
      <c r="EE196" s="723"/>
      <c r="EF196" s="723"/>
      <c r="EG196" s="723"/>
      <c r="EQ196" s="723"/>
      <c r="ER196" s="723"/>
      <c r="ES196" s="723"/>
      <c r="ET196" s="722"/>
      <c r="EU196" s="722"/>
      <c r="EV196" s="722"/>
      <c r="GG196" s="723"/>
      <c r="GH196" s="723"/>
      <c r="GI196" s="723"/>
      <c r="GP196" s="728"/>
      <c r="GQ196" s="728"/>
      <c r="GR196" s="728"/>
      <c r="GS196" s="723"/>
      <c r="GT196" s="723"/>
      <c r="GU196" s="723"/>
      <c r="GV196" s="723"/>
      <c r="GW196" s="723"/>
      <c r="GX196" s="723"/>
      <c r="HN196" s="723"/>
      <c r="HO196" s="723"/>
      <c r="HP196" s="723"/>
      <c r="IU196" s="720">
        <f t="shared" si="25"/>
        <v>10585.90625</v>
      </c>
      <c r="IV196" s="720">
        <f t="shared" si="26"/>
        <v>6034.0232499999993</v>
      </c>
      <c r="JY196" s="720">
        <v>0</v>
      </c>
      <c r="JZ196" s="787">
        <v>0</v>
      </c>
      <c r="KA196" s="720">
        <v>0</v>
      </c>
      <c r="KB196" s="720">
        <v>0</v>
      </c>
      <c r="KC196" s="720">
        <v>9.9999999999999898E-3</v>
      </c>
      <c r="KD196" s="720">
        <v>1.9607843137254902E-2</v>
      </c>
      <c r="KT196" s="720">
        <v>0</v>
      </c>
      <c r="KU196" s="720">
        <v>0</v>
      </c>
      <c r="KV196" s="720">
        <v>0</v>
      </c>
      <c r="KW196" s="720">
        <v>0</v>
      </c>
    </row>
    <row r="197" spans="1:309">
      <c r="A197" s="634"/>
      <c r="DA197" s="723"/>
      <c r="DB197" s="723"/>
      <c r="DC197" s="723"/>
      <c r="DG197" s="723"/>
      <c r="DH197" s="723"/>
      <c r="DI197" s="723"/>
      <c r="DM197" s="723"/>
      <c r="DN197" s="723"/>
      <c r="DO197" s="723"/>
      <c r="DS197" s="723"/>
      <c r="DT197" s="723"/>
      <c r="DU197" s="723"/>
      <c r="DV197" s="723"/>
      <c r="DW197" s="723"/>
      <c r="DX197" s="723"/>
      <c r="DY197" s="723"/>
      <c r="DZ197" s="723"/>
      <c r="EA197" s="723"/>
      <c r="EB197" s="723"/>
      <c r="EC197" s="723"/>
      <c r="ED197" s="723"/>
      <c r="EE197" s="723"/>
      <c r="EF197" s="723"/>
      <c r="EG197" s="723"/>
      <c r="ET197" s="722"/>
      <c r="EU197" s="722"/>
      <c r="EV197" s="722"/>
      <c r="GG197" s="723"/>
      <c r="GH197" s="723"/>
      <c r="GI197" s="723"/>
      <c r="GP197" s="728"/>
      <c r="GQ197" s="728"/>
      <c r="GR197" s="728"/>
      <c r="GS197" s="723"/>
      <c r="GT197" s="723"/>
      <c r="GU197" s="723"/>
      <c r="GV197" s="723"/>
      <c r="GW197" s="723"/>
      <c r="GX197" s="723"/>
      <c r="HN197" s="723"/>
      <c r="HO197" s="723"/>
      <c r="HP197" s="723"/>
      <c r="IU197" s="720">
        <f t="shared" si="25"/>
        <v>2524.5</v>
      </c>
      <c r="IV197" s="720">
        <f t="shared" si="26"/>
        <v>2041.6154999999903</v>
      </c>
      <c r="JY197" s="720">
        <v>0</v>
      </c>
      <c r="JZ197" s="787">
        <v>0</v>
      </c>
      <c r="KA197" s="720">
        <v>0</v>
      </c>
      <c r="KB197" s="720">
        <v>0</v>
      </c>
      <c r="KC197" s="720">
        <v>9.9999999999999898E-3</v>
      </c>
      <c r="KD197" s="720">
        <v>4.8387096774193498E-2</v>
      </c>
      <c r="KT197" s="720">
        <v>-2.38</v>
      </c>
      <c r="KU197" s="720">
        <v>-2.75</v>
      </c>
      <c r="KV197" s="720">
        <v>-0.5</v>
      </c>
      <c r="KW197" s="720">
        <v>-5.13</v>
      </c>
    </row>
    <row r="198" spans="1:309">
      <c r="A198" s="634"/>
      <c r="DA198" s="723"/>
      <c r="DB198" s="723"/>
      <c r="DC198" s="723"/>
      <c r="DG198" s="723"/>
      <c r="DH198" s="723"/>
      <c r="DI198" s="723"/>
      <c r="DM198" s="723"/>
      <c r="DN198" s="723"/>
      <c r="DO198" s="723"/>
      <c r="DS198" s="723"/>
      <c r="DT198" s="723"/>
      <c r="DU198" s="723"/>
      <c r="DV198" s="723"/>
      <c r="DW198" s="723"/>
      <c r="DX198" s="723"/>
      <c r="DY198" s="723"/>
      <c r="DZ198" s="723"/>
      <c r="EA198" s="723"/>
      <c r="EB198" s="723"/>
      <c r="EC198" s="723"/>
      <c r="ED198" s="723"/>
      <c r="ET198" s="722"/>
      <c r="EU198" s="722"/>
      <c r="EV198" s="722"/>
      <c r="GG198" s="723"/>
      <c r="GH198" s="723"/>
      <c r="GI198" s="723"/>
      <c r="GP198" s="728"/>
      <c r="GQ198" s="728"/>
      <c r="GR198" s="728"/>
      <c r="GS198" s="723"/>
      <c r="GT198" s="723"/>
      <c r="GU198" s="723"/>
      <c r="GV198" s="723"/>
      <c r="GW198" s="723"/>
      <c r="GX198" s="723"/>
      <c r="HN198" s="723"/>
      <c r="HO198" s="723"/>
      <c r="HP198" s="723"/>
      <c r="IU198" s="720">
        <f t="shared" si="25"/>
        <v>1956.875</v>
      </c>
      <c r="IV198" s="720">
        <f t="shared" si="26"/>
        <v>1074.1426875</v>
      </c>
      <c r="JY198" s="720">
        <v>0</v>
      </c>
      <c r="JZ198" s="787">
        <v>0</v>
      </c>
      <c r="KA198" s="720">
        <v>0</v>
      </c>
      <c r="KB198" s="720">
        <v>0</v>
      </c>
      <c r="KC198" s="720">
        <v>0</v>
      </c>
      <c r="KD198" s="720">
        <v>0</v>
      </c>
      <c r="KT198" s="720">
        <v>0.25</v>
      </c>
      <c r="KU198" s="720">
        <v>1</v>
      </c>
      <c r="KV198" s="720">
        <v>-3</v>
      </c>
      <c r="KW198" s="720">
        <v>-3.75</v>
      </c>
    </row>
    <row r="199" spans="1:309">
      <c r="A199" s="634"/>
      <c r="DA199" s="723"/>
      <c r="DB199" s="723"/>
      <c r="DC199" s="723"/>
      <c r="DG199" s="723"/>
      <c r="DH199" s="723"/>
      <c r="DI199" s="723"/>
      <c r="DM199" s="723"/>
      <c r="DN199" s="723"/>
      <c r="DO199" s="723"/>
      <c r="DS199" s="723"/>
      <c r="DT199" s="723"/>
      <c r="DU199" s="723"/>
      <c r="DV199" s="723"/>
      <c r="DW199" s="723"/>
      <c r="DX199" s="723"/>
      <c r="DY199" s="723"/>
      <c r="DZ199" s="723"/>
      <c r="EA199" s="723"/>
      <c r="EB199" s="723"/>
      <c r="EC199" s="723"/>
      <c r="ED199" s="723"/>
      <c r="ET199" s="722"/>
      <c r="EU199" s="722"/>
      <c r="EV199" s="722"/>
      <c r="GG199" s="723"/>
      <c r="GH199" s="723"/>
      <c r="GI199" s="723"/>
      <c r="GP199" s="728"/>
      <c r="GQ199" s="728"/>
      <c r="GR199" s="728"/>
      <c r="GS199" s="723"/>
      <c r="GT199" s="723"/>
      <c r="GU199" s="723"/>
      <c r="GV199" s="723"/>
      <c r="GW199" s="723"/>
      <c r="GX199" s="723"/>
      <c r="HN199" s="723"/>
      <c r="HO199" s="723"/>
      <c r="HP199" s="723"/>
      <c r="IU199" s="720">
        <f t="shared" si="25"/>
        <v>0</v>
      </c>
      <c r="IV199" s="720">
        <f t="shared" si="26"/>
        <v>711.84799999999996</v>
      </c>
      <c r="JY199" s="720">
        <v>0</v>
      </c>
      <c r="JZ199" s="787">
        <v>0</v>
      </c>
      <c r="KA199" s="720">
        <v>0</v>
      </c>
      <c r="KB199" s="720">
        <v>0</v>
      </c>
      <c r="KC199" s="720">
        <v>0</v>
      </c>
      <c r="KD199" s="720">
        <v>0</v>
      </c>
      <c r="KT199" s="720">
        <v>1.63</v>
      </c>
      <c r="KU199" s="720">
        <v>-2.13</v>
      </c>
      <c r="KV199" s="720">
        <v>-3.75</v>
      </c>
      <c r="KW199" s="720">
        <v>-7</v>
      </c>
    </row>
    <row r="200" spans="1:309">
      <c r="A200" s="634"/>
      <c r="DA200" s="723"/>
      <c r="DB200" s="723"/>
      <c r="DC200" s="723"/>
      <c r="DG200" s="723"/>
      <c r="DH200" s="723"/>
      <c r="DI200" s="723"/>
      <c r="DM200" s="723"/>
      <c r="DN200" s="723"/>
      <c r="DO200" s="723"/>
      <c r="DS200" s="723"/>
      <c r="DT200" s="723"/>
      <c r="DU200" s="723"/>
      <c r="DV200" s="723"/>
      <c r="DW200" s="723"/>
      <c r="DX200" s="723"/>
      <c r="DY200" s="723"/>
      <c r="DZ200" s="723"/>
      <c r="EA200" s="723"/>
      <c r="EB200" s="723"/>
      <c r="EC200" s="723"/>
      <c r="ED200" s="723"/>
      <c r="ET200" s="722"/>
      <c r="EU200" s="722"/>
      <c r="EV200" s="722"/>
      <c r="GG200" s="723"/>
      <c r="GH200" s="723"/>
      <c r="GI200" s="723"/>
      <c r="GP200" s="728"/>
      <c r="GQ200" s="728"/>
      <c r="GR200" s="728"/>
      <c r="GS200" s="723"/>
      <c r="GT200" s="723"/>
      <c r="GU200" s="723"/>
      <c r="GV200" s="723"/>
      <c r="GW200" s="723"/>
      <c r="GX200" s="723"/>
      <c r="HN200" s="723"/>
      <c r="HO200" s="723"/>
      <c r="HP200" s="723"/>
      <c r="IU200" s="720">
        <f t="shared" si="25"/>
        <v>1519.14375</v>
      </c>
      <c r="IV200" s="720">
        <f t="shared" si="26"/>
        <v>1652.3486250000001</v>
      </c>
      <c r="JY200" s="720">
        <v>0</v>
      </c>
      <c r="JZ200" s="787">
        <v>0</v>
      </c>
      <c r="KA200" s="720">
        <v>0</v>
      </c>
      <c r="KB200" s="720">
        <v>0</v>
      </c>
      <c r="KC200" s="720">
        <v>0</v>
      </c>
      <c r="KD200" s="720">
        <v>0</v>
      </c>
      <c r="KT200" s="720">
        <v>-0.38</v>
      </c>
      <c r="KU200" s="720">
        <v>0.25</v>
      </c>
      <c r="KV200" s="720">
        <v>-1.88</v>
      </c>
      <c r="KW200" s="720">
        <v>-2.13</v>
      </c>
    </row>
    <row r="201" spans="1:309">
      <c r="A201" s="634"/>
      <c r="DA201" s="723"/>
      <c r="DB201" s="723"/>
      <c r="DC201" s="723"/>
      <c r="DG201" s="723"/>
      <c r="DH201" s="723"/>
      <c r="DI201" s="723"/>
      <c r="DM201" s="723"/>
      <c r="DN201" s="723"/>
      <c r="DO201" s="723"/>
      <c r="DS201" s="723"/>
      <c r="DT201" s="723"/>
      <c r="DU201" s="723"/>
      <c r="DV201" s="723"/>
      <c r="DW201" s="723"/>
      <c r="DX201" s="723"/>
      <c r="DY201" s="723"/>
      <c r="DZ201" s="723"/>
      <c r="EA201" s="723"/>
      <c r="EB201" s="723"/>
      <c r="EC201" s="723"/>
      <c r="ED201" s="723"/>
      <c r="ET201" s="722"/>
      <c r="EU201" s="722"/>
      <c r="EV201" s="722"/>
      <c r="GG201" s="723"/>
      <c r="GH201" s="723"/>
      <c r="GI201" s="723"/>
      <c r="GP201" s="728"/>
      <c r="GQ201" s="728"/>
      <c r="GR201" s="728"/>
      <c r="GS201" s="723"/>
      <c r="GT201" s="723"/>
      <c r="GU201" s="723"/>
      <c r="GV201" s="723"/>
      <c r="GW201" s="723"/>
      <c r="GX201" s="723"/>
      <c r="HN201" s="723"/>
      <c r="HO201" s="723"/>
      <c r="HP201" s="723"/>
      <c r="IU201" s="720">
        <f t="shared" si="25"/>
        <v>0</v>
      </c>
      <c r="IV201" s="720">
        <f t="shared" si="26"/>
        <v>223.84375000000003</v>
      </c>
      <c r="JY201" s="720">
        <v>0</v>
      </c>
      <c r="JZ201" s="787">
        <v>0</v>
      </c>
      <c r="KA201" s="720">
        <v>0</v>
      </c>
      <c r="KB201" s="720">
        <v>0</v>
      </c>
      <c r="KC201" s="720">
        <v>0</v>
      </c>
      <c r="KD201" s="720">
        <v>0</v>
      </c>
      <c r="KT201" s="720">
        <v>-0.5</v>
      </c>
      <c r="KU201" s="720">
        <v>1.1299999999999999</v>
      </c>
      <c r="KV201" s="720">
        <v>-1.1299999999999999</v>
      </c>
      <c r="KW201" s="720">
        <v>-4.25</v>
      </c>
    </row>
    <row r="202" spans="1:309">
      <c r="A202" s="634"/>
      <c r="DA202" s="723"/>
      <c r="DB202" s="723"/>
      <c r="DC202" s="723"/>
      <c r="DG202" s="723"/>
      <c r="DH202" s="723"/>
      <c r="DI202" s="723"/>
      <c r="DM202" s="723"/>
      <c r="DN202" s="723"/>
      <c r="DO202" s="723"/>
      <c r="DS202" s="723"/>
      <c r="DT202" s="723"/>
      <c r="DU202" s="723"/>
      <c r="DV202" s="723"/>
      <c r="DW202" s="723"/>
      <c r="DX202" s="723"/>
      <c r="DY202" s="723"/>
      <c r="DZ202" s="723"/>
      <c r="EA202" s="723"/>
      <c r="EB202" s="723"/>
      <c r="EC202" s="723"/>
      <c r="ED202" s="723"/>
      <c r="ET202" s="722"/>
      <c r="EU202" s="722"/>
      <c r="EV202" s="722"/>
      <c r="GG202" s="723"/>
      <c r="GH202" s="723"/>
      <c r="GI202" s="723"/>
      <c r="GP202" s="728"/>
      <c r="GQ202" s="728"/>
      <c r="GR202" s="728"/>
      <c r="GS202" s="723"/>
      <c r="GT202" s="723"/>
      <c r="GU202" s="723"/>
      <c r="GV202" s="723"/>
      <c r="GW202" s="723"/>
      <c r="GX202" s="723"/>
      <c r="HN202" s="723"/>
      <c r="HO202" s="723"/>
      <c r="HP202" s="723"/>
      <c r="IU202" s="720">
        <f t="shared" si="25"/>
        <v>0</v>
      </c>
      <c r="IV202" s="720">
        <f t="shared" si="26"/>
        <v>583.76850000000002</v>
      </c>
      <c r="JY202" s="720">
        <v>0</v>
      </c>
      <c r="KT202" s="720">
        <v>-0.13</v>
      </c>
      <c r="KU202" s="720">
        <v>1.5</v>
      </c>
      <c r="KV202" s="720">
        <v>-2.13</v>
      </c>
      <c r="KW202" s="720">
        <v>-1.94</v>
      </c>
    </row>
    <row r="203" spans="1:309">
      <c r="A203" s="634"/>
      <c r="DA203" s="723"/>
      <c r="DB203" s="723"/>
      <c r="DC203" s="723"/>
      <c r="DG203" s="723"/>
      <c r="DH203" s="723"/>
      <c r="DI203" s="723"/>
      <c r="DM203" s="723"/>
      <c r="DN203" s="723"/>
      <c r="DO203" s="723"/>
      <c r="DS203" s="723"/>
      <c r="DT203" s="723"/>
      <c r="DU203" s="723"/>
      <c r="DV203" s="723"/>
      <c r="DW203" s="723"/>
      <c r="DX203" s="723"/>
      <c r="DY203" s="723"/>
      <c r="DZ203" s="723"/>
      <c r="EA203" s="723"/>
      <c r="EB203" s="723"/>
      <c r="EC203" s="723"/>
      <c r="ED203" s="723"/>
      <c r="ET203" s="722"/>
      <c r="EU203" s="722"/>
      <c r="EV203" s="722"/>
      <c r="GG203" s="723"/>
      <c r="GH203" s="723"/>
      <c r="GI203" s="723"/>
      <c r="GP203" s="728"/>
      <c r="GQ203" s="728"/>
      <c r="GR203" s="728"/>
      <c r="GS203" s="723"/>
      <c r="GT203" s="723"/>
      <c r="GU203" s="723"/>
      <c r="GV203" s="723"/>
      <c r="GW203" s="723"/>
      <c r="GX203" s="723"/>
      <c r="HN203" s="723"/>
      <c r="HO203" s="723"/>
      <c r="HP203" s="723"/>
      <c r="IU203" s="720">
        <f t="shared" si="25"/>
        <v>2699.1731249999998</v>
      </c>
      <c r="IV203" s="720">
        <f t="shared" si="26"/>
        <v>1208.3568749999999</v>
      </c>
      <c r="JY203" s="720">
        <v>0</v>
      </c>
      <c r="JZ203" s="787">
        <v>0</v>
      </c>
      <c r="KA203" s="720">
        <v>0</v>
      </c>
      <c r="KB203" s="720">
        <v>0</v>
      </c>
      <c r="KC203" s="720">
        <v>0</v>
      </c>
      <c r="KD203" s="720">
        <v>0</v>
      </c>
      <c r="KT203" s="720">
        <v>-1.5</v>
      </c>
      <c r="KU203" s="720">
        <v>2.25</v>
      </c>
      <c r="KV203" s="720">
        <v>0.25</v>
      </c>
      <c r="KW203" s="720">
        <v>-0.75</v>
      </c>
    </row>
    <row r="204" spans="1:309">
      <c r="A204" s="634"/>
      <c r="DA204" s="723"/>
      <c r="DB204" s="723"/>
      <c r="DC204" s="723"/>
      <c r="DG204" s="723"/>
      <c r="DH204" s="723"/>
      <c r="DI204" s="723"/>
      <c r="DM204" s="723"/>
      <c r="DN204" s="723"/>
      <c r="DO204" s="723"/>
      <c r="DS204" s="723"/>
      <c r="DT204" s="723"/>
      <c r="DU204" s="723"/>
      <c r="DV204" s="723"/>
      <c r="DW204" s="723"/>
      <c r="DX204" s="723"/>
      <c r="DY204" s="723"/>
      <c r="DZ204" s="723"/>
      <c r="EA204" s="723"/>
      <c r="EB204" s="723"/>
      <c r="EC204" s="723"/>
      <c r="ED204" s="723"/>
      <c r="ET204" s="722"/>
      <c r="EU204" s="722"/>
      <c r="EV204" s="722"/>
      <c r="GG204" s="723"/>
      <c r="GH204" s="723"/>
      <c r="GI204" s="723"/>
      <c r="GP204" s="728"/>
      <c r="GQ204" s="728"/>
      <c r="GR204" s="728"/>
      <c r="GS204" s="723"/>
      <c r="GT204" s="723"/>
      <c r="GU204" s="723"/>
      <c r="GV204" s="723"/>
      <c r="GW204" s="723"/>
      <c r="GX204" s="723"/>
      <c r="HN204" s="723"/>
      <c r="HO204" s="723"/>
      <c r="HP204" s="723"/>
      <c r="IU204" s="720">
        <f t="shared" si="25"/>
        <v>3952.1625000000004</v>
      </c>
      <c r="IV204" s="720">
        <f t="shared" si="26"/>
        <v>1724.260125</v>
      </c>
      <c r="JY204" s="720">
        <v>0</v>
      </c>
      <c r="JZ204" s="787">
        <v>0</v>
      </c>
      <c r="KA204" s="720">
        <v>0</v>
      </c>
      <c r="KB204" s="720">
        <v>0</v>
      </c>
      <c r="KC204" s="720">
        <v>0</v>
      </c>
      <c r="KD204" s="720">
        <v>0</v>
      </c>
      <c r="KT204" s="720">
        <v>-22.38</v>
      </c>
      <c r="KU204" s="720">
        <v>1.25</v>
      </c>
      <c r="KV204" s="720">
        <v>-2.25</v>
      </c>
      <c r="KW204" s="720">
        <v>-26.5</v>
      </c>
    </row>
    <row r="205" spans="1:309">
      <c r="A205" s="634"/>
      <c r="DA205" s="723"/>
      <c r="DB205" s="723"/>
      <c r="DC205" s="723"/>
      <c r="DG205" s="723"/>
      <c r="DH205" s="723"/>
      <c r="DI205" s="723"/>
      <c r="DM205" s="723"/>
      <c r="DN205" s="723"/>
      <c r="DO205" s="723"/>
      <c r="DS205" s="723"/>
      <c r="DT205" s="723"/>
      <c r="DU205" s="723"/>
      <c r="DV205" s="723"/>
      <c r="DW205" s="723"/>
      <c r="DX205" s="723"/>
      <c r="DY205" s="723"/>
      <c r="DZ205" s="723"/>
      <c r="EA205" s="723"/>
      <c r="EB205" s="723"/>
      <c r="EC205" s="723"/>
      <c r="ED205" s="723"/>
      <c r="ET205" s="722"/>
      <c r="EU205" s="722"/>
      <c r="EV205" s="722"/>
      <c r="GG205" s="723"/>
      <c r="GH205" s="723"/>
      <c r="GI205" s="723"/>
      <c r="GP205" s="728"/>
      <c r="GQ205" s="728"/>
      <c r="GR205" s="728"/>
      <c r="GS205" s="723"/>
      <c r="GT205" s="723"/>
      <c r="GU205" s="723"/>
      <c r="GV205" s="723"/>
      <c r="GW205" s="723"/>
      <c r="GX205" s="723"/>
      <c r="HN205" s="723"/>
      <c r="HO205" s="723"/>
      <c r="HP205" s="723"/>
      <c r="IU205" s="720">
        <f t="shared" si="25"/>
        <v>313.55999999999995</v>
      </c>
      <c r="IV205" s="720">
        <f t="shared" si="26"/>
        <v>348.36749999999887</v>
      </c>
      <c r="JY205" s="720">
        <v>0</v>
      </c>
      <c r="JZ205" s="787">
        <v>0</v>
      </c>
      <c r="KA205" s="720">
        <v>0</v>
      </c>
      <c r="KB205" s="720">
        <v>0</v>
      </c>
      <c r="KC205" s="720">
        <v>8.3333333333333295E-4</v>
      </c>
      <c r="KD205" s="720">
        <v>2.6315789473684201E-3</v>
      </c>
      <c r="KT205" s="720">
        <v>-1</v>
      </c>
      <c r="KU205" s="720">
        <v>0.38</v>
      </c>
      <c r="KV205" s="720">
        <v>-3.38</v>
      </c>
      <c r="KW205" s="720">
        <v>-8</v>
      </c>
    </row>
    <row r="206" spans="1:309">
      <c r="A206" s="634"/>
      <c r="DA206" s="723"/>
      <c r="DB206" s="723"/>
      <c r="DC206" s="723"/>
      <c r="DG206" s="723"/>
      <c r="DH206" s="723"/>
      <c r="DI206" s="723"/>
      <c r="DM206" s="723"/>
      <c r="DN206" s="723"/>
      <c r="DO206" s="723"/>
      <c r="DS206" s="723"/>
      <c r="DT206" s="723"/>
      <c r="DU206" s="723"/>
      <c r="DV206" s="723"/>
      <c r="DW206" s="723"/>
      <c r="DX206" s="723"/>
      <c r="DY206" s="723"/>
      <c r="DZ206" s="723"/>
      <c r="EA206" s="723"/>
      <c r="EB206" s="723"/>
      <c r="EC206" s="723"/>
      <c r="ED206" s="723"/>
      <c r="ET206" s="722"/>
      <c r="EU206" s="722"/>
      <c r="EV206" s="722"/>
      <c r="GG206" s="723"/>
      <c r="GH206" s="723"/>
      <c r="GI206" s="723"/>
      <c r="GP206" s="728"/>
      <c r="GQ206" s="728"/>
      <c r="GR206" s="728"/>
      <c r="GS206" s="723"/>
      <c r="GT206" s="723"/>
      <c r="GU206" s="723"/>
      <c r="GV206" s="723"/>
      <c r="GW206" s="723"/>
      <c r="GX206" s="723"/>
      <c r="HN206" s="723"/>
      <c r="HO206" s="723"/>
      <c r="HP206" s="723"/>
      <c r="IU206" s="720">
        <f t="shared" si="25"/>
        <v>2634.7999999999997</v>
      </c>
      <c r="IV206" s="720">
        <f t="shared" si="26"/>
        <v>751.23124999999993</v>
      </c>
      <c r="JY206" s="720">
        <v>0</v>
      </c>
      <c r="JZ206" s="787">
        <v>0</v>
      </c>
      <c r="KA206" s="720">
        <v>0</v>
      </c>
      <c r="KB206" s="720">
        <v>0</v>
      </c>
      <c r="KC206" s="720">
        <v>0</v>
      </c>
      <c r="KD206" s="720">
        <v>0</v>
      </c>
      <c r="KT206" s="720">
        <v>1.75</v>
      </c>
      <c r="KU206" s="720">
        <v>1.5</v>
      </c>
      <c r="KV206" s="720">
        <v>-3.63</v>
      </c>
      <c r="KW206" s="720">
        <v>-2.75</v>
      </c>
    </row>
    <row r="207" spans="1:309">
      <c r="A207" s="634"/>
      <c r="DA207" s="723"/>
      <c r="DB207" s="723"/>
      <c r="DC207" s="723"/>
      <c r="DG207" s="723"/>
      <c r="DH207" s="723"/>
      <c r="DI207" s="723"/>
      <c r="DM207" s="723"/>
      <c r="DN207" s="723"/>
      <c r="DO207" s="723"/>
      <c r="DS207" s="723"/>
      <c r="DT207" s="723"/>
      <c r="DU207" s="723"/>
      <c r="DV207" s="723"/>
      <c r="DW207" s="723"/>
      <c r="DX207" s="723"/>
      <c r="DY207" s="723"/>
      <c r="DZ207" s="723"/>
      <c r="EA207" s="723"/>
      <c r="EB207" s="723"/>
      <c r="EC207" s="723"/>
      <c r="ED207" s="723"/>
      <c r="ET207" s="722"/>
      <c r="EU207" s="722"/>
      <c r="EV207" s="722"/>
      <c r="GG207" s="723"/>
      <c r="GH207" s="723"/>
      <c r="GI207" s="723"/>
      <c r="GP207" s="728"/>
      <c r="GQ207" s="728"/>
      <c r="GR207" s="728"/>
      <c r="GS207" s="723"/>
      <c r="GT207" s="723"/>
      <c r="GU207" s="723"/>
      <c r="GV207" s="723"/>
      <c r="GW207" s="723"/>
      <c r="GX207" s="723"/>
      <c r="HN207" s="723"/>
      <c r="HO207" s="723"/>
      <c r="HP207" s="723"/>
      <c r="IU207" s="720">
        <f t="shared" si="25"/>
        <v>501.25499999999994</v>
      </c>
      <c r="IV207" s="720">
        <f t="shared" si="26"/>
        <v>711.92375000000004</v>
      </c>
      <c r="JY207" s="720">
        <v>0</v>
      </c>
      <c r="JZ207" s="787">
        <v>0</v>
      </c>
      <c r="KA207" s="720">
        <v>0</v>
      </c>
      <c r="KB207" s="720">
        <v>0</v>
      </c>
      <c r="KC207" s="720">
        <v>0</v>
      </c>
      <c r="KD207" s="720">
        <v>0</v>
      </c>
      <c r="KT207" s="720">
        <v>2.38</v>
      </c>
      <c r="KU207" s="720">
        <v>-0.13</v>
      </c>
      <c r="KV207" s="720">
        <v>-0.5</v>
      </c>
      <c r="KW207" s="720">
        <v>-1.25</v>
      </c>
    </row>
    <row r="208" spans="1:309">
      <c r="A208" s="634"/>
      <c r="DA208" s="723"/>
      <c r="DB208" s="723"/>
      <c r="DC208" s="723"/>
      <c r="DG208" s="723"/>
      <c r="DH208" s="723"/>
      <c r="DI208" s="723"/>
      <c r="DM208" s="723"/>
      <c r="DN208" s="723"/>
      <c r="DO208" s="723"/>
      <c r="DS208" s="723"/>
      <c r="DT208" s="723"/>
      <c r="DU208" s="723"/>
      <c r="DV208" s="723"/>
      <c r="DW208" s="723"/>
      <c r="DX208" s="723"/>
      <c r="DY208" s="723"/>
      <c r="DZ208" s="723"/>
      <c r="EA208" s="723"/>
      <c r="EB208" s="723"/>
      <c r="EC208" s="723"/>
      <c r="ED208" s="723"/>
      <c r="ET208" s="722"/>
      <c r="EU208" s="722"/>
      <c r="EV208" s="722"/>
      <c r="GG208" s="723"/>
      <c r="GH208" s="723"/>
      <c r="GI208" s="723"/>
      <c r="GP208" s="728"/>
      <c r="GQ208" s="728"/>
      <c r="GR208" s="728"/>
      <c r="GS208" s="723"/>
      <c r="GT208" s="723"/>
      <c r="GU208" s="723"/>
      <c r="GV208" s="723"/>
      <c r="GW208" s="723"/>
      <c r="GX208" s="723"/>
      <c r="HN208" s="723"/>
      <c r="HO208" s="723"/>
      <c r="HP208" s="723"/>
      <c r="IU208" s="720">
        <f t="shared" si="25"/>
        <v>4045.9375</v>
      </c>
      <c r="IV208" s="720">
        <f t="shared" si="26"/>
        <v>1216.1479999999999</v>
      </c>
      <c r="JY208" s="720">
        <v>0</v>
      </c>
      <c r="JZ208" s="787">
        <v>0</v>
      </c>
      <c r="KA208" s="720">
        <v>0</v>
      </c>
      <c r="KB208" s="720">
        <v>0</v>
      </c>
      <c r="KC208" s="720">
        <v>0</v>
      </c>
      <c r="KD208" s="720">
        <v>0</v>
      </c>
      <c r="KT208" s="720">
        <v>-0.88</v>
      </c>
      <c r="KU208" s="720">
        <v>0.25</v>
      </c>
      <c r="KV208" s="720">
        <v>-3</v>
      </c>
      <c r="KW208" s="720">
        <v>-8.3800000000000008</v>
      </c>
    </row>
    <row r="209" spans="1:309">
      <c r="A209" s="634"/>
      <c r="DA209" s="723"/>
      <c r="DB209" s="723"/>
      <c r="DC209" s="723"/>
      <c r="DG209" s="723"/>
      <c r="DH209" s="723"/>
      <c r="DI209" s="723"/>
      <c r="DM209" s="723"/>
      <c r="DN209" s="723"/>
      <c r="DO209" s="723"/>
      <c r="DS209" s="723"/>
      <c r="DT209" s="723"/>
      <c r="DU209" s="723"/>
      <c r="DV209" s="723"/>
      <c r="DW209" s="723"/>
      <c r="DX209" s="723"/>
      <c r="DY209" s="723"/>
      <c r="DZ209" s="723"/>
      <c r="EA209" s="723"/>
      <c r="EB209" s="723"/>
      <c r="EC209" s="723"/>
      <c r="ED209" s="723"/>
      <c r="ET209" s="722"/>
      <c r="EU209" s="722"/>
      <c r="EV209" s="722"/>
      <c r="GG209" s="723"/>
      <c r="GH209" s="723"/>
      <c r="GI209" s="723"/>
      <c r="GP209" s="728"/>
      <c r="GQ209" s="728"/>
      <c r="GR209" s="728"/>
      <c r="GS209" s="723"/>
      <c r="GT209" s="723"/>
      <c r="GU209" s="723"/>
      <c r="GV209" s="723"/>
      <c r="GW209" s="723"/>
      <c r="GX209" s="723"/>
      <c r="HN209" s="723"/>
      <c r="HO209" s="723"/>
      <c r="HP209" s="723"/>
      <c r="IU209" s="720">
        <f t="shared" si="25"/>
        <v>3226.5</v>
      </c>
      <c r="IV209" s="720">
        <f t="shared" si="26"/>
        <v>1945.1145000000001</v>
      </c>
      <c r="JY209" s="720">
        <v>0</v>
      </c>
      <c r="JZ209" s="787">
        <v>0</v>
      </c>
      <c r="KA209" s="720">
        <v>0</v>
      </c>
      <c r="KB209" s="720">
        <v>0</v>
      </c>
      <c r="KC209" s="720">
        <v>0</v>
      </c>
      <c r="KD209" s="720">
        <v>0</v>
      </c>
      <c r="KT209" s="720">
        <v>0.5</v>
      </c>
      <c r="KU209" s="720">
        <v>0.88</v>
      </c>
      <c r="KV209" s="720">
        <v>-3.88</v>
      </c>
      <c r="KW209" s="720">
        <v>-4.75</v>
      </c>
    </row>
    <row r="210" spans="1:309">
      <c r="A210" s="634"/>
      <c r="DA210" s="723"/>
      <c r="DB210" s="723"/>
      <c r="DC210" s="723"/>
      <c r="DG210" s="723"/>
      <c r="DH210" s="723"/>
      <c r="DI210" s="723"/>
      <c r="DM210" s="723"/>
      <c r="DN210" s="723"/>
      <c r="DO210" s="723"/>
      <c r="DS210" s="723"/>
      <c r="DT210" s="723"/>
      <c r="DU210" s="723"/>
      <c r="DV210" s="723"/>
      <c r="DW210" s="723"/>
      <c r="DX210" s="723"/>
      <c r="DY210" s="723"/>
      <c r="DZ210" s="723"/>
      <c r="EA210" s="723"/>
      <c r="EB210" s="723"/>
      <c r="EC210" s="723"/>
      <c r="ED210" s="723"/>
      <c r="ET210" s="722"/>
      <c r="EU210" s="722"/>
      <c r="EV210" s="722"/>
      <c r="GG210" s="723"/>
      <c r="GH210" s="723"/>
      <c r="GI210" s="723"/>
      <c r="GP210" s="728"/>
      <c r="GQ210" s="728"/>
      <c r="GR210" s="728"/>
      <c r="GS210" s="723"/>
      <c r="GT210" s="723"/>
      <c r="GU210" s="723"/>
      <c r="GV210" s="723"/>
      <c r="GW210" s="723"/>
      <c r="GX210" s="723"/>
      <c r="HN210" s="723"/>
      <c r="HO210" s="723"/>
      <c r="HP210" s="723"/>
      <c r="IU210" s="720">
        <f t="shared" si="25"/>
        <v>3346.6543750000001</v>
      </c>
      <c r="IV210" s="720">
        <f t="shared" si="26"/>
        <v>1337.011</v>
      </c>
      <c r="JY210" s="720">
        <v>0</v>
      </c>
      <c r="JZ210" s="787">
        <v>0</v>
      </c>
      <c r="KA210" s="720">
        <v>0</v>
      </c>
      <c r="KB210" s="720">
        <v>0</v>
      </c>
      <c r="KC210" s="720">
        <v>0</v>
      </c>
      <c r="KD210" s="720">
        <v>0</v>
      </c>
      <c r="KT210" s="720">
        <v>1.75</v>
      </c>
      <c r="KU210" s="720">
        <v>0</v>
      </c>
      <c r="KV210" s="720">
        <v>-3.63</v>
      </c>
      <c r="KW210" s="720">
        <v>-5.38</v>
      </c>
    </row>
    <row r="211" spans="1:309">
      <c r="A211" s="634"/>
      <c r="DA211" s="723"/>
      <c r="DB211" s="723"/>
      <c r="DC211" s="723"/>
      <c r="DG211" s="723"/>
      <c r="DH211" s="723"/>
      <c r="DI211" s="723"/>
      <c r="DM211" s="723"/>
      <c r="DN211" s="723"/>
      <c r="DO211" s="723"/>
      <c r="DS211" s="723"/>
      <c r="DT211" s="723"/>
      <c r="DU211" s="723"/>
      <c r="DV211" s="723"/>
      <c r="DW211" s="723"/>
      <c r="DX211" s="723"/>
      <c r="DY211" s="723"/>
      <c r="DZ211" s="723"/>
      <c r="EA211" s="723"/>
      <c r="EB211" s="723"/>
      <c r="EC211" s="723"/>
      <c r="ED211" s="723"/>
      <c r="ET211" s="722"/>
      <c r="EU211" s="722"/>
      <c r="EV211" s="722"/>
      <c r="GG211" s="723"/>
      <c r="GH211" s="723"/>
      <c r="GI211" s="723"/>
      <c r="GP211" s="728"/>
      <c r="GQ211" s="728"/>
      <c r="GR211" s="728"/>
      <c r="GS211" s="723"/>
      <c r="GT211" s="723"/>
      <c r="GU211" s="723"/>
      <c r="GV211" s="723"/>
      <c r="GW211" s="723"/>
      <c r="GX211" s="723"/>
      <c r="HN211" s="723"/>
      <c r="HO211" s="723"/>
      <c r="HP211" s="723"/>
      <c r="IU211" s="720">
        <f t="shared" si="25"/>
        <v>2517.3812499999999</v>
      </c>
      <c r="IV211" s="720">
        <f t="shared" si="26"/>
        <v>2029.27125</v>
      </c>
      <c r="JY211" s="720">
        <v>0</v>
      </c>
      <c r="KT211" s="720">
        <v>1.38</v>
      </c>
      <c r="KU211" s="720">
        <v>-0.13</v>
      </c>
      <c r="KV211" s="720">
        <v>-0.25</v>
      </c>
      <c r="KW211" s="720">
        <v>-2.06</v>
      </c>
    </row>
    <row r="212" spans="1:309">
      <c r="A212" s="634"/>
      <c r="DG212" s="723"/>
      <c r="DH212" s="723"/>
      <c r="DI212" s="723"/>
      <c r="DM212" s="723"/>
      <c r="DN212" s="723"/>
      <c r="DO212" s="723"/>
      <c r="DS212" s="723"/>
      <c r="DT212" s="723"/>
      <c r="DU212" s="723"/>
      <c r="DV212" s="723"/>
      <c r="DW212" s="723"/>
      <c r="DX212" s="723"/>
      <c r="DY212" s="723"/>
      <c r="DZ212" s="723"/>
      <c r="EA212" s="723"/>
      <c r="EB212" s="723"/>
      <c r="EC212" s="723"/>
      <c r="ED212" s="723"/>
      <c r="ET212" s="722"/>
      <c r="EU212" s="722"/>
      <c r="EV212" s="722"/>
      <c r="GG212" s="723"/>
      <c r="GH212" s="723"/>
      <c r="GI212" s="723"/>
      <c r="GP212" s="728"/>
      <c r="GQ212" s="728"/>
      <c r="GR212" s="728"/>
      <c r="GS212" s="723"/>
      <c r="GT212" s="723"/>
      <c r="GU212" s="723"/>
      <c r="GV212" s="723"/>
      <c r="GW212" s="723"/>
      <c r="GX212" s="723"/>
      <c r="HN212" s="723"/>
      <c r="HO212" s="723"/>
      <c r="HP212" s="723"/>
      <c r="IU212" s="720">
        <f t="shared" si="25"/>
        <v>3501.3125</v>
      </c>
      <c r="IV212" s="720">
        <f t="shared" si="26"/>
        <v>2937.66</v>
      </c>
      <c r="JY212" s="720">
        <v>0</v>
      </c>
      <c r="JZ212" s="787">
        <v>0</v>
      </c>
      <c r="KA212" s="720">
        <v>7.4999999999999997E-3</v>
      </c>
      <c r="KB212" s="720">
        <v>-2.1739130434782601E-2</v>
      </c>
      <c r="KC212" s="720">
        <v>0</v>
      </c>
      <c r="KD212" s="720">
        <v>0</v>
      </c>
      <c r="KT212" s="720">
        <v>0.25</v>
      </c>
      <c r="KU212" s="720">
        <v>1.38</v>
      </c>
      <c r="KV212" s="720">
        <v>-3.38</v>
      </c>
      <c r="KW212" s="720">
        <v>-4</v>
      </c>
    </row>
    <row r="213" spans="1:309">
      <c r="A213" s="634"/>
      <c r="DG213" s="723"/>
      <c r="DH213" s="723"/>
      <c r="DI213" s="723"/>
      <c r="DM213" s="723"/>
      <c r="DN213" s="723"/>
      <c r="DO213" s="723"/>
      <c r="DS213" s="723"/>
      <c r="DT213" s="723"/>
      <c r="DU213" s="723"/>
      <c r="DV213" s="723"/>
      <c r="DW213" s="723"/>
      <c r="DX213" s="723"/>
      <c r="DY213" s="723"/>
      <c r="DZ213" s="723"/>
      <c r="EA213" s="723"/>
      <c r="EB213" s="723"/>
      <c r="EC213" s="723"/>
      <c r="ED213" s="723"/>
      <c r="ET213" s="722"/>
      <c r="EU213" s="722"/>
      <c r="EV213" s="722"/>
      <c r="GG213" s="723"/>
      <c r="GH213" s="723"/>
      <c r="GI213" s="723"/>
      <c r="GP213" s="728"/>
      <c r="GQ213" s="728"/>
      <c r="GR213" s="728"/>
      <c r="GS213" s="723"/>
      <c r="GT213" s="723"/>
      <c r="GU213" s="723"/>
      <c r="GV213" s="723"/>
      <c r="GW213" s="723"/>
      <c r="GX213" s="723"/>
      <c r="HN213" s="723"/>
      <c r="HO213" s="723"/>
      <c r="HP213" s="723"/>
      <c r="IU213" s="720">
        <f t="shared" si="25"/>
        <v>463.24374999999998</v>
      </c>
      <c r="IV213" s="720">
        <f t="shared" si="26"/>
        <v>205.35974999999999</v>
      </c>
      <c r="JY213" s="720">
        <v>0</v>
      </c>
      <c r="JZ213" s="787">
        <v>0</v>
      </c>
      <c r="KA213" s="720">
        <v>0</v>
      </c>
      <c r="KB213" s="720">
        <v>0</v>
      </c>
      <c r="KC213" s="720">
        <v>0</v>
      </c>
      <c r="KD213" s="720">
        <v>0</v>
      </c>
      <c r="KT213" s="720">
        <v>1.1299999999999999</v>
      </c>
      <c r="KU213" s="720">
        <v>0</v>
      </c>
      <c r="KV213" s="720">
        <v>-0.38</v>
      </c>
      <c r="KW213" s="720">
        <v>-2.38</v>
      </c>
    </row>
    <row r="214" spans="1:309">
      <c r="A214" s="634"/>
      <c r="DG214" s="723"/>
      <c r="DH214" s="723"/>
      <c r="DI214" s="723"/>
      <c r="DM214" s="723"/>
      <c r="DN214" s="723"/>
      <c r="DO214" s="723"/>
      <c r="DS214" s="723"/>
      <c r="DT214" s="723"/>
      <c r="DU214" s="723"/>
      <c r="DV214" s="723"/>
      <c r="DW214" s="723"/>
      <c r="DX214" s="723"/>
      <c r="DY214" s="723"/>
      <c r="DZ214" s="723"/>
      <c r="EA214" s="723"/>
      <c r="EB214" s="723"/>
      <c r="EC214" s="723"/>
      <c r="ED214" s="723"/>
      <c r="ET214" s="722"/>
      <c r="EU214" s="722"/>
      <c r="EV214" s="722"/>
      <c r="GG214" s="723"/>
      <c r="GH214" s="723"/>
      <c r="GI214" s="723"/>
      <c r="GP214" s="728"/>
      <c r="GQ214" s="728"/>
      <c r="GR214" s="728"/>
      <c r="GS214" s="723"/>
      <c r="GT214" s="723"/>
      <c r="GU214" s="723"/>
      <c r="GV214" s="723"/>
      <c r="GW214" s="723"/>
      <c r="GX214" s="723"/>
      <c r="HN214" s="723"/>
      <c r="HO214" s="723"/>
      <c r="HP214" s="723"/>
      <c r="IU214" s="720">
        <f t="shared" si="25"/>
        <v>776.55499999999995</v>
      </c>
      <c r="IV214" s="720">
        <f t="shared" si="26"/>
        <v>440.04999999999995</v>
      </c>
      <c r="JY214" s="720">
        <v>0</v>
      </c>
      <c r="JZ214" s="787">
        <v>0</v>
      </c>
      <c r="KA214" s="720">
        <v>0</v>
      </c>
      <c r="KB214" s="720">
        <v>0</v>
      </c>
      <c r="KC214" s="720">
        <v>0</v>
      </c>
      <c r="KD214" s="720">
        <v>0</v>
      </c>
      <c r="KT214" s="720">
        <v>0.75</v>
      </c>
      <c r="KU214" s="720">
        <v>-0.88</v>
      </c>
      <c r="KV214" s="720">
        <v>-1.63</v>
      </c>
      <c r="KW214" s="720">
        <v>-1.63</v>
      </c>
    </row>
    <row r="215" spans="1:309">
      <c r="A215" s="634"/>
      <c r="DG215" s="723"/>
      <c r="DH215" s="723"/>
      <c r="DI215" s="723"/>
      <c r="DM215" s="723"/>
      <c r="DN215" s="723"/>
      <c r="DO215" s="723"/>
      <c r="DS215" s="723"/>
      <c r="DT215" s="723"/>
      <c r="DU215" s="723"/>
      <c r="DV215" s="723"/>
      <c r="DW215" s="723"/>
      <c r="DX215" s="723"/>
      <c r="DY215" s="723"/>
      <c r="DZ215" s="723"/>
      <c r="EA215" s="723"/>
      <c r="EB215" s="723"/>
      <c r="EC215" s="723"/>
      <c r="ED215" s="723"/>
      <c r="ET215" s="722"/>
      <c r="EU215" s="722"/>
      <c r="EV215" s="722"/>
      <c r="GG215" s="723"/>
      <c r="GH215" s="723"/>
      <c r="GI215" s="723"/>
      <c r="GP215" s="728"/>
      <c r="GQ215" s="728"/>
      <c r="GR215" s="728"/>
      <c r="GS215" s="723"/>
      <c r="GT215" s="723"/>
      <c r="GU215" s="723"/>
      <c r="GV215" s="723"/>
      <c r="GW215" s="723"/>
      <c r="GX215" s="723"/>
      <c r="HN215" s="723"/>
      <c r="HO215" s="723"/>
      <c r="HP215" s="723"/>
      <c r="IU215" s="720">
        <f t="shared" si="25"/>
        <v>11865.875</v>
      </c>
      <c r="IV215" s="720">
        <f t="shared" si="26"/>
        <v>10460.53125</v>
      </c>
      <c r="JY215" s="720">
        <v>0</v>
      </c>
      <c r="JZ215" s="787">
        <v>0</v>
      </c>
      <c r="KA215" s="720">
        <v>0</v>
      </c>
      <c r="KB215" s="720">
        <v>0</v>
      </c>
      <c r="KC215" s="720">
        <v>0</v>
      </c>
      <c r="KD215" s="720">
        <v>0</v>
      </c>
      <c r="KT215" s="720">
        <v>-0.63</v>
      </c>
      <c r="KU215" s="720">
        <v>1.38</v>
      </c>
      <c r="KV215" s="720">
        <v>-6.13</v>
      </c>
      <c r="KW215" s="720">
        <v>-11.13</v>
      </c>
    </row>
    <row r="216" spans="1:309">
      <c r="A216" s="634"/>
      <c r="DG216" s="723"/>
      <c r="DH216" s="723"/>
      <c r="DI216" s="723"/>
      <c r="DM216" s="723"/>
      <c r="DN216" s="723"/>
      <c r="DO216" s="723"/>
      <c r="DS216" s="723"/>
      <c r="DT216" s="723"/>
      <c r="DU216" s="723"/>
      <c r="DV216" s="723"/>
      <c r="DW216" s="723"/>
      <c r="DX216" s="723"/>
      <c r="DY216" s="723"/>
      <c r="DZ216" s="723"/>
      <c r="EA216" s="723"/>
      <c r="EB216" s="723"/>
      <c r="EC216" s="723"/>
      <c r="ED216" s="723"/>
      <c r="ET216" s="722"/>
      <c r="EU216" s="722"/>
      <c r="EV216" s="722"/>
      <c r="GG216" s="723"/>
      <c r="GH216" s="723"/>
      <c r="GI216" s="723"/>
      <c r="GP216" s="728"/>
      <c r="GQ216" s="728"/>
      <c r="GR216" s="728"/>
      <c r="GS216" s="723"/>
      <c r="GT216" s="723"/>
      <c r="GU216" s="723"/>
      <c r="GV216" s="723"/>
      <c r="GW216" s="723"/>
      <c r="GX216" s="723"/>
      <c r="HN216" s="723"/>
      <c r="HO216" s="723"/>
      <c r="HP216" s="723"/>
      <c r="IU216" s="720">
        <f t="shared" si="25"/>
        <v>5127.9074999999993</v>
      </c>
      <c r="IV216" s="720">
        <f t="shared" si="26"/>
        <v>5171.8415000000005</v>
      </c>
      <c r="JY216" s="720">
        <v>0</v>
      </c>
      <c r="JZ216" s="787">
        <v>0</v>
      </c>
      <c r="KA216" s="720">
        <v>0</v>
      </c>
      <c r="KB216" s="720">
        <v>0</v>
      </c>
      <c r="KC216" s="720">
        <v>0</v>
      </c>
      <c r="KD216" s="720">
        <v>0</v>
      </c>
      <c r="KT216" s="720">
        <v>-2.5</v>
      </c>
      <c r="KU216" s="720">
        <v>3.13</v>
      </c>
      <c r="KV216" s="720">
        <v>-4.38</v>
      </c>
      <c r="KW216" s="720">
        <v>-3.13</v>
      </c>
    </row>
    <row r="217" spans="1:309">
      <c r="A217" s="634"/>
      <c r="DG217" s="723"/>
      <c r="DH217" s="723"/>
      <c r="DI217" s="723"/>
      <c r="DM217" s="723"/>
      <c r="DN217" s="723"/>
      <c r="DO217" s="723"/>
      <c r="DS217" s="723"/>
      <c r="DT217" s="723"/>
      <c r="DU217" s="723"/>
      <c r="DV217" s="723"/>
      <c r="DW217" s="723"/>
      <c r="DX217" s="723"/>
      <c r="DY217" s="723"/>
      <c r="DZ217" s="723"/>
      <c r="EA217" s="723"/>
      <c r="ET217" s="722"/>
      <c r="EU217" s="722"/>
      <c r="EV217" s="722"/>
      <c r="GG217" s="723"/>
      <c r="GH217" s="723"/>
      <c r="GI217" s="723"/>
      <c r="GP217" s="728"/>
      <c r="GQ217" s="728"/>
      <c r="GR217" s="728"/>
      <c r="GS217" s="723"/>
      <c r="GT217" s="723"/>
      <c r="GU217" s="723"/>
      <c r="GV217" s="723"/>
      <c r="GW217" s="723"/>
      <c r="GX217" s="723"/>
      <c r="HN217" s="723"/>
      <c r="HO217" s="723"/>
      <c r="HP217" s="723"/>
      <c r="IU217" s="720">
        <f t="shared" si="25"/>
        <v>10318.375</v>
      </c>
      <c r="IV217" s="720">
        <f t="shared" si="26"/>
        <v>5426.75</v>
      </c>
      <c r="JY217" s="720">
        <v>0</v>
      </c>
      <c r="JZ217" s="787">
        <v>0</v>
      </c>
      <c r="KA217" s="720">
        <v>0</v>
      </c>
      <c r="KB217" s="720">
        <v>0</v>
      </c>
      <c r="KC217" s="720">
        <v>0</v>
      </c>
      <c r="KD217" s="720">
        <v>0</v>
      </c>
      <c r="KT217" s="720">
        <v>0.38</v>
      </c>
      <c r="KU217" s="720">
        <v>3.38</v>
      </c>
      <c r="KV217" s="720">
        <v>-3.5</v>
      </c>
      <c r="KW217" s="720">
        <v>-3.88</v>
      </c>
    </row>
    <row r="218" spans="1:309">
      <c r="A218" s="634"/>
      <c r="DM218" s="723"/>
      <c r="DN218" s="723"/>
      <c r="DO218" s="723"/>
      <c r="DS218" s="723"/>
      <c r="DT218" s="723"/>
      <c r="DU218" s="723"/>
      <c r="DV218" s="723"/>
      <c r="DW218" s="723"/>
      <c r="DX218" s="723"/>
      <c r="DY218" s="723"/>
      <c r="DZ218" s="723"/>
      <c r="EA218" s="723"/>
      <c r="ET218" s="722"/>
      <c r="EU218" s="722"/>
      <c r="EV218" s="722"/>
      <c r="GG218" s="723"/>
      <c r="GH218" s="723"/>
      <c r="GI218" s="723"/>
      <c r="GP218" s="728"/>
      <c r="GQ218" s="728"/>
      <c r="GR218" s="728"/>
      <c r="GS218" s="723"/>
      <c r="GT218" s="723"/>
      <c r="GU218" s="723"/>
      <c r="GV218" s="723"/>
      <c r="GW218" s="723"/>
      <c r="GX218" s="723"/>
      <c r="HN218" s="723"/>
      <c r="HO218" s="723"/>
      <c r="HP218" s="723"/>
      <c r="IU218" s="720">
        <f t="shared" si="25"/>
        <v>3801.7156249999998</v>
      </c>
      <c r="IV218" s="720">
        <f t="shared" si="26"/>
        <v>1796.9275</v>
      </c>
      <c r="JY218" s="720">
        <v>0</v>
      </c>
      <c r="JZ218" s="787">
        <v>0</v>
      </c>
      <c r="KA218" s="720">
        <v>1.4999999999999999E-2</v>
      </c>
      <c r="KB218" s="720">
        <v>-2.8571428571428501E-2</v>
      </c>
      <c r="KC218" s="720">
        <v>0</v>
      </c>
      <c r="KD218" s="720">
        <v>0</v>
      </c>
      <c r="KT218" s="720">
        <v>-0.63</v>
      </c>
      <c r="KU218" s="720">
        <v>-2.75</v>
      </c>
      <c r="KV218" s="720">
        <v>-3.13</v>
      </c>
      <c r="KW218" s="720">
        <v>-10.75</v>
      </c>
    </row>
    <row r="219" spans="1:309">
      <c r="A219" s="634"/>
      <c r="DM219" s="723"/>
      <c r="DN219" s="723"/>
      <c r="DO219" s="723"/>
      <c r="DS219" s="723"/>
      <c r="DT219" s="723"/>
      <c r="DU219" s="723"/>
      <c r="DV219" s="723"/>
      <c r="DW219" s="723"/>
      <c r="DX219" s="723"/>
      <c r="DY219" s="723"/>
      <c r="DZ219" s="723"/>
      <c r="EA219" s="723"/>
      <c r="ET219" s="722"/>
      <c r="EU219" s="722"/>
      <c r="EV219" s="722"/>
      <c r="GG219" s="723"/>
      <c r="GH219" s="723"/>
      <c r="GI219" s="723"/>
      <c r="GP219" s="728"/>
      <c r="GQ219" s="728"/>
      <c r="GR219" s="728"/>
      <c r="GS219" s="723"/>
      <c r="GT219" s="723"/>
      <c r="GU219" s="723"/>
      <c r="GV219" s="723"/>
      <c r="GW219" s="723"/>
      <c r="GX219" s="723"/>
      <c r="HN219" s="723"/>
      <c r="HO219" s="723"/>
      <c r="HP219" s="723"/>
      <c r="IU219" s="720">
        <f t="shared" si="25"/>
        <v>710.09</v>
      </c>
      <c r="IV219" s="720">
        <f t="shared" si="26"/>
        <v>539.79840624999997</v>
      </c>
      <c r="JY219" s="720">
        <v>0</v>
      </c>
      <c r="KT219" s="720">
        <v>-1</v>
      </c>
      <c r="KU219" s="720">
        <v>0.5</v>
      </c>
      <c r="KV219" s="720">
        <v>-1.88</v>
      </c>
      <c r="KW219" s="720">
        <v>-3.25</v>
      </c>
    </row>
    <row r="220" spans="1:309">
      <c r="A220" s="634"/>
      <c r="DM220" s="723"/>
      <c r="DN220" s="723"/>
      <c r="DO220" s="723"/>
      <c r="DS220" s="723"/>
      <c r="DT220" s="723"/>
      <c r="DU220" s="723"/>
      <c r="DV220" s="723"/>
      <c r="DW220" s="723"/>
      <c r="DX220" s="723"/>
      <c r="DY220" s="723"/>
      <c r="DZ220" s="723"/>
      <c r="EA220" s="723"/>
      <c r="ET220" s="722"/>
      <c r="EU220" s="722"/>
      <c r="EV220" s="722"/>
      <c r="GG220" s="723"/>
      <c r="GH220" s="723"/>
      <c r="GI220" s="723"/>
      <c r="GP220" s="728"/>
      <c r="GQ220" s="728"/>
      <c r="GR220" s="728"/>
      <c r="GS220" s="723"/>
      <c r="GT220" s="723"/>
      <c r="GU220" s="723"/>
      <c r="GV220" s="723"/>
      <c r="GW220" s="723"/>
      <c r="GX220" s="723"/>
      <c r="HN220" s="723"/>
      <c r="HO220" s="723"/>
      <c r="HP220" s="723"/>
      <c r="IU220" s="720">
        <f t="shared" si="25"/>
        <v>8848.8075000000008</v>
      </c>
      <c r="IV220" s="720">
        <f t="shared" si="26"/>
        <v>6447.3440000000001</v>
      </c>
      <c r="JY220" s="720">
        <v>0</v>
      </c>
      <c r="JZ220" s="787">
        <v>0</v>
      </c>
      <c r="KA220" s="720">
        <v>0</v>
      </c>
      <c r="KB220" s="720">
        <v>0</v>
      </c>
      <c r="KC220" s="720">
        <v>0</v>
      </c>
      <c r="KD220" s="720">
        <v>0</v>
      </c>
      <c r="KT220" s="720">
        <v>-1.5</v>
      </c>
      <c r="KU220" s="720">
        <v>-1</v>
      </c>
      <c r="KV220" s="720">
        <v>0.75</v>
      </c>
      <c r="KW220" s="720">
        <v>-3.75</v>
      </c>
    </row>
    <row r="221" spans="1:309">
      <c r="A221" s="634"/>
      <c r="DM221" s="723"/>
      <c r="DN221" s="723"/>
      <c r="DO221" s="723"/>
      <c r="DS221" s="723"/>
      <c r="DT221" s="723"/>
      <c r="DU221" s="723"/>
      <c r="DV221" s="723"/>
      <c r="DW221" s="723"/>
      <c r="DX221" s="723"/>
      <c r="DY221" s="723"/>
      <c r="DZ221" s="723"/>
      <c r="EA221" s="723"/>
      <c r="ET221" s="722"/>
      <c r="EU221" s="722"/>
      <c r="EV221" s="722"/>
      <c r="GG221" s="723"/>
      <c r="GH221" s="723"/>
      <c r="GI221" s="723"/>
      <c r="GP221" s="728"/>
      <c r="GQ221" s="728"/>
      <c r="GR221" s="728"/>
      <c r="GS221" s="723"/>
      <c r="GT221" s="723"/>
      <c r="GU221" s="723"/>
      <c r="GV221" s="723"/>
      <c r="GW221" s="723"/>
      <c r="GX221" s="723"/>
      <c r="HN221" s="723"/>
      <c r="HO221" s="723"/>
      <c r="HP221" s="723"/>
      <c r="IU221" s="720">
        <f t="shared" si="25"/>
        <v>986.30625000000009</v>
      </c>
      <c r="IV221" s="720">
        <f t="shared" si="26"/>
        <v>764.37987499999997</v>
      </c>
      <c r="JY221" s="720">
        <v>0</v>
      </c>
      <c r="JZ221" s="787">
        <v>0</v>
      </c>
      <c r="KA221" s="720">
        <v>0</v>
      </c>
      <c r="KB221" s="720">
        <v>0</v>
      </c>
      <c r="KC221" s="720">
        <v>0</v>
      </c>
      <c r="KD221" s="720">
        <v>0</v>
      </c>
      <c r="KT221" s="720">
        <v>-0.88</v>
      </c>
      <c r="KU221" s="720">
        <v>1.75</v>
      </c>
      <c r="KV221" s="720">
        <v>-1.88</v>
      </c>
      <c r="KW221" s="720">
        <v>-3.25</v>
      </c>
    </row>
    <row r="222" spans="1:309">
      <c r="A222" s="634"/>
      <c r="DM222" s="723"/>
      <c r="DN222" s="723"/>
      <c r="DO222" s="723"/>
      <c r="DS222" s="723"/>
      <c r="DT222" s="723"/>
      <c r="DU222" s="723"/>
      <c r="DV222" s="723"/>
      <c r="DW222" s="723"/>
      <c r="DX222" s="723"/>
      <c r="DY222" s="723"/>
      <c r="DZ222" s="723"/>
      <c r="EA222" s="723"/>
      <c r="ET222" s="722"/>
      <c r="EU222" s="722"/>
      <c r="EV222" s="722"/>
      <c r="GG222" s="723"/>
      <c r="GH222" s="723"/>
      <c r="GI222" s="723"/>
      <c r="GP222" s="728"/>
      <c r="GQ222" s="728"/>
      <c r="GR222" s="728"/>
      <c r="GS222" s="723"/>
      <c r="GT222" s="723"/>
      <c r="GU222" s="723"/>
      <c r="GV222" s="723"/>
      <c r="GW222" s="723"/>
      <c r="GX222" s="723"/>
      <c r="HN222" s="723"/>
      <c r="HO222" s="723"/>
      <c r="HP222" s="723"/>
      <c r="IU222" s="720">
        <f t="shared" si="25"/>
        <v>165.74812499999999</v>
      </c>
      <c r="IV222" s="720">
        <f t="shared" si="26"/>
        <v>113.1735</v>
      </c>
      <c r="JY222" s="720">
        <v>0</v>
      </c>
      <c r="JZ222" s="787">
        <v>0</v>
      </c>
      <c r="KA222" s="720">
        <v>0</v>
      </c>
      <c r="KB222" s="720">
        <v>0</v>
      </c>
      <c r="KC222" s="720">
        <v>5.0000000000000001E-3</v>
      </c>
      <c r="KD222" s="720">
        <v>2.1739130434782601E-2</v>
      </c>
      <c r="KT222" s="720">
        <v>-0.13</v>
      </c>
      <c r="KU222" s="720">
        <v>1.63</v>
      </c>
      <c r="KV222" s="720">
        <v>-2.63</v>
      </c>
      <c r="KW222" s="720">
        <v>-3.38</v>
      </c>
    </row>
    <row r="223" spans="1:309">
      <c r="A223" s="634"/>
      <c r="DM223" s="723"/>
      <c r="DN223" s="723"/>
      <c r="DO223" s="723"/>
      <c r="DS223" s="723"/>
      <c r="DT223" s="723"/>
      <c r="DU223" s="723"/>
      <c r="DV223" s="723"/>
      <c r="DW223" s="723"/>
      <c r="DX223" s="723"/>
      <c r="DY223" s="723"/>
      <c r="DZ223" s="723"/>
      <c r="EA223" s="723"/>
      <c r="ET223" s="722"/>
      <c r="EU223" s="722"/>
      <c r="EV223" s="722"/>
      <c r="GG223" s="723"/>
      <c r="GH223" s="723"/>
      <c r="GI223" s="723"/>
      <c r="GP223" s="728"/>
      <c r="GQ223" s="728"/>
      <c r="GR223" s="728"/>
      <c r="GS223" s="723"/>
      <c r="GT223" s="723"/>
      <c r="GU223" s="723"/>
      <c r="GV223" s="723"/>
      <c r="GW223" s="723"/>
      <c r="GX223" s="723"/>
      <c r="HN223" s="723"/>
      <c r="HO223" s="723"/>
      <c r="HP223" s="723"/>
      <c r="IU223" s="720">
        <f t="shared" si="25"/>
        <v>4542.640625</v>
      </c>
      <c r="IV223" s="720">
        <f t="shared" si="26"/>
        <v>2241.60475</v>
      </c>
      <c r="JY223" s="720">
        <v>0</v>
      </c>
      <c r="JZ223" s="787">
        <v>0</v>
      </c>
      <c r="KA223" s="720">
        <v>0</v>
      </c>
      <c r="KB223" s="720">
        <v>0</v>
      </c>
      <c r="KC223" s="720">
        <v>0</v>
      </c>
      <c r="KD223" s="720">
        <v>0</v>
      </c>
      <c r="KT223" s="720">
        <v>1.1299999999999999</v>
      </c>
      <c r="KU223" s="720">
        <v>0.88</v>
      </c>
      <c r="KV223" s="720">
        <v>-1.63</v>
      </c>
      <c r="KW223" s="720">
        <v>-2.25</v>
      </c>
    </row>
    <row r="224" spans="1:309">
      <c r="A224" s="634"/>
      <c r="DM224" s="723"/>
      <c r="DN224" s="723"/>
      <c r="DO224" s="723"/>
      <c r="DS224" s="723"/>
      <c r="DT224" s="723"/>
      <c r="DU224" s="723"/>
      <c r="DV224" s="723"/>
      <c r="DW224" s="723"/>
      <c r="DX224" s="723"/>
      <c r="DY224" s="723"/>
      <c r="DZ224" s="723"/>
      <c r="EA224" s="723"/>
      <c r="ET224" s="722"/>
      <c r="EU224" s="722"/>
      <c r="EV224" s="722"/>
      <c r="GG224" s="723"/>
      <c r="GH224" s="723"/>
      <c r="GI224" s="723"/>
      <c r="GP224" s="728"/>
      <c r="GQ224" s="728"/>
      <c r="GR224" s="728"/>
      <c r="GS224" s="723"/>
      <c r="GT224" s="723"/>
      <c r="GU224" s="723"/>
      <c r="GV224" s="723"/>
      <c r="GW224" s="723"/>
      <c r="GX224" s="723"/>
      <c r="HN224" s="723"/>
      <c r="HO224" s="723"/>
      <c r="HP224" s="723"/>
      <c r="IU224" s="720">
        <f t="shared" si="25"/>
        <v>2259.8375000000001</v>
      </c>
      <c r="IV224" s="720">
        <f t="shared" si="26"/>
        <v>1961.5084999999999</v>
      </c>
      <c r="JY224" s="720">
        <v>0</v>
      </c>
      <c r="JZ224" s="787">
        <v>0</v>
      </c>
      <c r="KA224" s="720">
        <v>0</v>
      </c>
      <c r="KB224" s="720">
        <v>0</v>
      </c>
      <c r="KC224" s="720">
        <v>7.4999999999999997E-3</v>
      </c>
      <c r="KD224" s="720">
        <v>2.0833333333333301E-2</v>
      </c>
      <c r="KT224" s="720">
        <v>2.5</v>
      </c>
      <c r="KU224" s="720">
        <v>-2.25</v>
      </c>
      <c r="KV224" s="720">
        <v>-2.88</v>
      </c>
      <c r="KW224" s="720">
        <v>-3.88</v>
      </c>
    </row>
    <row r="225" spans="1:309">
      <c r="A225" s="634"/>
      <c r="DM225" s="723"/>
      <c r="DN225" s="723"/>
      <c r="DO225" s="723"/>
      <c r="DS225" s="723"/>
      <c r="DT225" s="723"/>
      <c r="DU225" s="723"/>
      <c r="DV225" s="723"/>
      <c r="DW225" s="723"/>
      <c r="DX225" s="723"/>
      <c r="DY225" s="723"/>
      <c r="DZ225" s="723"/>
      <c r="EA225" s="723"/>
      <c r="ET225" s="722"/>
      <c r="EU225" s="722"/>
      <c r="EV225" s="722"/>
      <c r="GG225" s="723"/>
      <c r="GH225" s="723"/>
      <c r="GI225" s="723"/>
      <c r="GP225" s="728"/>
      <c r="GQ225" s="728"/>
      <c r="GR225" s="728"/>
      <c r="GS225" s="723"/>
      <c r="GT225" s="723"/>
      <c r="GU225" s="723"/>
      <c r="GV225" s="723"/>
      <c r="GW225" s="723"/>
      <c r="GX225" s="723"/>
      <c r="HN225" s="723"/>
      <c r="HO225" s="723"/>
      <c r="HP225" s="723"/>
      <c r="IU225" s="720">
        <f t="shared" si="25"/>
        <v>1089.0531249999999</v>
      </c>
      <c r="IV225" s="720">
        <f t="shared" si="26"/>
        <v>496.93124999999998</v>
      </c>
      <c r="JY225" s="720">
        <v>0</v>
      </c>
      <c r="JZ225" s="787">
        <v>0</v>
      </c>
      <c r="KA225" s="720">
        <v>0</v>
      </c>
      <c r="KB225" s="720">
        <v>0</v>
      </c>
      <c r="KC225" s="720">
        <v>1.4999999999999999E-2</v>
      </c>
      <c r="KD225" s="720">
        <v>5.3571428571428499E-2</v>
      </c>
      <c r="KT225" s="720">
        <v>1.88</v>
      </c>
      <c r="KU225" s="720">
        <v>1.1299999999999999</v>
      </c>
      <c r="KV225" s="720">
        <v>-4.88</v>
      </c>
      <c r="KW225" s="720">
        <v>-5.38</v>
      </c>
    </row>
    <row r="226" spans="1:309">
      <c r="A226" s="634"/>
      <c r="DS226" s="723"/>
      <c r="DT226" s="723"/>
      <c r="DU226" s="723"/>
      <c r="DV226" s="723"/>
      <c r="DW226" s="723"/>
      <c r="DX226" s="723"/>
      <c r="DY226" s="723"/>
      <c r="DZ226" s="723"/>
      <c r="EA226" s="723"/>
      <c r="ET226" s="722"/>
      <c r="EU226" s="722"/>
      <c r="EV226" s="722"/>
      <c r="GG226" s="723"/>
      <c r="GH226" s="723"/>
      <c r="GI226" s="723"/>
      <c r="GP226" s="728"/>
      <c r="GQ226" s="728"/>
      <c r="GR226" s="728"/>
      <c r="GS226" s="723"/>
      <c r="GT226" s="723"/>
      <c r="GU226" s="723"/>
      <c r="GV226" s="723"/>
      <c r="GW226" s="723"/>
      <c r="GX226" s="723"/>
      <c r="HN226" s="723"/>
      <c r="HO226" s="723"/>
      <c r="HP226" s="723"/>
      <c r="IU226" s="720">
        <f t="shared" si="25"/>
        <v>646.98514660000001</v>
      </c>
      <c r="IV226" s="720">
        <f t="shared" si="26"/>
        <v>181.86626699999999</v>
      </c>
      <c r="JY226" s="720">
        <v>0</v>
      </c>
      <c r="JZ226" s="787">
        <v>0</v>
      </c>
      <c r="KA226" s="720">
        <v>0</v>
      </c>
      <c r="KB226" s="720">
        <v>0</v>
      </c>
      <c r="KC226" s="720">
        <v>9.9999999999999898E-3</v>
      </c>
      <c r="KD226" s="720">
        <v>2.3668639053254399E-2</v>
      </c>
      <c r="KT226" s="720">
        <v>1.1299999999999999</v>
      </c>
      <c r="KU226" s="720">
        <v>0.63</v>
      </c>
      <c r="KV226" s="720">
        <v>-2.25</v>
      </c>
      <c r="KW226" s="720">
        <v>-4</v>
      </c>
    </row>
    <row r="227" spans="1:309">
      <c r="A227" s="634"/>
      <c r="DS227" s="723"/>
      <c r="DT227" s="723"/>
      <c r="DU227" s="723"/>
      <c r="DV227" s="723"/>
      <c r="DW227" s="723"/>
      <c r="DX227" s="723"/>
      <c r="DY227" s="723"/>
      <c r="DZ227" s="723"/>
      <c r="EA227" s="723"/>
      <c r="ET227" s="722"/>
      <c r="EU227" s="722"/>
      <c r="EV227" s="722"/>
      <c r="GG227" s="723"/>
      <c r="GH227" s="723"/>
      <c r="GI227" s="723"/>
      <c r="GP227" s="728"/>
      <c r="GQ227" s="728"/>
      <c r="GR227" s="728"/>
      <c r="GS227" s="723"/>
      <c r="GT227" s="723"/>
      <c r="GU227" s="723"/>
      <c r="GV227" s="723"/>
      <c r="GW227" s="723"/>
      <c r="GX227" s="723"/>
      <c r="HN227" s="723"/>
      <c r="HO227" s="723"/>
      <c r="HP227" s="723"/>
      <c r="IU227" s="720">
        <f t="shared" si="25"/>
        <v>1818.52125</v>
      </c>
      <c r="IV227" s="720">
        <f t="shared" si="26"/>
        <v>1176.0700000000002</v>
      </c>
      <c r="JY227" s="720">
        <v>0</v>
      </c>
      <c r="JZ227" s="787">
        <v>0</v>
      </c>
      <c r="KA227" s="720">
        <v>0</v>
      </c>
      <c r="KB227" s="720">
        <v>0</v>
      </c>
      <c r="KC227" s="720">
        <v>9.9999999999999898E-3</v>
      </c>
      <c r="KD227" s="720">
        <v>2.3255813953488299E-2</v>
      </c>
      <c r="KT227" s="720">
        <v>-1.1299999999999999</v>
      </c>
      <c r="KU227" s="720">
        <v>-0.94</v>
      </c>
      <c r="KV227" s="720">
        <v>-1.31</v>
      </c>
      <c r="KW227" s="720">
        <v>-4.9400000000000004</v>
      </c>
    </row>
    <row r="228" spans="1:309">
      <c r="A228" s="634"/>
      <c r="DS228" s="723"/>
      <c r="DT228" s="723"/>
      <c r="DU228" s="723"/>
      <c r="DV228" s="723"/>
      <c r="DW228" s="723"/>
      <c r="DX228" s="723"/>
      <c r="DY228" s="723"/>
      <c r="DZ228" s="723"/>
      <c r="EA228" s="723"/>
      <c r="ET228" s="722"/>
      <c r="EU228" s="722"/>
      <c r="EV228" s="722"/>
      <c r="GG228" s="723"/>
      <c r="GH228" s="723"/>
      <c r="GI228" s="723"/>
      <c r="GP228" s="728"/>
      <c r="GQ228" s="728"/>
      <c r="GR228" s="728"/>
      <c r="GS228" s="723"/>
      <c r="GT228" s="723"/>
      <c r="GU228" s="723"/>
      <c r="GV228" s="723"/>
      <c r="GW228" s="723"/>
      <c r="GX228" s="723"/>
      <c r="HN228" s="723"/>
      <c r="HO228" s="723"/>
      <c r="HP228" s="723"/>
      <c r="IU228" s="720">
        <f t="shared" si="25"/>
        <v>2050.125</v>
      </c>
      <c r="IV228" s="720">
        <f t="shared" si="26"/>
        <v>829.29825000000005</v>
      </c>
      <c r="JY228" s="720">
        <v>0</v>
      </c>
      <c r="JZ228" s="787">
        <v>0</v>
      </c>
      <c r="KA228" s="720">
        <v>7.4999999999999997E-3</v>
      </c>
      <c r="KB228" s="720">
        <v>-1.5228426395939E-2</v>
      </c>
      <c r="KC228" s="720">
        <v>0</v>
      </c>
      <c r="KD228" s="720">
        <v>0</v>
      </c>
      <c r="KT228" s="720">
        <v>0.88</v>
      </c>
      <c r="KU228" s="720">
        <v>-1.63</v>
      </c>
      <c r="KV228" s="720">
        <v>-2.63</v>
      </c>
      <c r="KW228" s="720">
        <v>-6.38</v>
      </c>
    </row>
    <row r="229" spans="1:309">
      <c r="A229" s="634"/>
      <c r="DS229" s="723"/>
      <c r="DT229" s="723"/>
      <c r="DU229" s="723"/>
      <c r="DV229" s="723"/>
      <c r="DW229" s="723"/>
      <c r="DX229" s="723"/>
      <c r="DY229" s="723"/>
      <c r="DZ229" s="723"/>
      <c r="EA229" s="723"/>
      <c r="ET229" s="722"/>
      <c r="EU229" s="722"/>
      <c r="EV229" s="722"/>
      <c r="GG229" s="723"/>
      <c r="GH229" s="723"/>
      <c r="GI229" s="723"/>
      <c r="GP229" s="728"/>
      <c r="GQ229" s="728"/>
      <c r="GR229" s="728"/>
      <c r="GS229" s="723"/>
      <c r="GT229" s="723"/>
      <c r="GU229" s="723"/>
      <c r="GV229" s="723"/>
      <c r="GW229" s="723"/>
      <c r="GX229" s="723"/>
      <c r="HN229" s="723"/>
      <c r="HO229" s="723"/>
      <c r="HP229" s="723"/>
      <c r="IU229" s="720">
        <f t="shared" si="25"/>
        <v>909.35</v>
      </c>
      <c r="IV229" s="720">
        <f t="shared" si="26"/>
        <v>724.1987499999999</v>
      </c>
      <c r="JY229" s="720">
        <v>0</v>
      </c>
      <c r="JZ229" s="787">
        <v>0</v>
      </c>
      <c r="KA229" s="720">
        <v>0</v>
      </c>
      <c r="KB229" s="720">
        <v>0</v>
      </c>
      <c r="KC229" s="720">
        <v>0</v>
      </c>
      <c r="KD229" s="720">
        <v>0</v>
      </c>
      <c r="KT229" s="720">
        <v>0.67</v>
      </c>
      <c r="KU229" s="720">
        <v>-0.17</v>
      </c>
      <c r="KV229" s="720">
        <v>-0.08</v>
      </c>
      <c r="KW229" s="720">
        <v>-0.08</v>
      </c>
    </row>
    <row r="230" spans="1:309">
      <c r="A230" s="634"/>
      <c r="DS230" s="723"/>
      <c r="DT230" s="723"/>
      <c r="DU230" s="723"/>
      <c r="DV230" s="723"/>
      <c r="DW230" s="723"/>
      <c r="DX230" s="723"/>
      <c r="DY230" s="723"/>
      <c r="DZ230" s="723"/>
      <c r="EA230" s="723"/>
      <c r="ET230" s="722"/>
      <c r="EU230" s="722"/>
      <c r="EV230" s="722"/>
      <c r="GG230" s="723"/>
      <c r="GH230" s="723"/>
      <c r="GI230" s="723"/>
      <c r="GP230" s="728"/>
      <c r="GQ230" s="728"/>
      <c r="GR230" s="728"/>
      <c r="GS230" s="723"/>
      <c r="GT230" s="723"/>
      <c r="GU230" s="723"/>
      <c r="GV230" s="723"/>
      <c r="GW230" s="723"/>
      <c r="GX230" s="723"/>
      <c r="HN230" s="723"/>
      <c r="HO230" s="723"/>
      <c r="HP230" s="723"/>
      <c r="IU230" s="720">
        <f t="shared" si="25"/>
        <v>2963.0456249999997</v>
      </c>
      <c r="IV230" s="720">
        <f t="shared" si="26"/>
        <v>2774.78325</v>
      </c>
      <c r="JY230" s="720">
        <v>0</v>
      </c>
      <c r="JZ230" s="787">
        <v>0</v>
      </c>
      <c r="KA230" s="720">
        <v>1.2500000000000001E-2</v>
      </c>
      <c r="KB230" s="720">
        <v>-3.2894736842105199E-2</v>
      </c>
      <c r="KC230" s="720">
        <v>0</v>
      </c>
      <c r="KD230" s="720">
        <v>0</v>
      </c>
      <c r="KT230" s="720">
        <v>-0.61</v>
      </c>
      <c r="KU230" s="720">
        <v>0.63</v>
      </c>
      <c r="KV230" s="720">
        <v>-2.5</v>
      </c>
      <c r="KW230" s="720">
        <v>-5.48</v>
      </c>
    </row>
    <row r="231" spans="1:309">
      <c r="A231" s="634"/>
      <c r="DS231" s="723"/>
      <c r="DT231" s="723"/>
      <c r="DU231" s="723"/>
      <c r="DV231" s="723"/>
      <c r="DW231" s="723"/>
      <c r="DX231" s="723"/>
      <c r="DY231" s="723"/>
      <c r="DZ231" s="723"/>
      <c r="EA231" s="723"/>
      <c r="ET231" s="722"/>
      <c r="EU231" s="722"/>
      <c r="EV231" s="722"/>
      <c r="GG231" s="723"/>
      <c r="GH231" s="723"/>
      <c r="GI231" s="723"/>
      <c r="GP231" s="728"/>
      <c r="GQ231" s="728"/>
      <c r="GR231" s="728"/>
      <c r="GS231" s="723"/>
      <c r="GT231" s="723"/>
      <c r="GU231" s="723"/>
      <c r="GV231" s="723"/>
      <c r="GW231" s="723"/>
      <c r="GX231" s="723"/>
      <c r="HN231" s="723"/>
      <c r="HO231" s="723"/>
      <c r="HP231" s="723"/>
      <c r="IU231" s="720">
        <f t="shared" si="25"/>
        <v>782.04500000000007</v>
      </c>
      <c r="IV231" s="720">
        <f t="shared" si="26"/>
        <v>639.24474999999995</v>
      </c>
      <c r="JY231" s="720">
        <v>0</v>
      </c>
      <c r="JZ231" s="787">
        <v>0</v>
      </c>
      <c r="KA231" s="720">
        <v>0</v>
      </c>
      <c r="KB231" s="720">
        <v>0</v>
      </c>
      <c r="KC231" s="720">
        <v>0</v>
      </c>
      <c r="KD231" s="720">
        <v>0</v>
      </c>
      <c r="KT231" s="720">
        <v>-1</v>
      </c>
      <c r="KU231" s="720">
        <v>0.5</v>
      </c>
      <c r="KV231" s="720">
        <v>-1.75</v>
      </c>
      <c r="KW231" s="720">
        <v>-6</v>
      </c>
    </row>
    <row r="232" spans="1:309">
      <c r="A232" s="634"/>
      <c r="DS232" s="723"/>
      <c r="DT232" s="723"/>
      <c r="DU232" s="723"/>
      <c r="DV232" s="723"/>
      <c r="DW232" s="723"/>
      <c r="DX232" s="723"/>
      <c r="DY232" s="723"/>
      <c r="DZ232" s="723"/>
      <c r="EA232" s="723"/>
      <c r="ET232" s="722"/>
      <c r="EU232" s="722"/>
      <c r="EV232" s="722"/>
      <c r="GG232" s="723"/>
      <c r="GH232" s="723"/>
      <c r="GI232" s="723"/>
      <c r="GP232" s="728"/>
      <c r="GQ232" s="728"/>
      <c r="GR232" s="728"/>
      <c r="GS232" s="723"/>
      <c r="GT232" s="723"/>
      <c r="GU232" s="723"/>
      <c r="GV232" s="723"/>
      <c r="GW232" s="723"/>
      <c r="GX232" s="723"/>
      <c r="HN232" s="723"/>
      <c r="HO232" s="723"/>
      <c r="HP232" s="723"/>
      <c r="IU232" s="720">
        <f t="shared" si="25"/>
        <v>1205.5125</v>
      </c>
      <c r="IV232" s="720">
        <f t="shared" si="26"/>
        <v>514.84607999999946</v>
      </c>
      <c r="JY232" s="720">
        <v>3.3E-3</v>
      </c>
      <c r="JZ232" s="720">
        <v>1.8348623853211E-2</v>
      </c>
      <c r="KA232" s="720">
        <v>0</v>
      </c>
      <c r="KB232" s="720">
        <v>0</v>
      </c>
      <c r="KC232" s="720">
        <v>0</v>
      </c>
      <c r="KD232" s="720">
        <v>0</v>
      </c>
      <c r="KT232" s="720">
        <v>2.59</v>
      </c>
      <c r="KU232" s="720">
        <v>0.5</v>
      </c>
      <c r="KV232" s="720">
        <v>-1.5</v>
      </c>
      <c r="KW232" s="720">
        <v>-0.28000000000000003</v>
      </c>
    </row>
    <row r="233" spans="1:309">
      <c r="A233" s="634"/>
      <c r="B233" s="728"/>
      <c r="AV233" s="728"/>
      <c r="AW233" s="728"/>
      <c r="AX233" s="728"/>
      <c r="AY233" s="728"/>
      <c r="AZ233" s="728"/>
      <c r="BA233" s="728"/>
      <c r="BB233" s="728"/>
      <c r="BC233" s="728"/>
      <c r="BD233" s="728"/>
      <c r="BE233" s="728"/>
      <c r="BF233" s="728"/>
      <c r="BG233" s="728"/>
      <c r="BH233" s="728"/>
      <c r="BI233" s="728"/>
      <c r="BJ233" s="728"/>
      <c r="BK233" s="728"/>
      <c r="BL233" s="728"/>
      <c r="BM233" s="728"/>
      <c r="BN233" s="728"/>
      <c r="BO233" s="728"/>
      <c r="BP233" s="728"/>
      <c r="BQ233" s="728"/>
      <c r="BR233" s="728"/>
      <c r="BS233" s="728"/>
      <c r="BT233" s="728"/>
      <c r="BU233" s="728"/>
      <c r="BV233" s="728"/>
      <c r="BW233" s="728"/>
      <c r="BX233" s="728"/>
      <c r="BY233" s="728"/>
      <c r="BZ233" s="728"/>
      <c r="CA233" s="728"/>
      <c r="CB233" s="728"/>
      <c r="CC233" s="728"/>
      <c r="CD233" s="728"/>
      <c r="CE233" s="728"/>
      <c r="CF233" s="728"/>
      <c r="CG233" s="728"/>
      <c r="CH233" s="728"/>
      <c r="CI233" s="728"/>
      <c r="CJ233" s="728"/>
      <c r="CK233" s="728"/>
      <c r="CL233" s="728"/>
      <c r="CM233" s="728"/>
      <c r="CN233" s="728"/>
      <c r="CO233" s="728"/>
      <c r="CP233" s="728"/>
      <c r="CQ233" s="728"/>
      <c r="CR233" s="728"/>
      <c r="CS233" s="728"/>
      <c r="CT233" s="728"/>
      <c r="CU233" s="728"/>
      <c r="CV233" s="728"/>
      <c r="CW233" s="728"/>
      <c r="CX233" s="728"/>
      <c r="CY233" s="728"/>
      <c r="CZ233" s="728"/>
      <c r="DA233" s="728"/>
      <c r="DB233" s="728"/>
      <c r="DC233" s="728"/>
      <c r="DD233" s="728"/>
      <c r="DE233" s="728"/>
      <c r="DF233" s="728"/>
      <c r="DG233" s="728"/>
      <c r="DH233" s="728"/>
      <c r="DI233" s="728"/>
      <c r="DJ233" s="728"/>
      <c r="DK233" s="728"/>
      <c r="DL233" s="728"/>
      <c r="DM233" s="728"/>
      <c r="DN233" s="728"/>
      <c r="DO233" s="728"/>
      <c r="DP233" s="728"/>
      <c r="DQ233" s="728"/>
      <c r="DR233" s="728"/>
      <c r="DS233" s="723"/>
      <c r="DT233" s="723"/>
      <c r="DU233" s="723"/>
      <c r="DV233" s="723"/>
      <c r="DW233" s="723"/>
      <c r="DX233" s="723"/>
      <c r="DY233" s="723"/>
      <c r="DZ233" s="723"/>
      <c r="EA233" s="723"/>
      <c r="EB233" s="728"/>
      <c r="EC233" s="728"/>
      <c r="ED233" s="728"/>
      <c r="EE233" s="728"/>
      <c r="EF233" s="728"/>
      <c r="EG233" s="728"/>
      <c r="EH233" s="728"/>
      <c r="EI233" s="728"/>
      <c r="EJ233" s="728"/>
      <c r="EK233" s="728"/>
      <c r="EL233" s="728"/>
      <c r="EM233" s="728"/>
      <c r="EN233" s="728"/>
      <c r="EO233" s="728"/>
      <c r="EP233" s="728"/>
      <c r="EQ233" s="728"/>
      <c r="ER233" s="728"/>
      <c r="ES233" s="728"/>
      <c r="ET233" s="722"/>
      <c r="EU233" s="722"/>
      <c r="EV233" s="722"/>
      <c r="EW233" s="728"/>
      <c r="EX233" s="728"/>
      <c r="EY233" s="728"/>
      <c r="EZ233" s="728"/>
      <c r="FA233" s="728"/>
      <c r="FB233" s="728"/>
      <c r="FC233" s="728"/>
      <c r="FD233" s="728"/>
      <c r="FE233" s="728"/>
      <c r="FF233" s="728"/>
      <c r="FG233" s="728"/>
      <c r="FH233" s="728"/>
      <c r="FI233" s="728"/>
      <c r="FJ233" s="728"/>
      <c r="FK233" s="728"/>
      <c r="FL233" s="728"/>
      <c r="FM233" s="728"/>
      <c r="FN233" s="728"/>
      <c r="FO233" s="728"/>
      <c r="FP233" s="728"/>
      <c r="FQ233" s="728"/>
      <c r="GD233" s="728"/>
      <c r="GE233" s="728"/>
      <c r="GF233" s="728"/>
      <c r="GG233" s="723"/>
      <c r="GH233" s="723"/>
      <c r="GI233" s="723"/>
      <c r="GJ233" s="728"/>
      <c r="GK233" s="728"/>
      <c r="GL233" s="728"/>
      <c r="GM233" s="728"/>
      <c r="GN233" s="728"/>
      <c r="GO233" s="728"/>
      <c r="GP233" s="728"/>
      <c r="GQ233" s="728"/>
      <c r="GR233" s="728"/>
      <c r="GS233" s="723"/>
      <c r="GT233" s="723"/>
      <c r="GU233" s="723"/>
      <c r="GV233" s="723"/>
      <c r="GW233" s="723"/>
      <c r="GX233" s="723"/>
      <c r="GY233" s="728"/>
      <c r="GZ233" s="728"/>
      <c r="HA233" s="728"/>
      <c r="HB233" s="728"/>
      <c r="HC233" s="728"/>
      <c r="HD233" s="728"/>
      <c r="HE233" s="728"/>
      <c r="HF233" s="728"/>
      <c r="HG233" s="728"/>
      <c r="HH233" s="728"/>
      <c r="HI233" s="728"/>
      <c r="HJ233" s="728"/>
      <c r="HK233" s="728"/>
      <c r="HL233" s="728"/>
      <c r="HM233" s="728"/>
      <c r="HN233" s="723"/>
      <c r="HO233" s="723"/>
      <c r="HP233" s="723"/>
      <c r="HQ233" s="728"/>
      <c r="HR233" s="728"/>
      <c r="HS233" s="728"/>
      <c r="HT233" s="728"/>
      <c r="HU233" s="728"/>
      <c r="HV233" s="728"/>
      <c r="HW233" s="728"/>
      <c r="HX233" s="728"/>
      <c r="HY233" s="728"/>
      <c r="HZ233" s="728"/>
      <c r="IA233" s="728"/>
      <c r="IB233" s="728"/>
      <c r="IC233" s="728"/>
      <c r="ID233" s="728"/>
      <c r="IE233" s="728"/>
      <c r="IF233" s="728"/>
      <c r="IG233" s="728"/>
      <c r="IH233" s="728"/>
      <c r="II233" s="728"/>
      <c r="IJ233" s="728"/>
      <c r="IK233" s="728"/>
      <c r="IL233" s="728"/>
      <c r="IM233" s="728"/>
      <c r="IN233" s="728"/>
    </row>
    <row r="234" spans="1:309">
      <c r="A234" s="634"/>
      <c r="B234" s="728"/>
      <c r="C234" s="884"/>
      <c r="D234" s="884"/>
      <c r="E234" s="884"/>
      <c r="F234" s="828"/>
      <c r="G234" s="828"/>
      <c r="H234" s="828"/>
      <c r="I234" s="828"/>
      <c r="J234" s="828"/>
      <c r="K234" s="828"/>
      <c r="L234" s="828"/>
      <c r="M234" s="828"/>
      <c r="N234" s="828"/>
      <c r="O234" s="828"/>
      <c r="P234" s="828"/>
      <c r="Q234" s="828"/>
      <c r="R234" s="828"/>
      <c r="S234" s="828"/>
      <c r="T234" s="828"/>
      <c r="U234" s="728"/>
      <c r="V234" s="728"/>
      <c r="W234" s="728"/>
      <c r="X234" s="728"/>
      <c r="Y234" s="728"/>
      <c r="Z234" s="728"/>
      <c r="AA234" s="728"/>
      <c r="AB234" s="728"/>
      <c r="AC234" s="728"/>
      <c r="AV234" s="728"/>
      <c r="AW234" s="728"/>
      <c r="AX234" s="728"/>
      <c r="AY234" s="728"/>
      <c r="AZ234" s="728"/>
      <c r="BA234" s="728"/>
      <c r="BB234" s="728"/>
      <c r="BC234" s="728"/>
      <c r="BD234" s="728"/>
      <c r="BE234" s="728"/>
      <c r="BF234" s="728"/>
      <c r="BG234" s="728"/>
      <c r="BH234" s="728"/>
      <c r="BI234" s="728"/>
      <c r="BJ234" s="728"/>
      <c r="BK234" s="728"/>
      <c r="BL234" s="728"/>
      <c r="BM234" s="728"/>
      <c r="BN234" s="728"/>
      <c r="BO234" s="728"/>
      <c r="BP234" s="728"/>
      <c r="BQ234" s="728"/>
      <c r="BR234" s="728"/>
      <c r="BS234" s="728"/>
      <c r="BT234" s="728"/>
      <c r="BU234" s="728"/>
      <c r="BV234" s="728"/>
      <c r="BW234" s="728"/>
      <c r="BX234" s="728"/>
      <c r="BY234" s="728"/>
      <c r="BZ234" s="728"/>
      <c r="CA234" s="728"/>
      <c r="CB234" s="728"/>
      <c r="CC234" s="728"/>
      <c r="CD234" s="728"/>
      <c r="CE234" s="728"/>
      <c r="CF234" s="728"/>
      <c r="CG234" s="728"/>
      <c r="CH234" s="728"/>
      <c r="CI234" s="728"/>
      <c r="CJ234" s="728"/>
      <c r="CK234" s="728"/>
      <c r="CL234" s="728"/>
      <c r="CM234" s="728"/>
      <c r="CN234" s="728"/>
      <c r="CO234" s="728"/>
      <c r="CP234" s="728"/>
      <c r="CQ234" s="728"/>
      <c r="CR234" s="728"/>
      <c r="CS234" s="728"/>
      <c r="CT234" s="728"/>
      <c r="CU234" s="728"/>
      <c r="CV234" s="728"/>
      <c r="CW234" s="728"/>
      <c r="CX234" s="728"/>
      <c r="CY234" s="728"/>
      <c r="CZ234" s="728"/>
      <c r="DA234" s="728"/>
      <c r="DB234" s="728"/>
      <c r="DC234" s="728"/>
      <c r="DD234" s="728"/>
      <c r="DE234" s="728"/>
      <c r="DF234" s="728"/>
      <c r="DG234" s="728"/>
      <c r="DH234" s="728"/>
      <c r="DI234" s="728"/>
      <c r="DJ234" s="728"/>
      <c r="DK234" s="728"/>
      <c r="DL234" s="728"/>
      <c r="DM234" s="728"/>
      <c r="DN234" s="728"/>
      <c r="DO234" s="728"/>
      <c r="DP234" s="728"/>
      <c r="DQ234" s="728"/>
      <c r="DR234" s="728"/>
      <c r="DS234" s="723"/>
      <c r="DT234" s="723"/>
      <c r="DU234" s="723"/>
      <c r="DV234" s="723"/>
      <c r="DW234" s="723"/>
      <c r="DX234" s="723"/>
      <c r="DY234" s="723"/>
      <c r="DZ234" s="723"/>
      <c r="EA234" s="723"/>
      <c r="EB234" s="728"/>
      <c r="EC234" s="728"/>
      <c r="ED234" s="728"/>
      <c r="EE234" s="728"/>
      <c r="EF234" s="728"/>
      <c r="EG234" s="728"/>
      <c r="EH234" s="728"/>
      <c r="EI234" s="728"/>
      <c r="EJ234" s="728"/>
      <c r="EK234" s="728"/>
      <c r="EL234" s="728"/>
      <c r="EM234" s="728"/>
      <c r="EN234" s="728"/>
      <c r="EO234" s="728"/>
      <c r="EP234" s="728"/>
      <c r="EQ234" s="728"/>
      <c r="ER234" s="728"/>
      <c r="ES234" s="728"/>
      <c r="ET234" s="722"/>
      <c r="EU234" s="722"/>
      <c r="EV234" s="722"/>
      <c r="EW234" s="728"/>
      <c r="EX234" s="728"/>
      <c r="EY234" s="728"/>
      <c r="EZ234" s="728"/>
      <c r="FA234" s="728"/>
      <c r="FB234" s="728"/>
      <c r="FC234" s="728"/>
      <c r="FD234" s="728"/>
      <c r="FE234" s="728"/>
      <c r="FF234" s="728"/>
      <c r="FG234" s="728"/>
      <c r="FH234" s="728"/>
      <c r="FI234" s="728"/>
      <c r="FJ234" s="728"/>
      <c r="FK234" s="728"/>
      <c r="FL234" s="728"/>
      <c r="FM234" s="728"/>
      <c r="FN234" s="728"/>
      <c r="FO234" s="728"/>
      <c r="FP234" s="728"/>
      <c r="FQ234" s="728"/>
      <c r="GD234" s="728"/>
      <c r="GE234" s="728"/>
      <c r="GF234" s="728"/>
      <c r="GG234" s="723"/>
      <c r="GH234" s="723"/>
      <c r="GI234" s="723"/>
      <c r="GJ234" s="728"/>
      <c r="GK234" s="728"/>
      <c r="GL234" s="728"/>
      <c r="GM234" s="728"/>
      <c r="GN234" s="728"/>
      <c r="GO234" s="728"/>
      <c r="GP234" s="728"/>
      <c r="GQ234" s="728"/>
      <c r="GR234" s="728"/>
      <c r="GS234" s="723"/>
      <c r="GT234" s="723"/>
      <c r="GU234" s="723"/>
      <c r="GV234" s="723"/>
      <c r="GW234" s="723"/>
      <c r="GX234" s="723"/>
      <c r="GY234" s="728"/>
      <c r="GZ234" s="728"/>
      <c r="HA234" s="728"/>
      <c r="HB234" s="728"/>
      <c r="HC234" s="728"/>
      <c r="HD234" s="728"/>
      <c r="HE234" s="728"/>
      <c r="HF234" s="728"/>
      <c r="HG234" s="728"/>
      <c r="HH234" s="728"/>
      <c r="HI234" s="728"/>
      <c r="HJ234" s="728"/>
      <c r="HK234" s="728"/>
      <c r="HL234" s="728"/>
      <c r="HM234" s="728"/>
      <c r="HN234" s="723"/>
      <c r="HO234" s="723"/>
      <c r="HP234" s="723"/>
      <c r="HQ234" s="728"/>
      <c r="HR234" s="728"/>
      <c r="HS234" s="728"/>
      <c r="HT234" s="728"/>
      <c r="HU234" s="728"/>
      <c r="HV234" s="728"/>
      <c r="HW234" s="728"/>
      <c r="HX234" s="728"/>
      <c r="HY234" s="728"/>
      <c r="HZ234" s="728"/>
      <c r="IA234" s="728"/>
      <c r="IB234" s="728"/>
      <c r="IC234" s="728"/>
      <c r="ID234" s="728"/>
      <c r="IE234" s="728"/>
      <c r="IF234" s="728"/>
      <c r="IG234" s="728"/>
      <c r="IH234" s="728"/>
      <c r="II234" s="728"/>
      <c r="IJ234" s="728"/>
      <c r="IK234" s="728"/>
      <c r="IL234" s="728"/>
      <c r="IM234" s="728"/>
      <c r="IN234" s="728"/>
    </row>
    <row r="235" spans="1:309">
      <c r="A235" s="634"/>
      <c r="B235" s="728"/>
      <c r="C235" s="884"/>
      <c r="D235" s="884"/>
      <c r="E235" s="884"/>
      <c r="F235" s="828"/>
      <c r="G235" s="828"/>
      <c r="H235" s="828"/>
      <c r="I235" s="828"/>
      <c r="J235" s="828"/>
      <c r="K235" s="828"/>
      <c r="L235" s="828"/>
      <c r="M235" s="828"/>
      <c r="N235" s="828"/>
      <c r="O235" s="828"/>
      <c r="P235" s="828"/>
      <c r="Q235" s="828"/>
      <c r="R235" s="828"/>
      <c r="S235" s="828"/>
      <c r="T235" s="828"/>
      <c r="U235" s="728"/>
      <c r="V235" s="728"/>
      <c r="W235" s="728"/>
      <c r="X235" s="728"/>
      <c r="Y235" s="728"/>
      <c r="Z235" s="728"/>
      <c r="AA235" s="728"/>
      <c r="AB235" s="728"/>
      <c r="AC235" s="728"/>
      <c r="AV235" s="728"/>
      <c r="AW235" s="728"/>
      <c r="AX235" s="728"/>
      <c r="AY235" s="728"/>
      <c r="AZ235" s="728"/>
      <c r="BA235" s="728"/>
      <c r="BB235" s="728"/>
      <c r="BC235" s="728"/>
      <c r="BD235" s="728"/>
      <c r="BE235" s="728"/>
      <c r="BF235" s="728"/>
      <c r="BG235" s="728"/>
      <c r="BH235" s="728"/>
      <c r="BI235" s="728"/>
      <c r="BJ235" s="728"/>
      <c r="BK235" s="728"/>
      <c r="BL235" s="728"/>
      <c r="BM235" s="728"/>
      <c r="BN235" s="728"/>
      <c r="BO235" s="728"/>
      <c r="BP235" s="728"/>
      <c r="BQ235" s="728"/>
      <c r="BR235" s="728"/>
      <c r="BS235" s="728"/>
      <c r="BT235" s="728"/>
      <c r="BU235" s="728"/>
      <c r="BV235" s="728"/>
      <c r="BW235" s="728"/>
      <c r="BX235" s="728"/>
      <c r="BY235" s="728"/>
      <c r="BZ235" s="728"/>
      <c r="CA235" s="728"/>
      <c r="CB235" s="728"/>
      <c r="CC235" s="728"/>
      <c r="CD235" s="728"/>
      <c r="CE235" s="728"/>
      <c r="CF235" s="728"/>
      <c r="CG235" s="728"/>
      <c r="CH235" s="728"/>
      <c r="CI235" s="728"/>
      <c r="CJ235" s="728"/>
      <c r="CK235" s="728"/>
      <c r="CL235" s="728"/>
      <c r="CM235" s="728"/>
      <c r="CN235" s="728"/>
      <c r="CO235" s="728"/>
      <c r="CP235" s="728"/>
      <c r="CQ235" s="728"/>
      <c r="CR235" s="728"/>
      <c r="CS235" s="728"/>
      <c r="CT235" s="728"/>
      <c r="CU235" s="728"/>
      <c r="CV235" s="728"/>
      <c r="CW235" s="728"/>
      <c r="CX235" s="728"/>
      <c r="CY235" s="728"/>
      <c r="CZ235" s="728"/>
      <c r="DA235" s="728"/>
      <c r="DB235" s="728"/>
      <c r="DC235" s="728"/>
      <c r="DD235" s="728"/>
      <c r="DE235" s="728"/>
      <c r="DF235" s="728"/>
      <c r="DG235" s="728"/>
      <c r="DH235" s="728"/>
      <c r="DI235" s="728"/>
      <c r="DJ235" s="728"/>
      <c r="DK235" s="728"/>
      <c r="DL235" s="728"/>
      <c r="DM235" s="728"/>
      <c r="DN235" s="728"/>
      <c r="DO235" s="728"/>
      <c r="DP235" s="728"/>
      <c r="DQ235" s="728"/>
      <c r="DR235" s="728"/>
      <c r="DS235" s="723"/>
      <c r="DT235" s="723"/>
      <c r="DU235" s="723"/>
      <c r="DV235" s="723"/>
      <c r="DW235" s="723"/>
      <c r="DX235" s="723"/>
      <c r="DY235" s="723"/>
      <c r="DZ235" s="723"/>
      <c r="EA235" s="723"/>
      <c r="EB235" s="728"/>
      <c r="EC235" s="728"/>
      <c r="ED235" s="728"/>
      <c r="EE235" s="728"/>
      <c r="EF235" s="728"/>
      <c r="EG235" s="728"/>
      <c r="EH235" s="728"/>
      <c r="EI235" s="728"/>
      <c r="EJ235" s="728"/>
      <c r="EK235" s="728"/>
      <c r="EL235" s="728"/>
      <c r="EM235" s="728"/>
      <c r="EN235" s="728"/>
      <c r="EO235" s="728"/>
      <c r="EP235" s="728"/>
      <c r="EQ235" s="728"/>
      <c r="ER235" s="728"/>
      <c r="ES235" s="728"/>
      <c r="ET235" s="722"/>
      <c r="EU235" s="722"/>
      <c r="EV235" s="722"/>
      <c r="EW235" s="728"/>
      <c r="EX235" s="728"/>
      <c r="EY235" s="728"/>
      <c r="EZ235" s="728"/>
      <c r="FA235" s="728"/>
      <c r="FB235" s="728"/>
      <c r="FC235" s="728"/>
      <c r="FD235" s="728"/>
      <c r="FE235" s="728"/>
      <c r="FF235" s="728"/>
      <c r="FG235" s="728"/>
      <c r="FH235" s="728"/>
      <c r="FI235" s="728"/>
      <c r="FJ235" s="728"/>
      <c r="FK235" s="728"/>
      <c r="FL235" s="728"/>
      <c r="FM235" s="728"/>
      <c r="FN235" s="728"/>
      <c r="FO235" s="728"/>
      <c r="FP235" s="728"/>
      <c r="FQ235" s="728"/>
      <c r="GD235" s="728"/>
      <c r="GE235" s="728"/>
      <c r="GF235" s="728"/>
      <c r="GG235" s="723"/>
      <c r="GH235" s="723"/>
      <c r="GI235" s="723"/>
      <c r="GJ235" s="728"/>
      <c r="GK235" s="728"/>
      <c r="GL235" s="728"/>
      <c r="GM235" s="728"/>
      <c r="GN235" s="728"/>
      <c r="GO235" s="728"/>
      <c r="GP235" s="728"/>
      <c r="GQ235" s="728"/>
      <c r="GR235" s="728"/>
      <c r="GS235" s="723"/>
      <c r="GT235" s="723"/>
      <c r="GU235" s="723"/>
      <c r="GV235" s="723"/>
      <c r="GW235" s="723"/>
      <c r="GX235" s="723"/>
      <c r="GY235" s="728"/>
      <c r="GZ235" s="728"/>
      <c r="HA235" s="728"/>
      <c r="HB235" s="728"/>
      <c r="HC235" s="728"/>
      <c r="HD235" s="728"/>
      <c r="HE235" s="728"/>
      <c r="HF235" s="728"/>
      <c r="HG235" s="728"/>
      <c r="HH235" s="728"/>
      <c r="HI235" s="728"/>
      <c r="HJ235" s="728"/>
      <c r="HK235" s="728"/>
      <c r="HL235" s="728"/>
      <c r="HM235" s="728"/>
      <c r="HN235" s="723"/>
      <c r="HO235" s="723"/>
      <c r="HP235" s="723"/>
      <c r="HQ235" s="728"/>
      <c r="HR235" s="728"/>
      <c r="HS235" s="728"/>
      <c r="HT235" s="728"/>
      <c r="HU235" s="728"/>
      <c r="HV235" s="728"/>
      <c r="HW235" s="728"/>
      <c r="HX235" s="728"/>
      <c r="HY235" s="728"/>
      <c r="HZ235" s="728"/>
      <c r="IA235" s="728"/>
      <c r="IB235" s="728"/>
      <c r="IC235" s="728"/>
      <c r="ID235" s="728"/>
      <c r="IE235" s="728"/>
      <c r="IF235" s="728"/>
      <c r="IG235" s="728"/>
      <c r="IH235" s="728"/>
      <c r="II235" s="728"/>
      <c r="IJ235" s="728"/>
      <c r="IK235" s="728"/>
      <c r="IL235" s="728"/>
      <c r="IM235" s="728"/>
      <c r="IN235" s="728"/>
    </row>
    <row r="236" spans="1:309">
      <c r="A236" s="634"/>
      <c r="B236" s="728"/>
      <c r="C236" s="884"/>
      <c r="D236" s="884"/>
      <c r="E236" s="884"/>
      <c r="F236" s="828"/>
      <c r="G236" s="828"/>
      <c r="H236" s="828"/>
      <c r="I236" s="828"/>
      <c r="J236" s="828"/>
      <c r="K236" s="828"/>
      <c r="L236" s="828"/>
      <c r="M236" s="828"/>
      <c r="N236" s="828"/>
      <c r="O236" s="828"/>
      <c r="P236" s="828"/>
      <c r="Q236" s="828"/>
      <c r="R236" s="828"/>
      <c r="S236" s="828"/>
      <c r="T236" s="828"/>
      <c r="U236" s="728"/>
      <c r="V236" s="728"/>
      <c r="W236" s="728"/>
      <c r="X236" s="728"/>
      <c r="Y236" s="728"/>
      <c r="Z236" s="728"/>
      <c r="AA236" s="728"/>
      <c r="AB236" s="728"/>
      <c r="AC236" s="728"/>
      <c r="AV236" s="728"/>
      <c r="AW236" s="728"/>
      <c r="AX236" s="728"/>
      <c r="AY236" s="728"/>
      <c r="AZ236" s="728"/>
      <c r="BA236" s="728"/>
      <c r="BB236" s="728"/>
      <c r="BC236" s="728"/>
      <c r="BD236" s="728"/>
      <c r="BE236" s="728"/>
      <c r="BF236" s="728"/>
      <c r="BG236" s="728"/>
      <c r="BH236" s="728"/>
      <c r="BI236" s="728"/>
      <c r="BJ236" s="728"/>
      <c r="BK236" s="728"/>
      <c r="BL236" s="728"/>
      <c r="BM236" s="728"/>
      <c r="BN236" s="728"/>
      <c r="BO236" s="728"/>
      <c r="BP236" s="728"/>
      <c r="BQ236" s="728"/>
      <c r="BR236" s="728"/>
      <c r="BS236" s="728"/>
      <c r="BT236" s="728"/>
      <c r="BU236" s="728"/>
      <c r="BV236" s="728"/>
      <c r="BW236" s="728"/>
      <c r="BX236" s="728"/>
      <c r="BY236" s="728"/>
      <c r="BZ236" s="728"/>
      <c r="CA236" s="728"/>
      <c r="CB236" s="728"/>
      <c r="CC236" s="728"/>
      <c r="CD236" s="728"/>
      <c r="CE236" s="728"/>
      <c r="CF236" s="728"/>
      <c r="CG236" s="728"/>
      <c r="CH236" s="728"/>
      <c r="CI236" s="728"/>
      <c r="CJ236" s="728"/>
      <c r="CK236" s="728"/>
      <c r="CL236" s="728"/>
      <c r="CM236" s="728"/>
      <c r="CN236" s="728"/>
      <c r="CO236" s="728"/>
      <c r="CP236" s="728"/>
      <c r="CQ236" s="728"/>
      <c r="CR236" s="728"/>
      <c r="CS236" s="728"/>
      <c r="CT236" s="728"/>
      <c r="CU236" s="728"/>
      <c r="CV236" s="728"/>
      <c r="CW236" s="728"/>
      <c r="CX236" s="728"/>
      <c r="CY236" s="728"/>
      <c r="CZ236" s="728"/>
      <c r="DA236" s="728"/>
      <c r="DB236" s="728"/>
      <c r="DC236" s="728"/>
      <c r="DD236" s="728"/>
      <c r="DE236" s="728"/>
      <c r="DF236" s="728"/>
      <c r="DG236" s="728"/>
      <c r="DH236" s="728"/>
      <c r="DI236" s="728"/>
      <c r="DJ236" s="728"/>
      <c r="DK236" s="728"/>
      <c r="DL236" s="728"/>
      <c r="DM236" s="728"/>
      <c r="DN236" s="728"/>
      <c r="DO236" s="728"/>
      <c r="DP236" s="728"/>
      <c r="DQ236" s="728"/>
      <c r="DR236" s="728"/>
      <c r="DS236" s="723"/>
      <c r="DT236" s="723"/>
      <c r="DU236" s="723"/>
      <c r="DV236" s="723"/>
      <c r="DW236" s="723"/>
      <c r="DX236" s="723"/>
      <c r="DY236" s="723"/>
      <c r="DZ236" s="723"/>
      <c r="EA236" s="723"/>
      <c r="EB236" s="728"/>
      <c r="EC236" s="728"/>
      <c r="ED236" s="728"/>
      <c r="EE236" s="728"/>
      <c r="EF236" s="728"/>
      <c r="EG236" s="728"/>
      <c r="EH236" s="728"/>
      <c r="EI236" s="728"/>
      <c r="EJ236" s="728"/>
      <c r="EK236" s="728"/>
      <c r="EL236" s="728"/>
      <c r="EM236" s="728"/>
      <c r="EN236" s="728"/>
      <c r="EO236" s="728"/>
      <c r="EP236" s="728"/>
      <c r="EQ236" s="728"/>
      <c r="ER236" s="728"/>
      <c r="ES236" s="728"/>
      <c r="ET236" s="722"/>
      <c r="EU236" s="722"/>
      <c r="EV236" s="722"/>
      <c r="EW236" s="728"/>
      <c r="EX236" s="728"/>
      <c r="EY236" s="728"/>
      <c r="EZ236" s="728"/>
      <c r="FA236" s="728"/>
      <c r="FB236" s="728"/>
      <c r="FC236" s="728"/>
      <c r="FD236" s="728"/>
      <c r="FE236" s="728"/>
      <c r="FF236" s="728"/>
      <c r="FG236" s="728"/>
      <c r="FH236" s="728"/>
      <c r="FI236" s="728"/>
      <c r="FJ236" s="728"/>
      <c r="FK236" s="728"/>
      <c r="FL236" s="728"/>
      <c r="FM236" s="728"/>
      <c r="FN236" s="728"/>
      <c r="FO236" s="728"/>
      <c r="FP236" s="728"/>
      <c r="FQ236" s="728"/>
      <c r="GD236" s="728"/>
      <c r="GE236" s="728"/>
      <c r="GF236" s="728"/>
      <c r="GG236" s="723"/>
      <c r="GH236" s="723"/>
      <c r="GI236" s="723"/>
      <c r="GJ236" s="728"/>
      <c r="GK236" s="728"/>
      <c r="GL236" s="728"/>
      <c r="GM236" s="728"/>
      <c r="GN236" s="728"/>
      <c r="GO236" s="728"/>
      <c r="GP236" s="728"/>
      <c r="GQ236" s="728"/>
      <c r="GR236" s="728"/>
      <c r="GS236" s="723"/>
      <c r="GT236" s="723"/>
      <c r="GU236" s="723"/>
      <c r="GV236" s="723"/>
      <c r="GW236" s="723"/>
      <c r="GX236" s="723"/>
      <c r="GY236" s="728"/>
      <c r="GZ236" s="728"/>
      <c r="HA236" s="728"/>
      <c r="HB236" s="728"/>
      <c r="HC236" s="728"/>
      <c r="HD236" s="728"/>
      <c r="HE236" s="728"/>
      <c r="HF236" s="728"/>
      <c r="HG236" s="728"/>
      <c r="HH236" s="728"/>
      <c r="HI236" s="728"/>
      <c r="HJ236" s="728"/>
      <c r="HK236" s="728"/>
      <c r="HL236" s="728"/>
      <c r="HM236" s="728"/>
      <c r="HN236" s="723"/>
      <c r="HO236" s="723"/>
      <c r="HP236" s="723"/>
      <c r="HQ236" s="728"/>
      <c r="HR236" s="728"/>
      <c r="HS236" s="728"/>
      <c r="HT236" s="728"/>
      <c r="HU236" s="728"/>
      <c r="HV236" s="728"/>
      <c r="HW236" s="728"/>
      <c r="HX236" s="728"/>
      <c r="HY236" s="728"/>
      <c r="HZ236" s="728"/>
      <c r="IA236" s="728"/>
      <c r="IB236" s="728"/>
      <c r="IC236" s="728"/>
      <c r="ID236" s="728"/>
      <c r="IE236" s="728"/>
      <c r="IF236" s="728"/>
      <c r="IG236" s="728"/>
      <c r="IH236" s="728"/>
      <c r="II236" s="728"/>
      <c r="IJ236" s="728"/>
      <c r="IK236" s="728"/>
      <c r="IL236" s="728"/>
      <c r="IM236" s="728"/>
      <c r="IN236" s="728"/>
    </row>
    <row r="237" spans="1:309">
      <c r="A237" s="634"/>
      <c r="B237" s="728"/>
      <c r="C237" s="884"/>
      <c r="D237" s="884"/>
      <c r="E237" s="884"/>
      <c r="F237" s="828"/>
      <c r="G237" s="828"/>
      <c r="H237" s="828"/>
      <c r="I237" s="828"/>
      <c r="J237" s="828"/>
      <c r="K237" s="828"/>
      <c r="L237" s="828"/>
      <c r="M237" s="828"/>
      <c r="N237" s="828"/>
      <c r="O237" s="828"/>
      <c r="P237" s="828"/>
      <c r="Q237" s="828"/>
      <c r="R237" s="828"/>
      <c r="S237" s="828"/>
      <c r="T237" s="828"/>
      <c r="U237" s="728"/>
      <c r="V237" s="728"/>
      <c r="W237" s="728"/>
      <c r="X237" s="728"/>
      <c r="Y237" s="728"/>
      <c r="Z237" s="728"/>
      <c r="AA237" s="728"/>
      <c r="AB237" s="728"/>
      <c r="AC237" s="728"/>
      <c r="AV237" s="728"/>
      <c r="AW237" s="728"/>
      <c r="AX237" s="728"/>
      <c r="AY237" s="728"/>
      <c r="AZ237" s="728"/>
      <c r="BA237" s="728"/>
      <c r="BB237" s="728"/>
      <c r="BC237" s="728"/>
      <c r="BD237" s="728"/>
      <c r="BE237" s="728"/>
      <c r="BF237" s="728"/>
      <c r="BG237" s="728"/>
      <c r="BH237" s="728"/>
      <c r="BI237" s="728"/>
      <c r="BJ237" s="728"/>
      <c r="BK237" s="728"/>
      <c r="BL237" s="728"/>
      <c r="BM237" s="728"/>
      <c r="BN237" s="728"/>
      <c r="BO237" s="728"/>
      <c r="BP237" s="728"/>
      <c r="BQ237" s="728"/>
      <c r="BR237" s="728"/>
      <c r="BS237" s="728"/>
      <c r="BT237" s="728"/>
      <c r="BU237" s="728"/>
      <c r="BV237" s="728"/>
      <c r="BW237" s="728"/>
      <c r="BX237" s="728"/>
      <c r="BY237" s="728"/>
      <c r="BZ237" s="728"/>
      <c r="CA237" s="728"/>
      <c r="CB237" s="728"/>
      <c r="CC237" s="728"/>
      <c r="CD237" s="728"/>
      <c r="CE237" s="728"/>
      <c r="CF237" s="728"/>
      <c r="CG237" s="728"/>
      <c r="CH237" s="728"/>
      <c r="CI237" s="728"/>
      <c r="CJ237" s="728"/>
      <c r="CK237" s="728"/>
      <c r="CL237" s="728"/>
      <c r="CM237" s="728"/>
      <c r="CN237" s="728"/>
      <c r="CO237" s="728"/>
      <c r="CP237" s="728"/>
      <c r="CQ237" s="728"/>
      <c r="CR237" s="728"/>
      <c r="CS237" s="728"/>
      <c r="CT237" s="728"/>
      <c r="CU237" s="728"/>
      <c r="CV237" s="728"/>
      <c r="CW237" s="728"/>
      <c r="CX237" s="728"/>
      <c r="CY237" s="728"/>
      <c r="CZ237" s="728"/>
      <c r="DA237" s="728"/>
      <c r="DB237" s="728"/>
      <c r="DC237" s="728"/>
      <c r="DD237" s="728"/>
      <c r="DE237" s="728"/>
      <c r="DF237" s="728"/>
      <c r="DG237" s="728"/>
      <c r="DH237" s="728"/>
      <c r="DI237" s="728"/>
      <c r="DJ237" s="728"/>
      <c r="DK237" s="728"/>
      <c r="DL237" s="728"/>
      <c r="DM237" s="728"/>
      <c r="DN237" s="728"/>
      <c r="DO237" s="728"/>
      <c r="DP237" s="728"/>
      <c r="DQ237" s="728"/>
      <c r="DR237" s="728"/>
      <c r="DS237" s="723"/>
      <c r="DT237" s="723"/>
      <c r="DU237" s="723"/>
      <c r="DV237" s="723"/>
      <c r="DW237" s="723"/>
      <c r="DX237" s="723"/>
      <c r="DY237" s="723"/>
      <c r="DZ237" s="723"/>
      <c r="EA237" s="723"/>
      <c r="EB237" s="728"/>
      <c r="EC237" s="728"/>
      <c r="ED237" s="728"/>
      <c r="EE237" s="728"/>
      <c r="EF237" s="728"/>
      <c r="EG237" s="728"/>
      <c r="EH237" s="728"/>
      <c r="EI237" s="728"/>
      <c r="EJ237" s="728"/>
      <c r="EK237" s="728"/>
      <c r="EL237" s="728"/>
      <c r="EM237" s="728"/>
      <c r="EN237" s="728"/>
      <c r="EO237" s="728"/>
      <c r="EP237" s="728"/>
      <c r="EQ237" s="728"/>
      <c r="ER237" s="728"/>
      <c r="ES237" s="728"/>
      <c r="ET237" s="722"/>
      <c r="EU237" s="722"/>
      <c r="EV237" s="722"/>
      <c r="EW237" s="728"/>
      <c r="EX237" s="728"/>
      <c r="EY237" s="728"/>
      <c r="EZ237" s="728"/>
      <c r="FA237" s="728"/>
      <c r="FB237" s="728"/>
      <c r="FC237" s="728"/>
      <c r="FD237" s="728"/>
      <c r="FE237" s="728"/>
      <c r="FF237" s="728"/>
      <c r="FG237" s="728"/>
      <c r="FH237" s="728"/>
      <c r="FI237" s="728"/>
      <c r="FJ237" s="728"/>
      <c r="FK237" s="728"/>
      <c r="FL237" s="728"/>
      <c r="FM237" s="728"/>
      <c r="FN237" s="728"/>
      <c r="FO237" s="728"/>
      <c r="FP237" s="728"/>
      <c r="FQ237" s="728"/>
      <c r="GD237" s="728"/>
      <c r="GE237" s="728"/>
      <c r="GF237" s="728"/>
      <c r="GG237" s="723"/>
      <c r="GH237" s="723"/>
      <c r="GI237" s="723"/>
      <c r="GJ237" s="728"/>
      <c r="GK237" s="728"/>
      <c r="GL237" s="728"/>
      <c r="GM237" s="728"/>
      <c r="GN237" s="728"/>
      <c r="GO237" s="728"/>
      <c r="GP237" s="728"/>
      <c r="GQ237" s="728"/>
      <c r="GR237" s="728"/>
      <c r="GS237" s="723"/>
      <c r="GT237" s="723"/>
      <c r="GU237" s="723"/>
      <c r="GV237" s="723"/>
      <c r="GW237" s="723"/>
      <c r="GX237" s="723"/>
      <c r="GY237" s="728"/>
      <c r="GZ237" s="728"/>
      <c r="HA237" s="728"/>
      <c r="HB237" s="728"/>
      <c r="HC237" s="728"/>
      <c r="HD237" s="728"/>
      <c r="HE237" s="728"/>
      <c r="HF237" s="728"/>
      <c r="HG237" s="728"/>
      <c r="HH237" s="728"/>
      <c r="HI237" s="728"/>
      <c r="HJ237" s="728"/>
      <c r="HK237" s="728"/>
      <c r="HL237" s="728"/>
      <c r="HM237" s="728"/>
      <c r="HN237" s="723"/>
      <c r="HO237" s="723"/>
      <c r="HP237" s="723"/>
      <c r="HQ237" s="728"/>
      <c r="HR237" s="728"/>
      <c r="HS237" s="728"/>
      <c r="HT237" s="728"/>
      <c r="HU237" s="728"/>
      <c r="HV237" s="728"/>
      <c r="HW237" s="728"/>
      <c r="HX237" s="728"/>
      <c r="HY237" s="728"/>
      <c r="HZ237" s="728"/>
      <c r="IA237" s="728"/>
      <c r="IB237" s="728"/>
      <c r="IC237" s="728"/>
      <c r="ID237" s="728"/>
      <c r="IE237" s="728"/>
      <c r="IF237" s="728"/>
      <c r="IG237" s="728"/>
      <c r="IH237" s="728"/>
      <c r="II237" s="728"/>
      <c r="IJ237" s="728"/>
      <c r="IK237" s="728"/>
      <c r="IL237" s="728"/>
      <c r="IM237" s="728"/>
      <c r="IN237" s="728"/>
    </row>
    <row r="238" spans="1:309">
      <c r="A238" s="634"/>
      <c r="B238" s="728"/>
      <c r="C238" s="884"/>
      <c r="D238" s="884"/>
      <c r="E238" s="884"/>
      <c r="F238" s="828"/>
      <c r="G238" s="828"/>
      <c r="H238" s="828"/>
      <c r="I238" s="828"/>
      <c r="J238" s="828"/>
      <c r="K238" s="828"/>
      <c r="L238" s="828"/>
      <c r="M238" s="828"/>
      <c r="N238" s="828"/>
      <c r="O238" s="828"/>
      <c r="P238" s="828"/>
      <c r="Q238" s="828"/>
      <c r="R238" s="828"/>
      <c r="S238" s="828"/>
      <c r="T238" s="828"/>
      <c r="U238" s="728"/>
      <c r="V238" s="728"/>
      <c r="W238" s="728"/>
      <c r="X238" s="728"/>
      <c r="Y238" s="728"/>
      <c r="Z238" s="728"/>
      <c r="AA238" s="728"/>
      <c r="AB238" s="728"/>
      <c r="AC238" s="728"/>
      <c r="AV238" s="728"/>
      <c r="AW238" s="728"/>
      <c r="AX238" s="728"/>
      <c r="AY238" s="728"/>
      <c r="AZ238" s="728"/>
      <c r="BA238" s="728"/>
      <c r="BB238" s="728"/>
      <c r="BC238" s="728"/>
      <c r="BD238" s="728"/>
      <c r="BE238" s="728"/>
      <c r="BF238" s="728"/>
      <c r="BG238" s="728"/>
      <c r="BH238" s="728"/>
      <c r="BI238" s="728"/>
      <c r="BJ238" s="728"/>
      <c r="BK238" s="728"/>
      <c r="BL238" s="728"/>
      <c r="BM238" s="728"/>
      <c r="BN238" s="728"/>
      <c r="BO238" s="728"/>
      <c r="BP238" s="728"/>
      <c r="BQ238" s="728"/>
      <c r="BR238" s="728"/>
      <c r="BS238" s="728"/>
      <c r="BT238" s="728"/>
      <c r="BU238" s="728"/>
      <c r="BV238" s="728"/>
      <c r="BW238" s="728"/>
      <c r="BX238" s="728"/>
      <c r="BY238" s="728"/>
      <c r="BZ238" s="728"/>
      <c r="CA238" s="728"/>
      <c r="CB238" s="728"/>
      <c r="CC238" s="728"/>
      <c r="CD238" s="728"/>
      <c r="CE238" s="728"/>
      <c r="CF238" s="728"/>
      <c r="CG238" s="728"/>
      <c r="CH238" s="728"/>
      <c r="CI238" s="728"/>
      <c r="CJ238" s="728"/>
      <c r="CK238" s="728"/>
      <c r="CL238" s="728"/>
      <c r="CM238" s="728"/>
      <c r="CN238" s="728"/>
      <c r="CO238" s="728"/>
      <c r="CP238" s="728"/>
      <c r="CQ238" s="728"/>
      <c r="CR238" s="728"/>
      <c r="CS238" s="728"/>
      <c r="CT238" s="728"/>
      <c r="CU238" s="728"/>
      <c r="CV238" s="728"/>
      <c r="CW238" s="728"/>
      <c r="CX238" s="728"/>
      <c r="CY238" s="728"/>
      <c r="CZ238" s="728"/>
      <c r="DA238" s="728"/>
      <c r="DB238" s="728"/>
      <c r="DC238" s="728"/>
      <c r="DD238" s="728"/>
      <c r="DE238" s="728"/>
      <c r="DF238" s="728"/>
      <c r="DG238" s="728"/>
      <c r="DH238" s="728"/>
      <c r="DI238" s="728"/>
      <c r="DJ238" s="728"/>
      <c r="DK238" s="728"/>
      <c r="DL238" s="728"/>
      <c r="DM238" s="728"/>
      <c r="DN238" s="728"/>
      <c r="DO238" s="728"/>
      <c r="DP238" s="728"/>
      <c r="DQ238" s="728"/>
      <c r="DR238" s="728"/>
      <c r="DS238" s="723"/>
      <c r="DT238" s="723"/>
      <c r="DU238" s="723"/>
      <c r="DV238" s="723"/>
      <c r="DW238" s="723"/>
      <c r="DX238" s="723"/>
      <c r="DY238" s="723"/>
      <c r="DZ238" s="723"/>
      <c r="EA238" s="723"/>
      <c r="EB238" s="728"/>
      <c r="EC238" s="728"/>
      <c r="ED238" s="728"/>
      <c r="EE238" s="728"/>
      <c r="EF238" s="728"/>
      <c r="EG238" s="728"/>
      <c r="EH238" s="728"/>
      <c r="EI238" s="728"/>
      <c r="EJ238" s="728"/>
      <c r="EK238" s="728"/>
      <c r="EL238" s="728"/>
      <c r="EM238" s="728"/>
      <c r="EN238" s="728"/>
      <c r="EO238" s="728"/>
      <c r="EP238" s="728"/>
      <c r="EQ238" s="728"/>
      <c r="ER238" s="728"/>
      <c r="ES238" s="728"/>
      <c r="ET238" s="722"/>
      <c r="EU238" s="722"/>
      <c r="EV238" s="722"/>
      <c r="EW238" s="728"/>
      <c r="EX238" s="728"/>
      <c r="EY238" s="728"/>
      <c r="EZ238" s="728"/>
      <c r="FA238" s="728"/>
      <c r="FB238" s="728"/>
      <c r="FC238" s="728"/>
      <c r="FD238" s="728"/>
      <c r="FE238" s="728"/>
      <c r="FF238" s="728"/>
      <c r="FG238" s="728"/>
      <c r="FH238" s="728"/>
      <c r="FI238" s="728"/>
      <c r="FJ238" s="728"/>
      <c r="FK238" s="728"/>
      <c r="FL238" s="728"/>
      <c r="FM238" s="728"/>
      <c r="FN238" s="728"/>
      <c r="FO238" s="728"/>
      <c r="FP238" s="728"/>
      <c r="FQ238" s="728"/>
      <c r="GD238" s="728"/>
      <c r="GE238" s="728"/>
      <c r="GF238" s="728"/>
      <c r="GG238" s="723"/>
      <c r="GH238" s="723"/>
      <c r="GI238" s="723"/>
      <c r="GJ238" s="728"/>
      <c r="GK238" s="728"/>
      <c r="GL238" s="728"/>
      <c r="GM238" s="728"/>
      <c r="GN238" s="728"/>
      <c r="GO238" s="728"/>
      <c r="GP238" s="728"/>
      <c r="GQ238" s="728"/>
      <c r="GR238" s="728"/>
      <c r="GS238" s="723"/>
      <c r="GT238" s="723"/>
      <c r="GU238" s="723"/>
      <c r="GV238" s="723"/>
      <c r="GW238" s="723"/>
      <c r="GX238" s="723"/>
      <c r="GY238" s="728"/>
      <c r="GZ238" s="728"/>
      <c r="HA238" s="728"/>
      <c r="HB238" s="728"/>
      <c r="HC238" s="728"/>
      <c r="HD238" s="728"/>
      <c r="HE238" s="728"/>
      <c r="HF238" s="728"/>
      <c r="HG238" s="728"/>
      <c r="HH238" s="728"/>
      <c r="HI238" s="728"/>
      <c r="HJ238" s="728"/>
      <c r="HK238" s="728"/>
      <c r="HL238" s="728"/>
      <c r="HM238" s="728"/>
      <c r="HN238" s="723"/>
      <c r="HO238" s="723"/>
      <c r="HP238" s="723"/>
      <c r="HQ238" s="728"/>
      <c r="HR238" s="728"/>
      <c r="HS238" s="728"/>
      <c r="HT238" s="728"/>
      <c r="HU238" s="728"/>
      <c r="HV238" s="728"/>
      <c r="HW238" s="728"/>
      <c r="HX238" s="728"/>
      <c r="HY238" s="728"/>
      <c r="HZ238" s="728"/>
      <c r="IA238" s="728"/>
      <c r="IB238" s="728"/>
      <c r="IC238" s="728"/>
      <c r="ID238" s="728"/>
      <c r="IE238" s="728"/>
      <c r="IF238" s="728"/>
      <c r="IG238" s="728"/>
      <c r="IH238" s="728"/>
      <c r="II238" s="728"/>
      <c r="IJ238" s="728"/>
      <c r="IK238" s="728"/>
      <c r="IL238" s="728"/>
      <c r="IM238" s="728"/>
      <c r="IN238" s="728"/>
    </row>
    <row r="239" spans="1:309">
      <c r="A239" s="634"/>
      <c r="B239" s="728"/>
      <c r="C239" s="884"/>
      <c r="D239" s="884"/>
      <c r="E239" s="884"/>
      <c r="F239" s="828"/>
      <c r="G239" s="828"/>
      <c r="H239" s="828"/>
      <c r="I239" s="828"/>
      <c r="J239" s="828"/>
      <c r="K239" s="828"/>
      <c r="L239" s="828"/>
      <c r="M239" s="828"/>
      <c r="N239" s="828"/>
      <c r="O239" s="828"/>
      <c r="P239" s="828"/>
      <c r="Q239" s="828"/>
      <c r="R239" s="828"/>
      <c r="S239" s="828"/>
      <c r="T239" s="828"/>
      <c r="U239" s="728"/>
      <c r="V239" s="728"/>
      <c r="W239" s="728"/>
      <c r="X239" s="728"/>
      <c r="Y239" s="728"/>
      <c r="Z239" s="728"/>
      <c r="AA239" s="728"/>
      <c r="AB239" s="728"/>
      <c r="AC239" s="728"/>
      <c r="AV239" s="728"/>
      <c r="AW239" s="728"/>
      <c r="AX239" s="728"/>
      <c r="AY239" s="728"/>
      <c r="AZ239" s="728"/>
      <c r="BA239" s="728"/>
      <c r="BB239" s="728"/>
      <c r="BC239" s="728"/>
      <c r="BD239" s="728"/>
      <c r="BE239" s="728"/>
      <c r="BF239" s="728"/>
      <c r="BG239" s="728"/>
      <c r="BH239" s="728"/>
      <c r="BI239" s="728"/>
      <c r="BJ239" s="728"/>
      <c r="BK239" s="728"/>
      <c r="BL239" s="728"/>
      <c r="BM239" s="728"/>
      <c r="BN239" s="728"/>
      <c r="BO239" s="728"/>
      <c r="BP239" s="728"/>
      <c r="BQ239" s="728"/>
      <c r="BR239" s="728"/>
      <c r="BS239" s="728"/>
      <c r="BT239" s="728"/>
      <c r="BU239" s="728"/>
      <c r="BV239" s="728"/>
      <c r="BW239" s="728"/>
      <c r="BX239" s="728"/>
      <c r="BY239" s="728"/>
      <c r="BZ239" s="728"/>
      <c r="CA239" s="728"/>
      <c r="CB239" s="728"/>
      <c r="CC239" s="728"/>
      <c r="CD239" s="728"/>
      <c r="CE239" s="728"/>
      <c r="CF239" s="728"/>
      <c r="CG239" s="728"/>
      <c r="CH239" s="728"/>
      <c r="CI239" s="728"/>
      <c r="CJ239" s="728"/>
      <c r="CK239" s="728"/>
      <c r="CL239" s="728"/>
      <c r="CM239" s="728"/>
      <c r="CN239" s="728"/>
      <c r="CO239" s="728"/>
      <c r="CP239" s="728"/>
      <c r="CQ239" s="728"/>
      <c r="CR239" s="728"/>
      <c r="CS239" s="728"/>
      <c r="CT239" s="728"/>
      <c r="CU239" s="728"/>
      <c r="CV239" s="728"/>
      <c r="CW239" s="728"/>
      <c r="CX239" s="728"/>
      <c r="CY239" s="728"/>
      <c r="CZ239" s="728"/>
      <c r="DA239" s="728"/>
      <c r="DB239" s="728"/>
      <c r="DC239" s="728"/>
      <c r="DD239" s="728"/>
      <c r="DE239" s="728"/>
      <c r="DF239" s="728"/>
      <c r="DG239" s="728"/>
      <c r="DH239" s="728"/>
      <c r="DI239" s="728"/>
      <c r="DJ239" s="728"/>
      <c r="DK239" s="728"/>
      <c r="DL239" s="728"/>
      <c r="DM239" s="728"/>
      <c r="DN239" s="728"/>
      <c r="DO239" s="728"/>
      <c r="DP239" s="728"/>
      <c r="DQ239" s="728"/>
      <c r="DR239" s="728"/>
      <c r="DS239" s="723"/>
      <c r="DT239" s="723"/>
      <c r="DU239" s="723"/>
      <c r="DV239" s="723"/>
      <c r="DW239" s="723"/>
      <c r="DX239" s="723"/>
      <c r="DY239" s="723"/>
      <c r="DZ239" s="723"/>
      <c r="EA239" s="723"/>
      <c r="EB239" s="728"/>
      <c r="EC239" s="728"/>
      <c r="ED239" s="728"/>
      <c r="EE239" s="728"/>
      <c r="EF239" s="728"/>
      <c r="EG239" s="728"/>
      <c r="EH239" s="728"/>
      <c r="EI239" s="728"/>
      <c r="EJ239" s="728"/>
      <c r="EK239" s="728"/>
      <c r="EL239" s="728"/>
      <c r="EM239" s="728"/>
      <c r="EN239" s="728"/>
      <c r="EO239" s="728"/>
      <c r="EP239" s="728"/>
      <c r="EQ239" s="728"/>
      <c r="ER239" s="728"/>
      <c r="ES239" s="728"/>
      <c r="ET239" s="722"/>
      <c r="EU239" s="722"/>
      <c r="EV239" s="722"/>
      <c r="EW239" s="728"/>
      <c r="EX239" s="728"/>
      <c r="EY239" s="728"/>
      <c r="EZ239" s="728"/>
      <c r="FA239" s="728"/>
      <c r="FB239" s="728"/>
      <c r="FC239" s="728"/>
      <c r="FD239" s="728"/>
      <c r="FE239" s="728"/>
      <c r="FF239" s="728"/>
      <c r="FG239" s="728"/>
      <c r="FH239" s="728"/>
      <c r="FI239" s="728"/>
      <c r="FJ239" s="728"/>
      <c r="FK239" s="728"/>
      <c r="FL239" s="728"/>
      <c r="FM239" s="728"/>
      <c r="FN239" s="728"/>
      <c r="FO239" s="728"/>
      <c r="FP239" s="728"/>
      <c r="FQ239" s="728"/>
      <c r="GD239" s="728"/>
      <c r="GE239" s="728"/>
      <c r="GF239" s="728"/>
      <c r="GG239" s="723"/>
      <c r="GH239" s="723"/>
      <c r="GI239" s="723"/>
      <c r="GJ239" s="728"/>
      <c r="GK239" s="728"/>
      <c r="GL239" s="728"/>
      <c r="GM239" s="728"/>
      <c r="GN239" s="728"/>
      <c r="GO239" s="728"/>
      <c r="GP239" s="728"/>
      <c r="GQ239" s="728"/>
      <c r="GR239" s="728"/>
      <c r="GS239" s="723"/>
      <c r="GT239" s="723"/>
      <c r="GU239" s="723"/>
      <c r="GV239" s="723"/>
      <c r="GW239" s="723"/>
      <c r="GX239" s="723"/>
      <c r="GY239" s="728"/>
      <c r="GZ239" s="728"/>
      <c r="HA239" s="728"/>
      <c r="HB239" s="728"/>
      <c r="HC239" s="728"/>
      <c r="HD239" s="728"/>
      <c r="HE239" s="728"/>
      <c r="HF239" s="728"/>
      <c r="HG239" s="728"/>
      <c r="HH239" s="728"/>
      <c r="HI239" s="728"/>
      <c r="HJ239" s="728"/>
      <c r="HK239" s="728"/>
      <c r="HL239" s="728"/>
      <c r="HM239" s="728"/>
      <c r="HN239" s="723"/>
      <c r="HO239" s="723"/>
      <c r="HP239" s="723"/>
      <c r="HQ239" s="728"/>
      <c r="HR239" s="728"/>
      <c r="HS239" s="728"/>
      <c r="HT239" s="728"/>
      <c r="HU239" s="728"/>
      <c r="HV239" s="728"/>
      <c r="HW239" s="728"/>
      <c r="HX239" s="728"/>
      <c r="HY239" s="728"/>
      <c r="HZ239" s="728"/>
      <c r="IA239" s="728"/>
      <c r="IB239" s="728"/>
      <c r="IC239" s="728"/>
      <c r="ID239" s="728"/>
      <c r="IE239" s="728"/>
      <c r="IF239" s="728"/>
      <c r="IG239" s="728"/>
      <c r="IH239" s="728"/>
      <c r="II239" s="728"/>
      <c r="IJ239" s="728"/>
      <c r="IK239" s="728"/>
      <c r="IL239" s="728"/>
      <c r="IM239" s="728"/>
      <c r="IN239" s="728"/>
    </row>
    <row r="240" spans="1:309">
      <c r="A240" s="634"/>
      <c r="B240" s="728"/>
      <c r="C240" s="884"/>
      <c r="D240" s="884"/>
      <c r="E240" s="884"/>
      <c r="F240" s="828"/>
      <c r="G240" s="828"/>
      <c r="H240" s="828"/>
      <c r="I240" s="828"/>
      <c r="J240" s="828"/>
      <c r="K240" s="828"/>
      <c r="L240" s="828"/>
      <c r="M240" s="828"/>
      <c r="N240" s="828"/>
      <c r="O240" s="828"/>
      <c r="P240" s="828"/>
      <c r="Q240" s="828"/>
      <c r="R240" s="828"/>
      <c r="S240" s="828"/>
      <c r="T240" s="828"/>
      <c r="U240" s="728"/>
      <c r="V240" s="728"/>
      <c r="W240" s="728"/>
      <c r="X240" s="728"/>
      <c r="Y240" s="728"/>
      <c r="Z240" s="728"/>
      <c r="AA240" s="728"/>
      <c r="AB240" s="728"/>
      <c r="AC240" s="728"/>
      <c r="AV240" s="728"/>
      <c r="AW240" s="728"/>
      <c r="AX240" s="728"/>
      <c r="AY240" s="728"/>
      <c r="AZ240" s="728"/>
      <c r="BA240" s="728"/>
      <c r="BB240" s="728"/>
      <c r="BC240" s="728"/>
      <c r="BD240" s="728"/>
      <c r="BE240" s="728"/>
      <c r="BF240" s="728"/>
      <c r="BG240" s="728"/>
      <c r="BH240" s="728"/>
      <c r="BI240" s="728"/>
      <c r="BJ240" s="728"/>
      <c r="BK240" s="728"/>
      <c r="BL240" s="728"/>
      <c r="BM240" s="728"/>
      <c r="BN240" s="728"/>
      <c r="BO240" s="728"/>
      <c r="BP240" s="728"/>
      <c r="BQ240" s="728"/>
      <c r="BR240" s="728"/>
      <c r="BS240" s="728"/>
      <c r="BT240" s="728"/>
      <c r="BU240" s="728"/>
      <c r="BV240" s="728"/>
      <c r="BW240" s="728"/>
      <c r="BX240" s="728"/>
      <c r="BY240" s="728"/>
      <c r="BZ240" s="728"/>
      <c r="CA240" s="728"/>
      <c r="CB240" s="728"/>
      <c r="CC240" s="728"/>
      <c r="CD240" s="728"/>
      <c r="CE240" s="728"/>
      <c r="CF240" s="728"/>
      <c r="CG240" s="728"/>
      <c r="CH240" s="728"/>
      <c r="CI240" s="728"/>
      <c r="CJ240" s="728"/>
      <c r="CK240" s="728"/>
      <c r="CL240" s="728"/>
      <c r="CM240" s="728"/>
      <c r="CN240" s="728"/>
      <c r="CO240" s="728"/>
      <c r="CP240" s="728"/>
      <c r="CQ240" s="728"/>
      <c r="CR240" s="728"/>
      <c r="CS240" s="728"/>
      <c r="CT240" s="728"/>
      <c r="CU240" s="728"/>
      <c r="CV240" s="728"/>
      <c r="CW240" s="728"/>
      <c r="CX240" s="728"/>
      <c r="CY240" s="728"/>
      <c r="CZ240" s="728"/>
      <c r="DA240" s="728"/>
      <c r="DB240" s="728"/>
      <c r="DC240" s="728"/>
      <c r="DD240" s="728"/>
      <c r="DE240" s="728"/>
      <c r="DF240" s="728"/>
      <c r="DG240" s="728"/>
      <c r="DH240" s="728"/>
      <c r="DI240" s="728"/>
      <c r="DJ240" s="728"/>
      <c r="DK240" s="728"/>
      <c r="DL240" s="728"/>
      <c r="DM240" s="728"/>
      <c r="DN240" s="728"/>
      <c r="DO240" s="728"/>
      <c r="DP240" s="728"/>
      <c r="DQ240" s="728"/>
      <c r="DR240" s="728"/>
      <c r="DS240" s="723"/>
      <c r="DT240" s="723"/>
      <c r="DU240" s="723"/>
      <c r="DV240" s="723"/>
      <c r="DW240" s="723"/>
      <c r="DX240" s="723"/>
      <c r="DY240" s="723"/>
      <c r="DZ240" s="723"/>
      <c r="EA240" s="723"/>
      <c r="EB240" s="728"/>
      <c r="EC240" s="728"/>
      <c r="ED240" s="728"/>
      <c r="EE240" s="728"/>
      <c r="EF240" s="728"/>
      <c r="EG240" s="728"/>
      <c r="EH240" s="728"/>
      <c r="EI240" s="728"/>
      <c r="EJ240" s="728"/>
      <c r="EK240" s="728"/>
      <c r="EL240" s="728"/>
      <c r="EM240" s="728"/>
      <c r="EN240" s="728"/>
      <c r="EO240" s="728"/>
      <c r="EP240" s="728"/>
      <c r="EQ240" s="728"/>
      <c r="ER240" s="728"/>
      <c r="ES240" s="728"/>
      <c r="ET240" s="722"/>
      <c r="EU240" s="722"/>
      <c r="EV240" s="722"/>
      <c r="EW240" s="728"/>
      <c r="EX240" s="728"/>
      <c r="EY240" s="728"/>
      <c r="EZ240" s="728"/>
      <c r="FA240" s="728"/>
      <c r="FB240" s="728"/>
      <c r="FC240" s="728"/>
      <c r="FD240" s="728"/>
      <c r="FE240" s="728"/>
      <c r="FF240" s="728"/>
      <c r="FG240" s="728"/>
      <c r="FH240" s="728"/>
      <c r="FI240" s="728"/>
      <c r="FJ240" s="728"/>
      <c r="FK240" s="728"/>
      <c r="FL240" s="728"/>
      <c r="FM240" s="728"/>
      <c r="FN240" s="728"/>
      <c r="FO240" s="728"/>
      <c r="FP240" s="728"/>
      <c r="FQ240" s="728"/>
      <c r="GD240" s="728"/>
      <c r="GE240" s="728"/>
      <c r="GF240" s="728"/>
      <c r="GG240" s="723"/>
      <c r="GH240" s="723"/>
      <c r="GI240" s="723"/>
      <c r="GJ240" s="728"/>
      <c r="GK240" s="728"/>
      <c r="GL240" s="728"/>
      <c r="GM240" s="728"/>
      <c r="GN240" s="728"/>
      <c r="GO240" s="728"/>
      <c r="GP240" s="728"/>
      <c r="GQ240" s="728"/>
      <c r="GR240" s="728"/>
      <c r="GS240" s="723"/>
      <c r="GT240" s="723"/>
      <c r="GU240" s="723"/>
      <c r="GV240" s="723"/>
      <c r="GW240" s="723"/>
      <c r="GX240" s="723"/>
      <c r="GY240" s="728"/>
      <c r="GZ240" s="728"/>
      <c r="HA240" s="728"/>
      <c r="HB240" s="728"/>
      <c r="HC240" s="728"/>
      <c r="HD240" s="728"/>
      <c r="HE240" s="728"/>
      <c r="HF240" s="728"/>
      <c r="HG240" s="728"/>
      <c r="HH240" s="728"/>
      <c r="HI240" s="728"/>
      <c r="HJ240" s="728"/>
      <c r="HK240" s="728"/>
      <c r="HL240" s="728"/>
      <c r="HM240" s="728"/>
      <c r="HN240" s="723"/>
      <c r="HO240" s="723"/>
      <c r="HP240" s="723"/>
      <c r="HQ240" s="728"/>
      <c r="HR240" s="728"/>
      <c r="HS240" s="728"/>
      <c r="HT240" s="728"/>
      <c r="HU240" s="728"/>
      <c r="HV240" s="728"/>
      <c r="HW240" s="728"/>
      <c r="HX240" s="728"/>
      <c r="HY240" s="728"/>
      <c r="HZ240" s="728"/>
      <c r="IA240" s="728"/>
      <c r="IB240" s="728"/>
      <c r="IC240" s="728"/>
      <c r="ID240" s="728"/>
      <c r="IE240" s="728"/>
      <c r="IF240" s="728"/>
      <c r="IG240" s="728"/>
      <c r="IH240" s="728"/>
      <c r="II240" s="728"/>
      <c r="IJ240" s="728"/>
      <c r="IK240" s="728"/>
      <c r="IL240" s="728"/>
      <c r="IM240" s="728"/>
      <c r="IN240" s="728"/>
    </row>
    <row r="241" spans="1:309">
      <c r="A241" s="634"/>
      <c r="B241" s="720">
        <v>102</v>
      </c>
      <c r="C241" s="884"/>
      <c r="D241" s="884"/>
      <c r="E241" s="884"/>
      <c r="F241" s="828"/>
      <c r="G241" s="828"/>
      <c r="H241" s="828"/>
      <c r="I241" s="828"/>
      <c r="J241" s="828"/>
      <c r="K241" s="828"/>
      <c r="L241" s="828"/>
      <c r="M241" s="828"/>
      <c r="N241" s="828"/>
      <c r="O241" s="828"/>
      <c r="P241" s="828"/>
      <c r="Q241" s="828"/>
      <c r="R241" s="828"/>
      <c r="S241" s="828"/>
      <c r="T241" s="828"/>
      <c r="U241" s="728"/>
      <c r="V241" s="728"/>
      <c r="W241" s="728"/>
      <c r="X241" s="728"/>
      <c r="Y241" s="728"/>
      <c r="Z241" s="728"/>
      <c r="AA241" s="728"/>
      <c r="AB241" s="728"/>
      <c r="AC241" s="728"/>
      <c r="DS241" s="723"/>
      <c r="DT241" s="723"/>
      <c r="DU241" s="723"/>
      <c r="DV241" s="723"/>
      <c r="DW241" s="723"/>
      <c r="DX241" s="723"/>
      <c r="DY241" s="723"/>
      <c r="DZ241" s="723"/>
      <c r="EA241" s="723"/>
      <c r="ET241" s="722"/>
      <c r="EU241" s="722"/>
      <c r="EV241" s="722"/>
      <c r="GG241" s="723"/>
      <c r="GH241" s="723"/>
      <c r="GI241" s="723"/>
      <c r="GP241" s="728"/>
      <c r="GQ241" s="728"/>
      <c r="GR241" s="728"/>
      <c r="GS241" s="723"/>
      <c r="GT241" s="723"/>
      <c r="GU241" s="723"/>
      <c r="GV241" s="723"/>
      <c r="GW241" s="723"/>
      <c r="GX241" s="723"/>
      <c r="HN241" s="723"/>
      <c r="HO241" s="723"/>
      <c r="HP241" s="723"/>
      <c r="JY241" s="720">
        <v>0</v>
      </c>
      <c r="JZ241" s="720" t="s">
        <v>548</v>
      </c>
      <c r="KA241" s="720">
        <v>0</v>
      </c>
      <c r="KB241" s="720" t="s">
        <v>549</v>
      </c>
      <c r="KC241" s="720">
        <v>0</v>
      </c>
      <c r="KD241" s="720" t="s">
        <v>550</v>
      </c>
      <c r="KT241" s="720">
        <v>1.75</v>
      </c>
      <c r="KU241" s="720">
        <v>-0.5</v>
      </c>
      <c r="KV241" s="720">
        <v>-5.25</v>
      </c>
      <c r="KW241" s="720">
        <v>-6.5</v>
      </c>
    </row>
    <row r="242" spans="1:309">
      <c r="A242" s="634"/>
      <c r="B242" s="720">
        <v>0</v>
      </c>
      <c r="DS242" s="723"/>
      <c r="DT242" s="723"/>
      <c r="DU242" s="723"/>
      <c r="DV242" s="723"/>
      <c r="DW242" s="723"/>
      <c r="DX242" s="723"/>
      <c r="DY242" s="723"/>
      <c r="DZ242" s="723"/>
      <c r="EA242" s="723"/>
      <c r="ET242" s="722"/>
      <c r="EU242" s="722"/>
      <c r="EV242" s="722"/>
      <c r="GG242" s="723"/>
      <c r="GH242" s="723"/>
      <c r="GI242" s="723"/>
      <c r="GP242" s="728"/>
      <c r="GQ242" s="728"/>
      <c r="GR242" s="728"/>
      <c r="GS242" s="723"/>
      <c r="GT242" s="723"/>
      <c r="GU242" s="723"/>
      <c r="GV242" s="723"/>
      <c r="GW242" s="723"/>
      <c r="GX242" s="723"/>
      <c r="HN242" s="723"/>
      <c r="HO242" s="723"/>
      <c r="HP242" s="723"/>
      <c r="JY242" s="720">
        <v>0</v>
      </c>
      <c r="JZ242" s="720" t="s">
        <v>551</v>
      </c>
      <c r="KA242" s="720">
        <v>0</v>
      </c>
      <c r="KB242" s="720" t="s">
        <v>552</v>
      </c>
      <c r="KC242" s="720">
        <v>0</v>
      </c>
      <c r="KD242" s="720" t="s">
        <v>553</v>
      </c>
      <c r="KT242" s="720">
        <v>0</v>
      </c>
      <c r="KU242" s="720">
        <v>-0.63</v>
      </c>
      <c r="KV242" s="720">
        <v>-2.25</v>
      </c>
      <c r="KW242" s="720">
        <v>-4.75</v>
      </c>
    </row>
    <row r="243" spans="1:309">
      <c r="A243" s="634"/>
      <c r="B243" s="720" t="s">
        <v>554</v>
      </c>
      <c r="DS243" s="723"/>
      <c r="DT243" s="723"/>
      <c r="DU243" s="723"/>
      <c r="DV243" s="723"/>
      <c r="DW243" s="723"/>
      <c r="DX243" s="723"/>
      <c r="DY243" s="723"/>
      <c r="DZ243" s="723"/>
      <c r="EA243" s="723"/>
      <c r="ET243" s="722"/>
      <c r="EU243" s="722"/>
      <c r="EV243" s="722"/>
      <c r="GG243" s="723"/>
      <c r="GH243" s="723"/>
      <c r="GI243" s="723"/>
      <c r="GP243" s="728"/>
      <c r="GQ243" s="728"/>
      <c r="GR243" s="728"/>
      <c r="GS243" s="723"/>
      <c r="GT243" s="723"/>
      <c r="GU243" s="723"/>
      <c r="GV243" s="723"/>
      <c r="GW243" s="723"/>
      <c r="GX243" s="723"/>
      <c r="HN243" s="723"/>
      <c r="HO243" s="723"/>
      <c r="HP243" s="723"/>
      <c r="JY243" s="720">
        <v>-0.39236394557823101</v>
      </c>
      <c r="JZ243" s="720">
        <v>-1</v>
      </c>
      <c r="KA243" s="720">
        <v>2.4914965986394498E-3</v>
      </c>
      <c r="KB243" s="720">
        <v>-6.3499631572103499E-3</v>
      </c>
      <c r="KC243" s="720">
        <v>-1.44557823129251E-4</v>
      </c>
      <c r="KD243" s="720">
        <v>-3.7064492216456601E-4</v>
      </c>
      <c r="KT243" s="720">
        <v>-0.5</v>
      </c>
      <c r="KU243" s="720">
        <v>0.69</v>
      </c>
      <c r="KV243" s="720">
        <v>-0.06</v>
      </c>
      <c r="KW243" s="720">
        <v>-1.81</v>
      </c>
    </row>
    <row r="244" spans="1:309">
      <c r="A244" s="634"/>
      <c r="B244" s="720">
        <v>0</v>
      </c>
      <c r="DS244" s="723"/>
      <c r="DT244" s="723"/>
      <c r="DU244" s="723"/>
      <c r="DV244" s="723"/>
      <c r="DW244" s="723"/>
      <c r="DX244" s="723"/>
      <c r="DY244" s="723"/>
      <c r="DZ244" s="723"/>
      <c r="EA244" s="723"/>
      <c r="ET244" s="722"/>
      <c r="EU244" s="722"/>
      <c r="EV244" s="722"/>
      <c r="GG244" s="723"/>
      <c r="GH244" s="723"/>
      <c r="GI244" s="723"/>
      <c r="GP244" s="728"/>
      <c r="GQ244" s="728"/>
      <c r="GR244" s="728"/>
      <c r="GS244" s="723"/>
      <c r="GT244" s="723"/>
      <c r="GU244" s="723"/>
      <c r="GV244" s="723"/>
      <c r="GW244" s="723"/>
      <c r="GX244" s="723"/>
      <c r="HN244" s="723"/>
      <c r="HO244" s="723"/>
      <c r="HP244" s="723"/>
      <c r="JY244" s="720">
        <v>0</v>
      </c>
      <c r="JZ244" s="720" t="s">
        <v>555</v>
      </c>
      <c r="KA244" s="720">
        <v>0</v>
      </c>
      <c r="KB244" s="720" t="s">
        <v>556</v>
      </c>
      <c r="KC244" s="720">
        <v>0</v>
      </c>
      <c r="KD244" s="720" t="s">
        <v>557</v>
      </c>
      <c r="KT244" s="720">
        <v>-0.88</v>
      </c>
      <c r="KU244" s="720">
        <v>-1.5</v>
      </c>
      <c r="KV244" s="720">
        <v>-4</v>
      </c>
      <c r="KW244" s="720">
        <v>-9</v>
      </c>
    </row>
    <row r="245" spans="1:309">
      <c r="A245" s="634"/>
      <c r="B245" s="720">
        <v>0</v>
      </c>
      <c r="DS245" s="723"/>
      <c r="DT245" s="723"/>
      <c r="DU245" s="723"/>
      <c r="DV245" s="723"/>
      <c r="DW245" s="723"/>
      <c r="DX245" s="723"/>
      <c r="DY245" s="723"/>
      <c r="DZ245" s="723"/>
      <c r="EA245" s="723"/>
      <c r="ET245" s="722"/>
      <c r="EU245" s="722"/>
      <c r="EV245" s="722"/>
      <c r="GG245" s="723"/>
      <c r="GH245" s="723"/>
      <c r="GI245" s="723"/>
      <c r="GP245" s="728"/>
      <c r="GQ245" s="728"/>
      <c r="GR245" s="728"/>
      <c r="GS245" s="723"/>
      <c r="GT245" s="723"/>
      <c r="GU245" s="723"/>
      <c r="GV245" s="723"/>
      <c r="GW245" s="723"/>
      <c r="GX245" s="723"/>
      <c r="HN245" s="723"/>
      <c r="HO245" s="723"/>
      <c r="HP245" s="723"/>
      <c r="JY245" s="720">
        <v>0</v>
      </c>
      <c r="JZ245" s="720" t="s">
        <v>558</v>
      </c>
      <c r="KA245" s="720">
        <v>0</v>
      </c>
      <c r="KB245" s="720" t="s">
        <v>559</v>
      </c>
      <c r="KC245" s="720">
        <v>0</v>
      </c>
      <c r="KD245" s="720" t="s">
        <v>560</v>
      </c>
      <c r="KT245" s="720">
        <v>-0.5</v>
      </c>
      <c r="KU245" s="720">
        <v>-0.17</v>
      </c>
      <c r="KV245" s="720">
        <v>0.67</v>
      </c>
      <c r="KW245" s="720">
        <v>-0.83</v>
      </c>
    </row>
    <row r="246" spans="1:309">
      <c r="A246" s="634"/>
      <c r="B246" s="720">
        <v>0</v>
      </c>
      <c r="DS246" s="723"/>
      <c r="DT246" s="723"/>
      <c r="DU246" s="723"/>
      <c r="DV246" s="723"/>
      <c r="DW246" s="723"/>
      <c r="DX246" s="723"/>
      <c r="DY246" s="723"/>
      <c r="DZ246" s="723"/>
      <c r="EA246" s="723"/>
      <c r="ET246" s="722"/>
      <c r="EU246" s="722"/>
      <c r="EV246" s="722"/>
      <c r="GG246" s="723"/>
      <c r="GH246" s="723"/>
      <c r="GI246" s="723"/>
      <c r="GP246" s="728"/>
      <c r="GQ246" s="728"/>
      <c r="GR246" s="728"/>
      <c r="GS246" s="723"/>
      <c r="GT246" s="723"/>
      <c r="GU246" s="723"/>
      <c r="GV246" s="723"/>
      <c r="GW246" s="723"/>
      <c r="GX246" s="723"/>
      <c r="HN246" s="723"/>
      <c r="HO246" s="723"/>
      <c r="HP246" s="723"/>
      <c r="JY246" s="720">
        <v>0</v>
      </c>
      <c r="JZ246" s="720" t="s">
        <v>561</v>
      </c>
      <c r="KA246" s="720">
        <v>0</v>
      </c>
      <c r="KB246" s="720" t="s">
        <v>562</v>
      </c>
      <c r="KC246" s="720">
        <v>0</v>
      </c>
      <c r="KD246" s="720" t="s">
        <v>563</v>
      </c>
      <c r="KT246" s="720">
        <v>-0.38</v>
      </c>
      <c r="KU246" s="720">
        <v>-0.38</v>
      </c>
      <c r="KV246" s="720">
        <v>-1.5</v>
      </c>
      <c r="KW246" s="720">
        <v>-4.25</v>
      </c>
    </row>
    <row r="247" spans="1:309">
      <c r="A247" s="634"/>
      <c r="B247" s="720">
        <v>0</v>
      </c>
      <c r="DS247" s="723"/>
      <c r="DT247" s="723"/>
      <c r="DU247" s="723"/>
      <c r="DV247" s="723"/>
      <c r="DW247" s="723"/>
      <c r="DX247" s="723"/>
      <c r="DY247" s="723"/>
      <c r="DZ247" s="723"/>
      <c r="EA247" s="723"/>
      <c r="ET247" s="722"/>
      <c r="EU247" s="722"/>
      <c r="EV247" s="722"/>
      <c r="GG247" s="723"/>
      <c r="GH247" s="723"/>
      <c r="GI247" s="723"/>
      <c r="GP247" s="728"/>
      <c r="GQ247" s="728"/>
      <c r="GR247" s="728"/>
      <c r="GS247" s="723"/>
      <c r="GT247" s="723"/>
      <c r="GU247" s="723"/>
      <c r="GV247" s="723"/>
      <c r="GW247" s="723"/>
      <c r="GX247" s="723"/>
      <c r="HN247" s="723"/>
      <c r="HO247" s="723"/>
      <c r="HP247" s="723"/>
      <c r="JY247" s="720">
        <v>0</v>
      </c>
      <c r="JZ247" s="720" t="s">
        <v>564</v>
      </c>
      <c r="KA247" s="720">
        <v>0</v>
      </c>
      <c r="KB247" s="720" t="s">
        <v>565</v>
      </c>
      <c r="KC247" s="720">
        <v>0</v>
      </c>
      <c r="KD247" s="720" t="s">
        <v>566</v>
      </c>
      <c r="KT247" s="720">
        <v>-0.88</v>
      </c>
      <c r="KU247" s="720">
        <v>0.25</v>
      </c>
      <c r="KV247" s="720">
        <v>-3.63</v>
      </c>
      <c r="KW247" s="720">
        <v>-7.5</v>
      </c>
    </row>
    <row r="248" spans="1:309">
      <c r="A248" s="634"/>
      <c r="B248" s="720">
        <v>0</v>
      </c>
      <c r="DS248" s="723"/>
      <c r="DT248" s="723"/>
      <c r="DU248" s="723"/>
      <c r="DV248" s="723"/>
      <c r="DW248" s="723"/>
      <c r="DX248" s="723"/>
      <c r="DY248" s="723"/>
      <c r="DZ248" s="723"/>
      <c r="EA248" s="723"/>
      <c r="ET248" s="722"/>
      <c r="EU248" s="722"/>
      <c r="EV248" s="722"/>
      <c r="GG248" s="723"/>
      <c r="GH248" s="723"/>
      <c r="GI248" s="723"/>
      <c r="GP248" s="728"/>
      <c r="GQ248" s="728"/>
      <c r="GR248" s="728"/>
      <c r="GS248" s="723"/>
      <c r="GT248" s="723"/>
      <c r="GU248" s="723"/>
      <c r="GV248" s="723"/>
      <c r="GW248" s="723"/>
      <c r="GX248" s="723"/>
      <c r="HN248" s="723"/>
      <c r="HO248" s="723"/>
      <c r="HP248" s="723"/>
      <c r="JY248" s="720">
        <v>0</v>
      </c>
      <c r="JZ248" s="720" t="s">
        <v>567</v>
      </c>
      <c r="KA248" s="720">
        <v>0</v>
      </c>
      <c r="KB248" s="720" t="s">
        <v>568</v>
      </c>
      <c r="KC248" s="720">
        <v>0</v>
      </c>
      <c r="KD248" s="720" t="s">
        <v>569</v>
      </c>
      <c r="KT248" s="720">
        <v>-0.25</v>
      </c>
      <c r="KU248" s="720">
        <v>0.88</v>
      </c>
      <c r="KV248" s="720">
        <v>-2.25</v>
      </c>
      <c r="KW248" s="720">
        <v>-2.75</v>
      </c>
    </row>
    <row r="249" spans="1:309">
      <c r="A249" s="634"/>
      <c r="B249" s="720" t="s">
        <v>570</v>
      </c>
      <c r="DS249" s="723"/>
      <c r="DT249" s="723"/>
      <c r="DU249" s="723"/>
      <c r="DV249" s="723"/>
      <c r="DW249" s="723"/>
      <c r="DX249" s="723"/>
      <c r="DY249" s="723"/>
      <c r="DZ249" s="723"/>
      <c r="EA249" s="723"/>
      <c r="ET249" s="722"/>
      <c r="EU249" s="722"/>
      <c r="EV249" s="722"/>
      <c r="GG249" s="723"/>
      <c r="GH249" s="723"/>
      <c r="GI249" s="723"/>
      <c r="GP249" s="728"/>
      <c r="GQ249" s="728"/>
      <c r="GR249" s="728"/>
      <c r="GS249" s="723"/>
      <c r="GT249" s="723"/>
      <c r="GU249" s="723"/>
      <c r="GV249" s="723"/>
      <c r="GW249" s="723"/>
      <c r="GX249" s="723"/>
      <c r="HN249" s="723"/>
      <c r="HO249" s="723"/>
      <c r="HP249" s="723"/>
      <c r="JY249" s="720">
        <v>0</v>
      </c>
      <c r="JZ249" s="720" t="s">
        <v>571</v>
      </c>
      <c r="KA249" s="720">
        <v>0</v>
      </c>
      <c r="KB249" s="720" t="s">
        <v>572</v>
      </c>
      <c r="KC249" s="720">
        <v>0</v>
      </c>
      <c r="KD249" s="720" t="s">
        <v>573</v>
      </c>
      <c r="KT249" s="720">
        <v>1.19</v>
      </c>
      <c r="KU249" s="720">
        <v>-1.06</v>
      </c>
      <c r="KV249" s="720">
        <v>-0.38</v>
      </c>
      <c r="KW249" s="720">
        <v>-1.56</v>
      </c>
    </row>
    <row r="250" spans="1:309">
      <c r="A250" s="634"/>
      <c r="B250" s="720" t="s">
        <v>574</v>
      </c>
      <c r="DS250" s="723"/>
      <c r="DT250" s="723"/>
      <c r="DU250" s="723"/>
      <c r="DV250" s="723"/>
      <c r="DW250" s="723"/>
      <c r="DX250" s="723"/>
      <c r="DY250" s="723"/>
      <c r="DZ250" s="723"/>
      <c r="EA250" s="723"/>
      <c r="ET250" s="722"/>
      <c r="EU250" s="722"/>
      <c r="EV250" s="722"/>
      <c r="GG250" s="723"/>
      <c r="GH250" s="723"/>
      <c r="GI250" s="723"/>
      <c r="GP250" s="728"/>
      <c r="GQ250" s="728"/>
      <c r="GR250" s="728"/>
      <c r="GS250" s="723"/>
      <c r="GT250" s="723"/>
      <c r="GU250" s="723"/>
      <c r="GV250" s="723"/>
      <c r="GW250" s="723"/>
      <c r="GX250" s="723"/>
      <c r="HN250" s="723"/>
      <c r="HO250" s="723"/>
      <c r="HP250" s="723"/>
      <c r="JY250" s="720">
        <v>0</v>
      </c>
      <c r="JZ250" s="720" t="s">
        <v>575</v>
      </c>
      <c r="KA250" s="720">
        <v>0</v>
      </c>
      <c r="KB250" s="720" t="s">
        <v>576</v>
      </c>
      <c r="KC250" s="720">
        <v>0</v>
      </c>
      <c r="KD250" s="720" t="s">
        <v>577</v>
      </c>
      <c r="KT250" s="720">
        <v>0.38</v>
      </c>
      <c r="KU250" s="720">
        <v>-5.13</v>
      </c>
      <c r="KV250" s="720">
        <v>-3</v>
      </c>
      <c r="KW250" s="720">
        <v>-11.75</v>
      </c>
    </row>
    <row r="251" spans="1:309">
      <c r="A251" s="634"/>
      <c r="B251" s="720" t="s">
        <v>250</v>
      </c>
      <c r="DS251" s="723"/>
      <c r="DT251" s="723"/>
      <c r="DU251" s="723"/>
      <c r="DV251" s="723"/>
      <c r="DW251" s="723"/>
      <c r="DX251" s="723"/>
      <c r="DY251" s="723"/>
      <c r="DZ251" s="723"/>
      <c r="EA251" s="723"/>
      <c r="ET251" s="722"/>
      <c r="EU251" s="722"/>
      <c r="EV251" s="722"/>
      <c r="GG251" s="723"/>
      <c r="GH251" s="723"/>
      <c r="GI251" s="723"/>
      <c r="GP251" s="728"/>
      <c r="GQ251" s="728"/>
      <c r="GR251" s="728"/>
      <c r="GS251" s="723"/>
      <c r="GT251" s="723"/>
      <c r="GU251" s="723"/>
      <c r="GV251" s="723"/>
      <c r="GW251" s="723"/>
      <c r="GX251" s="723"/>
      <c r="HN251" s="723"/>
      <c r="HO251" s="723"/>
      <c r="HP251" s="723"/>
      <c r="JY251" s="720">
        <v>0</v>
      </c>
      <c r="JZ251" s="720" t="s">
        <v>578</v>
      </c>
      <c r="KA251" s="720">
        <v>0</v>
      </c>
      <c r="KB251" s="720" t="s">
        <v>579</v>
      </c>
      <c r="KC251" s="720">
        <v>0</v>
      </c>
      <c r="KD251" s="720" t="s">
        <v>580</v>
      </c>
      <c r="KT251" s="720">
        <v>0.88</v>
      </c>
      <c r="KU251" s="720">
        <v>-1.75</v>
      </c>
      <c r="KV251" s="720">
        <v>-2.75</v>
      </c>
      <c r="KW251" s="720">
        <v>-6</v>
      </c>
    </row>
    <row r="252" spans="1:309">
      <c r="A252" s="634"/>
      <c r="B252" s="720" t="s">
        <v>251</v>
      </c>
      <c r="DS252" s="723"/>
      <c r="DT252" s="723"/>
      <c r="DU252" s="723"/>
      <c r="DV252" s="723"/>
      <c r="DW252" s="723"/>
      <c r="DX252" s="723"/>
      <c r="DY252" s="723"/>
      <c r="DZ252" s="723"/>
      <c r="EA252" s="723"/>
      <c r="ET252" s="722"/>
      <c r="EU252" s="722"/>
      <c r="EV252" s="722"/>
      <c r="GG252" s="723"/>
      <c r="GH252" s="723"/>
      <c r="GI252" s="723"/>
      <c r="GP252" s="728"/>
      <c r="GQ252" s="728"/>
      <c r="GR252" s="728"/>
      <c r="GS252" s="723"/>
      <c r="GT252" s="723"/>
      <c r="GU252" s="723"/>
      <c r="GV252" s="723"/>
      <c r="GW252" s="723"/>
      <c r="GX252" s="723"/>
      <c r="HN252" s="723"/>
      <c r="HO252" s="723"/>
      <c r="HP252" s="723"/>
      <c r="JY252" s="720">
        <v>0</v>
      </c>
      <c r="JZ252" s="720" t="s">
        <v>581</v>
      </c>
      <c r="KA252" s="720">
        <v>0</v>
      </c>
      <c r="KB252" s="720" t="s">
        <v>582</v>
      </c>
      <c r="KC252" s="720">
        <v>0</v>
      </c>
      <c r="KD252" s="720" t="s">
        <v>583</v>
      </c>
      <c r="KT252" s="720">
        <v>0.88</v>
      </c>
      <c r="KU252" s="720">
        <v>0.63</v>
      </c>
      <c r="KV252" s="720">
        <v>0.06</v>
      </c>
      <c r="KW252" s="720">
        <v>0.44</v>
      </c>
    </row>
    <row r="253" spans="1:309">
      <c r="A253" s="634"/>
      <c r="B253" s="720" t="s">
        <v>121</v>
      </c>
      <c r="DS253" s="723"/>
      <c r="DT253" s="723"/>
      <c r="DU253" s="723"/>
      <c r="DV253" s="723"/>
      <c r="DW253" s="723"/>
      <c r="DX253" s="723"/>
      <c r="DY253" s="723"/>
      <c r="DZ253" s="723"/>
      <c r="EA253" s="723"/>
      <c r="ET253" s="722"/>
      <c r="EU253" s="722"/>
      <c r="EV253" s="722"/>
      <c r="GG253" s="723"/>
      <c r="GH253" s="723"/>
      <c r="GI253" s="723"/>
      <c r="GP253" s="728"/>
      <c r="GQ253" s="728"/>
      <c r="GR253" s="728"/>
      <c r="GS253" s="723"/>
      <c r="GT253" s="723"/>
      <c r="GU253" s="723"/>
      <c r="GV253" s="723"/>
      <c r="GW253" s="723"/>
      <c r="GX253" s="723"/>
      <c r="HN253" s="723"/>
      <c r="HO253" s="723"/>
      <c r="HP253" s="723"/>
      <c r="JY253" s="720">
        <v>6.6666666666666602E-3</v>
      </c>
      <c r="JZ253" s="720" t="s">
        <v>584</v>
      </c>
      <c r="KA253" s="720">
        <v>0</v>
      </c>
      <c r="KB253" s="720" t="s">
        <v>585</v>
      </c>
      <c r="KC253" s="720">
        <v>0</v>
      </c>
      <c r="KD253" s="720" t="s">
        <v>586</v>
      </c>
      <c r="KT253" s="720">
        <v>-1.1299999999999999</v>
      </c>
      <c r="KU253" s="720">
        <v>0.75</v>
      </c>
      <c r="KV253" s="720">
        <v>0.25</v>
      </c>
      <c r="KW253" s="720">
        <v>-1</v>
      </c>
    </row>
    <row r="254" spans="1:309">
      <c r="A254" s="634"/>
      <c r="B254" s="720" t="s">
        <v>587</v>
      </c>
      <c r="DS254" s="723"/>
      <c r="DT254" s="723"/>
      <c r="DU254" s="723"/>
      <c r="DV254" s="723"/>
      <c r="DW254" s="723"/>
      <c r="DX254" s="723"/>
      <c r="DY254" s="723"/>
      <c r="DZ254" s="723"/>
      <c r="EA254" s="723"/>
      <c r="ET254" s="722"/>
      <c r="EU254" s="722"/>
      <c r="EV254" s="722"/>
      <c r="GP254" s="728"/>
      <c r="GQ254" s="728"/>
      <c r="GR254" s="728"/>
      <c r="GS254" s="723"/>
      <c r="GT254" s="723"/>
      <c r="GU254" s="723"/>
      <c r="GV254" s="723"/>
      <c r="GW254" s="723"/>
      <c r="GX254" s="723"/>
      <c r="HN254" s="723"/>
      <c r="HO254" s="723"/>
      <c r="HP254" s="723"/>
      <c r="JY254" s="720">
        <v>0</v>
      </c>
      <c r="JZ254" s="720" t="s">
        <v>588</v>
      </c>
      <c r="KA254" s="720">
        <v>0</v>
      </c>
      <c r="KB254" s="720" t="s">
        <v>589</v>
      </c>
      <c r="KC254" s="720">
        <v>0</v>
      </c>
      <c r="KD254" s="720" t="s">
        <v>590</v>
      </c>
      <c r="KT254" s="720">
        <v>2.13</v>
      </c>
      <c r="KU254" s="720">
        <v>-0.88</v>
      </c>
      <c r="KV254" s="720">
        <v>-1.63</v>
      </c>
      <c r="KW254" s="720">
        <v>-8.1300000000000008</v>
      </c>
    </row>
    <row r="255" spans="1:309">
      <c r="A255" s="634"/>
      <c r="B255" s="720" t="s">
        <v>591</v>
      </c>
      <c r="DS255" s="723"/>
      <c r="DT255" s="723"/>
      <c r="DU255" s="723"/>
      <c r="DV255" s="723"/>
      <c r="DW255" s="723"/>
      <c r="DX255" s="723"/>
      <c r="DY255" s="723"/>
      <c r="DZ255" s="723"/>
      <c r="EA255" s="723"/>
      <c r="ET255" s="722"/>
      <c r="EU255" s="722"/>
      <c r="EV255" s="722"/>
      <c r="GP255" s="728"/>
      <c r="GQ255" s="728"/>
      <c r="GR255" s="728"/>
      <c r="GS255" s="723"/>
      <c r="GT255" s="723"/>
      <c r="GU255" s="723"/>
      <c r="GV255" s="723"/>
      <c r="GW255" s="723"/>
      <c r="GX255" s="723"/>
      <c r="HN255" s="723"/>
      <c r="HO255" s="723"/>
      <c r="HP255" s="723"/>
      <c r="JY255" s="720">
        <v>0</v>
      </c>
      <c r="JZ255" s="720" t="s">
        <v>592</v>
      </c>
      <c r="KA255" s="720">
        <v>0</v>
      </c>
      <c r="KB255" s="720" t="s">
        <v>593</v>
      </c>
      <c r="KC255" s="720">
        <v>0</v>
      </c>
      <c r="KD255" s="720" t="s">
        <v>594</v>
      </c>
      <c r="KT255" s="720">
        <v>1.63</v>
      </c>
      <c r="KU255" s="720">
        <v>-1</v>
      </c>
      <c r="KV255" s="720">
        <v>-5.25</v>
      </c>
      <c r="KW255" s="720">
        <v>-10.75</v>
      </c>
    </row>
    <row r="256" spans="1:309">
      <c r="A256" s="634"/>
      <c r="B256" s="720" t="s">
        <v>252</v>
      </c>
      <c r="DS256" s="723"/>
      <c r="DT256" s="723"/>
      <c r="DU256" s="723"/>
      <c r="DV256" s="723"/>
      <c r="DW256" s="723"/>
      <c r="DX256" s="723"/>
      <c r="DY256" s="723"/>
      <c r="DZ256" s="723"/>
      <c r="EA256" s="723"/>
      <c r="ET256" s="722"/>
      <c r="EU256" s="722"/>
      <c r="EV256" s="722"/>
      <c r="GP256" s="728"/>
      <c r="GQ256" s="728"/>
      <c r="GR256" s="728"/>
      <c r="GS256" s="723"/>
      <c r="GT256" s="723"/>
      <c r="GU256" s="723"/>
      <c r="GV256" s="723"/>
      <c r="GW256" s="723"/>
      <c r="GX256" s="723"/>
      <c r="HN256" s="723"/>
      <c r="HO256" s="723"/>
      <c r="HP256" s="723"/>
      <c r="JY256" s="720">
        <v>0</v>
      </c>
      <c r="JZ256" s="720" t="s">
        <v>595</v>
      </c>
      <c r="KA256" s="720">
        <v>0</v>
      </c>
      <c r="KB256" s="720" t="s">
        <v>596</v>
      </c>
      <c r="KC256" s="720">
        <v>0</v>
      </c>
      <c r="KD256" s="720" t="s">
        <v>597</v>
      </c>
      <c r="KT256" s="720">
        <v>1.63</v>
      </c>
      <c r="KU256" s="720">
        <v>0</v>
      </c>
      <c r="KV256" s="720">
        <v>-0.75</v>
      </c>
      <c r="KW256" s="720">
        <v>-0.75</v>
      </c>
    </row>
    <row r="257" spans="1:309">
      <c r="A257" s="634"/>
      <c r="B257" s="720" t="s">
        <v>253</v>
      </c>
      <c r="DS257" s="723"/>
      <c r="DT257" s="723"/>
      <c r="DU257" s="723"/>
      <c r="DV257" s="723"/>
      <c r="DW257" s="723"/>
      <c r="DX257" s="723"/>
      <c r="DY257" s="723"/>
      <c r="DZ257" s="723"/>
      <c r="EA257" s="723"/>
      <c r="ET257" s="722"/>
      <c r="EU257" s="722"/>
      <c r="EV257" s="722"/>
      <c r="GP257" s="728"/>
      <c r="GQ257" s="728"/>
      <c r="GR257" s="728"/>
      <c r="GS257" s="723"/>
      <c r="GT257" s="723"/>
      <c r="GU257" s="723"/>
      <c r="GV257" s="723"/>
      <c r="GW257" s="723"/>
      <c r="GX257" s="723"/>
      <c r="HN257" s="723"/>
      <c r="HO257" s="723"/>
      <c r="HP257" s="723"/>
      <c r="JY257" s="720">
        <v>5.0000000000000001E-3</v>
      </c>
      <c r="JZ257" s="720" t="s">
        <v>598</v>
      </c>
      <c r="KA257" s="720">
        <v>0</v>
      </c>
      <c r="KB257" s="720" t="s">
        <v>599</v>
      </c>
      <c r="KC257" s="720">
        <v>0</v>
      </c>
      <c r="KD257" s="720" t="s">
        <v>600</v>
      </c>
      <c r="KT257" s="720">
        <v>-0.88</v>
      </c>
      <c r="KU257" s="720">
        <v>-0.88</v>
      </c>
      <c r="KV257" s="720">
        <v>-1.5</v>
      </c>
      <c r="KW257" s="720">
        <v>-5.63</v>
      </c>
    </row>
    <row r="258" spans="1:309">
      <c r="A258" s="634"/>
      <c r="B258" s="720" t="s">
        <v>123</v>
      </c>
      <c r="DS258" s="723"/>
      <c r="DT258" s="723"/>
      <c r="DU258" s="723"/>
      <c r="DV258" s="723"/>
      <c r="DW258" s="723"/>
      <c r="DX258" s="723"/>
      <c r="DY258" s="723"/>
      <c r="DZ258" s="723"/>
      <c r="EA258" s="723"/>
      <c r="ET258" s="722"/>
      <c r="EU258" s="722"/>
      <c r="EV258" s="722"/>
      <c r="GP258" s="728"/>
      <c r="GQ258" s="728"/>
      <c r="GR258" s="728"/>
      <c r="GS258" s="723"/>
      <c r="GT258" s="723"/>
      <c r="GU258" s="723"/>
      <c r="GV258" s="723"/>
      <c r="GW258" s="723"/>
      <c r="GX258" s="723"/>
      <c r="HN258" s="723"/>
      <c r="HO258" s="723"/>
      <c r="HP258" s="723"/>
      <c r="JY258" s="720">
        <v>9.9999999999999898E-3</v>
      </c>
      <c r="JZ258" s="720" t="s">
        <v>601</v>
      </c>
      <c r="KA258" s="720">
        <v>0</v>
      </c>
      <c r="KB258" s="720" t="s">
        <v>602</v>
      </c>
      <c r="KC258" s="720">
        <v>0</v>
      </c>
      <c r="KD258" s="720" t="s">
        <v>603</v>
      </c>
      <c r="KT258" s="720">
        <v>2.38</v>
      </c>
      <c r="KU258" s="720">
        <v>0.88</v>
      </c>
      <c r="KV258" s="720">
        <v>-3</v>
      </c>
      <c r="KW258" s="720">
        <v>-2.75</v>
      </c>
    </row>
    <row r="259" spans="1:309">
      <c r="A259" s="634"/>
      <c r="B259" s="720" t="s">
        <v>604</v>
      </c>
      <c r="DS259" s="723"/>
      <c r="DT259" s="723"/>
      <c r="DU259" s="723"/>
      <c r="DV259" s="723"/>
      <c r="DW259" s="723"/>
      <c r="DX259" s="723"/>
      <c r="DY259" s="723"/>
      <c r="DZ259" s="723"/>
      <c r="EA259" s="723"/>
      <c r="ET259" s="722"/>
      <c r="EU259" s="722"/>
      <c r="EV259" s="722"/>
      <c r="GP259" s="728"/>
      <c r="GQ259" s="728"/>
      <c r="GR259" s="728"/>
      <c r="GS259" s="723"/>
      <c r="GT259" s="723"/>
      <c r="GU259" s="723"/>
      <c r="GV259" s="723"/>
      <c r="GW259" s="723"/>
      <c r="GX259" s="723"/>
      <c r="HN259" s="723"/>
      <c r="HO259" s="723"/>
      <c r="HP259" s="723"/>
      <c r="JY259" s="720">
        <v>0</v>
      </c>
      <c r="JZ259" s="720" t="s">
        <v>605</v>
      </c>
      <c r="KA259" s="720">
        <v>0</v>
      </c>
      <c r="KB259" s="720" t="s">
        <v>606</v>
      </c>
      <c r="KC259" s="720">
        <v>0</v>
      </c>
      <c r="KD259" s="720" t="s">
        <v>607</v>
      </c>
      <c r="KT259" s="720">
        <v>0.67</v>
      </c>
      <c r="KU259" s="720">
        <v>0.75</v>
      </c>
      <c r="KV259" s="720">
        <v>-1.63</v>
      </c>
      <c r="KW259" s="720">
        <v>1.67</v>
      </c>
    </row>
    <row r="260" spans="1:309">
      <c r="A260" s="634"/>
      <c r="B260" s="720">
        <v>97</v>
      </c>
      <c r="DS260" s="723"/>
      <c r="DT260" s="723"/>
      <c r="DU260" s="723"/>
      <c r="DV260" s="723"/>
      <c r="DW260" s="723"/>
      <c r="DX260" s="723"/>
      <c r="DY260" s="723"/>
      <c r="DZ260" s="723"/>
      <c r="EA260" s="723"/>
      <c r="ET260" s="722"/>
      <c r="EU260" s="722"/>
      <c r="EV260" s="722"/>
      <c r="GP260" s="728"/>
      <c r="GQ260" s="728"/>
      <c r="GR260" s="728"/>
      <c r="GS260" s="723"/>
      <c r="GT260" s="723"/>
      <c r="GU260" s="723"/>
      <c r="GV260" s="723"/>
      <c r="GW260" s="723"/>
      <c r="GX260" s="723"/>
      <c r="HN260" s="723"/>
      <c r="HO260" s="723"/>
      <c r="HP260" s="723"/>
      <c r="KT260" s="720">
        <v>0.25</v>
      </c>
      <c r="KU260" s="720">
        <v>0.25</v>
      </c>
      <c r="KV260" s="720">
        <v>-1.88</v>
      </c>
      <c r="KW260" s="720">
        <v>-5.5</v>
      </c>
    </row>
    <row r="261" spans="1:309">
      <c r="A261" s="634"/>
      <c r="B261" s="720">
        <v>98</v>
      </c>
      <c r="DS261" s="723"/>
      <c r="DT261" s="723"/>
      <c r="DU261" s="723"/>
      <c r="DV261" s="723"/>
      <c r="DW261" s="723"/>
      <c r="DX261" s="723"/>
      <c r="DY261" s="723"/>
      <c r="DZ261" s="723"/>
      <c r="EA261" s="723"/>
      <c r="ET261" s="722"/>
      <c r="EU261" s="722"/>
      <c r="EV261" s="722"/>
      <c r="GP261" s="728"/>
      <c r="GQ261" s="728"/>
      <c r="GR261" s="728"/>
      <c r="GS261" s="723"/>
      <c r="GT261" s="723"/>
      <c r="GU261" s="723"/>
      <c r="GV261" s="723"/>
      <c r="GW261" s="723"/>
      <c r="GX261" s="723"/>
      <c r="HN261" s="723"/>
      <c r="HO261" s="723"/>
      <c r="HP261" s="723"/>
      <c r="KT261" s="720">
        <v>0.25</v>
      </c>
      <c r="KU261" s="720">
        <v>-1.1299999999999999</v>
      </c>
      <c r="KV261" s="720">
        <v>-2.13</v>
      </c>
      <c r="KW261" s="720">
        <v>-5.38</v>
      </c>
    </row>
    <row r="262" spans="1:309">
      <c r="A262" s="634"/>
      <c r="B262" s="720">
        <v>99</v>
      </c>
      <c r="DS262" s="723"/>
      <c r="DT262" s="723"/>
      <c r="DU262" s="723"/>
      <c r="DV262" s="723"/>
      <c r="DW262" s="723"/>
      <c r="DX262" s="723"/>
      <c r="DY262" s="723"/>
      <c r="DZ262" s="723"/>
      <c r="EA262" s="723"/>
      <c r="ET262" s="722"/>
      <c r="EU262" s="722"/>
      <c r="EV262" s="722"/>
      <c r="GP262" s="728"/>
      <c r="GQ262" s="728"/>
      <c r="GR262" s="728"/>
      <c r="GS262" s="723"/>
      <c r="GT262" s="723"/>
      <c r="GU262" s="723"/>
      <c r="GV262" s="723"/>
      <c r="GW262" s="723"/>
      <c r="GX262" s="723"/>
      <c r="HN262" s="723"/>
      <c r="HO262" s="723"/>
      <c r="HP262" s="723"/>
      <c r="KT262" s="720">
        <v>-0.19</v>
      </c>
      <c r="KU262" s="720">
        <v>1.06</v>
      </c>
      <c r="KV262" s="720">
        <v>-1.38</v>
      </c>
      <c r="KW262" s="720">
        <v>-0.25</v>
      </c>
    </row>
    <row r="263" spans="1:309">
      <c r="A263" s="634"/>
      <c r="B263" s="720">
        <v>100</v>
      </c>
      <c r="DS263" s="723"/>
      <c r="DT263" s="723"/>
      <c r="DU263" s="723"/>
      <c r="DV263" s="723"/>
      <c r="DW263" s="723"/>
      <c r="DX263" s="723"/>
      <c r="DY263" s="723"/>
      <c r="DZ263" s="723"/>
      <c r="EA263" s="723"/>
      <c r="ET263" s="722"/>
      <c r="EU263" s="722"/>
      <c r="EV263" s="722"/>
      <c r="GP263" s="728"/>
      <c r="GQ263" s="728"/>
      <c r="GR263" s="728"/>
      <c r="GS263" s="723"/>
      <c r="GT263" s="723"/>
      <c r="GU263" s="723"/>
      <c r="GV263" s="723"/>
      <c r="GW263" s="723"/>
      <c r="GX263" s="723"/>
      <c r="HN263" s="723"/>
      <c r="HO263" s="723"/>
      <c r="HP263" s="723"/>
      <c r="KT263" s="720">
        <v>0.13</v>
      </c>
      <c r="KU263" s="720">
        <v>0.63</v>
      </c>
      <c r="KV263" s="720">
        <v>-3.63</v>
      </c>
      <c r="KW263" s="720">
        <v>-5.63</v>
      </c>
    </row>
    <row r="264" spans="1:309">
      <c r="A264" s="634"/>
      <c r="B264" s="720">
        <v>101</v>
      </c>
      <c r="DS264" s="723"/>
      <c r="DT264" s="723"/>
      <c r="DU264" s="723"/>
      <c r="DV264" s="723"/>
      <c r="DW264" s="723"/>
      <c r="DX264" s="723"/>
      <c r="DY264" s="723"/>
      <c r="DZ264" s="723"/>
      <c r="EA264" s="723"/>
      <c r="ET264" s="722"/>
      <c r="EU264" s="722"/>
      <c r="EV264" s="722"/>
      <c r="GP264" s="728"/>
      <c r="GQ264" s="728"/>
      <c r="GR264" s="728"/>
      <c r="GS264" s="723"/>
      <c r="GT264" s="723"/>
      <c r="GU264" s="723"/>
      <c r="GV264" s="723"/>
      <c r="GW264" s="723"/>
      <c r="GX264" s="723"/>
      <c r="HN264" s="723"/>
      <c r="HO264" s="723"/>
      <c r="HP264" s="723"/>
      <c r="KT264" s="720">
        <v>-1.1299999999999999</v>
      </c>
      <c r="KU264" s="720">
        <v>0.75</v>
      </c>
      <c r="KV264" s="720">
        <v>-1.38</v>
      </c>
      <c r="KW264" s="720">
        <v>-3.81</v>
      </c>
    </row>
    <row r="265" spans="1:309">
      <c r="A265" s="634"/>
      <c r="B265" s="720">
        <v>102</v>
      </c>
      <c r="DS265" s="723"/>
      <c r="DT265" s="723"/>
      <c r="DU265" s="723"/>
      <c r="DV265" s="723"/>
      <c r="DW265" s="723"/>
      <c r="DX265" s="723"/>
      <c r="DY265" s="723"/>
      <c r="DZ265" s="723"/>
      <c r="EA265" s="723"/>
      <c r="ET265" s="722"/>
      <c r="EU265" s="722"/>
      <c r="EV265" s="722"/>
      <c r="GP265" s="728"/>
      <c r="GQ265" s="728"/>
      <c r="GR265" s="728"/>
      <c r="GS265" s="723"/>
      <c r="GT265" s="723"/>
      <c r="GU265" s="723"/>
      <c r="GV265" s="723"/>
      <c r="GW265" s="723"/>
      <c r="GX265" s="723"/>
      <c r="HN265" s="723"/>
      <c r="HO265" s="723"/>
      <c r="HP265" s="723"/>
      <c r="KT265" s="720">
        <v>-1</v>
      </c>
      <c r="KU265" s="720">
        <v>1</v>
      </c>
      <c r="KV265" s="720">
        <v>0.25</v>
      </c>
      <c r="KW265" s="720">
        <v>-1.75</v>
      </c>
    </row>
    <row r="266" spans="1:309">
      <c r="A266" s="634"/>
      <c r="B266" s="720">
        <v>103</v>
      </c>
      <c r="DS266" s="723"/>
      <c r="DT266" s="723"/>
      <c r="DU266" s="723"/>
      <c r="DV266" s="723"/>
      <c r="DW266" s="723"/>
      <c r="DX266" s="723"/>
      <c r="DY266" s="723"/>
      <c r="DZ266" s="723"/>
      <c r="EA266" s="723"/>
      <c r="ET266" s="722"/>
      <c r="EU266" s="722"/>
      <c r="EV266" s="722"/>
      <c r="GP266" s="728"/>
      <c r="GQ266" s="728"/>
      <c r="GR266" s="728"/>
      <c r="GS266" s="723"/>
      <c r="GT266" s="723"/>
      <c r="GU266" s="723"/>
      <c r="GV266" s="723"/>
      <c r="GW266" s="723"/>
      <c r="GX266" s="723"/>
      <c r="HN266" s="723"/>
      <c r="HO266" s="723"/>
      <c r="HP266" s="723"/>
      <c r="KT266" s="720">
        <v>-0.33</v>
      </c>
      <c r="KU266" s="720">
        <v>-0.33</v>
      </c>
      <c r="KV266" s="720">
        <v>-1.24</v>
      </c>
      <c r="KW266" s="720">
        <v>-4.87</v>
      </c>
    </row>
    <row r="267" spans="1:309">
      <c r="A267" s="634"/>
      <c r="B267" s="720">
        <v>104</v>
      </c>
      <c r="DS267" s="723"/>
      <c r="DT267" s="723"/>
      <c r="DU267" s="723"/>
      <c r="DV267" s="723"/>
      <c r="DW267" s="723"/>
      <c r="DX267" s="723"/>
      <c r="DY267" s="723"/>
      <c r="DZ267" s="723"/>
      <c r="EA267" s="723"/>
      <c r="ET267" s="722"/>
      <c r="EU267" s="722"/>
      <c r="EV267" s="722"/>
      <c r="GP267" s="728"/>
      <c r="GQ267" s="728"/>
      <c r="GR267" s="728"/>
      <c r="GS267" s="723"/>
      <c r="GT267" s="723"/>
      <c r="GU267" s="723"/>
      <c r="GV267" s="723"/>
      <c r="GW267" s="723"/>
      <c r="GX267" s="723"/>
      <c r="HN267" s="723"/>
      <c r="HO267" s="723"/>
      <c r="HP267" s="723"/>
      <c r="KT267" s="720">
        <v>-0.75</v>
      </c>
      <c r="KU267" s="720">
        <v>-1.25</v>
      </c>
      <c r="KV267" s="720">
        <v>-0.5</v>
      </c>
      <c r="KW267" s="720">
        <v>-5.25</v>
      </c>
    </row>
    <row r="268" spans="1:309">
      <c r="A268" s="634"/>
      <c r="B268" s="720">
        <v>105</v>
      </c>
      <c r="DS268" s="723"/>
      <c r="DT268" s="723"/>
      <c r="DU268" s="723"/>
      <c r="DV268" s="723"/>
      <c r="DW268" s="723"/>
      <c r="DX268" s="723"/>
      <c r="DY268" s="723"/>
      <c r="DZ268" s="723"/>
      <c r="EA268" s="723"/>
      <c r="ET268" s="722"/>
      <c r="EU268" s="722"/>
      <c r="EV268" s="722"/>
      <c r="GP268" s="728"/>
      <c r="GQ268" s="728"/>
      <c r="GR268" s="728"/>
      <c r="GS268" s="723"/>
      <c r="GT268" s="723"/>
      <c r="GU268" s="723"/>
      <c r="GV268" s="723"/>
      <c r="GW268" s="723"/>
      <c r="GX268" s="723"/>
      <c r="HN268" s="723"/>
      <c r="HO268" s="723"/>
      <c r="HP268" s="723"/>
      <c r="KT268" s="720">
        <v>-0.75</v>
      </c>
      <c r="KU268" s="720">
        <v>0.88</v>
      </c>
      <c r="KV268" s="720">
        <v>-2.38</v>
      </c>
      <c r="KW268" s="720">
        <v>-5.5</v>
      </c>
    </row>
    <row r="269" spans="1:309">
      <c r="A269" s="634"/>
      <c r="B269" s="720">
        <v>106</v>
      </c>
      <c r="DS269" s="723"/>
      <c r="DT269" s="723"/>
      <c r="DU269" s="723"/>
      <c r="DV269" s="723"/>
      <c r="DW269" s="723"/>
      <c r="DX269" s="723"/>
      <c r="DY269" s="723"/>
      <c r="DZ269" s="723"/>
      <c r="EA269" s="723"/>
      <c r="GP269" s="728"/>
      <c r="GQ269" s="728"/>
      <c r="GR269" s="728"/>
      <c r="GS269" s="723"/>
      <c r="GT269" s="723"/>
      <c r="GU269" s="723"/>
      <c r="GV269" s="723"/>
      <c r="GW269" s="723"/>
      <c r="GX269" s="723"/>
      <c r="HN269" s="723"/>
      <c r="HO269" s="723"/>
      <c r="HP269" s="723"/>
      <c r="KT269" s="720">
        <v>-0.75</v>
      </c>
      <c r="KU269" s="720">
        <v>0.12</v>
      </c>
      <c r="KV269" s="720">
        <v>-3</v>
      </c>
      <c r="KW269" s="720">
        <v>-5</v>
      </c>
    </row>
    <row r="270" spans="1:309">
      <c r="A270" s="634"/>
      <c r="B270" s="720">
        <v>107</v>
      </c>
      <c r="DV270" s="723"/>
      <c r="DW270" s="723"/>
      <c r="DX270" s="723"/>
      <c r="DY270" s="723"/>
      <c r="DZ270" s="723"/>
      <c r="EA270" s="723"/>
      <c r="GP270" s="728"/>
      <c r="GQ270" s="728"/>
      <c r="GR270" s="728"/>
      <c r="GS270" s="723"/>
      <c r="GT270" s="723"/>
      <c r="GU270" s="723"/>
      <c r="GV270" s="723"/>
      <c r="GW270" s="723"/>
      <c r="GX270" s="723"/>
      <c r="HN270" s="723"/>
      <c r="HO270" s="723"/>
      <c r="HP270" s="723"/>
      <c r="KT270" s="720">
        <v>0.5</v>
      </c>
      <c r="KU270" s="720">
        <v>1.5</v>
      </c>
      <c r="KV270" s="720">
        <v>-1.38</v>
      </c>
      <c r="KW270" s="720">
        <v>-1.63</v>
      </c>
    </row>
    <row r="271" spans="1:309">
      <c r="A271" s="634"/>
      <c r="B271" s="720">
        <v>108</v>
      </c>
      <c r="DV271" s="723"/>
      <c r="DW271" s="723"/>
      <c r="DX271" s="723"/>
      <c r="DY271" s="723"/>
      <c r="DZ271" s="723"/>
      <c r="EA271" s="723"/>
      <c r="GP271" s="728"/>
      <c r="GQ271" s="728"/>
      <c r="GR271" s="728"/>
      <c r="GS271" s="723"/>
      <c r="GT271" s="723"/>
      <c r="GU271" s="723"/>
      <c r="GV271" s="723"/>
      <c r="GW271" s="723"/>
      <c r="GX271" s="723"/>
      <c r="HN271" s="723"/>
      <c r="HO271" s="723"/>
      <c r="HP271" s="723"/>
      <c r="KT271" s="720">
        <v>-1.5</v>
      </c>
      <c r="KU271" s="720">
        <v>0</v>
      </c>
      <c r="KV271" s="720">
        <v>-1</v>
      </c>
      <c r="KW271" s="720">
        <v>-6.88</v>
      </c>
    </row>
    <row r="272" spans="1:309">
      <c r="A272" s="634"/>
      <c r="B272" s="720">
        <v>109</v>
      </c>
      <c r="DV272" s="723"/>
      <c r="DW272" s="723"/>
      <c r="DX272" s="723"/>
      <c r="DY272" s="723"/>
      <c r="DZ272" s="723"/>
      <c r="EA272" s="723"/>
      <c r="GP272" s="728"/>
      <c r="GQ272" s="728"/>
      <c r="GR272" s="728"/>
      <c r="GS272" s="723"/>
      <c r="GT272" s="723"/>
      <c r="GU272" s="723"/>
      <c r="GV272" s="723"/>
      <c r="GW272" s="723"/>
      <c r="GX272" s="723"/>
      <c r="HN272" s="723"/>
      <c r="HO272" s="723"/>
      <c r="HP272" s="723"/>
      <c r="KT272" s="720">
        <v>0</v>
      </c>
      <c r="KU272" s="720">
        <v>0.17</v>
      </c>
      <c r="KV272" s="720">
        <v>-2.09</v>
      </c>
      <c r="KW272" s="720">
        <v>-1.93</v>
      </c>
    </row>
    <row r="273" spans="1:309">
      <c r="A273" s="634"/>
      <c r="B273" s="720">
        <v>110</v>
      </c>
      <c r="DV273" s="723"/>
      <c r="DW273" s="723"/>
      <c r="DX273" s="723"/>
      <c r="DY273" s="723"/>
      <c r="DZ273" s="723"/>
      <c r="EA273" s="723"/>
      <c r="GP273" s="728"/>
      <c r="GQ273" s="728"/>
      <c r="GR273" s="728"/>
      <c r="GS273" s="723"/>
      <c r="GT273" s="723"/>
      <c r="GU273" s="723"/>
      <c r="GV273" s="723"/>
      <c r="GW273" s="723"/>
      <c r="GX273" s="723"/>
      <c r="HN273" s="723"/>
      <c r="HO273" s="723"/>
      <c r="HP273" s="723"/>
      <c r="KT273" s="720">
        <v>0</v>
      </c>
      <c r="KU273" s="720">
        <v>0</v>
      </c>
      <c r="KV273" s="720">
        <v>0</v>
      </c>
      <c r="KW273" s="720">
        <v>0</v>
      </c>
    </row>
    <row r="274" spans="1:309">
      <c r="A274" s="634"/>
      <c r="B274" s="720">
        <v>111</v>
      </c>
      <c r="DV274" s="723"/>
      <c r="DW274" s="723"/>
      <c r="DX274" s="723"/>
      <c r="DY274" s="723"/>
      <c r="DZ274" s="723"/>
      <c r="EA274" s="723"/>
      <c r="GP274" s="728"/>
      <c r="GQ274" s="728"/>
      <c r="GR274" s="728"/>
      <c r="GS274" s="723"/>
      <c r="GT274" s="723"/>
      <c r="GU274" s="723"/>
      <c r="GV274" s="723"/>
      <c r="GW274" s="723"/>
      <c r="GX274" s="723"/>
      <c r="HN274" s="723"/>
      <c r="HO274" s="723"/>
      <c r="HP274" s="723"/>
      <c r="KT274" s="720">
        <v>0</v>
      </c>
      <c r="KU274" s="720">
        <v>0</v>
      </c>
      <c r="KV274" s="720">
        <v>0</v>
      </c>
      <c r="KW274" s="720">
        <v>0</v>
      </c>
    </row>
    <row r="275" spans="1:309">
      <c r="A275" s="634"/>
      <c r="B275" s="720">
        <v>112</v>
      </c>
      <c r="DV275" s="723"/>
      <c r="DW275" s="723"/>
      <c r="DX275" s="723"/>
      <c r="DY275" s="723"/>
      <c r="DZ275" s="723"/>
      <c r="EA275" s="723"/>
      <c r="GP275" s="728"/>
      <c r="GQ275" s="728"/>
      <c r="GR275" s="728"/>
      <c r="GS275" s="723"/>
      <c r="GT275" s="723"/>
      <c r="GU275" s="723"/>
      <c r="GV275" s="723"/>
      <c r="GW275" s="723"/>
      <c r="GX275" s="723"/>
      <c r="HN275" s="723"/>
      <c r="HO275" s="723"/>
      <c r="HP275" s="723"/>
      <c r="KT275" s="720">
        <v>-0.22</v>
      </c>
      <c r="KU275" s="720">
        <v>0.46</v>
      </c>
      <c r="KV275" s="720">
        <v>-2.29</v>
      </c>
      <c r="KW275" s="720">
        <v>-4.6100000000000003</v>
      </c>
    </row>
    <row r="276" spans="1:309">
      <c r="A276" s="634"/>
      <c r="B276" s="720">
        <v>113</v>
      </c>
      <c r="DV276" s="723"/>
      <c r="DW276" s="723"/>
      <c r="DX276" s="723"/>
      <c r="DY276" s="723"/>
      <c r="DZ276" s="723"/>
      <c r="EA276" s="723"/>
      <c r="GP276" s="728"/>
      <c r="GQ276" s="728"/>
      <c r="GR276" s="728"/>
      <c r="GS276" s="723"/>
      <c r="GT276" s="723"/>
      <c r="GU276" s="723"/>
      <c r="GV276" s="723"/>
      <c r="GW276" s="723"/>
      <c r="GX276" s="723"/>
      <c r="HN276" s="723"/>
      <c r="HO276" s="723"/>
      <c r="HP276" s="723"/>
      <c r="KT276" s="720">
        <v>-21.85</v>
      </c>
      <c r="KU276" s="720">
        <v>21.85</v>
      </c>
      <c r="KV276" s="720">
        <v>0</v>
      </c>
      <c r="KW276" s="720">
        <v>0</v>
      </c>
    </row>
    <row r="277" spans="1:309">
      <c r="A277" s="634"/>
      <c r="B277" s="720">
        <v>114</v>
      </c>
      <c r="DV277" s="723"/>
      <c r="DW277" s="723"/>
      <c r="DX277" s="723"/>
      <c r="DY277" s="723"/>
      <c r="DZ277" s="723"/>
      <c r="EA277" s="723"/>
      <c r="GP277" s="728"/>
      <c r="GQ277" s="728"/>
      <c r="GR277" s="728"/>
      <c r="GS277" s="723"/>
      <c r="GT277" s="723"/>
      <c r="GU277" s="723"/>
      <c r="GV277" s="723"/>
      <c r="GW277" s="723"/>
      <c r="GX277" s="723"/>
      <c r="HN277" s="723"/>
      <c r="HO277" s="723"/>
      <c r="HP277" s="723"/>
      <c r="KT277" s="720">
        <v>0</v>
      </c>
      <c r="KU277" s="720">
        <v>0</v>
      </c>
      <c r="KV277" s="720">
        <v>0</v>
      </c>
      <c r="KW277" s="720">
        <v>-26.68</v>
      </c>
    </row>
    <row r="278" spans="1:309">
      <c r="A278" s="634"/>
      <c r="B278" s="720">
        <v>115</v>
      </c>
      <c r="DV278" s="723"/>
      <c r="DW278" s="723"/>
      <c r="DX278" s="723"/>
      <c r="DY278" s="723"/>
      <c r="DZ278" s="723"/>
      <c r="EA278" s="723"/>
      <c r="GP278" s="728"/>
      <c r="GQ278" s="728"/>
      <c r="GR278" s="728"/>
      <c r="GS278" s="723"/>
      <c r="GT278" s="723"/>
      <c r="GU278" s="723"/>
      <c r="GV278" s="723"/>
      <c r="GW278" s="723"/>
      <c r="GX278" s="723"/>
      <c r="HN278" s="723"/>
      <c r="HO278" s="723"/>
      <c r="HP278" s="723"/>
      <c r="KT278" s="720">
        <v>0</v>
      </c>
      <c r="KU278" s="720">
        <v>0</v>
      </c>
      <c r="KV278" s="720">
        <v>0</v>
      </c>
      <c r="KW278" s="720">
        <v>-0.09</v>
      </c>
    </row>
    <row r="279" spans="1:309">
      <c r="A279" s="634"/>
      <c r="B279" s="720">
        <v>116</v>
      </c>
      <c r="DV279" s="723"/>
      <c r="DW279" s="723"/>
      <c r="DX279" s="723"/>
      <c r="DY279" s="723"/>
      <c r="DZ279" s="723"/>
      <c r="EA279" s="723"/>
      <c r="GP279" s="728"/>
      <c r="GQ279" s="728"/>
      <c r="GR279" s="728"/>
      <c r="GS279" s="723"/>
      <c r="GT279" s="723"/>
      <c r="GU279" s="723"/>
      <c r="GV279" s="723"/>
      <c r="GW279" s="723"/>
      <c r="GX279" s="723"/>
      <c r="HN279" s="723"/>
      <c r="HO279" s="723"/>
      <c r="HP279" s="723"/>
      <c r="KT279" s="720">
        <v>22.08</v>
      </c>
      <c r="KU279" s="720">
        <v>0</v>
      </c>
      <c r="KV279" s="720">
        <v>0</v>
      </c>
      <c r="KW279" s="720">
        <v>22.01</v>
      </c>
    </row>
    <row r="280" spans="1:309">
      <c r="A280" s="634"/>
      <c r="B280" s="720">
        <v>117</v>
      </c>
      <c r="DV280" s="723"/>
      <c r="DW280" s="723"/>
      <c r="DX280" s="723"/>
      <c r="DY280" s="723"/>
      <c r="DZ280" s="723"/>
      <c r="EA280" s="723"/>
      <c r="GP280" s="728"/>
      <c r="GQ280" s="728"/>
      <c r="GR280" s="728"/>
      <c r="GS280" s="723"/>
      <c r="GT280" s="723"/>
      <c r="GU280" s="723"/>
      <c r="GV280" s="723"/>
      <c r="GW280" s="723"/>
      <c r="GX280" s="723"/>
      <c r="HN280" s="723"/>
      <c r="HO280" s="723"/>
      <c r="HP280" s="723"/>
      <c r="KT280" s="720">
        <v>-17.260000000000002</v>
      </c>
      <c r="KU280" s="720">
        <v>0</v>
      </c>
      <c r="KV280" s="720">
        <v>0</v>
      </c>
      <c r="KW280" s="720">
        <v>-17.52</v>
      </c>
    </row>
    <row r="281" spans="1:309">
      <c r="A281" s="634"/>
      <c r="B281" s="720">
        <v>118</v>
      </c>
      <c r="DV281" s="723"/>
      <c r="DW281" s="723"/>
      <c r="DX281" s="723"/>
      <c r="DY281" s="723"/>
      <c r="DZ281" s="723"/>
      <c r="EA281" s="723"/>
      <c r="GP281" s="728"/>
      <c r="GQ281" s="728"/>
      <c r="GR281" s="728"/>
      <c r="GS281" s="723"/>
      <c r="GT281" s="723"/>
      <c r="GU281" s="723"/>
      <c r="GV281" s="723"/>
      <c r="GW281" s="723"/>
      <c r="GX281" s="723"/>
      <c r="HN281" s="723"/>
      <c r="HO281" s="723"/>
      <c r="HP281" s="723"/>
      <c r="KT281" s="720">
        <v>0</v>
      </c>
      <c r="KU281" s="720">
        <v>0</v>
      </c>
      <c r="KV281" s="720">
        <v>0</v>
      </c>
      <c r="KW281" s="720">
        <v>0.06</v>
      </c>
    </row>
    <row r="282" spans="1:309">
      <c r="A282" s="634"/>
      <c r="B282" s="720">
        <v>119</v>
      </c>
      <c r="DV282" s="723"/>
      <c r="DW282" s="723"/>
      <c r="DX282" s="723"/>
      <c r="DY282" s="723"/>
      <c r="DZ282" s="723"/>
      <c r="EA282" s="723"/>
      <c r="GP282" s="728"/>
      <c r="GQ282" s="728"/>
      <c r="GR282" s="728"/>
      <c r="GS282" s="723"/>
      <c r="GT282" s="723"/>
      <c r="GU282" s="723"/>
      <c r="GV282" s="723"/>
      <c r="GW282" s="723"/>
      <c r="GX282" s="723"/>
      <c r="HN282" s="723"/>
      <c r="HO282" s="723"/>
      <c r="HP282" s="723"/>
      <c r="KT282" s="720">
        <v>0</v>
      </c>
      <c r="KU282" s="720">
        <v>0</v>
      </c>
      <c r="KV282" s="720">
        <v>0</v>
      </c>
      <c r="KW282" s="720">
        <v>0</v>
      </c>
    </row>
    <row r="283" spans="1:309">
      <c r="A283" s="634"/>
      <c r="B283" s="720">
        <v>120</v>
      </c>
      <c r="DV283" s="723"/>
      <c r="DW283" s="723"/>
      <c r="DX283" s="723"/>
      <c r="DY283" s="723"/>
      <c r="DZ283" s="723"/>
      <c r="EA283" s="723"/>
      <c r="GP283" s="728"/>
      <c r="GQ283" s="728"/>
      <c r="GR283" s="728"/>
      <c r="GS283" s="723"/>
      <c r="GT283" s="723"/>
      <c r="GU283" s="723"/>
      <c r="GV283" s="723"/>
      <c r="GW283" s="723"/>
      <c r="GX283" s="723"/>
      <c r="HN283" s="723"/>
      <c r="HO283" s="723"/>
      <c r="HP283" s="723"/>
      <c r="KT283" s="720">
        <v>0</v>
      </c>
      <c r="KU283" s="720">
        <v>0</v>
      </c>
      <c r="KV283" s="720">
        <v>0</v>
      </c>
      <c r="KW283" s="720">
        <v>0</v>
      </c>
    </row>
    <row r="284" spans="1:309">
      <c r="A284" s="634"/>
      <c r="B284" s="720">
        <v>121</v>
      </c>
      <c r="DV284" s="723"/>
      <c r="DW284" s="723"/>
      <c r="DX284" s="723"/>
      <c r="DY284" s="723"/>
      <c r="DZ284" s="723"/>
      <c r="EA284" s="723"/>
      <c r="GP284" s="728"/>
      <c r="GQ284" s="728"/>
      <c r="GR284" s="728"/>
      <c r="GS284" s="723"/>
      <c r="GT284" s="723"/>
      <c r="GU284" s="723"/>
      <c r="GV284" s="723"/>
      <c r="GW284" s="723"/>
      <c r="GX284" s="723"/>
      <c r="HN284" s="723"/>
      <c r="HO284" s="723"/>
      <c r="HP284" s="723"/>
      <c r="KT284" s="720">
        <v>0</v>
      </c>
      <c r="KU284" s="720">
        <v>0</v>
      </c>
      <c r="KV284" s="720">
        <v>0</v>
      </c>
      <c r="KW284" s="720">
        <v>0</v>
      </c>
    </row>
    <row r="285" spans="1:309">
      <c r="A285" s="634"/>
      <c r="B285" s="720">
        <v>122</v>
      </c>
      <c r="DV285" s="723"/>
      <c r="DW285" s="723"/>
      <c r="DX285" s="723"/>
      <c r="DY285" s="723"/>
      <c r="DZ285" s="723"/>
      <c r="EA285" s="723"/>
      <c r="GP285" s="728"/>
      <c r="GQ285" s="728"/>
      <c r="GR285" s="728"/>
      <c r="GS285" s="723"/>
      <c r="GT285" s="723"/>
      <c r="GU285" s="723"/>
      <c r="GV285" s="723"/>
      <c r="GW285" s="723"/>
      <c r="GX285" s="723"/>
      <c r="HN285" s="723"/>
      <c r="HO285" s="723"/>
      <c r="HP285" s="723"/>
      <c r="KT285" s="720">
        <v>0</v>
      </c>
      <c r="KU285" s="720">
        <v>0</v>
      </c>
      <c r="KV285" s="720">
        <v>0</v>
      </c>
      <c r="KW285" s="720">
        <v>0</v>
      </c>
    </row>
    <row r="286" spans="1:309">
      <c r="A286" s="634"/>
      <c r="B286" s="720">
        <v>123</v>
      </c>
      <c r="DV286" s="723"/>
      <c r="DW286" s="723"/>
      <c r="DX286" s="723"/>
      <c r="DY286" s="723"/>
      <c r="DZ286" s="723"/>
      <c r="EA286" s="723"/>
      <c r="GP286" s="728"/>
      <c r="GQ286" s="728"/>
      <c r="GR286" s="728"/>
      <c r="GS286" s="723"/>
      <c r="GT286" s="723"/>
      <c r="GU286" s="723"/>
      <c r="GV286" s="723"/>
      <c r="GW286" s="723"/>
      <c r="GX286" s="723"/>
      <c r="HN286" s="723"/>
      <c r="HO286" s="723"/>
      <c r="HP286" s="723"/>
      <c r="KT286" s="720">
        <v>0</v>
      </c>
      <c r="KU286" s="720">
        <v>0</v>
      </c>
      <c r="KV286" s="720">
        <v>0</v>
      </c>
      <c r="KW286" s="720">
        <v>0</v>
      </c>
    </row>
    <row r="287" spans="1:309">
      <c r="A287" s="634"/>
      <c r="B287" s="720">
        <v>124</v>
      </c>
      <c r="DV287" s="723"/>
      <c r="DW287" s="723"/>
      <c r="DX287" s="723"/>
      <c r="DY287" s="723"/>
      <c r="DZ287" s="723"/>
      <c r="EA287" s="723"/>
      <c r="GP287" s="728"/>
      <c r="GQ287" s="728"/>
      <c r="GR287" s="728"/>
      <c r="GS287" s="723"/>
      <c r="GT287" s="723"/>
      <c r="GU287" s="723"/>
      <c r="GV287" s="723"/>
      <c r="GW287" s="723"/>
      <c r="GX287" s="723"/>
      <c r="HN287" s="723"/>
      <c r="HO287" s="723"/>
      <c r="HP287" s="723"/>
      <c r="KT287" s="720">
        <v>0</v>
      </c>
      <c r="KU287" s="720">
        <v>0</v>
      </c>
      <c r="KV287" s="720">
        <v>0</v>
      </c>
      <c r="KW287" s="720">
        <v>0</v>
      </c>
    </row>
    <row r="288" spans="1:309">
      <c r="A288" s="634"/>
      <c r="B288" s="720">
        <v>125</v>
      </c>
      <c r="DV288" s="723"/>
      <c r="DW288" s="723"/>
      <c r="DX288" s="723"/>
      <c r="DY288" s="723"/>
      <c r="DZ288" s="723"/>
      <c r="EA288" s="723"/>
      <c r="GP288" s="728"/>
      <c r="GQ288" s="728"/>
      <c r="GR288" s="728"/>
      <c r="GS288" s="723"/>
      <c r="GT288" s="723"/>
      <c r="GU288" s="723"/>
      <c r="GV288" s="723"/>
      <c r="GW288" s="723"/>
      <c r="GX288" s="723"/>
      <c r="HN288" s="723"/>
      <c r="HO288" s="723"/>
      <c r="HP288" s="723"/>
      <c r="KT288" s="720">
        <v>0</v>
      </c>
      <c r="KU288" s="720">
        <v>0</v>
      </c>
      <c r="KV288" s="720">
        <v>0</v>
      </c>
      <c r="KW288" s="720">
        <v>0</v>
      </c>
    </row>
    <row r="289" spans="1:309">
      <c r="A289" s="634"/>
      <c r="B289" s="720">
        <v>126</v>
      </c>
      <c r="DV289" s="723"/>
      <c r="DW289" s="723"/>
      <c r="DX289" s="723"/>
      <c r="DY289" s="723"/>
      <c r="DZ289" s="723"/>
      <c r="EA289" s="723"/>
      <c r="GP289" s="728"/>
      <c r="GQ289" s="728"/>
      <c r="GR289" s="728"/>
      <c r="GS289" s="723"/>
      <c r="GT289" s="723"/>
      <c r="GU289" s="723"/>
      <c r="GV289" s="723"/>
      <c r="GW289" s="723"/>
      <c r="GX289" s="723"/>
      <c r="HN289" s="723"/>
      <c r="HO289" s="723"/>
      <c r="HP289" s="723"/>
      <c r="KT289" s="720">
        <v>0</v>
      </c>
      <c r="KU289" s="720">
        <v>0</v>
      </c>
      <c r="KV289" s="720">
        <v>0</v>
      </c>
      <c r="KW289" s="720">
        <v>0</v>
      </c>
    </row>
    <row r="290" spans="1:309">
      <c r="A290" s="634"/>
      <c r="B290" s="720">
        <v>127</v>
      </c>
      <c r="DV290" s="723"/>
      <c r="DW290" s="723"/>
      <c r="DX290" s="723"/>
      <c r="DY290" s="723"/>
      <c r="DZ290" s="723"/>
      <c r="EA290" s="723"/>
      <c r="GP290" s="728"/>
      <c r="GQ290" s="728"/>
      <c r="GR290" s="728"/>
      <c r="GS290" s="723"/>
      <c r="GT290" s="723"/>
      <c r="GU290" s="723"/>
      <c r="GV290" s="723"/>
      <c r="GW290" s="723"/>
      <c r="GX290" s="723"/>
      <c r="HN290" s="723"/>
      <c r="HO290" s="723"/>
      <c r="HP290" s="723"/>
      <c r="KT290" s="720">
        <v>0</v>
      </c>
      <c r="KU290" s="720">
        <v>0</v>
      </c>
      <c r="KV290" s="720">
        <v>0</v>
      </c>
      <c r="KW290" s="720">
        <v>0</v>
      </c>
    </row>
    <row r="291" spans="1:309">
      <c r="A291" s="634"/>
      <c r="B291" s="720">
        <v>128</v>
      </c>
      <c r="DV291" s="723"/>
      <c r="DW291" s="723"/>
      <c r="DX291" s="723"/>
      <c r="DY291" s="723"/>
      <c r="DZ291" s="723"/>
      <c r="EA291" s="723"/>
      <c r="GP291" s="728"/>
      <c r="GQ291" s="728"/>
      <c r="GR291" s="728"/>
      <c r="GS291" s="723"/>
      <c r="GT291" s="723"/>
      <c r="GU291" s="723"/>
      <c r="GV291" s="723"/>
      <c r="GW291" s="723"/>
      <c r="GX291" s="723"/>
      <c r="HN291" s="723"/>
      <c r="HO291" s="723"/>
      <c r="HP291" s="723"/>
      <c r="KT291" s="720">
        <v>0</v>
      </c>
      <c r="KU291" s="720">
        <v>0</v>
      </c>
      <c r="KV291" s="720">
        <v>0</v>
      </c>
      <c r="KW291" s="720">
        <v>0</v>
      </c>
    </row>
    <row r="292" spans="1:309">
      <c r="A292" s="634"/>
      <c r="B292" s="720">
        <v>129</v>
      </c>
      <c r="DV292" s="723"/>
      <c r="DW292" s="723"/>
      <c r="DX292" s="723"/>
      <c r="DY292" s="723"/>
      <c r="DZ292" s="723"/>
      <c r="EA292" s="723"/>
      <c r="GP292" s="728"/>
      <c r="GQ292" s="728"/>
      <c r="GR292" s="728"/>
      <c r="GS292" s="723"/>
      <c r="GT292" s="723"/>
      <c r="GU292" s="723"/>
      <c r="GV292" s="723"/>
      <c r="GW292" s="723"/>
      <c r="GX292" s="723"/>
      <c r="HN292" s="723"/>
      <c r="HO292" s="723"/>
      <c r="HP292" s="723"/>
    </row>
    <row r="293" spans="1:309">
      <c r="A293" s="634"/>
      <c r="DV293" s="723"/>
      <c r="DW293" s="723"/>
      <c r="DX293" s="723"/>
      <c r="DY293" s="723"/>
      <c r="DZ293" s="723"/>
      <c r="EA293" s="723"/>
      <c r="GP293" s="728"/>
      <c r="GQ293" s="728"/>
      <c r="GR293" s="728"/>
      <c r="GS293" s="723"/>
      <c r="GT293" s="723"/>
      <c r="GU293" s="723"/>
      <c r="GV293" s="723"/>
      <c r="GW293" s="723"/>
      <c r="GX293" s="723"/>
      <c r="HN293" s="723"/>
      <c r="HO293" s="723"/>
      <c r="HP293" s="723"/>
    </row>
    <row r="294" spans="1:309">
      <c r="A294" s="634"/>
      <c r="DV294" s="723"/>
      <c r="DW294" s="723"/>
      <c r="DX294" s="723"/>
      <c r="DY294" s="723"/>
      <c r="DZ294" s="723"/>
      <c r="EA294" s="723"/>
      <c r="GP294" s="728"/>
      <c r="GQ294" s="728"/>
      <c r="GR294" s="728"/>
      <c r="GS294" s="723"/>
      <c r="GT294" s="723"/>
      <c r="GU294" s="723"/>
      <c r="GV294" s="723"/>
      <c r="GW294" s="723"/>
      <c r="GX294" s="723"/>
      <c r="HN294" s="723"/>
      <c r="HO294" s="723"/>
      <c r="HP294" s="723"/>
    </row>
    <row r="295" spans="1:309">
      <c r="A295" s="634"/>
      <c r="DV295" s="723"/>
      <c r="DW295" s="723"/>
      <c r="DX295" s="723"/>
      <c r="DY295" s="723"/>
      <c r="DZ295" s="723"/>
      <c r="EA295" s="723"/>
      <c r="GP295" s="728"/>
      <c r="GQ295" s="728"/>
      <c r="GR295" s="728"/>
      <c r="GS295" s="723"/>
      <c r="GT295" s="723"/>
      <c r="GU295" s="723"/>
      <c r="GV295" s="723"/>
      <c r="GW295" s="723"/>
      <c r="GX295" s="723"/>
      <c r="HN295" s="723"/>
      <c r="HO295" s="723"/>
      <c r="HP295" s="723"/>
    </row>
    <row r="296" spans="1:309">
      <c r="A296" s="634"/>
      <c r="DV296" s="723"/>
      <c r="DW296" s="723"/>
      <c r="DX296" s="723"/>
      <c r="DY296" s="723"/>
      <c r="DZ296" s="723"/>
      <c r="EA296" s="723"/>
      <c r="GP296" s="728"/>
      <c r="GQ296" s="728"/>
      <c r="GR296" s="728"/>
      <c r="GS296" s="723"/>
      <c r="GT296" s="723"/>
      <c r="GU296" s="723"/>
      <c r="GV296" s="723"/>
      <c r="GW296" s="723"/>
      <c r="GX296" s="723"/>
      <c r="HN296" s="723"/>
      <c r="HO296" s="723"/>
      <c r="HP296" s="723"/>
    </row>
    <row r="297" spans="1:309">
      <c r="A297" s="634"/>
      <c r="DV297" s="723"/>
      <c r="DW297" s="723"/>
      <c r="DX297" s="723"/>
      <c r="DY297" s="723"/>
      <c r="DZ297" s="723"/>
      <c r="EA297" s="723"/>
      <c r="GP297" s="728"/>
      <c r="GQ297" s="728"/>
      <c r="GR297" s="728"/>
      <c r="GS297" s="723"/>
      <c r="GT297" s="723"/>
      <c r="GU297" s="723"/>
      <c r="GV297" s="723"/>
      <c r="GW297" s="723"/>
      <c r="GX297" s="723"/>
      <c r="HN297" s="723"/>
      <c r="HO297" s="723"/>
      <c r="HP297" s="723"/>
    </row>
    <row r="298" spans="1:309">
      <c r="A298" s="634"/>
      <c r="DV298" s="723"/>
      <c r="DW298" s="723"/>
      <c r="DX298" s="723"/>
      <c r="DY298" s="723"/>
      <c r="DZ298" s="723"/>
      <c r="EA298" s="723"/>
      <c r="GP298" s="728"/>
      <c r="GQ298" s="728"/>
      <c r="GR298" s="728"/>
      <c r="GS298" s="723"/>
      <c r="GT298" s="723"/>
      <c r="GU298" s="723"/>
      <c r="GV298" s="723"/>
      <c r="GW298" s="723"/>
      <c r="GX298" s="723"/>
      <c r="HN298" s="723"/>
      <c r="HO298" s="723"/>
      <c r="HP298" s="723"/>
    </row>
    <row r="299" spans="1:309">
      <c r="A299" s="634"/>
      <c r="DV299" s="723"/>
      <c r="DW299" s="723"/>
      <c r="DX299" s="723"/>
      <c r="DY299" s="723"/>
      <c r="DZ299" s="723"/>
      <c r="EA299" s="723"/>
      <c r="GP299" s="728"/>
      <c r="GQ299" s="728"/>
      <c r="GR299" s="728"/>
      <c r="GS299" s="723"/>
      <c r="GT299" s="723"/>
      <c r="GU299" s="723"/>
      <c r="GV299" s="723"/>
      <c r="GW299" s="723"/>
      <c r="GX299" s="723"/>
      <c r="HN299" s="723"/>
      <c r="HO299" s="723"/>
      <c r="HP299" s="723"/>
    </row>
    <row r="300" spans="1:309">
      <c r="A300" s="634"/>
      <c r="GP300" s="728"/>
      <c r="GQ300" s="728"/>
      <c r="GR300" s="728"/>
      <c r="GS300" s="723"/>
      <c r="GT300" s="723"/>
      <c r="GU300" s="723"/>
      <c r="GV300" s="723"/>
      <c r="GW300" s="723"/>
      <c r="GX300" s="723"/>
      <c r="HN300" s="723"/>
      <c r="HO300" s="723"/>
      <c r="HP300" s="723"/>
    </row>
    <row r="301" spans="1:309">
      <c r="A301" s="634"/>
      <c r="GP301" s="728"/>
      <c r="GQ301" s="728"/>
      <c r="GR301" s="728"/>
      <c r="GS301" s="723"/>
      <c r="GT301" s="723"/>
      <c r="GU301" s="723"/>
      <c r="GV301" s="723"/>
      <c r="GW301" s="723"/>
      <c r="GX301" s="723"/>
      <c r="HN301" s="723"/>
      <c r="HO301" s="723"/>
      <c r="HP301" s="723"/>
    </row>
    <row r="302" spans="1:309">
      <c r="A302" s="634"/>
      <c r="GP302" s="728"/>
      <c r="GQ302" s="728"/>
      <c r="GR302" s="728"/>
      <c r="GS302" s="723"/>
      <c r="GT302" s="723"/>
      <c r="GU302" s="723"/>
      <c r="GV302" s="723"/>
      <c r="GW302" s="723"/>
      <c r="GX302" s="723"/>
      <c r="HN302" s="723"/>
      <c r="HO302" s="723"/>
      <c r="HP302" s="723"/>
    </row>
    <row r="303" spans="1:309">
      <c r="A303" s="634"/>
      <c r="GP303" s="728"/>
      <c r="GQ303" s="728"/>
      <c r="GR303" s="728"/>
      <c r="GS303" s="723"/>
      <c r="GT303" s="723"/>
      <c r="GU303" s="723"/>
      <c r="GV303" s="723"/>
      <c r="GW303" s="723"/>
      <c r="GX303" s="723"/>
      <c r="HN303" s="723"/>
      <c r="HO303" s="723"/>
      <c r="HP303" s="723"/>
    </row>
    <row r="304" spans="1:309">
      <c r="A304" s="634"/>
      <c r="GP304" s="728"/>
      <c r="GQ304" s="728"/>
      <c r="GR304" s="728"/>
      <c r="GS304" s="723"/>
      <c r="GT304" s="723"/>
      <c r="GU304" s="723"/>
      <c r="GV304" s="723"/>
      <c r="GW304" s="723"/>
      <c r="GX304" s="723"/>
      <c r="HN304" s="723"/>
      <c r="HO304" s="723"/>
      <c r="HP304" s="723"/>
    </row>
    <row r="305" spans="1:224">
      <c r="A305" s="634"/>
      <c r="GP305" s="728"/>
      <c r="GQ305" s="728"/>
      <c r="GR305" s="728"/>
      <c r="GS305" s="723"/>
      <c r="GT305" s="723"/>
      <c r="GU305" s="723"/>
      <c r="GV305" s="723"/>
      <c r="GW305" s="723"/>
      <c r="GX305" s="723"/>
      <c r="HN305" s="723"/>
      <c r="HO305" s="723"/>
      <c r="HP305" s="723"/>
    </row>
    <row r="306" spans="1:224">
      <c r="A306" s="634"/>
      <c r="GP306" s="728"/>
      <c r="GQ306" s="728"/>
      <c r="GR306" s="728"/>
      <c r="GS306" s="723"/>
      <c r="GT306" s="723"/>
      <c r="GU306" s="723"/>
      <c r="GV306" s="723"/>
      <c r="GW306" s="723"/>
      <c r="GX306" s="723"/>
      <c r="HN306" s="723"/>
      <c r="HO306" s="723"/>
      <c r="HP306" s="723"/>
    </row>
    <row r="307" spans="1:224">
      <c r="A307" s="634"/>
      <c r="GP307" s="728"/>
      <c r="GQ307" s="728"/>
      <c r="GR307" s="728"/>
      <c r="GS307" s="723"/>
      <c r="GT307" s="723"/>
      <c r="GU307" s="723"/>
      <c r="GV307" s="723"/>
      <c r="GW307" s="723"/>
      <c r="GX307" s="723"/>
      <c r="HN307" s="723"/>
      <c r="HO307" s="723"/>
      <c r="HP307" s="723"/>
    </row>
    <row r="308" spans="1:224">
      <c r="A308" s="634"/>
      <c r="GP308" s="728"/>
      <c r="GQ308" s="728"/>
      <c r="GR308" s="728"/>
      <c r="GS308" s="723"/>
      <c r="GT308" s="723"/>
      <c r="GU308" s="723"/>
      <c r="GV308" s="723"/>
      <c r="GW308" s="723"/>
      <c r="GX308" s="723"/>
      <c r="HN308" s="723"/>
      <c r="HO308" s="723"/>
      <c r="HP308" s="723"/>
    </row>
    <row r="309" spans="1:224">
      <c r="A309" s="634"/>
      <c r="GP309" s="728"/>
      <c r="GQ309" s="728"/>
      <c r="GR309" s="728"/>
      <c r="GS309" s="723"/>
      <c r="GT309" s="723"/>
      <c r="GU309" s="723"/>
      <c r="GV309" s="723"/>
      <c r="GW309" s="723"/>
      <c r="GX309" s="723"/>
      <c r="HN309" s="723"/>
      <c r="HO309" s="723"/>
      <c r="HP309" s="723"/>
    </row>
    <row r="310" spans="1:224">
      <c r="A310" s="634"/>
      <c r="GP310" s="728"/>
      <c r="GQ310" s="728"/>
      <c r="GR310" s="728"/>
      <c r="GS310" s="723"/>
      <c r="GT310" s="723"/>
      <c r="GU310" s="723"/>
      <c r="GV310" s="723"/>
      <c r="GW310" s="723"/>
      <c r="GX310" s="723"/>
      <c r="HN310" s="723"/>
      <c r="HO310" s="723"/>
      <c r="HP310" s="723"/>
    </row>
    <row r="311" spans="1:224">
      <c r="A311" s="634"/>
      <c r="GP311" s="728"/>
      <c r="GQ311" s="728"/>
      <c r="GR311" s="728"/>
      <c r="GS311" s="723"/>
      <c r="GT311" s="723"/>
      <c r="GU311" s="723"/>
      <c r="GV311" s="723"/>
      <c r="GW311" s="723"/>
      <c r="GX311" s="723"/>
      <c r="HN311" s="723"/>
      <c r="HO311" s="723"/>
      <c r="HP311" s="723"/>
    </row>
    <row r="312" spans="1:224">
      <c r="A312" s="634"/>
      <c r="GP312" s="728"/>
      <c r="GQ312" s="728"/>
      <c r="GR312" s="728"/>
      <c r="GS312" s="723"/>
      <c r="GT312" s="723"/>
      <c r="GU312" s="723"/>
      <c r="GV312" s="723"/>
      <c r="GW312" s="723"/>
      <c r="GX312" s="723"/>
      <c r="HN312" s="723"/>
      <c r="HO312" s="723"/>
      <c r="HP312" s="723"/>
    </row>
    <row r="313" spans="1:224">
      <c r="A313" s="634"/>
      <c r="GP313" s="728"/>
      <c r="GQ313" s="728"/>
      <c r="GR313" s="728"/>
      <c r="GS313" s="723"/>
      <c r="GT313" s="723"/>
      <c r="GU313" s="723"/>
      <c r="GV313" s="723"/>
      <c r="GW313" s="723"/>
      <c r="GX313" s="723"/>
      <c r="HN313" s="723"/>
      <c r="HO313" s="723"/>
      <c r="HP313" s="723"/>
    </row>
    <row r="314" spans="1:224">
      <c r="A314" s="634"/>
      <c r="GP314" s="728"/>
      <c r="GQ314" s="728"/>
      <c r="GR314" s="728"/>
      <c r="GS314" s="723"/>
      <c r="GT314" s="723"/>
      <c r="GU314" s="723"/>
      <c r="GV314" s="723"/>
      <c r="GW314" s="723"/>
      <c r="GX314" s="723"/>
      <c r="HN314" s="723"/>
      <c r="HO314" s="723"/>
      <c r="HP314" s="723"/>
    </row>
    <row r="315" spans="1:224">
      <c r="A315" s="634"/>
      <c r="GP315" s="728"/>
      <c r="GQ315" s="728"/>
      <c r="GR315" s="728"/>
      <c r="GS315" s="723"/>
      <c r="GT315" s="723"/>
      <c r="GU315" s="723"/>
      <c r="GV315" s="723"/>
      <c r="GW315" s="723"/>
      <c r="GX315" s="723"/>
      <c r="HN315" s="723"/>
      <c r="HO315" s="723"/>
      <c r="HP315" s="723"/>
    </row>
    <row r="316" spans="1:224">
      <c r="A316" s="634"/>
      <c r="GP316" s="728"/>
      <c r="GQ316" s="728"/>
      <c r="GR316" s="728"/>
      <c r="GS316" s="723"/>
      <c r="GT316" s="723"/>
      <c r="GU316" s="723"/>
      <c r="GV316" s="723"/>
      <c r="GW316" s="723"/>
      <c r="GX316" s="723"/>
      <c r="HN316" s="723"/>
      <c r="HO316" s="723"/>
      <c r="HP316" s="723"/>
    </row>
    <row r="317" spans="1:224">
      <c r="A317" s="634"/>
      <c r="GP317" s="728"/>
      <c r="GQ317" s="728"/>
      <c r="GR317" s="728"/>
      <c r="GS317" s="723"/>
      <c r="GT317" s="723"/>
      <c r="GU317" s="723"/>
      <c r="GV317" s="723"/>
      <c r="GW317" s="723"/>
      <c r="GX317" s="723"/>
      <c r="HN317" s="723"/>
      <c r="HO317" s="723"/>
      <c r="HP317" s="723"/>
    </row>
    <row r="318" spans="1:224">
      <c r="A318" s="634"/>
      <c r="GP318" s="728"/>
      <c r="GQ318" s="728"/>
      <c r="GR318" s="728"/>
      <c r="GS318" s="723"/>
      <c r="GT318" s="723"/>
      <c r="GU318" s="723"/>
      <c r="GV318" s="723"/>
      <c r="GW318" s="723"/>
      <c r="GX318" s="723"/>
      <c r="HN318" s="723"/>
      <c r="HO318" s="723"/>
      <c r="HP318" s="723"/>
    </row>
    <row r="319" spans="1:224">
      <c r="A319" s="634"/>
      <c r="GP319" s="728"/>
      <c r="GQ319" s="728"/>
      <c r="GR319" s="728"/>
      <c r="GS319" s="723"/>
      <c r="GT319" s="723"/>
      <c r="GU319" s="723"/>
      <c r="GV319" s="723"/>
      <c r="GW319" s="723"/>
      <c r="GX319" s="723"/>
      <c r="HN319" s="723"/>
      <c r="HO319" s="723"/>
      <c r="HP319" s="723"/>
    </row>
    <row r="320" spans="1:224">
      <c r="A320" s="634"/>
      <c r="GP320" s="728"/>
      <c r="GQ320" s="728"/>
      <c r="GR320" s="728"/>
      <c r="GS320" s="723"/>
      <c r="GT320" s="723"/>
      <c r="GU320" s="723"/>
      <c r="GV320" s="723"/>
      <c r="GW320" s="723"/>
      <c r="GX320" s="723"/>
      <c r="HN320" s="723"/>
      <c r="HO320" s="723"/>
      <c r="HP320" s="723"/>
    </row>
    <row r="321" spans="1:224">
      <c r="A321" s="634"/>
      <c r="GP321" s="728"/>
      <c r="GQ321" s="728"/>
      <c r="GR321" s="728"/>
      <c r="GS321" s="723"/>
      <c r="GT321" s="723"/>
      <c r="GU321" s="723"/>
      <c r="GV321" s="723"/>
      <c r="GW321" s="723"/>
      <c r="GX321" s="723"/>
      <c r="HN321" s="723"/>
      <c r="HO321" s="723"/>
      <c r="HP321" s="723"/>
    </row>
    <row r="322" spans="1:224">
      <c r="A322" s="634"/>
      <c r="GP322" s="728"/>
      <c r="GQ322" s="728"/>
      <c r="GR322" s="728"/>
      <c r="GS322" s="723"/>
      <c r="GT322" s="723"/>
      <c r="GU322" s="723"/>
      <c r="GV322" s="723"/>
      <c r="GW322" s="723"/>
      <c r="GX322" s="723"/>
      <c r="HN322" s="723"/>
      <c r="HO322" s="723"/>
      <c r="HP322" s="723"/>
    </row>
    <row r="323" spans="1:224">
      <c r="A323" s="634"/>
      <c r="GP323" s="728"/>
      <c r="GQ323" s="728"/>
      <c r="GR323" s="728"/>
      <c r="GS323" s="723"/>
      <c r="GT323" s="723"/>
      <c r="GU323" s="723"/>
      <c r="GV323" s="723"/>
      <c r="GW323" s="723"/>
      <c r="GX323" s="723"/>
      <c r="HN323" s="723"/>
      <c r="HO323" s="723"/>
      <c r="HP323" s="723"/>
    </row>
    <row r="324" spans="1:224">
      <c r="A324" s="634"/>
      <c r="GP324" s="728"/>
      <c r="GQ324" s="728"/>
      <c r="GR324" s="728"/>
      <c r="GS324" s="723"/>
      <c r="GT324" s="723"/>
      <c r="GU324" s="723"/>
      <c r="GV324" s="723"/>
      <c r="GW324" s="723"/>
      <c r="GX324" s="723"/>
      <c r="HN324" s="723"/>
      <c r="HO324" s="723"/>
      <c r="HP324" s="723"/>
    </row>
    <row r="325" spans="1:224">
      <c r="A325" s="634"/>
      <c r="GP325" s="728"/>
      <c r="GQ325" s="728"/>
      <c r="GR325" s="728"/>
      <c r="GS325" s="723"/>
      <c r="GT325" s="723"/>
      <c r="GU325" s="723"/>
      <c r="GV325" s="723"/>
      <c r="GW325" s="723"/>
      <c r="GX325" s="723"/>
      <c r="HN325" s="723"/>
      <c r="HO325" s="723"/>
      <c r="HP325" s="723"/>
    </row>
    <row r="326" spans="1:224">
      <c r="A326" s="634"/>
      <c r="GP326" s="728"/>
      <c r="GQ326" s="728"/>
      <c r="GR326" s="728"/>
      <c r="GS326" s="723"/>
      <c r="GT326" s="723"/>
      <c r="GU326" s="723"/>
      <c r="GV326" s="723"/>
      <c r="GW326" s="723"/>
      <c r="GX326" s="723"/>
      <c r="HN326" s="723"/>
      <c r="HO326" s="723"/>
      <c r="HP326" s="723"/>
    </row>
    <row r="327" spans="1:224">
      <c r="A327" s="634"/>
      <c r="GP327" s="728"/>
      <c r="GQ327" s="728"/>
      <c r="GR327" s="728"/>
      <c r="GS327" s="723"/>
      <c r="GT327" s="723"/>
      <c r="GU327" s="723"/>
      <c r="GV327" s="723"/>
      <c r="GW327" s="723"/>
      <c r="GX327" s="723"/>
      <c r="HN327" s="723"/>
      <c r="HO327" s="723"/>
      <c r="HP327" s="723"/>
    </row>
    <row r="328" spans="1:224">
      <c r="A328" s="634"/>
      <c r="GP328" s="728"/>
      <c r="GQ328" s="728"/>
      <c r="GR328" s="728"/>
      <c r="GS328" s="723"/>
      <c r="GT328" s="723"/>
      <c r="GU328" s="723"/>
      <c r="GV328" s="723"/>
      <c r="GW328" s="723"/>
      <c r="GX328" s="723"/>
      <c r="HN328" s="723"/>
      <c r="HO328" s="723"/>
      <c r="HP328" s="723"/>
    </row>
    <row r="329" spans="1:224">
      <c r="A329" s="634"/>
      <c r="GP329" s="728"/>
      <c r="GQ329" s="728"/>
      <c r="GR329" s="728"/>
      <c r="GS329" s="723"/>
      <c r="GT329" s="723"/>
      <c r="GU329" s="723"/>
      <c r="GV329" s="723"/>
      <c r="GW329" s="723"/>
      <c r="GX329" s="723"/>
      <c r="HN329" s="723"/>
      <c r="HO329" s="723"/>
      <c r="HP329" s="723"/>
    </row>
    <row r="330" spans="1:224">
      <c r="A330" s="634"/>
      <c r="GP330" s="728"/>
      <c r="GQ330" s="728"/>
      <c r="GR330" s="728"/>
      <c r="GS330" s="723"/>
      <c r="GT330" s="723"/>
      <c r="GU330" s="723"/>
      <c r="GV330" s="723"/>
      <c r="GW330" s="723"/>
      <c r="GX330" s="723"/>
      <c r="HN330" s="723"/>
      <c r="HO330" s="723"/>
      <c r="HP330" s="723"/>
    </row>
    <row r="331" spans="1:224">
      <c r="A331" s="634"/>
      <c r="GP331" s="728"/>
      <c r="GQ331" s="728"/>
      <c r="GR331" s="728"/>
      <c r="GS331" s="723"/>
      <c r="GT331" s="723"/>
      <c r="GU331" s="723"/>
      <c r="GV331" s="723"/>
      <c r="GW331" s="723"/>
      <c r="GX331" s="723"/>
      <c r="HN331" s="723"/>
      <c r="HO331" s="723"/>
      <c r="HP331" s="723"/>
    </row>
    <row r="332" spans="1:224">
      <c r="A332" s="634"/>
      <c r="GP332" s="728"/>
      <c r="GQ332" s="728"/>
      <c r="GR332" s="728"/>
      <c r="GS332" s="723"/>
      <c r="GT332" s="723"/>
      <c r="GU332" s="723"/>
      <c r="GV332" s="723"/>
      <c r="GW332" s="723"/>
      <c r="GX332" s="723"/>
      <c r="HN332" s="723"/>
      <c r="HO332" s="723"/>
      <c r="HP332" s="723"/>
    </row>
    <row r="333" spans="1:224">
      <c r="A333" s="634"/>
      <c r="GP333" s="728"/>
      <c r="GQ333" s="728"/>
      <c r="GR333" s="728"/>
      <c r="GS333" s="723"/>
      <c r="GT333" s="723"/>
      <c r="GU333" s="723"/>
      <c r="GV333" s="723"/>
      <c r="GW333" s="723"/>
      <c r="GX333" s="723"/>
      <c r="HN333" s="723"/>
      <c r="HO333" s="723"/>
      <c r="HP333" s="723"/>
    </row>
    <row r="334" spans="1:224">
      <c r="A334" s="634"/>
      <c r="GP334" s="728"/>
      <c r="GQ334" s="728"/>
      <c r="GR334" s="728"/>
      <c r="GS334" s="723"/>
      <c r="GT334" s="723"/>
      <c r="GU334" s="723"/>
      <c r="GV334" s="723"/>
      <c r="GW334" s="723"/>
      <c r="GX334" s="723"/>
      <c r="HN334" s="723"/>
      <c r="HO334" s="723"/>
      <c r="HP334" s="723"/>
    </row>
    <row r="335" spans="1:224">
      <c r="A335" s="634"/>
      <c r="GP335" s="728"/>
      <c r="GQ335" s="728"/>
      <c r="GR335" s="728"/>
      <c r="GS335" s="723"/>
      <c r="GT335" s="723"/>
      <c r="GU335" s="723"/>
      <c r="GV335" s="723"/>
      <c r="GW335" s="723"/>
      <c r="GX335" s="723"/>
      <c r="HN335" s="723"/>
      <c r="HO335" s="723"/>
      <c r="HP335" s="723"/>
    </row>
    <row r="336" spans="1:224">
      <c r="A336" s="634"/>
      <c r="GP336" s="728"/>
      <c r="GQ336" s="728"/>
      <c r="GR336" s="728"/>
      <c r="GS336" s="723"/>
      <c r="GT336" s="723"/>
      <c r="GU336" s="723"/>
      <c r="GV336" s="723"/>
      <c r="GW336" s="723"/>
      <c r="GX336" s="723"/>
      <c r="HN336" s="723"/>
      <c r="HO336" s="723"/>
      <c r="HP336" s="723"/>
    </row>
    <row r="337" spans="1:224">
      <c r="A337" s="634"/>
      <c r="GP337" s="728"/>
      <c r="GQ337" s="728"/>
      <c r="GR337" s="728"/>
      <c r="GS337" s="723"/>
      <c r="GT337" s="723"/>
      <c r="GU337" s="723"/>
      <c r="GV337" s="723"/>
      <c r="GW337" s="723"/>
      <c r="GX337" s="723"/>
      <c r="HN337" s="723"/>
      <c r="HO337" s="723"/>
      <c r="HP337" s="723"/>
    </row>
    <row r="338" spans="1:224">
      <c r="A338" s="634"/>
      <c r="GP338" s="728"/>
      <c r="GQ338" s="728"/>
      <c r="GR338" s="728"/>
      <c r="GS338" s="723"/>
      <c r="GT338" s="723"/>
      <c r="GU338" s="723"/>
      <c r="GV338" s="723"/>
      <c r="GW338" s="723"/>
      <c r="GX338" s="723"/>
      <c r="HN338" s="723"/>
      <c r="HO338" s="723"/>
      <c r="HP338" s="723"/>
    </row>
    <row r="339" spans="1:224">
      <c r="A339" s="634"/>
      <c r="GP339" s="728"/>
      <c r="GQ339" s="728"/>
      <c r="GR339" s="728"/>
      <c r="GS339" s="723"/>
      <c r="GT339" s="723"/>
      <c r="GU339" s="723"/>
      <c r="GV339" s="723"/>
      <c r="GW339" s="723"/>
      <c r="GX339" s="723"/>
      <c r="HN339" s="723"/>
      <c r="HO339" s="723"/>
      <c r="HP339" s="723"/>
    </row>
    <row r="340" spans="1:224">
      <c r="A340" s="634"/>
      <c r="GP340" s="728"/>
      <c r="GQ340" s="728"/>
      <c r="GR340" s="728"/>
      <c r="GS340" s="723"/>
      <c r="GT340" s="723"/>
      <c r="GU340" s="723"/>
      <c r="GV340" s="723"/>
      <c r="GW340" s="723"/>
      <c r="GX340" s="723"/>
      <c r="HN340" s="723"/>
      <c r="HO340" s="723"/>
      <c r="HP340" s="723"/>
    </row>
    <row r="341" spans="1:224">
      <c r="A341" s="634"/>
      <c r="GP341" s="728"/>
      <c r="GQ341" s="728"/>
      <c r="GR341" s="728"/>
      <c r="GS341" s="723"/>
      <c r="GT341" s="723"/>
      <c r="GU341" s="723"/>
      <c r="GV341" s="723"/>
      <c r="GW341" s="723"/>
      <c r="GX341" s="723"/>
      <c r="HN341" s="723"/>
      <c r="HO341" s="723"/>
      <c r="HP341" s="723"/>
    </row>
    <row r="342" spans="1:224">
      <c r="A342" s="634"/>
      <c r="GP342" s="728"/>
      <c r="GQ342" s="728"/>
      <c r="GR342" s="728"/>
      <c r="GS342" s="723"/>
      <c r="GT342" s="723"/>
      <c r="GU342" s="723"/>
      <c r="GV342" s="723"/>
      <c r="GW342" s="723"/>
      <c r="GX342" s="723"/>
      <c r="HN342" s="723"/>
      <c r="HO342" s="723"/>
      <c r="HP342" s="723"/>
    </row>
    <row r="343" spans="1:224">
      <c r="A343" s="634"/>
      <c r="GP343" s="728"/>
      <c r="GQ343" s="728"/>
      <c r="GR343" s="728"/>
      <c r="GS343" s="723"/>
      <c r="GT343" s="723"/>
      <c r="GU343" s="723"/>
      <c r="GV343" s="723"/>
      <c r="GW343" s="723"/>
      <c r="GX343" s="723"/>
      <c r="HN343" s="723"/>
      <c r="HO343" s="723"/>
      <c r="HP343" s="723"/>
    </row>
    <row r="344" spans="1:224">
      <c r="A344" s="634"/>
      <c r="GP344" s="728"/>
      <c r="GQ344" s="728"/>
      <c r="GR344" s="728"/>
      <c r="GS344" s="723"/>
      <c r="GT344" s="723"/>
      <c r="GU344" s="723"/>
      <c r="GV344" s="723"/>
      <c r="GW344" s="723"/>
      <c r="GX344" s="723"/>
      <c r="HN344" s="723"/>
      <c r="HO344" s="723"/>
      <c r="HP344" s="723"/>
    </row>
    <row r="345" spans="1:224">
      <c r="A345" s="634"/>
      <c r="GP345" s="728"/>
      <c r="GQ345" s="728"/>
      <c r="GR345" s="728"/>
      <c r="GS345" s="723"/>
      <c r="GT345" s="723"/>
      <c r="GU345" s="723"/>
      <c r="GV345" s="723"/>
      <c r="GW345" s="723"/>
      <c r="GX345" s="723"/>
      <c r="HN345" s="723"/>
      <c r="HO345" s="723"/>
      <c r="HP345" s="723"/>
    </row>
    <row r="346" spans="1:224">
      <c r="A346" s="634"/>
      <c r="GP346" s="728"/>
      <c r="GQ346" s="728"/>
      <c r="GR346" s="728"/>
      <c r="GS346" s="723"/>
      <c r="GT346" s="723"/>
      <c r="GU346" s="723"/>
      <c r="GV346" s="723"/>
      <c r="GW346" s="723"/>
      <c r="GX346" s="723"/>
      <c r="HN346" s="723"/>
      <c r="HO346" s="723"/>
      <c r="HP346" s="723"/>
    </row>
    <row r="347" spans="1:224">
      <c r="A347" s="634"/>
      <c r="GP347" s="728"/>
      <c r="GQ347" s="728"/>
      <c r="GR347" s="728"/>
      <c r="GS347" s="723"/>
      <c r="GT347" s="723"/>
      <c r="GU347" s="723"/>
      <c r="GV347" s="723"/>
      <c r="GW347" s="723"/>
      <c r="GX347" s="723"/>
      <c r="HN347" s="723"/>
      <c r="HO347" s="723"/>
      <c r="HP347" s="723"/>
    </row>
    <row r="348" spans="1:224">
      <c r="A348" s="634"/>
      <c r="GP348" s="728"/>
      <c r="GQ348" s="728"/>
      <c r="GR348" s="728"/>
      <c r="GS348" s="723"/>
      <c r="GT348" s="723"/>
      <c r="GU348" s="723"/>
      <c r="GV348" s="723"/>
      <c r="GW348" s="723"/>
      <c r="GX348" s="723"/>
      <c r="HN348" s="723"/>
      <c r="HO348" s="723"/>
      <c r="HP348" s="723"/>
    </row>
    <row r="349" spans="1:224">
      <c r="A349" s="634"/>
      <c r="GP349" s="728"/>
      <c r="GQ349" s="728"/>
      <c r="GR349" s="728"/>
      <c r="GS349" s="723"/>
      <c r="GT349" s="723"/>
      <c r="GU349" s="723"/>
      <c r="GV349" s="723"/>
      <c r="GW349" s="723"/>
      <c r="GX349" s="723"/>
      <c r="HN349" s="723"/>
      <c r="HO349" s="723"/>
      <c r="HP349" s="723"/>
    </row>
    <row r="350" spans="1:224">
      <c r="A350" s="634"/>
      <c r="GP350" s="728"/>
      <c r="GQ350" s="728"/>
      <c r="GR350" s="728"/>
      <c r="GV350" s="723"/>
      <c r="GW350" s="723"/>
      <c r="GX350" s="723"/>
      <c r="HN350" s="723"/>
      <c r="HO350" s="723"/>
      <c r="HP350" s="723"/>
    </row>
    <row r="351" spans="1:224">
      <c r="A351" s="634"/>
      <c r="GP351" s="728"/>
      <c r="GQ351" s="728"/>
      <c r="GR351" s="728"/>
      <c r="GV351" s="723"/>
      <c r="GW351" s="723"/>
      <c r="GX351" s="723"/>
      <c r="HN351" s="723"/>
      <c r="HO351" s="723"/>
      <c r="HP351" s="723"/>
    </row>
    <row r="352" spans="1:224">
      <c r="A352" s="634"/>
      <c r="GP352" s="728"/>
      <c r="GQ352" s="728"/>
      <c r="GR352" s="728"/>
      <c r="GV352" s="723"/>
      <c r="GW352" s="723"/>
      <c r="GX352" s="723"/>
      <c r="HN352" s="723"/>
      <c r="HO352" s="723"/>
      <c r="HP352" s="723"/>
    </row>
    <row r="353" spans="1:224">
      <c r="A353" s="634"/>
      <c r="GP353" s="728"/>
      <c r="GQ353" s="728"/>
      <c r="GR353" s="728"/>
      <c r="GV353" s="723"/>
      <c r="GW353" s="723"/>
      <c r="GX353" s="723"/>
      <c r="HN353" s="723"/>
      <c r="HO353" s="723"/>
      <c r="HP353" s="723"/>
    </row>
    <row r="354" spans="1:224">
      <c r="A354" s="634"/>
      <c r="GP354" s="728"/>
      <c r="GQ354" s="728"/>
      <c r="GR354" s="728"/>
      <c r="GV354" s="723"/>
      <c r="GW354" s="723"/>
      <c r="GX354" s="723"/>
      <c r="HN354" s="723"/>
      <c r="HO354" s="723"/>
      <c r="HP354" s="723"/>
    </row>
    <row r="355" spans="1:224">
      <c r="A355" s="634"/>
      <c r="GP355" s="728"/>
      <c r="GQ355" s="728"/>
      <c r="GR355" s="728"/>
      <c r="GV355" s="723"/>
      <c r="GW355" s="723"/>
      <c r="GX355" s="723"/>
      <c r="HN355" s="723"/>
      <c r="HO355" s="723"/>
      <c r="HP355" s="723"/>
    </row>
    <row r="356" spans="1:224">
      <c r="A356" s="634"/>
      <c r="GP356" s="728"/>
      <c r="GQ356" s="728"/>
      <c r="GR356" s="728"/>
      <c r="GV356" s="723"/>
      <c r="GW356" s="723"/>
      <c r="GX356" s="723"/>
      <c r="HN356" s="723"/>
      <c r="HO356" s="723"/>
      <c r="HP356" s="723"/>
    </row>
    <row r="357" spans="1:224">
      <c r="A357" s="634"/>
      <c r="GP357" s="728"/>
      <c r="GQ357" s="728"/>
      <c r="GR357" s="728"/>
      <c r="GV357" s="723"/>
      <c r="GW357" s="723"/>
      <c r="GX357" s="723"/>
      <c r="HN357" s="723"/>
      <c r="HO357" s="723"/>
      <c r="HP357" s="723"/>
    </row>
    <row r="358" spans="1:224">
      <c r="A358" s="634"/>
      <c r="GP358" s="728"/>
      <c r="GQ358" s="728"/>
      <c r="GR358" s="728"/>
      <c r="GV358" s="723"/>
      <c r="GW358" s="723"/>
      <c r="GX358" s="723"/>
      <c r="HN358" s="723"/>
      <c r="HO358" s="723"/>
      <c r="HP358" s="723"/>
    </row>
    <row r="359" spans="1:224">
      <c r="A359" s="634"/>
      <c r="GP359" s="728"/>
      <c r="GQ359" s="728"/>
      <c r="GR359" s="728"/>
      <c r="GV359" s="723"/>
      <c r="GW359" s="723"/>
      <c r="GX359" s="723"/>
      <c r="HN359" s="723"/>
      <c r="HO359" s="723"/>
      <c r="HP359" s="723"/>
    </row>
    <row r="360" spans="1:224">
      <c r="A360" s="634"/>
      <c r="GP360" s="728"/>
      <c r="GQ360" s="728"/>
      <c r="GR360" s="728"/>
      <c r="GV360" s="723"/>
      <c r="GW360" s="723"/>
      <c r="GX360" s="723"/>
      <c r="HN360" s="723"/>
      <c r="HO360" s="723"/>
      <c r="HP360" s="723"/>
    </row>
    <row r="361" spans="1:224">
      <c r="A361" s="634"/>
      <c r="GP361" s="728"/>
      <c r="GQ361" s="728"/>
      <c r="GR361" s="728"/>
      <c r="GV361" s="723"/>
      <c r="GW361" s="723"/>
      <c r="GX361" s="723"/>
      <c r="HN361" s="723"/>
      <c r="HO361" s="723"/>
      <c r="HP361" s="723"/>
    </row>
    <row r="362" spans="1:224">
      <c r="A362" s="634"/>
      <c r="GP362" s="728"/>
      <c r="GQ362" s="728"/>
      <c r="GR362" s="728"/>
      <c r="GV362" s="723"/>
      <c r="GW362" s="723"/>
      <c r="GX362" s="723"/>
      <c r="HN362" s="723"/>
      <c r="HO362" s="723"/>
      <c r="HP362" s="723"/>
    </row>
    <row r="363" spans="1:224">
      <c r="A363" s="634"/>
      <c r="GP363" s="728"/>
      <c r="GQ363" s="728"/>
      <c r="GR363" s="728"/>
      <c r="GV363" s="723"/>
      <c r="GW363" s="723"/>
      <c r="GX363" s="723"/>
      <c r="HN363" s="723"/>
      <c r="HO363" s="723"/>
      <c r="HP363" s="723"/>
    </row>
    <row r="364" spans="1:224">
      <c r="A364" s="634"/>
      <c r="GP364" s="728"/>
      <c r="GQ364" s="728"/>
      <c r="GR364" s="728"/>
      <c r="GV364" s="723"/>
      <c r="GW364" s="723"/>
      <c r="GX364" s="723"/>
      <c r="HN364" s="723"/>
      <c r="HO364" s="723"/>
      <c r="HP364" s="723"/>
    </row>
    <row r="365" spans="1:224">
      <c r="A365" s="634"/>
      <c r="GP365" s="728"/>
      <c r="GQ365" s="728"/>
      <c r="GR365" s="728"/>
      <c r="GV365" s="723"/>
      <c r="GW365" s="723"/>
      <c r="GX365" s="723"/>
      <c r="HN365" s="723"/>
      <c r="HO365" s="723"/>
      <c r="HP365" s="723"/>
    </row>
    <row r="366" spans="1:224">
      <c r="A366" s="634"/>
      <c r="GP366" s="728"/>
      <c r="GQ366" s="728"/>
      <c r="GR366" s="728"/>
      <c r="GV366" s="723"/>
      <c r="GW366" s="723"/>
      <c r="GX366" s="723"/>
      <c r="HN366" s="723"/>
      <c r="HO366" s="723"/>
      <c r="HP366" s="723"/>
    </row>
    <row r="367" spans="1:224">
      <c r="A367" s="634"/>
      <c r="GP367" s="728"/>
      <c r="GQ367" s="728"/>
      <c r="GR367" s="728"/>
      <c r="GV367" s="723"/>
      <c r="GW367" s="723"/>
      <c r="GX367" s="723"/>
      <c r="HN367" s="723"/>
      <c r="HO367" s="723"/>
      <c r="HP367" s="723"/>
    </row>
    <row r="368" spans="1:224">
      <c r="A368" s="634"/>
      <c r="GP368" s="728"/>
      <c r="GQ368" s="728"/>
      <c r="GR368" s="728"/>
      <c r="GV368" s="723"/>
      <c r="GW368" s="723"/>
      <c r="GX368" s="723"/>
      <c r="HN368" s="723"/>
      <c r="HO368" s="723"/>
      <c r="HP368" s="723"/>
    </row>
    <row r="369" spans="1:224">
      <c r="A369" s="634"/>
      <c r="GP369" s="728"/>
      <c r="GQ369" s="728"/>
      <c r="GR369" s="728"/>
      <c r="GV369" s="723"/>
      <c r="GW369" s="723"/>
      <c r="GX369" s="723"/>
      <c r="HN369" s="723"/>
      <c r="HO369" s="723"/>
      <c r="HP369" s="723"/>
    </row>
    <row r="370" spans="1:224">
      <c r="A370" s="634"/>
      <c r="GP370" s="728"/>
      <c r="GQ370" s="728"/>
      <c r="GR370" s="728"/>
      <c r="GV370" s="723"/>
      <c r="GW370" s="723"/>
      <c r="GX370" s="723"/>
      <c r="HN370" s="723"/>
      <c r="HO370" s="723"/>
      <c r="HP370" s="723"/>
    </row>
    <row r="371" spans="1:224">
      <c r="A371" s="634"/>
      <c r="GP371" s="728"/>
      <c r="GQ371" s="728"/>
      <c r="GR371" s="728"/>
      <c r="GV371" s="723"/>
      <c r="GW371" s="723"/>
      <c r="GX371" s="723"/>
      <c r="HN371" s="723"/>
      <c r="HO371" s="723"/>
      <c r="HP371" s="723"/>
    </row>
    <row r="372" spans="1:224">
      <c r="A372" s="634"/>
      <c r="GP372" s="728"/>
      <c r="GQ372" s="728"/>
      <c r="GR372" s="728"/>
      <c r="GV372" s="723"/>
      <c r="GW372" s="723"/>
      <c r="GX372" s="723"/>
      <c r="HN372" s="723"/>
      <c r="HO372" s="723"/>
      <c r="HP372" s="723"/>
    </row>
    <row r="373" spans="1:224">
      <c r="A373" s="634"/>
      <c r="GP373" s="728"/>
      <c r="GQ373" s="728"/>
      <c r="GR373" s="728"/>
      <c r="GV373" s="723"/>
      <c r="GW373" s="723"/>
      <c r="GX373" s="723"/>
      <c r="HN373" s="723"/>
      <c r="HO373" s="723"/>
      <c r="HP373" s="723"/>
    </row>
    <row r="374" spans="1:224">
      <c r="A374" s="634"/>
      <c r="GP374" s="728"/>
      <c r="GQ374" s="728"/>
      <c r="GR374" s="728"/>
      <c r="GV374" s="723"/>
      <c r="GW374" s="723"/>
      <c r="GX374" s="723"/>
      <c r="HN374" s="723"/>
      <c r="HO374" s="723"/>
      <c r="HP374" s="723"/>
    </row>
    <row r="375" spans="1:224">
      <c r="A375" s="634"/>
      <c r="GP375" s="728"/>
      <c r="GQ375" s="728"/>
      <c r="GR375" s="728"/>
      <c r="GV375" s="723"/>
      <c r="GW375" s="723"/>
      <c r="GX375" s="723"/>
      <c r="HN375" s="723"/>
      <c r="HO375" s="723"/>
      <c r="HP375" s="723"/>
    </row>
    <row r="376" spans="1:224">
      <c r="A376" s="634"/>
      <c r="GP376" s="728"/>
      <c r="GQ376" s="728"/>
      <c r="GR376" s="728"/>
      <c r="GV376" s="723"/>
      <c r="GW376" s="723"/>
      <c r="GX376" s="723"/>
      <c r="HN376" s="723"/>
      <c r="HO376" s="723"/>
      <c r="HP376" s="723"/>
    </row>
    <row r="377" spans="1:224">
      <c r="A377" s="634"/>
      <c r="GP377" s="728"/>
      <c r="GQ377" s="728"/>
      <c r="GR377" s="728"/>
      <c r="GV377" s="723"/>
      <c r="GW377" s="723"/>
      <c r="GX377" s="723"/>
      <c r="HN377" s="723"/>
      <c r="HO377" s="723"/>
      <c r="HP377" s="723"/>
    </row>
    <row r="378" spans="1:224">
      <c r="A378" s="634"/>
      <c r="GP378" s="728"/>
      <c r="GQ378" s="728"/>
      <c r="GR378" s="728"/>
      <c r="GV378" s="723"/>
      <c r="GW378" s="723"/>
      <c r="GX378" s="723"/>
      <c r="HN378" s="723"/>
      <c r="HO378" s="723"/>
      <c r="HP378" s="723"/>
    </row>
    <row r="379" spans="1:224">
      <c r="A379" s="634"/>
      <c r="GP379" s="728"/>
      <c r="GQ379" s="728"/>
      <c r="GR379" s="728"/>
      <c r="GV379" s="723"/>
      <c r="GW379" s="723"/>
      <c r="GX379" s="723"/>
      <c r="HN379" s="723"/>
      <c r="HO379" s="723"/>
      <c r="HP379" s="723"/>
    </row>
    <row r="380" spans="1:224">
      <c r="A380" s="634"/>
      <c r="GP380" s="728"/>
      <c r="GQ380" s="728"/>
      <c r="GR380" s="728"/>
      <c r="GV380" s="723"/>
      <c r="GW380" s="723"/>
      <c r="GX380" s="723"/>
      <c r="HN380" s="723"/>
      <c r="HO380" s="723"/>
      <c r="HP380" s="723"/>
    </row>
    <row r="381" spans="1:224">
      <c r="A381" s="634"/>
      <c r="GP381" s="728"/>
      <c r="GQ381" s="728"/>
      <c r="GR381" s="728"/>
      <c r="GV381" s="723"/>
      <c r="GW381" s="723"/>
      <c r="GX381" s="723"/>
      <c r="HN381" s="723"/>
      <c r="HO381" s="723"/>
      <c r="HP381" s="723"/>
    </row>
    <row r="382" spans="1:224">
      <c r="A382" s="634"/>
      <c r="GP382" s="728"/>
      <c r="GQ382" s="728"/>
      <c r="GR382" s="728"/>
      <c r="GV382" s="723"/>
      <c r="GW382" s="723"/>
      <c r="GX382" s="723"/>
      <c r="HN382" s="723"/>
      <c r="HO382" s="723"/>
      <c r="HP382" s="723"/>
    </row>
    <row r="383" spans="1:224">
      <c r="A383" s="634"/>
      <c r="GP383" s="728"/>
      <c r="GQ383" s="728"/>
      <c r="GR383" s="728"/>
      <c r="GV383" s="723"/>
      <c r="GW383" s="723"/>
      <c r="GX383" s="723"/>
      <c r="HN383" s="723"/>
      <c r="HO383" s="723"/>
      <c r="HP383" s="723"/>
    </row>
    <row r="384" spans="1:224">
      <c r="A384" s="634"/>
      <c r="GP384" s="728"/>
      <c r="GQ384" s="728"/>
      <c r="GR384" s="728"/>
      <c r="GV384" s="723"/>
      <c r="GW384" s="723"/>
      <c r="GX384" s="723"/>
      <c r="HN384" s="723"/>
      <c r="HO384" s="723"/>
      <c r="HP384" s="723"/>
    </row>
    <row r="385" spans="1:224">
      <c r="A385" s="634"/>
      <c r="GP385" s="728"/>
      <c r="GQ385" s="728"/>
      <c r="GR385" s="728"/>
      <c r="GV385" s="723"/>
      <c r="GW385" s="723"/>
      <c r="GX385" s="723"/>
      <c r="HN385" s="723"/>
      <c r="HO385" s="723"/>
      <c r="HP385" s="723"/>
    </row>
    <row r="386" spans="1:224">
      <c r="A386" s="634"/>
      <c r="GP386" s="728"/>
      <c r="GQ386" s="728"/>
      <c r="GR386" s="728"/>
      <c r="HN386" s="723"/>
      <c r="HO386" s="723"/>
      <c r="HP386" s="723"/>
    </row>
    <row r="387" spans="1:224">
      <c r="A387" s="634"/>
      <c r="GP387" s="728"/>
      <c r="GQ387" s="728"/>
      <c r="GR387" s="728"/>
      <c r="HN387" s="723"/>
      <c r="HO387" s="723"/>
      <c r="HP387" s="723"/>
    </row>
    <row r="388" spans="1:224">
      <c r="A388" s="634"/>
      <c r="GP388" s="728"/>
      <c r="GQ388" s="728"/>
      <c r="GR388" s="728"/>
      <c r="HN388" s="723"/>
      <c r="HO388" s="723"/>
      <c r="HP388" s="723"/>
    </row>
    <row r="389" spans="1:224">
      <c r="A389" s="634"/>
      <c r="GP389" s="728"/>
      <c r="GQ389" s="728"/>
      <c r="GR389" s="728"/>
      <c r="HN389" s="723"/>
      <c r="HO389" s="723"/>
      <c r="HP389" s="723"/>
    </row>
    <row r="390" spans="1:224">
      <c r="A390" s="634"/>
      <c r="GP390" s="728"/>
      <c r="GQ390" s="728"/>
      <c r="GR390" s="728"/>
      <c r="HN390" s="723"/>
      <c r="HO390" s="723"/>
      <c r="HP390" s="723"/>
    </row>
    <row r="391" spans="1:224">
      <c r="A391" s="634"/>
      <c r="GP391" s="728"/>
      <c r="GQ391" s="728"/>
      <c r="GR391" s="728"/>
      <c r="HN391" s="723"/>
      <c r="HO391" s="723"/>
      <c r="HP391" s="723"/>
    </row>
    <row r="392" spans="1:224">
      <c r="A392" s="634"/>
      <c r="GP392" s="728"/>
      <c r="GQ392" s="728"/>
      <c r="GR392" s="728"/>
      <c r="HN392" s="723"/>
      <c r="HO392" s="723"/>
      <c r="HP392" s="723"/>
    </row>
    <row r="393" spans="1:224">
      <c r="A393" s="634"/>
      <c r="GP393" s="728"/>
      <c r="GQ393" s="728"/>
      <c r="GR393" s="728"/>
      <c r="HN393" s="723"/>
      <c r="HO393" s="723"/>
      <c r="HP393" s="723"/>
    </row>
    <row r="394" spans="1:224">
      <c r="A394" s="634"/>
      <c r="GP394" s="728"/>
      <c r="GQ394" s="728"/>
      <c r="GR394" s="728"/>
      <c r="HN394" s="723"/>
      <c r="HO394" s="723"/>
      <c r="HP394" s="723"/>
    </row>
    <row r="395" spans="1:224">
      <c r="A395" s="634"/>
      <c r="GP395" s="728"/>
      <c r="GQ395" s="728"/>
      <c r="GR395" s="728"/>
      <c r="HN395" s="723"/>
      <c r="HO395" s="723"/>
      <c r="HP395" s="723"/>
    </row>
    <row r="396" spans="1:224">
      <c r="A396" s="634"/>
      <c r="GP396" s="728"/>
      <c r="GQ396" s="728"/>
      <c r="GR396" s="728"/>
      <c r="HN396" s="723"/>
      <c r="HO396" s="723"/>
      <c r="HP396" s="723"/>
    </row>
    <row r="397" spans="1:224">
      <c r="A397" s="634"/>
      <c r="GP397" s="728"/>
      <c r="GQ397" s="728"/>
      <c r="GR397" s="728"/>
      <c r="HN397" s="723"/>
      <c r="HO397" s="723"/>
      <c r="HP397" s="723"/>
    </row>
    <row r="398" spans="1:224">
      <c r="A398" s="634"/>
      <c r="GP398" s="728"/>
      <c r="GQ398" s="728"/>
      <c r="GR398" s="728"/>
      <c r="HN398" s="723"/>
      <c r="HO398" s="723"/>
      <c r="HP398" s="723"/>
    </row>
    <row r="399" spans="1:224">
      <c r="A399" s="634"/>
      <c r="GP399" s="728"/>
      <c r="GQ399" s="728"/>
      <c r="GR399" s="728"/>
      <c r="HN399" s="723"/>
      <c r="HO399" s="723"/>
      <c r="HP399" s="723"/>
    </row>
    <row r="400" spans="1:224">
      <c r="A400" s="634"/>
      <c r="GP400" s="728"/>
      <c r="GQ400" s="728"/>
      <c r="GR400" s="728"/>
      <c r="HN400" s="723"/>
      <c r="HO400" s="723"/>
      <c r="HP400" s="723"/>
    </row>
    <row r="401" spans="1:224">
      <c r="A401" s="634"/>
      <c r="GP401" s="728"/>
      <c r="GQ401" s="728"/>
      <c r="GR401" s="728"/>
      <c r="HN401" s="723"/>
      <c r="HO401" s="723"/>
      <c r="HP401" s="723"/>
    </row>
    <row r="402" spans="1:224">
      <c r="A402" s="634"/>
      <c r="GP402" s="728"/>
      <c r="GQ402" s="728"/>
      <c r="GR402" s="728"/>
      <c r="HN402" s="723"/>
      <c r="HO402" s="723"/>
      <c r="HP402" s="723"/>
    </row>
    <row r="403" spans="1:224">
      <c r="A403" s="634"/>
      <c r="GP403" s="728"/>
      <c r="GQ403" s="728"/>
      <c r="GR403" s="728"/>
      <c r="HN403" s="723"/>
      <c r="HO403" s="723"/>
      <c r="HP403" s="723"/>
    </row>
    <row r="404" spans="1:224">
      <c r="A404" s="634"/>
      <c r="GP404" s="728"/>
      <c r="GQ404" s="728"/>
      <c r="GR404" s="728"/>
      <c r="HN404" s="723"/>
      <c r="HO404" s="723"/>
      <c r="HP404" s="723"/>
    </row>
    <row r="405" spans="1:224">
      <c r="A405" s="634"/>
      <c r="GP405" s="728"/>
      <c r="GQ405" s="728"/>
      <c r="GR405" s="728"/>
      <c r="HN405" s="723"/>
      <c r="HO405" s="723"/>
      <c r="HP405" s="723"/>
    </row>
    <row r="406" spans="1:224">
      <c r="A406" s="634"/>
      <c r="GP406" s="728"/>
      <c r="GQ406" s="728"/>
      <c r="GR406" s="728"/>
      <c r="HN406" s="723"/>
      <c r="HO406" s="723"/>
      <c r="HP406" s="723"/>
    </row>
    <row r="407" spans="1:224">
      <c r="A407" s="634"/>
      <c r="GP407" s="728"/>
      <c r="GQ407" s="728"/>
      <c r="GR407" s="728"/>
      <c r="HN407" s="723"/>
      <c r="HO407" s="723"/>
      <c r="HP407" s="723"/>
    </row>
    <row r="408" spans="1:224">
      <c r="A408" s="634"/>
      <c r="GP408" s="728"/>
      <c r="GQ408" s="728"/>
      <c r="GR408" s="728"/>
      <c r="HN408" s="723"/>
      <c r="HO408" s="723"/>
      <c r="HP408" s="723"/>
    </row>
    <row r="409" spans="1:224">
      <c r="A409" s="634"/>
      <c r="GP409" s="728"/>
      <c r="GQ409" s="728"/>
      <c r="GR409" s="728"/>
      <c r="HN409" s="723"/>
      <c r="HO409" s="723"/>
      <c r="HP409" s="723"/>
    </row>
    <row r="410" spans="1:224">
      <c r="A410" s="634"/>
      <c r="GP410" s="728"/>
      <c r="GQ410" s="728"/>
      <c r="GR410" s="728"/>
      <c r="HN410" s="723"/>
      <c r="HO410" s="723"/>
      <c r="HP410" s="723"/>
    </row>
    <row r="411" spans="1:224">
      <c r="A411" s="634"/>
      <c r="GP411" s="728"/>
      <c r="GQ411" s="728"/>
      <c r="GR411" s="728"/>
      <c r="HN411" s="723"/>
      <c r="HO411" s="723"/>
      <c r="HP411" s="723"/>
    </row>
    <row r="412" spans="1:224">
      <c r="A412" s="634"/>
      <c r="GP412" s="728"/>
      <c r="GQ412" s="728"/>
      <c r="GR412" s="728"/>
      <c r="HN412" s="723"/>
      <c r="HO412" s="723"/>
      <c r="HP412" s="723"/>
    </row>
    <row r="413" spans="1:224">
      <c r="A413" s="634"/>
      <c r="GP413" s="728"/>
      <c r="GQ413" s="728"/>
      <c r="GR413" s="728"/>
      <c r="HN413" s="723"/>
      <c r="HO413" s="723"/>
      <c r="HP413" s="723"/>
    </row>
    <row r="414" spans="1:224">
      <c r="A414" s="634"/>
      <c r="GP414" s="728"/>
      <c r="GQ414" s="728"/>
      <c r="GR414" s="728"/>
      <c r="HN414" s="723"/>
      <c r="HO414" s="723"/>
      <c r="HP414" s="723"/>
    </row>
    <row r="415" spans="1:224">
      <c r="A415" s="634"/>
      <c r="GP415" s="728"/>
      <c r="GQ415" s="728"/>
      <c r="GR415" s="728"/>
      <c r="HN415" s="723"/>
      <c r="HO415" s="723"/>
      <c r="HP415" s="723"/>
    </row>
    <row r="416" spans="1:224">
      <c r="A416" s="634"/>
      <c r="GP416" s="728"/>
      <c r="GQ416" s="728"/>
      <c r="GR416" s="728"/>
      <c r="HN416" s="723"/>
      <c r="HO416" s="723"/>
      <c r="HP416" s="723"/>
    </row>
    <row r="417" spans="1:224">
      <c r="A417" s="634"/>
      <c r="GP417" s="728"/>
      <c r="GQ417" s="728"/>
      <c r="GR417" s="728"/>
      <c r="HN417" s="723"/>
      <c r="HO417" s="723"/>
      <c r="HP417" s="723"/>
    </row>
    <row r="418" spans="1:224">
      <c r="A418" s="634"/>
      <c r="GP418" s="728"/>
      <c r="GQ418" s="728"/>
      <c r="GR418" s="728"/>
      <c r="HN418" s="723"/>
      <c r="HO418" s="723"/>
      <c r="HP418" s="723"/>
    </row>
    <row r="419" spans="1:224">
      <c r="A419" s="634"/>
      <c r="GP419" s="728"/>
      <c r="GQ419" s="728"/>
      <c r="GR419" s="728"/>
      <c r="HN419" s="723"/>
      <c r="HO419" s="723"/>
      <c r="HP419" s="723"/>
    </row>
    <row r="420" spans="1:224">
      <c r="A420" s="634"/>
      <c r="GP420" s="728"/>
      <c r="GQ420" s="728"/>
      <c r="GR420" s="728"/>
      <c r="HN420" s="723"/>
      <c r="HO420" s="723"/>
      <c r="HP420" s="723"/>
    </row>
    <row r="421" spans="1:224">
      <c r="A421" s="634"/>
      <c r="GP421" s="728"/>
      <c r="GQ421" s="728"/>
      <c r="GR421" s="728"/>
      <c r="HN421" s="723"/>
      <c r="HO421" s="723"/>
      <c r="HP421" s="723"/>
    </row>
    <row r="422" spans="1:224">
      <c r="A422" s="634"/>
      <c r="GP422" s="728"/>
      <c r="GQ422" s="728"/>
      <c r="GR422" s="728"/>
      <c r="HN422" s="723"/>
      <c r="HO422" s="723"/>
      <c r="HP422" s="723"/>
    </row>
    <row r="423" spans="1:224">
      <c r="A423" s="634"/>
      <c r="GP423" s="728"/>
      <c r="GQ423" s="728"/>
      <c r="GR423" s="728"/>
      <c r="HN423" s="723"/>
      <c r="HO423" s="723"/>
      <c r="HP423" s="723"/>
    </row>
    <row r="424" spans="1:224">
      <c r="A424" s="634"/>
      <c r="GP424" s="728"/>
      <c r="GQ424" s="728"/>
      <c r="GR424" s="728"/>
      <c r="HN424" s="723"/>
      <c r="HO424" s="723"/>
      <c r="HP424" s="723"/>
    </row>
    <row r="425" spans="1:224">
      <c r="A425" s="634"/>
      <c r="GP425" s="728"/>
      <c r="GQ425" s="728"/>
      <c r="GR425" s="728"/>
      <c r="HN425" s="723"/>
      <c r="HO425" s="723"/>
      <c r="HP425" s="723"/>
    </row>
    <row r="426" spans="1:224">
      <c r="A426" s="634"/>
      <c r="GP426" s="728"/>
      <c r="GQ426" s="728"/>
      <c r="GR426" s="728"/>
      <c r="HN426" s="723"/>
      <c r="HO426" s="723"/>
      <c r="HP426" s="723"/>
    </row>
    <row r="427" spans="1:224">
      <c r="A427" s="634"/>
      <c r="GP427" s="728"/>
      <c r="GQ427" s="728"/>
      <c r="GR427" s="728"/>
      <c r="HN427" s="723"/>
      <c r="HO427" s="723"/>
      <c r="HP427" s="723"/>
    </row>
    <row r="428" spans="1:224">
      <c r="A428" s="634"/>
      <c r="GP428" s="728"/>
      <c r="GQ428" s="728"/>
      <c r="GR428" s="728"/>
      <c r="HN428" s="723"/>
      <c r="HO428" s="723"/>
      <c r="HP428" s="723"/>
    </row>
    <row r="429" spans="1:224">
      <c r="A429" s="634"/>
      <c r="GP429" s="728"/>
      <c r="GQ429" s="728"/>
      <c r="GR429" s="728"/>
      <c r="HN429" s="723"/>
      <c r="HO429" s="723"/>
      <c r="HP429" s="723"/>
    </row>
    <row r="430" spans="1:224">
      <c r="A430" s="634"/>
      <c r="GP430" s="728"/>
      <c r="GQ430" s="728"/>
      <c r="GR430" s="728"/>
      <c r="HN430" s="723"/>
      <c r="HO430" s="723"/>
      <c r="HP430" s="723"/>
    </row>
    <row r="431" spans="1:224">
      <c r="A431" s="634"/>
      <c r="GP431" s="728"/>
      <c r="GQ431" s="728"/>
      <c r="GR431" s="728"/>
      <c r="HN431" s="723"/>
      <c r="HO431" s="723"/>
      <c r="HP431" s="723"/>
    </row>
    <row r="432" spans="1:224">
      <c r="A432" s="634"/>
      <c r="GP432" s="728"/>
      <c r="GQ432" s="728"/>
      <c r="GR432" s="728"/>
      <c r="HN432" s="723"/>
      <c r="HO432" s="723"/>
      <c r="HP432" s="723"/>
    </row>
    <row r="433" spans="1:224">
      <c r="A433" s="634"/>
      <c r="GP433" s="728"/>
      <c r="GQ433" s="728"/>
      <c r="GR433" s="728"/>
      <c r="HN433" s="723"/>
      <c r="HO433" s="723"/>
      <c r="HP433" s="723"/>
    </row>
    <row r="434" spans="1:224">
      <c r="A434" s="634"/>
      <c r="GP434" s="728"/>
      <c r="GQ434" s="728"/>
      <c r="GR434" s="728"/>
      <c r="HN434" s="723"/>
      <c r="HO434" s="723"/>
      <c r="HP434" s="723"/>
    </row>
    <row r="435" spans="1:224">
      <c r="A435" s="634"/>
      <c r="GP435" s="728"/>
      <c r="GQ435" s="728"/>
      <c r="GR435" s="728"/>
      <c r="HN435" s="723"/>
      <c r="HO435" s="723"/>
      <c r="HP435" s="723"/>
    </row>
    <row r="436" spans="1:224">
      <c r="A436" s="634"/>
      <c r="GP436" s="728"/>
      <c r="GQ436" s="728"/>
      <c r="GR436" s="728"/>
      <c r="HN436" s="723"/>
      <c r="HO436" s="723"/>
      <c r="HP436" s="723"/>
    </row>
    <row r="437" spans="1:224">
      <c r="A437" s="634"/>
      <c r="GP437" s="728"/>
      <c r="GQ437" s="728"/>
      <c r="GR437" s="728"/>
      <c r="HN437" s="723"/>
      <c r="HO437" s="723"/>
      <c r="HP437" s="723"/>
    </row>
    <row r="438" spans="1:224">
      <c r="A438" s="634"/>
      <c r="GP438" s="728"/>
      <c r="GQ438" s="728"/>
      <c r="GR438" s="728"/>
      <c r="HN438" s="723"/>
      <c r="HO438" s="723"/>
      <c r="HP438" s="723"/>
    </row>
    <row r="439" spans="1:224">
      <c r="A439" s="634"/>
      <c r="GP439" s="728"/>
      <c r="GQ439" s="728"/>
      <c r="GR439" s="728"/>
      <c r="HN439" s="723"/>
      <c r="HO439" s="723"/>
      <c r="HP439" s="723"/>
    </row>
    <row r="440" spans="1:224">
      <c r="A440" s="634"/>
      <c r="GP440" s="728"/>
      <c r="GQ440" s="728"/>
      <c r="GR440" s="728"/>
      <c r="HN440" s="723"/>
      <c r="HO440" s="723"/>
      <c r="HP440" s="723"/>
    </row>
    <row r="441" spans="1:224">
      <c r="A441" s="634"/>
      <c r="GP441" s="728"/>
      <c r="GQ441" s="728"/>
      <c r="GR441" s="728"/>
      <c r="HN441" s="723"/>
      <c r="HO441" s="723"/>
      <c r="HP441" s="723"/>
    </row>
    <row r="442" spans="1:224">
      <c r="A442" s="634"/>
      <c r="GP442" s="728"/>
      <c r="GQ442" s="728"/>
      <c r="GR442" s="728"/>
      <c r="HN442" s="723"/>
      <c r="HO442" s="723"/>
      <c r="HP442" s="723"/>
    </row>
    <row r="443" spans="1:224">
      <c r="A443" s="634"/>
      <c r="GP443" s="728"/>
      <c r="GQ443" s="728"/>
      <c r="GR443" s="728"/>
      <c r="HN443" s="723"/>
      <c r="HO443" s="723"/>
      <c r="HP443" s="723"/>
    </row>
    <row r="444" spans="1:224">
      <c r="A444" s="634"/>
      <c r="GP444" s="728"/>
      <c r="GQ444" s="728"/>
      <c r="GR444" s="728"/>
      <c r="HN444" s="723"/>
      <c r="HO444" s="723"/>
      <c r="HP444" s="723"/>
    </row>
    <row r="445" spans="1:224">
      <c r="A445" s="634"/>
      <c r="GP445" s="728"/>
      <c r="GQ445" s="728"/>
      <c r="GR445" s="728"/>
      <c r="HN445" s="723"/>
      <c r="HO445" s="723"/>
      <c r="HP445" s="723"/>
    </row>
    <row r="446" spans="1:224">
      <c r="A446" s="634"/>
      <c r="GP446" s="728"/>
      <c r="GQ446" s="728"/>
      <c r="GR446" s="728"/>
      <c r="HN446" s="723"/>
      <c r="HO446" s="723"/>
      <c r="HP446" s="723"/>
    </row>
    <row r="447" spans="1:224">
      <c r="A447" s="634"/>
      <c r="GP447" s="728"/>
      <c r="GQ447" s="728"/>
      <c r="GR447" s="728"/>
      <c r="HN447" s="723"/>
      <c r="HO447" s="723"/>
      <c r="HP447" s="723"/>
    </row>
    <row r="448" spans="1:224">
      <c r="A448" s="634"/>
      <c r="GP448" s="728"/>
      <c r="GQ448" s="728"/>
      <c r="GR448" s="728"/>
      <c r="HN448" s="723"/>
      <c r="HO448" s="723"/>
      <c r="HP448" s="723"/>
    </row>
    <row r="449" spans="1:224">
      <c r="A449" s="634"/>
      <c r="GP449" s="728"/>
      <c r="GQ449" s="728"/>
      <c r="GR449" s="728"/>
      <c r="HN449" s="723"/>
      <c r="HO449" s="723"/>
      <c r="HP449" s="723"/>
    </row>
    <row r="450" spans="1:224">
      <c r="A450" s="634"/>
      <c r="GP450" s="728"/>
      <c r="GQ450" s="728"/>
      <c r="GR450" s="728"/>
      <c r="HN450" s="723"/>
      <c r="HO450" s="723"/>
      <c r="HP450" s="723"/>
    </row>
    <row r="451" spans="1:224">
      <c r="A451" s="634"/>
      <c r="GP451" s="728"/>
      <c r="GQ451" s="728"/>
      <c r="GR451" s="728"/>
      <c r="HN451" s="723"/>
      <c r="HO451" s="723"/>
      <c r="HP451" s="723"/>
    </row>
    <row r="452" spans="1:224">
      <c r="A452" s="634"/>
      <c r="GP452" s="728"/>
      <c r="GQ452" s="728"/>
      <c r="GR452" s="728"/>
      <c r="HN452" s="723"/>
      <c r="HO452" s="723"/>
      <c r="HP452" s="723"/>
    </row>
    <row r="453" spans="1:224">
      <c r="A453" s="634"/>
      <c r="GP453" s="728"/>
      <c r="GQ453" s="728"/>
      <c r="GR453" s="728"/>
      <c r="HN453" s="723"/>
      <c r="HO453" s="723"/>
      <c r="HP453" s="723"/>
    </row>
    <row r="454" spans="1:224">
      <c r="A454" s="634"/>
      <c r="GP454" s="728"/>
      <c r="GQ454" s="728"/>
      <c r="GR454" s="728"/>
      <c r="HN454" s="723"/>
      <c r="HO454" s="723"/>
      <c r="HP454" s="723"/>
    </row>
    <row r="455" spans="1:224">
      <c r="A455" s="634"/>
      <c r="GP455" s="728"/>
      <c r="GQ455" s="728"/>
      <c r="GR455" s="728"/>
      <c r="HN455" s="723"/>
      <c r="HO455" s="723"/>
      <c r="HP455" s="723"/>
    </row>
    <row r="456" spans="1:224">
      <c r="A456" s="634"/>
      <c r="GP456" s="728"/>
      <c r="GQ456" s="728"/>
      <c r="GR456" s="728"/>
      <c r="HN456" s="723"/>
      <c r="HO456" s="723"/>
      <c r="HP456" s="723"/>
    </row>
    <row r="457" spans="1:224">
      <c r="A457" s="634"/>
      <c r="GP457" s="728"/>
      <c r="GQ457" s="728"/>
      <c r="GR457" s="728"/>
      <c r="HN457" s="723"/>
      <c r="HO457" s="723"/>
      <c r="HP457" s="723"/>
    </row>
    <row r="458" spans="1:224">
      <c r="A458" s="634"/>
      <c r="GP458" s="728"/>
      <c r="GQ458" s="728"/>
      <c r="GR458" s="728"/>
      <c r="HN458" s="723"/>
      <c r="HO458" s="723"/>
      <c r="HP458" s="723"/>
    </row>
    <row r="459" spans="1:224">
      <c r="A459" s="634"/>
      <c r="GP459" s="728"/>
      <c r="GQ459" s="728"/>
      <c r="GR459" s="728"/>
      <c r="HN459" s="723"/>
      <c r="HO459" s="723"/>
      <c r="HP459" s="723"/>
    </row>
    <row r="460" spans="1:224">
      <c r="A460" s="634"/>
      <c r="GP460" s="728"/>
      <c r="GQ460" s="728"/>
      <c r="GR460" s="728"/>
      <c r="HN460" s="723"/>
      <c r="HO460" s="723"/>
      <c r="HP460" s="723"/>
    </row>
    <row r="461" spans="1:224">
      <c r="A461" s="634"/>
      <c r="GP461" s="728"/>
      <c r="GQ461" s="728"/>
      <c r="GR461" s="728"/>
      <c r="HN461" s="723"/>
      <c r="HO461" s="723"/>
      <c r="HP461" s="723"/>
    </row>
    <row r="462" spans="1:224">
      <c r="A462" s="634"/>
      <c r="GP462" s="728"/>
      <c r="GQ462" s="728"/>
      <c r="GR462" s="728"/>
      <c r="HN462" s="723"/>
      <c r="HO462" s="723"/>
      <c r="HP462" s="723"/>
    </row>
    <row r="463" spans="1:224">
      <c r="A463" s="634"/>
      <c r="GP463" s="728"/>
      <c r="GQ463" s="728"/>
      <c r="GR463" s="728"/>
      <c r="HN463" s="723"/>
      <c r="HO463" s="723"/>
      <c r="HP463" s="723"/>
    </row>
    <row r="464" spans="1:224">
      <c r="A464" s="634"/>
      <c r="GP464" s="728"/>
      <c r="GQ464" s="728"/>
      <c r="GR464" s="728"/>
      <c r="HN464" s="723"/>
      <c r="HO464" s="723"/>
      <c r="HP464" s="723"/>
    </row>
    <row r="465" spans="1:224">
      <c r="A465" s="634"/>
      <c r="GP465" s="728"/>
      <c r="GQ465" s="728"/>
      <c r="GR465" s="728"/>
      <c r="HN465" s="723"/>
      <c r="HO465" s="723"/>
      <c r="HP465" s="723"/>
    </row>
    <row r="466" spans="1:224">
      <c r="A466" s="634"/>
      <c r="GP466" s="728"/>
      <c r="GQ466" s="728"/>
      <c r="GR466" s="728"/>
      <c r="HN466" s="723"/>
      <c r="HO466" s="723"/>
      <c r="HP466" s="723"/>
    </row>
    <row r="467" spans="1:224">
      <c r="A467" s="634"/>
      <c r="GP467" s="728"/>
      <c r="GQ467" s="728"/>
      <c r="GR467" s="728"/>
      <c r="HN467" s="723"/>
      <c r="HO467" s="723"/>
      <c r="HP467" s="723"/>
    </row>
    <row r="468" spans="1:224">
      <c r="A468" s="634"/>
      <c r="GP468" s="728"/>
      <c r="GQ468" s="728"/>
      <c r="GR468" s="728"/>
      <c r="HN468" s="723"/>
      <c r="HO468" s="723"/>
      <c r="HP468" s="723"/>
    </row>
    <row r="469" spans="1:224">
      <c r="A469" s="634"/>
      <c r="GP469" s="728"/>
      <c r="GQ469" s="728"/>
      <c r="GR469" s="728"/>
      <c r="HN469" s="723"/>
      <c r="HO469" s="723"/>
      <c r="HP469" s="723"/>
    </row>
    <row r="470" spans="1:224">
      <c r="A470" s="634"/>
      <c r="GP470" s="728"/>
      <c r="GQ470" s="728"/>
      <c r="GR470" s="728"/>
      <c r="HN470" s="723"/>
      <c r="HO470" s="723"/>
      <c r="HP470" s="723"/>
    </row>
    <row r="471" spans="1:224">
      <c r="A471" s="634"/>
      <c r="GP471" s="728"/>
      <c r="GQ471" s="728"/>
      <c r="GR471" s="728"/>
      <c r="HN471" s="723"/>
      <c r="HO471" s="723"/>
      <c r="HP471" s="723"/>
    </row>
    <row r="472" spans="1:224">
      <c r="A472" s="634"/>
      <c r="GP472" s="728"/>
      <c r="GQ472" s="728"/>
      <c r="GR472" s="728"/>
      <c r="HN472" s="723"/>
      <c r="HO472" s="723"/>
      <c r="HP472" s="723"/>
    </row>
    <row r="473" spans="1:224">
      <c r="A473" s="634"/>
      <c r="GP473" s="728"/>
      <c r="GQ473" s="728"/>
      <c r="GR473" s="728"/>
      <c r="HN473" s="723"/>
      <c r="HO473" s="723"/>
      <c r="HP473" s="723"/>
    </row>
    <row r="474" spans="1:224">
      <c r="A474" s="634"/>
      <c r="GP474" s="728"/>
      <c r="GQ474" s="728"/>
      <c r="GR474" s="728"/>
      <c r="HN474" s="723"/>
      <c r="HO474" s="723"/>
      <c r="HP474" s="723"/>
    </row>
    <row r="475" spans="1:224">
      <c r="A475" s="634"/>
      <c r="GP475" s="728"/>
      <c r="GQ475" s="728"/>
      <c r="GR475" s="728"/>
      <c r="HN475" s="723"/>
      <c r="HO475" s="723"/>
      <c r="HP475" s="723"/>
    </row>
    <row r="476" spans="1:224">
      <c r="A476" s="634"/>
      <c r="GP476" s="728"/>
      <c r="GQ476" s="728"/>
      <c r="GR476" s="728"/>
      <c r="HN476" s="723"/>
      <c r="HO476" s="723"/>
      <c r="HP476" s="723"/>
    </row>
    <row r="477" spans="1:224">
      <c r="A477" s="634"/>
      <c r="GP477" s="728"/>
      <c r="GQ477" s="728"/>
      <c r="GR477" s="728"/>
      <c r="HN477" s="723"/>
      <c r="HO477" s="723"/>
      <c r="HP477" s="723"/>
    </row>
    <row r="478" spans="1:224">
      <c r="A478" s="634"/>
      <c r="GP478" s="728"/>
      <c r="GQ478" s="728"/>
      <c r="GR478" s="728"/>
      <c r="HN478" s="723"/>
      <c r="HO478" s="723"/>
      <c r="HP478" s="723"/>
    </row>
    <row r="479" spans="1:224">
      <c r="A479" s="634"/>
      <c r="GP479" s="728"/>
      <c r="GQ479" s="728"/>
      <c r="GR479" s="728"/>
      <c r="HN479" s="723"/>
      <c r="HO479" s="723"/>
      <c r="HP479" s="723"/>
    </row>
    <row r="480" spans="1:224">
      <c r="A480" s="634"/>
      <c r="GP480" s="728"/>
      <c r="GQ480" s="728"/>
      <c r="GR480" s="728"/>
      <c r="HN480" s="723"/>
      <c r="HO480" s="723"/>
      <c r="HP480" s="723"/>
    </row>
    <row r="481" spans="1:224">
      <c r="A481" s="634"/>
      <c r="GP481" s="728"/>
      <c r="GQ481" s="728"/>
      <c r="GR481" s="728"/>
      <c r="HN481" s="723"/>
      <c r="HO481" s="723"/>
      <c r="HP481" s="723"/>
    </row>
    <row r="482" spans="1:224">
      <c r="A482" s="634"/>
      <c r="GP482" s="728"/>
      <c r="GQ482" s="728"/>
      <c r="GR482" s="728"/>
      <c r="HN482" s="723"/>
      <c r="HO482" s="723"/>
      <c r="HP482" s="723"/>
    </row>
    <row r="483" spans="1:224">
      <c r="A483" s="634"/>
      <c r="GP483" s="728"/>
      <c r="GQ483" s="728"/>
      <c r="GR483" s="728"/>
      <c r="HN483" s="723"/>
      <c r="HO483" s="723"/>
      <c r="HP483" s="723"/>
    </row>
    <row r="484" spans="1:224">
      <c r="A484" s="634"/>
      <c r="GP484" s="728"/>
      <c r="GQ484" s="728"/>
      <c r="GR484" s="728"/>
      <c r="HN484" s="723"/>
      <c r="HO484" s="723"/>
      <c r="HP484" s="723"/>
    </row>
    <row r="485" spans="1:224">
      <c r="A485" s="634"/>
      <c r="GP485" s="728"/>
      <c r="GQ485" s="728"/>
      <c r="GR485" s="728"/>
      <c r="HN485" s="723"/>
      <c r="HO485" s="723"/>
      <c r="HP485" s="723"/>
    </row>
    <row r="486" spans="1:224">
      <c r="A486" s="634"/>
      <c r="GP486" s="728"/>
      <c r="GQ486" s="728"/>
      <c r="GR486" s="728"/>
      <c r="HN486" s="723"/>
      <c r="HO486" s="723"/>
      <c r="HP486" s="723"/>
    </row>
    <row r="487" spans="1:224">
      <c r="A487" s="634"/>
      <c r="GP487" s="728"/>
      <c r="GQ487" s="728"/>
      <c r="GR487" s="728"/>
      <c r="HN487" s="723"/>
      <c r="HO487" s="723"/>
      <c r="HP487" s="723"/>
    </row>
    <row r="488" spans="1:224">
      <c r="A488" s="634"/>
      <c r="GP488" s="728"/>
      <c r="GQ488" s="728"/>
      <c r="GR488" s="728"/>
      <c r="HN488" s="723"/>
      <c r="HO488" s="723"/>
      <c r="HP488" s="723"/>
    </row>
    <row r="489" spans="1:224">
      <c r="A489" s="634"/>
      <c r="GP489" s="728"/>
      <c r="GQ489" s="728"/>
      <c r="GR489" s="728"/>
      <c r="HN489" s="723"/>
      <c r="HO489" s="723"/>
      <c r="HP489" s="723"/>
    </row>
    <row r="490" spans="1:224">
      <c r="A490" s="634"/>
      <c r="GP490" s="728"/>
      <c r="GQ490" s="728"/>
      <c r="GR490" s="728"/>
      <c r="HN490" s="723"/>
      <c r="HO490" s="723"/>
      <c r="HP490" s="723"/>
    </row>
    <row r="491" spans="1:224">
      <c r="A491" s="634"/>
      <c r="GP491" s="728"/>
      <c r="GQ491" s="728"/>
      <c r="GR491" s="728"/>
      <c r="HN491" s="723"/>
      <c r="HO491" s="723"/>
      <c r="HP491" s="723"/>
    </row>
    <row r="492" spans="1:224">
      <c r="A492" s="634"/>
      <c r="GP492" s="728"/>
      <c r="GQ492" s="728"/>
      <c r="GR492" s="728"/>
      <c r="HN492" s="723"/>
      <c r="HO492" s="723"/>
      <c r="HP492" s="723"/>
    </row>
    <row r="493" spans="1:224">
      <c r="A493" s="634"/>
      <c r="GP493" s="728"/>
      <c r="GQ493" s="728"/>
      <c r="GR493" s="728"/>
      <c r="HN493" s="723"/>
      <c r="HO493" s="723"/>
      <c r="HP493" s="723"/>
    </row>
    <row r="494" spans="1:224">
      <c r="A494" s="634"/>
      <c r="GP494" s="728"/>
      <c r="GQ494" s="728"/>
      <c r="GR494" s="728"/>
      <c r="HN494" s="723"/>
      <c r="HO494" s="723"/>
      <c r="HP494" s="723"/>
    </row>
    <row r="495" spans="1:224">
      <c r="A495" s="634"/>
      <c r="GP495" s="728"/>
      <c r="GQ495" s="728"/>
      <c r="GR495" s="728"/>
      <c r="HN495" s="723"/>
      <c r="HO495" s="723"/>
      <c r="HP495" s="723"/>
    </row>
    <row r="496" spans="1:224">
      <c r="A496" s="634"/>
      <c r="GP496" s="728"/>
      <c r="GQ496" s="728"/>
      <c r="GR496" s="728"/>
      <c r="HN496" s="723"/>
      <c r="HO496" s="723"/>
      <c r="HP496" s="723"/>
    </row>
    <row r="497" spans="1:224">
      <c r="A497" s="634"/>
      <c r="GP497" s="728"/>
      <c r="GQ497" s="728"/>
      <c r="GR497" s="728"/>
      <c r="HN497" s="723"/>
      <c r="HO497" s="723"/>
      <c r="HP497" s="723"/>
    </row>
    <row r="498" spans="1:224">
      <c r="A498" s="634"/>
      <c r="GP498" s="728"/>
      <c r="GQ498" s="728"/>
      <c r="GR498" s="728"/>
      <c r="HN498" s="723"/>
      <c r="HO498" s="723"/>
      <c r="HP498" s="723"/>
    </row>
    <row r="499" spans="1:224">
      <c r="A499" s="634"/>
      <c r="GP499" s="728"/>
      <c r="GQ499" s="728"/>
      <c r="GR499" s="728"/>
      <c r="HN499" s="723"/>
      <c r="HO499" s="723"/>
      <c r="HP499" s="723"/>
    </row>
    <row r="500" spans="1:224">
      <c r="A500" s="634"/>
      <c r="GP500" s="728"/>
      <c r="GQ500" s="728"/>
      <c r="GR500" s="728"/>
      <c r="HN500" s="723"/>
      <c r="HO500" s="723"/>
      <c r="HP500" s="723"/>
    </row>
    <row r="501" spans="1:224">
      <c r="A501" s="634"/>
      <c r="GP501" s="728"/>
      <c r="GQ501" s="728"/>
      <c r="GR501" s="728"/>
      <c r="HN501" s="723"/>
      <c r="HO501" s="723"/>
      <c r="HP501" s="723"/>
    </row>
    <row r="502" spans="1:224">
      <c r="A502" s="634"/>
      <c r="GP502" s="728"/>
      <c r="GQ502" s="728"/>
      <c r="GR502" s="728"/>
      <c r="HN502" s="723"/>
      <c r="HO502" s="723"/>
      <c r="HP502" s="723"/>
    </row>
    <row r="503" spans="1:224">
      <c r="A503" s="634"/>
      <c r="GP503" s="728"/>
      <c r="GQ503" s="728"/>
      <c r="GR503" s="728"/>
      <c r="HN503" s="723"/>
      <c r="HO503" s="723"/>
      <c r="HP503" s="723"/>
    </row>
    <row r="504" spans="1:224">
      <c r="A504" s="634"/>
      <c r="GP504" s="728"/>
      <c r="GQ504" s="728"/>
      <c r="GR504" s="728"/>
      <c r="HN504" s="723"/>
      <c r="HO504" s="723"/>
      <c r="HP504" s="723"/>
    </row>
    <row r="505" spans="1:224">
      <c r="A505" s="634"/>
      <c r="GP505" s="728"/>
      <c r="GQ505" s="728"/>
      <c r="GR505" s="728"/>
      <c r="HN505" s="723"/>
      <c r="HO505" s="723"/>
      <c r="HP505" s="723"/>
    </row>
    <row r="506" spans="1:224">
      <c r="A506" s="634"/>
      <c r="GP506" s="728"/>
      <c r="GQ506" s="728"/>
      <c r="GR506" s="728"/>
      <c r="HN506" s="723"/>
      <c r="HO506" s="723"/>
      <c r="HP506" s="723"/>
    </row>
    <row r="507" spans="1:224">
      <c r="A507" s="634"/>
      <c r="GP507" s="728"/>
      <c r="GQ507" s="728"/>
      <c r="GR507" s="728"/>
      <c r="HN507" s="723"/>
      <c r="HO507" s="723"/>
      <c r="HP507" s="723"/>
    </row>
    <row r="508" spans="1:224">
      <c r="A508" s="634"/>
      <c r="GP508" s="728"/>
      <c r="GQ508" s="728"/>
      <c r="GR508" s="728"/>
      <c r="HN508" s="723"/>
      <c r="HO508" s="723"/>
      <c r="HP508" s="723"/>
    </row>
    <row r="509" spans="1:224">
      <c r="A509" s="634"/>
      <c r="GP509" s="728"/>
      <c r="GQ509" s="728"/>
      <c r="GR509" s="728"/>
      <c r="HN509" s="723"/>
      <c r="HO509" s="723"/>
      <c r="HP509" s="723"/>
    </row>
    <row r="510" spans="1:224">
      <c r="A510" s="634"/>
      <c r="GP510" s="728"/>
      <c r="GQ510" s="728"/>
      <c r="GR510" s="728"/>
      <c r="HN510" s="723"/>
      <c r="HO510" s="723"/>
      <c r="HP510" s="723"/>
    </row>
    <row r="511" spans="1:224">
      <c r="A511" s="634"/>
      <c r="GP511" s="728"/>
      <c r="GQ511" s="728"/>
      <c r="GR511" s="728"/>
      <c r="HN511" s="723"/>
      <c r="HO511" s="723"/>
      <c r="HP511" s="723"/>
    </row>
    <row r="512" spans="1:224">
      <c r="A512" s="634"/>
      <c r="GP512" s="728"/>
      <c r="GQ512" s="728"/>
      <c r="GR512" s="728"/>
      <c r="HN512" s="723"/>
      <c r="HO512" s="723"/>
      <c r="HP512" s="723"/>
    </row>
    <row r="513" spans="1:224">
      <c r="A513" s="634"/>
      <c r="GP513" s="728"/>
      <c r="GQ513" s="728"/>
      <c r="GR513" s="728"/>
      <c r="HN513" s="723"/>
      <c r="HO513" s="723"/>
      <c r="HP513" s="723"/>
    </row>
    <row r="514" spans="1:224">
      <c r="A514" s="634"/>
      <c r="GP514" s="728"/>
      <c r="GQ514" s="728"/>
      <c r="GR514" s="728"/>
      <c r="HN514" s="723"/>
      <c r="HO514" s="723"/>
      <c r="HP514" s="723"/>
    </row>
    <row r="515" spans="1:224">
      <c r="A515" s="634"/>
      <c r="GP515" s="728"/>
      <c r="GQ515" s="728"/>
      <c r="GR515" s="728"/>
      <c r="HN515" s="723"/>
      <c r="HO515" s="723"/>
      <c r="HP515" s="723"/>
    </row>
    <row r="516" spans="1:224">
      <c r="A516" s="634"/>
      <c r="GP516" s="728"/>
      <c r="GQ516" s="728"/>
      <c r="GR516" s="728"/>
      <c r="HN516" s="723"/>
      <c r="HO516" s="723"/>
      <c r="HP516" s="723"/>
    </row>
    <row r="517" spans="1:224">
      <c r="A517" s="634"/>
      <c r="GP517" s="728"/>
      <c r="GQ517" s="728"/>
      <c r="GR517" s="728"/>
      <c r="HN517" s="723"/>
      <c r="HO517" s="723"/>
      <c r="HP517" s="723"/>
    </row>
    <row r="518" spans="1:224">
      <c r="A518" s="634"/>
      <c r="GP518" s="728"/>
      <c r="GQ518" s="728"/>
      <c r="GR518" s="728"/>
      <c r="HN518" s="723"/>
      <c r="HO518" s="723"/>
      <c r="HP518" s="723"/>
    </row>
    <row r="519" spans="1:224">
      <c r="A519" s="634"/>
      <c r="GP519" s="728"/>
      <c r="GQ519" s="728"/>
      <c r="GR519" s="728"/>
      <c r="HN519" s="723"/>
      <c r="HO519" s="723"/>
      <c r="HP519" s="723"/>
    </row>
    <row r="520" spans="1:224">
      <c r="A520" s="634"/>
      <c r="GP520" s="728"/>
      <c r="GQ520" s="728"/>
      <c r="GR520" s="728"/>
      <c r="HN520" s="723"/>
      <c r="HO520" s="723"/>
      <c r="HP520" s="723"/>
    </row>
    <row r="521" spans="1:224">
      <c r="A521" s="634"/>
      <c r="GP521" s="728"/>
      <c r="GQ521" s="728"/>
      <c r="GR521" s="728"/>
      <c r="HN521" s="723"/>
      <c r="HO521" s="723"/>
      <c r="HP521" s="723"/>
    </row>
    <row r="522" spans="1:224">
      <c r="A522" s="634"/>
      <c r="GP522" s="728"/>
      <c r="GQ522" s="728"/>
      <c r="GR522" s="728"/>
      <c r="HN522" s="723"/>
      <c r="HO522" s="723"/>
      <c r="HP522" s="723"/>
    </row>
    <row r="523" spans="1:224">
      <c r="A523" s="634"/>
      <c r="GP523" s="728"/>
      <c r="GQ523" s="728"/>
      <c r="GR523" s="728"/>
      <c r="HN523" s="723"/>
      <c r="HO523" s="723"/>
      <c r="HP523" s="723"/>
    </row>
    <row r="524" spans="1:224">
      <c r="A524" s="634"/>
      <c r="GP524" s="728"/>
      <c r="GQ524" s="728"/>
      <c r="GR524" s="728"/>
      <c r="HN524" s="723"/>
      <c r="HO524" s="723"/>
      <c r="HP524" s="723"/>
    </row>
    <row r="525" spans="1:224">
      <c r="A525" s="634"/>
      <c r="GP525" s="728"/>
      <c r="GQ525" s="728"/>
      <c r="GR525" s="728"/>
      <c r="HN525" s="723"/>
      <c r="HO525" s="723"/>
      <c r="HP525" s="723"/>
    </row>
    <row r="526" spans="1:224">
      <c r="A526" s="634"/>
      <c r="GP526" s="728"/>
      <c r="GQ526" s="728"/>
      <c r="GR526" s="728"/>
      <c r="HN526" s="723"/>
      <c r="HO526" s="723"/>
      <c r="HP526" s="723"/>
    </row>
    <row r="527" spans="1:224">
      <c r="A527" s="634"/>
      <c r="GP527" s="728"/>
      <c r="GQ527" s="728"/>
      <c r="GR527" s="728"/>
      <c r="HN527" s="723"/>
      <c r="HO527" s="723"/>
      <c r="HP527" s="723"/>
    </row>
    <row r="528" spans="1:224">
      <c r="A528" s="634"/>
      <c r="GP528" s="728"/>
      <c r="GQ528" s="728"/>
      <c r="GR528" s="728"/>
      <c r="HN528" s="723"/>
      <c r="HO528" s="723"/>
      <c r="HP528" s="723"/>
    </row>
    <row r="529" spans="1:224">
      <c r="A529" s="634"/>
      <c r="GP529" s="728"/>
      <c r="GQ529" s="728"/>
      <c r="GR529" s="728"/>
      <c r="HN529" s="723"/>
      <c r="HO529" s="723"/>
      <c r="HP529" s="723"/>
    </row>
    <row r="530" spans="1:224">
      <c r="A530" s="634"/>
      <c r="GP530" s="728"/>
      <c r="GQ530" s="728"/>
      <c r="GR530" s="728"/>
      <c r="HN530" s="723"/>
      <c r="HO530" s="723"/>
      <c r="HP530" s="723"/>
    </row>
    <row r="531" spans="1:224">
      <c r="A531" s="634"/>
      <c r="GP531" s="728"/>
      <c r="GQ531" s="728"/>
      <c r="GR531" s="728"/>
      <c r="HN531" s="723"/>
      <c r="HO531" s="723"/>
      <c r="HP531" s="723"/>
    </row>
    <row r="532" spans="1:224">
      <c r="A532" s="634"/>
      <c r="GP532" s="728"/>
      <c r="GQ532" s="728"/>
      <c r="GR532" s="728"/>
      <c r="HN532" s="723"/>
      <c r="HO532" s="723"/>
      <c r="HP532" s="723"/>
    </row>
    <row r="533" spans="1:224">
      <c r="A533" s="634"/>
      <c r="GP533" s="728"/>
      <c r="GQ533" s="728"/>
      <c r="GR533" s="728"/>
      <c r="HN533" s="723"/>
      <c r="HO533" s="723"/>
      <c r="HP533" s="723"/>
    </row>
    <row r="534" spans="1:224">
      <c r="A534" s="634"/>
      <c r="GP534" s="728"/>
      <c r="GQ534" s="728"/>
      <c r="GR534" s="728"/>
      <c r="HN534" s="723"/>
      <c r="HO534" s="723"/>
      <c r="HP534" s="723"/>
    </row>
    <row r="535" spans="1:224">
      <c r="A535" s="634"/>
      <c r="GP535" s="728"/>
      <c r="GQ535" s="728"/>
      <c r="GR535" s="728"/>
      <c r="HN535" s="723"/>
      <c r="HO535" s="723"/>
      <c r="HP535" s="723"/>
    </row>
    <row r="536" spans="1:224">
      <c r="A536" s="634"/>
      <c r="GP536" s="728"/>
      <c r="GQ536" s="728"/>
      <c r="GR536" s="728"/>
      <c r="HN536" s="723"/>
      <c r="HO536" s="723"/>
      <c r="HP536" s="723"/>
    </row>
    <row r="537" spans="1:224">
      <c r="A537" s="634"/>
      <c r="GP537" s="728"/>
      <c r="GQ537" s="728"/>
      <c r="GR537" s="728"/>
      <c r="HN537" s="723"/>
      <c r="HO537" s="723"/>
      <c r="HP537" s="723"/>
    </row>
    <row r="538" spans="1:224">
      <c r="A538" s="634"/>
      <c r="GP538" s="728"/>
      <c r="GQ538" s="728"/>
      <c r="GR538" s="728"/>
      <c r="HN538" s="723"/>
      <c r="HO538" s="723"/>
      <c r="HP538" s="723"/>
    </row>
    <row r="539" spans="1:224">
      <c r="A539" s="634"/>
      <c r="GP539" s="728"/>
      <c r="GQ539" s="728"/>
      <c r="GR539" s="728"/>
      <c r="HN539" s="723"/>
      <c r="HO539" s="723"/>
      <c r="HP539" s="723"/>
    </row>
    <row r="540" spans="1:224">
      <c r="A540" s="634"/>
      <c r="GP540" s="728"/>
      <c r="GQ540" s="728"/>
      <c r="GR540" s="728"/>
      <c r="HN540" s="723"/>
      <c r="HO540" s="723"/>
      <c r="HP540" s="723"/>
    </row>
    <row r="541" spans="1:224">
      <c r="A541" s="634"/>
      <c r="GP541" s="728"/>
      <c r="GQ541" s="728"/>
      <c r="GR541" s="728"/>
      <c r="HN541" s="723"/>
      <c r="HO541" s="723"/>
      <c r="HP541" s="723"/>
    </row>
    <row r="542" spans="1:224">
      <c r="A542" s="634"/>
      <c r="GP542" s="728"/>
      <c r="GQ542" s="728"/>
      <c r="GR542" s="728"/>
      <c r="HN542" s="723"/>
      <c r="HO542" s="723"/>
      <c r="HP542" s="723"/>
    </row>
    <row r="543" spans="1:224">
      <c r="A543" s="634"/>
      <c r="GP543" s="728"/>
      <c r="GQ543" s="728"/>
      <c r="GR543" s="728"/>
      <c r="HN543" s="723"/>
      <c r="HO543" s="723"/>
      <c r="HP543" s="723"/>
    </row>
    <row r="544" spans="1:224">
      <c r="A544" s="634"/>
      <c r="GP544" s="728"/>
      <c r="GQ544" s="728"/>
      <c r="GR544" s="728"/>
      <c r="HN544" s="723"/>
      <c r="HO544" s="723"/>
      <c r="HP544" s="723"/>
    </row>
    <row r="545" spans="1:224">
      <c r="A545" s="634"/>
      <c r="GP545" s="728"/>
      <c r="GQ545" s="728"/>
      <c r="GR545" s="728"/>
      <c r="HN545" s="723"/>
      <c r="HO545" s="723"/>
      <c r="HP545" s="723"/>
    </row>
    <row r="546" spans="1:224">
      <c r="A546" s="634"/>
      <c r="GP546" s="728"/>
      <c r="GQ546" s="728"/>
      <c r="GR546" s="728"/>
      <c r="HN546" s="723"/>
      <c r="HO546" s="723"/>
      <c r="HP546" s="723"/>
    </row>
    <row r="547" spans="1:224">
      <c r="A547" s="634"/>
      <c r="GP547" s="728"/>
      <c r="GQ547" s="728"/>
      <c r="GR547" s="728"/>
      <c r="HN547" s="723"/>
      <c r="HO547" s="723"/>
      <c r="HP547" s="723"/>
    </row>
    <row r="548" spans="1:224">
      <c r="A548" s="634"/>
      <c r="GP548" s="728"/>
      <c r="GQ548" s="728"/>
      <c r="GR548" s="728"/>
      <c r="HN548" s="723"/>
      <c r="HO548" s="723"/>
      <c r="HP548" s="723"/>
    </row>
    <row r="549" spans="1:224">
      <c r="A549" s="634"/>
      <c r="GP549" s="728"/>
      <c r="GQ549" s="728"/>
      <c r="GR549" s="728"/>
      <c r="HN549" s="723"/>
      <c r="HO549" s="723"/>
      <c r="HP549" s="723"/>
    </row>
    <row r="550" spans="1:224">
      <c r="A550" s="634"/>
      <c r="GP550" s="728"/>
      <c r="GQ550" s="728"/>
      <c r="GR550" s="728"/>
      <c r="HN550" s="723"/>
      <c r="HO550" s="723"/>
      <c r="HP550" s="723"/>
    </row>
    <row r="551" spans="1:224">
      <c r="A551" s="634"/>
      <c r="GP551" s="728"/>
      <c r="GQ551" s="728"/>
      <c r="GR551" s="728"/>
      <c r="HN551" s="723"/>
      <c r="HO551" s="723"/>
      <c r="HP551" s="723"/>
    </row>
    <row r="552" spans="1:224">
      <c r="A552" s="634"/>
      <c r="GP552" s="728"/>
      <c r="GQ552" s="728"/>
      <c r="GR552" s="728"/>
      <c r="HN552" s="723"/>
      <c r="HO552" s="723"/>
      <c r="HP552" s="723"/>
    </row>
    <row r="553" spans="1:224">
      <c r="A553" s="634"/>
      <c r="GP553" s="728"/>
      <c r="GQ553" s="728"/>
      <c r="GR553" s="728"/>
      <c r="HN553" s="723"/>
      <c r="HO553" s="723"/>
      <c r="HP553" s="723"/>
    </row>
    <row r="554" spans="1:224">
      <c r="A554" s="634"/>
      <c r="GP554" s="728"/>
      <c r="GQ554" s="728"/>
      <c r="GR554" s="728"/>
      <c r="HN554" s="723"/>
      <c r="HO554" s="723"/>
      <c r="HP554" s="723"/>
    </row>
    <row r="555" spans="1:224">
      <c r="A555" s="634"/>
      <c r="GP555" s="728"/>
      <c r="GQ555" s="728"/>
      <c r="GR555" s="728"/>
      <c r="HN555" s="723"/>
      <c r="HO555" s="723"/>
      <c r="HP555" s="723"/>
    </row>
    <row r="556" spans="1:224">
      <c r="A556" s="634"/>
      <c r="GP556" s="728"/>
      <c r="GQ556" s="728"/>
      <c r="GR556" s="728"/>
      <c r="HN556" s="723"/>
      <c r="HO556" s="723"/>
      <c r="HP556" s="723"/>
    </row>
    <row r="557" spans="1:224">
      <c r="A557" s="634"/>
      <c r="GP557" s="728"/>
      <c r="GQ557" s="728"/>
      <c r="GR557" s="728"/>
      <c r="HN557" s="723"/>
      <c r="HO557" s="723"/>
      <c r="HP557" s="723"/>
    </row>
    <row r="558" spans="1:224">
      <c r="A558" s="634"/>
      <c r="GP558" s="728"/>
      <c r="GQ558" s="728"/>
      <c r="GR558" s="728"/>
      <c r="HN558" s="723"/>
      <c r="HO558" s="723"/>
      <c r="HP558" s="723"/>
    </row>
    <row r="559" spans="1:224">
      <c r="A559" s="634"/>
      <c r="GP559" s="728"/>
      <c r="GQ559" s="728"/>
      <c r="GR559" s="728"/>
      <c r="HN559" s="723"/>
      <c r="HO559" s="723"/>
      <c r="HP559" s="723"/>
    </row>
    <row r="560" spans="1:224">
      <c r="A560" s="634"/>
      <c r="GP560" s="728"/>
      <c r="GQ560" s="728"/>
      <c r="GR560" s="728"/>
      <c r="HN560" s="723"/>
      <c r="HO560" s="723"/>
      <c r="HP560" s="723"/>
    </row>
    <row r="561" spans="1:224">
      <c r="A561" s="634"/>
      <c r="GP561" s="728"/>
      <c r="GQ561" s="728"/>
      <c r="GR561" s="728"/>
      <c r="HN561" s="723"/>
      <c r="HO561" s="723"/>
      <c r="HP561" s="723"/>
    </row>
    <row r="562" spans="1:224">
      <c r="A562" s="634"/>
      <c r="GP562" s="728"/>
      <c r="GQ562" s="728"/>
      <c r="GR562" s="728"/>
      <c r="HN562" s="723"/>
      <c r="HO562" s="723"/>
      <c r="HP562" s="723"/>
    </row>
    <row r="563" spans="1:224">
      <c r="A563" s="634"/>
      <c r="GP563" s="728"/>
      <c r="GQ563" s="728"/>
      <c r="GR563" s="728"/>
      <c r="HN563" s="723"/>
      <c r="HO563" s="723"/>
      <c r="HP563" s="723"/>
    </row>
    <row r="564" spans="1:224">
      <c r="A564" s="634"/>
      <c r="GP564" s="728"/>
      <c r="GQ564" s="728"/>
      <c r="GR564" s="728"/>
      <c r="HN564" s="723"/>
      <c r="HO564" s="723"/>
      <c r="HP564" s="723"/>
    </row>
    <row r="565" spans="1:224">
      <c r="A565" s="634"/>
      <c r="GP565" s="728"/>
      <c r="GQ565" s="728"/>
      <c r="GR565" s="728"/>
      <c r="HN565" s="723"/>
      <c r="HO565" s="723"/>
      <c r="HP565" s="723"/>
    </row>
    <row r="566" spans="1:224">
      <c r="A566" s="634"/>
      <c r="GP566" s="728"/>
      <c r="GQ566" s="728"/>
      <c r="GR566" s="728"/>
      <c r="HN566" s="723"/>
      <c r="HO566" s="723"/>
      <c r="HP566" s="723"/>
    </row>
    <row r="567" spans="1:224">
      <c r="A567" s="634"/>
      <c r="GP567" s="728"/>
      <c r="GQ567" s="728"/>
      <c r="GR567" s="728"/>
      <c r="HN567" s="723"/>
      <c r="HO567" s="723"/>
      <c r="HP567" s="723"/>
    </row>
    <row r="568" spans="1:224">
      <c r="A568" s="634"/>
      <c r="GP568" s="728"/>
      <c r="GQ568" s="728"/>
      <c r="GR568" s="728"/>
      <c r="HN568" s="723"/>
      <c r="HO568" s="723"/>
      <c r="HP568" s="723"/>
    </row>
    <row r="569" spans="1:224">
      <c r="A569" s="634"/>
      <c r="GP569" s="728"/>
      <c r="GQ569" s="728"/>
      <c r="GR569" s="728"/>
      <c r="HN569" s="723"/>
      <c r="HO569" s="723"/>
      <c r="HP569" s="723"/>
    </row>
    <row r="570" spans="1:224">
      <c r="A570" s="634"/>
      <c r="GP570" s="728"/>
      <c r="GQ570" s="728"/>
      <c r="GR570" s="728"/>
      <c r="HN570" s="723"/>
      <c r="HO570" s="723"/>
      <c r="HP570" s="723"/>
    </row>
    <row r="571" spans="1:224">
      <c r="A571" s="634"/>
      <c r="GP571" s="728"/>
      <c r="GQ571" s="728"/>
      <c r="GR571" s="728"/>
      <c r="HN571" s="723"/>
      <c r="HO571" s="723"/>
      <c r="HP571" s="723"/>
    </row>
    <row r="572" spans="1:224">
      <c r="A572" s="634"/>
      <c r="GP572" s="728"/>
      <c r="GQ572" s="728"/>
      <c r="GR572" s="728"/>
      <c r="HN572" s="723"/>
      <c r="HO572" s="723"/>
      <c r="HP572" s="723"/>
    </row>
    <row r="573" spans="1:224">
      <c r="A573" s="634"/>
      <c r="GP573" s="728"/>
      <c r="GQ573" s="728"/>
      <c r="GR573" s="728"/>
      <c r="HN573" s="723"/>
      <c r="HO573" s="723"/>
      <c r="HP573" s="723"/>
    </row>
    <row r="574" spans="1:224">
      <c r="A574" s="634"/>
      <c r="GP574" s="728"/>
      <c r="GQ574" s="728"/>
      <c r="GR574" s="728"/>
      <c r="HN574" s="723"/>
      <c r="HO574" s="723"/>
      <c r="HP574" s="723"/>
    </row>
    <row r="575" spans="1:224">
      <c r="A575" s="634"/>
      <c r="GP575" s="728"/>
      <c r="GQ575" s="728"/>
      <c r="GR575" s="728"/>
      <c r="HN575" s="723"/>
      <c r="HO575" s="723"/>
      <c r="HP575" s="723"/>
    </row>
    <row r="576" spans="1:224">
      <c r="A576" s="634"/>
      <c r="GP576" s="728"/>
      <c r="GQ576" s="728"/>
      <c r="GR576" s="728"/>
      <c r="HN576" s="723"/>
      <c r="HO576" s="723"/>
      <c r="HP576" s="723"/>
    </row>
    <row r="577" spans="1:224">
      <c r="A577" s="634"/>
      <c r="GP577" s="728"/>
      <c r="GQ577" s="728"/>
      <c r="GR577" s="728"/>
      <c r="HN577" s="723"/>
      <c r="HO577" s="723"/>
      <c r="HP577" s="723"/>
    </row>
    <row r="578" spans="1:224">
      <c r="A578" s="634"/>
      <c r="GP578" s="728"/>
      <c r="GQ578" s="728"/>
      <c r="GR578" s="728"/>
      <c r="HN578" s="723"/>
      <c r="HO578" s="723"/>
      <c r="HP578" s="723"/>
    </row>
    <row r="579" spans="1:224">
      <c r="A579" s="634"/>
      <c r="GP579" s="728"/>
      <c r="GQ579" s="728"/>
      <c r="GR579" s="728"/>
      <c r="HN579" s="723"/>
      <c r="HO579" s="723"/>
      <c r="HP579" s="723"/>
    </row>
    <row r="580" spans="1:224">
      <c r="A580" s="634"/>
      <c r="GP580" s="728"/>
      <c r="GQ580" s="728"/>
      <c r="GR580" s="728"/>
      <c r="HN580" s="723"/>
      <c r="HO580" s="723"/>
      <c r="HP580" s="723"/>
    </row>
    <row r="581" spans="1:224">
      <c r="A581" s="634"/>
      <c r="GP581" s="728"/>
      <c r="GQ581" s="728"/>
      <c r="GR581" s="728"/>
      <c r="HN581" s="723"/>
      <c r="HO581" s="723"/>
      <c r="HP581" s="723"/>
    </row>
    <row r="582" spans="1:224">
      <c r="A582" s="634"/>
      <c r="GP582" s="728"/>
      <c r="GQ582" s="728"/>
      <c r="GR582" s="728"/>
      <c r="HN582" s="723"/>
      <c r="HO582" s="723"/>
      <c r="HP582" s="723"/>
    </row>
    <row r="583" spans="1:224">
      <c r="A583" s="634"/>
      <c r="GP583" s="728"/>
      <c r="GQ583" s="728"/>
      <c r="GR583" s="728"/>
      <c r="HN583" s="723"/>
      <c r="HO583" s="723"/>
      <c r="HP583" s="723"/>
    </row>
    <row r="584" spans="1:224">
      <c r="A584" s="634"/>
      <c r="GP584" s="728"/>
      <c r="GQ584" s="728"/>
      <c r="GR584" s="728"/>
      <c r="HN584" s="723"/>
      <c r="HO584" s="723"/>
      <c r="HP584" s="723"/>
    </row>
    <row r="585" spans="1:224">
      <c r="A585" s="634"/>
      <c r="GP585" s="728"/>
      <c r="GQ585" s="728"/>
      <c r="GR585" s="728"/>
      <c r="HN585" s="723"/>
      <c r="HO585" s="723"/>
      <c r="HP585" s="723"/>
    </row>
    <row r="586" spans="1:224">
      <c r="A586" s="634"/>
      <c r="GP586" s="728"/>
      <c r="GQ586" s="728"/>
      <c r="GR586" s="728"/>
      <c r="HN586" s="723"/>
      <c r="HO586" s="723"/>
      <c r="HP586" s="723"/>
    </row>
    <row r="587" spans="1:224">
      <c r="A587" s="634"/>
      <c r="GP587" s="728"/>
      <c r="GQ587" s="728"/>
      <c r="GR587" s="728"/>
      <c r="HN587" s="723"/>
      <c r="HO587" s="723"/>
      <c r="HP587" s="723"/>
    </row>
    <row r="588" spans="1:224">
      <c r="A588" s="634"/>
      <c r="GP588" s="728"/>
      <c r="GQ588" s="728"/>
      <c r="GR588" s="728"/>
      <c r="HN588" s="723"/>
      <c r="HO588" s="723"/>
      <c r="HP588" s="723"/>
    </row>
    <row r="589" spans="1:224">
      <c r="A589" s="634"/>
      <c r="GP589" s="728"/>
      <c r="GQ589" s="728"/>
      <c r="GR589" s="728"/>
      <c r="HN589" s="723"/>
      <c r="HO589" s="723"/>
      <c r="HP589" s="723"/>
    </row>
    <row r="590" spans="1:224">
      <c r="A590" s="634"/>
      <c r="GP590" s="728"/>
      <c r="GQ590" s="728"/>
      <c r="GR590" s="728"/>
      <c r="HN590" s="723"/>
      <c r="HO590" s="723"/>
      <c r="HP590" s="723"/>
    </row>
    <row r="591" spans="1:224">
      <c r="A591" s="634"/>
      <c r="GP591" s="728"/>
      <c r="GQ591" s="728"/>
      <c r="GR591" s="728"/>
      <c r="HN591" s="723"/>
      <c r="HO591" s="723"/>
      <c r="HP591" s="723"/>
    </row>
    <row r="592" spans="1:224">
      <c r="A592" s="634"/>
      <c r="GP592" s="728"/>
      <c r="GQ592" s="728"/>
      <c r="GR592" s="728"/>
      <c r="HN592" s="723"/>
      <c r="HO592" s="723"/>
      <c r="HP592" s="723"/>
    </row>
    <row r="593" spans="1:224">
      <c r="A593" s="634"/>
      <c r="GP593" s="728"/>
      <c r="GQ593" s="728"/>
      <c r="GR593" s="728"/>
      <c r="HN593" s="723"/>
      <c r="HO593" s="723"/>
      <c r="HP593" s="723"/>
    </row>
    <row r="594" spans="1:224">
      <c r="A594" s="634"/>
      <c r="GP594" s="728"/>
      <c r="GQ594" s="728"/>
      <c r="GR594" s="728"/>
      <c r="HN594" s="723"/>
      <c r="HO594" s="723"/>
      <c r="HP594" s="723"/>
    </row>
    <row r="595" spans="1:224">
      <c r="A595" s="634"/>
      <c r="GP595" s="728"/>
      <c r="GQ595" s="728"/>
      <c r="GR595" s="728"/>
      <c r="HN595" s="723"/>
      <c r="HO595" s="723"/>
      <c r="HP595" s="723"/>
    </row>
    <row r="596" spans="1:224">
      <c r="A596" s="634"/>
      <c r="GP596" s="728"/>
      <c r="GQ596" s="728"/>
      <c r="GR596" s="728"/>
      <c r="HN596" s="723"/>
      <c r="HO596" s="723"/>
      <c r="HP596" s="723"/>
    </row>
    <row r="597" spans="1:224">
      <c r="A597" s="634"/>
      <c r="GP597" s="728"/>
      <c r="GQ597" s="728"/>
      <c r="GR597" s="728"/>
      <c r="HN597" s="723"/>
      <c r="HO597" s="723"/>
      <c r="HP597" s="723"/>
    </row>
    <row r="598" spans="1:224">
      <c r="A598" s="634"/>
      <c r="GP598" s="728"/>
      <c r="GQ598" s="728"/>
      <c r="GR598" s="728"/>
      <c r="HN598" s="723"/>
      <c r="HO598" s="723"/>
      <c r="HP598" s="723"/>
    </row>
    <row r="599" spans="1:224">
      <c r="A599" s="634"/>
      <c r="GP599" s="728"/>
      <c r="GQ599" s="728"/>
      <c r="GR599" s="728"/>
      <c r="HN599" s="723"/>
      <c r="HO599" s="723"/>
      <c r="HP599" s="723"/>
    </row>
    <row r="600" spans="1:224">
      <c r="A600" s="634"/>
      <c r="GP600" s="728"/>
      <c r="GQ600" s="728"/>
      <c r="GR600" s="728"/>
      <c r="HN600" s="723"/>
      <c r="HO600" s="723"/>
      <c r="HP600" s="723"/>
    </row>
    <row r="601" spans="1:224">
      <c r="A601" s="634"/>
      <c r="GP601" s="728"/>
      <c r="GQ601" s="728"/>
      <c r="GR601" s="728"/>
      <c r="HN601" s="723"/>
      <c r="HO601" s="723"/>
      <c r="HP601" s="723"/>
    </row>
    <row r="602" spans="1:224">
      <c r="A602" s="634"/>
      <c r="GP602" s="728"/>
      <c r="GQ602" s="728"/>
      <c r="GR602" s="728"/>
      <c r="HN602" s="723"/>
      <c r="HO602" s="723"/>
      <c r="HP602" s="723"/>
    </row>
    <row r="603" spans="1:224">
      <c r="A603" s="634"/>
      <c r="GP603" s="728"/>
      <c r="GQ603" s="728"/>
      <c r="GR603" s="728"/>
      <c r="HN603" s="723"/>
      <c r="HO603" s="723"/>
      <c r="HP603" s="723"/>
    </row>
    <row r="604" spans="1:224">
      <c r="A604" s="634"/>
      <c r="GP604" s="728"/>
      <c r="GQ604" s="728"/>
      <c r="GR604" s="728"/>
      <c r="HN604" s="723"/>
      <c r="HO604" s="723"/>
      <c r="HP604" s="723"/>
    </row>
    <row r="605" spans="1:224">
      <c r="A605" s="634"/>
      <c r="GP605" s="728"/>
      <c r="GQ605" s="728"/>
      <c r="GR605" s="728"/>
      <c r="HN605" s="723"/>
      <c r="HO605" s="723"/>
      <c r="HP605" s="723"/>
    </row>
    <row r="606" spans="1:224">
      <c r="A606" s="634"/>
      <c r="GP606" s="728"/>
      <c r="GQ606" s="728"/>
      <c r="GR606" s="728"/>
      <c r="HN606" s="723"/>
      <c r="HO606" s="723"/>
      <c r="HP606" s="723"/>
    </row>
    <row r="607" spans="1:224">
      <c r="A607" s="634"/>
      <c r="GP607" s="728"/>
      <c r="GQ607" s="728"/>
      <c r="GR607" s="728"/>
      <c r="HN607" s="723"/>
      <c r="HO607" s="723"/>
      <c r="HP607" s="723"/>
    </row>
    <row r="608" spans="1:224">
      <c r="A608" s="634"/>
      <c r="GP608" s="728"/>
      <c r="GQ608" s="728"/>
      <c r="GR608" s="728"/>
      <c r="HN608" s="723"/>
      <c r="HO608" s="723"/>
      <c r="HP608" s="723"/>
    </row>
    <row r="609" spans="1:224">
      <c r="A609" s="634"/>
      <c r="GP609" s="728"/>
      <c r="GQ609" s="728"/>
      <c r="GR609" s="728"/>
      <c r="HN609" s="723"/>
      <c r="HO609" s="723"/>
      <c r="HP609" s="723"/>
    </row>
    <row r="610" spans="1:224">
      <c r="A610" s="634"/>
      <c r="GP610" s="728"/>
      <c r="GQ610" s="728"/>
      <c r="GR610" s="728"/>
      <c r="HN610" s="723"/>
      <c r="HO610" s="723"/>
      <c r="HP610" s="723"/>
    </row>
    <row r="611" spans="1:224">
      <c r="A611" s="634"/>
      <c r="GP611" s="728"/>
      <c r="GQ611" s="728"/>
      <c r="GR611" s="728"/>
      <c r="HN611" s="723"/>
      <c r="HO611" s="723"/>
      <c r="HP611" s="723"/>
    </row>
    <row r="612" spans="1:224">
      <c r="A612" s="634"/>
      <c r="GP612" s="728"/>
      <c r="GQ612" s="728"/>
      <c r="GR612" s="728"/>
      <c r="HN612" s="723"/>
      <c r="HO612" s="723"/>
      <c r="HP612" s="723"/>
    </row>
    <row r="613" spans="1:224">
      <c r="A613" s="634"/>
      <c r="GP613" s="728"/>
      <c r="GQ613" s="728"/>
      <c r="GR613" s="728"/>
      <c r="HN613" s="723"/>
      <c r="HO613" s="723"/>
      <c r="HP613" s="723"/>
    </row>
    <row r="614" spans="1:224">
      <c r="A614" s="634"/>
      <c r="GP614" s="728"/>
      <c r="GQ614" s="728"/>
      <c r="GR614" s="728"/>
      <c r="HN614" s="723"/>
      <c r="HO614" s="723"/>
      <c r="HP614" s="723"/>
    </row>
    <row r="615" spans="1:224">
      <c r="A615" s="634"/>
      <c r="GP615" s="728"/>
      <c r="GQ615" s="728"/>
      <c r="GR615" s="728"/>
      <c r="HN615" s="723"/>
      <c r="HO615" s="723"/>
      <c r="HP615" s="723"/>
    </row>
    <row r="616" spans="1:224">
      <c r="A616" s="634"/>
      <c r="GP616" s="728"/>
      <c r="GQ616" s="728"/>
      <c r="GR616" s="728"/>
      <c r="HN616" s="723"/>
      <c r="HO616" s="723"/>
      <c r="HP616" s="723"/>
    </row>
    <row r="617" spans="1:224">
      <c r="A617" s="634"/>
      <c r="GP617" s="728"/>
      <c r="GQ617" s="728"/>
      <c r="GR617" s="728"/>
      <c r="HN617" s="723"/>
      <c r="HO617" s="723"/>
      <c r="HP617" s="723"/>
    </row>
    <row r="618" spans="1:224">
      <c r="A618" s="634"/>
      <c r="GP618" s="728"/>
      <c r="GQ618" s="728"/>
      <c r="GR618" s="728"/>
      <c r="HN618" s="723"/>
      <c r="HO618" s="723"/>
      <c r="HP618" s="723"/>
    </row>
    <row r="619" spans="1:224">
      <c r="A619" s="634"/>
      <c r="GP619" s="728"/>
      <c r="GQ619" s="728"/>
      <c r="GR619" s="728"/>
      <c r="HN619" s="723"/>
      <c r="HO619" s="723"/>
      <c r="HP619" s="723"/>
    </row>
    <row r="620" spans="1:224">
      <c r="A620" s="634"/>
      <c r="GP620" s="728"/>
      <c r="GQ620" s="728"/>
      <c r="GR620" s="728"/>
      <c r="HN620" s="723"/>
      <c r="HO620" s="723"/>
      <c r="HP620" s="723"/>
    </row>
    <row r="621" spans="1:224">
      <c r="A621" s="634"/>
      <c r="GP621" s="728"/>
      <c r="GQ621" s="728"/>
      <c r="GR621" s="728"/>
      <c r="HN621" s="723"/>
      <c r="HO621" s="723"/>
      <c r="HP621" s="723"/>
    </row>
    <row r="622" spans="1:224">
      <c r="A622" s="634"/>
      <c r="GP622" s="728"/>
      <c r="GQ622" s="728"/>
      <c r="GR622" s="728"/>
      <c r="HN622" s="723"/>
      <c r="HO622" s="723"/>
      <c r="HP622" s="723"/>
    </row>
    <row r="623" spans="1:224">
      <c r="A623" s="634"/>
      <c r="GP623" s="728"/>
      <c r="GQ623" s="728"/>
      <c r="GR623" s="728"/>
      <c r="HN623" s="723"/>
      <c r="HO623" s="723"/>
      <c r="HP623" s="723"/>
    </row>
    <row r="624" spans="1:224">
      <c r="A624" s="634"/>
      <c r="GP624" s="728"/>
      <c r="GQ624" s="728"/>
      <c r="GR624" s="728"/>
      <c r="HN624" s="723"/>
      <c r="HO624" s="723"/>
      <c r="HP624" s="723"/>
    </row>
    <row r="625" spans="1:224">
      <c r="A625" s="634"/>
      <c r="GP625" s="728"/>
      <c r="GQ625" s="728"/>
      <c r="GR625" s="728"/>
      <c r="HN625" s="723"/>
      <c r="HO625" s="723"/>
      <c r="HP625" s="723"/>
    </row>
    <row r="626" spans="1:224">
      <c r="A626" s="634"/>
      <c r="GP626" s="728"/>
      <c r="GQ626" s="728"/>
      <c r="GR626" s="728"/>
      <c r="HN626" s="723"/>
      <c r="HO626" s="723"/>
      <c r="HP626" s="723"/>
    </row>
    <row r="627" spans="1:224">
      <c r="A627" s="634"/>
      <c r="GP627" s="728"/>
      <c r="GQ627" s="728"/>
      <c r="GR627" s="728"/>
      <c r="HN627" s="723"/>
      <c r="HO627" s="723"/>
      <c r="HP627" s="723"/>
    </row>
    <row r="628" spans="1:224">
      <c r="A628" s="634"/>
      <c r="GP628" s="728"/>
      <c r="GQ628" s="728"/>
      <c r="GR628" s="728"/>
      <c r="HN628" s="723"/>
      <c r="HO628" s="723"/>
      <c r="HP628" s="723"/>
    </row>
    <row r="629" spans="1:224">
      <c r="A629" s="634"/>
      <c r="GP629" s="728"/>
      <c r="GQ629" s="728"/>
      <c r="GR629" s="728"/>
      <c r="HN629" s="723"/>
      <c r="HO629" s="723"/>
      <c r="HP629" s="723"/>
    </row>
    <row r="630" spans="1:224">
      <c r="A630" s="634"/>
      <c r="GP630" s="728"/>
      <c r="GQ630" s="728"/>
      <c r="GR630" s="728"/>
      <c r="HN630" s="723"/>
      <c r="HO630" s="723"/>
      <c r="HP630" s="723"/>
    </row>
    <row r="631" spans="1:224">
      <c r="A631" s="634"/>
      <c r="GP631" s="728"/>
      <c r="GQ631" s="728"/>
      <c r="GR631" s="728"/>
      <c r="HN631" s="723"/>
      <c r="HO631" s="723"/>
      <c r="HP631" s="723"/>
    </row>
    <row r="632" spans="1:224">
      <c r="A632" s="634"/>
      <c r="GP632" s="728"/>
      <c r="GQ632" s="728"/>
      <c r="GR632" s="728"/>
      <c r="HN632" s="723"/>
      <c r="HO632" s="723"/>
      <c r="HP632" s="723"/>
    </row>
    <row r="633" spans="1:224">
      <c r="A633" s="634"/>
      <c r="GP633" s="728"/>
      <c r="GQ633" s="728"/>
      <c r="GR633" s="728"/>
      <c r="HN633" s="723"/>
      <c r="HO633" s="723"/>
      <c r="HP633" s="723"/>
    </row>
    <row r="634" spans="1:224">
      <c r="A634" s="634"/>
      <c r="GP634" s="728"/>
      <c r="GQ634" s="728"/>
      <c r="GR634" s="728"/>
      <c r="HN634" s="723"/>
      <c r="HO634" s="723"/>
      <c r="HP634" s="723"/>
    </row>
    <row r="635" spans="1:224">
      <c r="A635" s="634"/>
      <c r="GP635" s="728"/>
      <c r="GQ635" s="728"/>
      <c r="GR635" s="728"/>
      <c r="HN635" s="723"/>
      <c r="HO635" s="723"/>
      <c r="HP635" s="723"/>
    </row>
    <row r="636" spans="1:224">
      <c r="A636" s="634"/>
      <c r="GP636" s="728"/>
      <c r="GQ636" s="728"/>
      <c r="GR636" s="728"/>
      <c r="HN636" s="723"/>
      <c r="HO636" s="723"/>
      <c r="HP636" s="723"/>
    </row>
    <row r="637" spans="1:224">
      <c r="A637" s="634"/>
      <c r="GP637" s="728"/>
      <c r="GQ637" s="728"/>
      <c r="GR637" s="728"/>
      <c r="HN637" s="723"/>
      <c r="HO637" s="723"/>
      <c r="HP637" s="723"/>
    </row>
    <row r="638" spans="1:224">
      <c r="A638" s="634"/>
      <c r="GP638" s="728"/>
      <c r="GQ638" s="728"/>
      <c r="GR638" s="728"/>
      <c r="HN638" s="723"/>
      <c r="HO638" s="723"/>
      <c r="HP638" s="723"/>
    </row>
    <row r="639" spans="1:224">
      <c r="A639" s="634"/>
      <c r="GP639" s="728"/>
      <c r="GQ639" s="728"/>
      <c r="GR639" s="728"/>
      <c r="HN639" s="723"/>
      <c r="HO639" s="723"/>
      <c r="HP639" s="723"/>
    </row>
    <row r="640" spans="1:224">
      <c r="A640" s="634"/>
      <c r="GP640" s="728"/>
      <c r="GQ640" s="728"/>
      <c r="GR640" s="728"/>
      <c r="HN640" s="723"/>
      <c r="HO640" s="723"/>
      <c r="HP640" s="723"/>
    </row>
    <row r="641" spans="1:224">
      <c r="A641" s="634"/>
      <c r="GP641" s="728"/>
      <c r="GQ641" s="728"/>
      <c r="GR641" s="728"/>
      <c r="HN641" s="723"/>
      <c r="HO641" s="723"/>
      <c r="HP641" s="723"/>
    </row>
    <row r="642" spans="1:224">
      <c r="A642" s="634"/>
      <c r="GP642" s="728"/>
      <c r="GQ642" s="728"/>
      <c r="GR642" s="728"/>
      <c r="HN642" s="723"/>
      <c r="HO642" s="723"/>
      <c r="HP642" s="723"/>
    </row>
    <row r="643" spans="1:224">
      <c r="A643" s="634"/>
      <c r="GP643" s="728"/>
      <c r="GQ643" s="728"/>
      <c r="GR643" s="728"/>
      <c r="HN643" s="723"/>
      <c r="HO643" s="723"/>
      <c r="HP643" s="723"/>
    </row>
    <row r="644" spans="1:224">
      <c r="A644" s="634"/>
      <c r="GP644" s="728"/>
      <c r="GQ644" s="728"/>
      <c r="GR644" s="728"/>
      <c r="HN644" s="723"/>
      <c r="HO644" s="723"/>
      <c r="HP644" s="723"/>
    </row>
    <row r="645" spans="1:224">
      <c r="A645" s="634"/>
      <c r="GP645" s="728"/>
      <c r="GQ645" s="728"/>
      <c r="GR645" s="728"/>
      <c r="HN645" s="723"/>
      <c r="HO645" s="723"/>
      <c r="HP645" s="723"/>
    </row>
    <row r="646" spans="1:224">
      <c r="A646" s="634"/>
      <c r="GP646" s="728"/>
      <c r="GQ646" s="728"/>
      <c r="GR646" s="728"/>
      <c r="HN646" s="723"/>
      <c r="HO646" s="723"/>
      <c r="HP646" s="723"/>
    </row>
    <row r="647" spans="1:224">
      <c r="A647" s="634"/>
      <c r="GP647" s="728"/>
      <c r="GQ647" s="728"/>
      <c r="GR647" s="728"/>
      <c r="HN647" s="723"/>
      <c r="HO647" s="723"/>
      <c r="HP647" s="723"/>
    </row>
    <row r="648" spans="1:224">
      <c r="A648" s="634"/>
      <c r="GP648" s="728"/>
      <c r="GQ648" s="728"/>
      <c r="GR648" s="728"/>
      <c r="HN648" s="723"/>
      <c r="HO648" s="723"/>
      <c r="HP648" s="723"/>
    </row>
    <row r="649" spans="1:224">
      <c r="A649" s="634"/>
      <c r="GP649" s="728"/>
      <c r="GQ649" s="728"/>
      <c r="GR649" s="728"/>
      <c r="HN649" s="723"/>
      <c r="HO649" s="723"/>
      <c r="HP649" s="723"/>
    </row>
    <row r="650" spans="1:224">
      <c r="A650" s="634"/>
      <c r="GP650" s="728"/>
      <c r="GQ650" s="728"/>
      <c r="GR650" s="728"/>
      <c r="HN650" s="723"/>
      <c r="HO650" s="723"/>
      <c r="HP650" s="723"/>
    </row>
    <row r="651" spans="1:224">
      <c r="A651" s="634"/>
      <c r="GP651" s="728"/>
      <c r="GQ651" s="728"/>
      <c r="GR651" s="728"/>
      <c r="HN651" s="723"/>
      <c r="HO651" s="723"/>
      <c r="HP651" s="723"/>
    </row>
    <row r="652" spans="1:224">
      <c r="A652" s="634"/>
      <c r="GP652" s="728"/>
      <c r="GQ652" s="728"/>
      <c r="GR652" s="728"/>
      <c r="HN652" s="723"/>
      <c r="HO652" s="723"/>
      <c r="HP652" s="723"/>
    </row>
    <row r="653" spans="1:224">
      <c r="A653" s="634"/>
      <c r="GP653" s="728"/>
      <c r="GQ653" s="728"/>
      <c r="GR653" s="728"/>
      <c r="HN653" s="723"/>
      <c r="HO653" s="723"/>
      <c r="HP653" s="723"/>
    </row>
    <row r="654" spans="1:224">
      <c r="A654" s="634"/>
      <c r="GP654" s="728"/>
      <c r="GQ654" s="728"/>
      <c r="GR654" s="728"/>
      <c r="HN654" s="723"/>
      <c r="HO654" s="723"/>
      <c r="HP654" s="723"/>
    </row>
    <row r="655" spans="1:224">
      <c r="A655" s="634"/>
      <c r="GP655" s="728"/>
      <c r="GQ655" s="728"/>
      <c r="GR655" s="728"/>
      <c r="HN655" s="723"/>
      <c r="HO655" s="723"/>
      <c r="HP655" s="723"/>
    </row>
    <row r="656" spans="1:224">
      <c r="A656" s="634"/>
      <c r="GP656" s="728"/>
      <c r="GQ656" s="728"/>
      <c r="GR656" s="728"/>
      <c r="HN656" s="723"/>
      <c r="HO656" s="723"/>
      <c r="HP656" s="723"/>
    </row>
    <row r="657" spans="1:224">
      <c r="A657" s="634"/>
      <c r="GP657" s="728"/>
      <c r="GQ657" s="728"/>
      <c r="GR657" s="728"/>
      <c r="HN657" s="723"/>
      <c r="HO657" s="723"/>
      <c r="HP657" s="723"/>
    </row>
    <row r="658" spans="1:224">
      <c r="A658" s="634"/>
      <c r="GP658" s="728"/>
      <c r="GQ658" s="728"/>
      <c r="GR658" s="728"/>
      <c r="HN658" s="723"/>
      <c r="HO658" s="723"/>
      <c r="HP658" s="723"/>
    </row>
    <row r="659" spans="1:224">
      <c r="A659" s="634"/>
      <c r="GP659" s="728"/>
      <c r="GQ659" s="728"/>
      <c r="GR659" s="728"/>
      <c r="HN659" s="723"/>
      <c r="HO659" s="723"/>
      <c r="HP659" s="723"/>
    </row>
    <row r="660" spans="1:224">
      <c r="A660" s="634"/>
      <c r="GP660" s="728"/>
      <c r="GQ660" s="728"/>
      <c r="GR660" s="728"/>
      <c r="HN660" s="723"/>
      <c r="HO660" s="723"/>
      <c r="HP660" s="723"/>
    </row>
    <row r="661" spans="1:224">
      <c r="A661" s="634"/>
      <c r="GP661" s="728"/>
      <c r="GQ661" s="728"/>
      <c r="GR661" s="728"/>
      <c r="HN661" s="723"/>
      <c r="HO661" s="723"/>
      <c r="HP661" s="723"/>
    </row>
    <row r="662" spans="1:224">
      <c r="A662" s="634"/>
      <c r="GP662" s="728"/>
      <c r="GQ662" s="728"/>
      <c r="GR662" s="728"/>
      <c r="HN662" s="723"/>
      <c r="HO662" s="723"/>
      <c r="HP662" s="723"/>
    </row>
    <row r="663" spans="1:224">
      <c r="A663" s="634"/>
      <c r="GP663" s="728"/>
      <c r="GQ663" s="728"/>
      <c r="GR663" s="728"/>
      <c r="HN663" s="723"/>
      <c r="HO663" s="723"/>
      <c r="HP663" s="723"/>
    </row>
    <row r="664" spans="1:224">
      <c r="A664" s="634"/>
      <c r="GP664" s="728"/>
      <c r="GQ664" s="728"/>
      <c r="GR664" s="728"/>
      <c r="HN664" s="723"/>
      <c r="HO664" s="723"/>
      <c r="HP664" s="723"/>
    </row>
    <row r="665" spans="1:224">
      <c r="A665" s="634"/>
      <c r="GP665" s="728"/>
      <c r="GQ665" s="728"/>
      <c r="GR665" s="728"/>
      <c r="HN665" s="723"/>
      <c r="HO665" s="723"/>
      <c r="HP665" s="723"/>
    </row>
    <row r="666" spans="1:224">
      <c r="A666" s="634"/>
      <c r="GP666" s="728"/>
      <c r="GQ666" s="728"/>
      <c r="GR666" s="728"/>
      <c r="HN666" s="723"/>
      <c r="HO666" s="723"/>
      <c r="HP666" s="723"/>
    </row>
    <row r="667" spans="1:224">
      <c r="A667" s="634"/>
      <c r="GP667" s="728"/>
      <c r="GQ667" s="728"/>
      <c r="GR667" s="728"/>
      <c r="HN667" s="723"/>
      <c r="HO667" s="723"/>
      <c r="HP667" s="723"/>
    </row>
    <row r="668" spans="1:224">
      <c r="A668" s="634"/>
      <c r="GP668" s="728"/>
      <c r="GQ668" s="728"/>
      <c r="GR668" s="728"/>
      <c r="HN668" s="723"/>
      <c r="HO668" s="723"/>
      <c r="HP668" s="723"/>
    </row>
    <row r="669" spans="1:224">
      <c r="A669" s="634"/>
      <c r="GP669" s="728"/>
      <c r="GQ669" s="728"/>
      <c r="GR669" s="728"/>
      <c r="HN669" s="723"/>
      <c r="HO669" s="723"/>
      <c r="HP669" s="723"/>
    </row>
    <row r="670" spans="1:224">
      <c r="A670" s="634"/>
      <c r="GP670" s="728"/>
      <c r="GQ670" s="728"/>
      <c r="GR670" s="728"/>
      <c r="HN670" s="723"/>
      <c r="HO670" s="723"/>
      <c r="HP670" s="723"/>
    </row>
    <row r="671" spans="1:224">
      <c r="A671" s="634"/>
      <c r="GP671" s="728"/>
      <c r="GQ671" s="728"/>
      <c r="GR671" s="728"/>
      <c r="HN671" s="723"/>
      <c r="HO671" s="723"/>
      <c r="HP671" s="723"/>
    </row>
    <row r="672" spans="1:224">
      <c r="A672" s="634"/>
      <c r="GP672" s="728"/>
      <c r="GQ672" s="728"/>
      <c r="GR672" s="728"/>
      <c r="HN672" s="723"/>
      <c r="HO672" s="723"/>
      <c r="HP672" s="723"/>
    </row>
    <row r="673" spans="1:224">
      <c r="A673" s="634"/>
      <c r="GP673" s="728"/>
      <c r="GQ673" s="728"/>
      <c r="GR673" s="728"/>
      <c r="HN673" s="723"/>
      <c r="HO673" s="723"/>
      <c r="HP673" s="723"/>
    </row>
    <row r="674" spans="1:224">
      <c r="A674" s="634"/>
      <c r="GP674" s="728"/>
      <c r="GQ674" s="728"/>
      <c r="GR674" s="728"/>
      <c r="HN674" s="723"/>
      <c r="HO674" s="723"/>
      <c r="HP674" s="723"/>
    </row>
    <row r="675" spans="1:224">
      <c r="A675" s="634"/>
      <c r="GP675" s="728"/>
      <c r="GQ675" s="728"/>
      <c r="GR675" s="728"/>
      <c r="HN675" s="723"/>
      <c r="HO675" s="723"/>
      <c r="HP675" s="723"/>
    </row>
    <row r="676" spans="1:224">
      <c r="A676" s="634"/>
      <c r="GP676" s="728"/>
      <c r="GQ676" s="728"/>
      <c r="GR676" s="728"/>
      <c r="HN676" s="723"/>
      <c r="HO676" s="723"/>
      <c r="HP676" s="723"/>
    </row>
    <row r="677" spans="1:224">
      <c r="A677" s="634"/>
      <c r="GP677" s="728"/>
      <c r="GQ677" s="728"/>
      <c r="GR677" s="728"/>
      <c r="HN677" s="723"/>
      <c r="HO677" s="723"/>
      <c r="HP677" s="723"/>
    </row>
    <row r="678" spans="1:224">
      <c r="A678" s="634"/>
      <c r="GP678" s="728"/>
      <c r="GQ678" s="728"/>
      <c r="GR678" s="728"/>
      <c r="HN678" s="723"/>
      <c r="HO678" s="723"/>
      <c r="HP678" s="723"/>
    </row>
    <row r="679" spans="1:224">
      <c r="A679" s="634"/>
      <c r="GP679" s="728"/>
      <c r="GQ679" s="728"/>
      <c r="GR679" s="728"/>
      <c r="HN679" s="723"/>
      <c r="HO679" s="723"/>
      <c r="HP679" s="723"/>
    </row>
    <row r="680" spans="1:224">
      <c r="A680" s="634"/>
      <c r="GP680" s="728"/>
      <c r="GQ680" s="728"/>
      <c r="GR680" s="728"/>
      <c r="HN680" s="723"/>
      <c r="HO680" s="723"/>
      <c r="HP680" s="723"/>
    </row>
    <row r="681" spans="1:224">
      <c r="A681" s="634"/>
      <c r="GP681" s="728"/>
      <c r="GQ681" s="728"/>
      <c r="GR681" s="728"/>
      <c r="HN681" s="723"/>
      <c r="HO681" s="723"/>
      <c r="HP681" s="723"/>
    </row>
    <row r="682" spans="1:224">
      <c r="A682" s="634"/>
      <c r="GP682" s="728"/>
      <c r="GQ682" s="728"/>
      <c r="GR682" s="728"/>
      <c r="HN682" s="723"/>
      <c r="HO682" s="723"/>
      <c r="HP682" s="723"/>
    </row>
    <row r="683" spans="1:224">
      <c r="A683" s="634"/>
      <c r="GP683" s="728"/>
      <c r="GQ683" s="728"/>
      <c r="GR683" s="728"/>
      <c r="HN683" s="723"/>
      <c r="HO683" s="723"/>
      <c r="HP683" s="723"/>
    </row>
    <row r="684" spans="1:224">
      <c r="A684" s="634"/>
      <c r="GP684" s="728"/>
      <c r="GQ684" s="728"/>
      <c r="GR684" s="728"/>
      <c r="HN684" s="723"/>
      <c r="HO684" s="723"/>
      <c r="HP684" s="723"/>
    </row>
    <row r="685" spans="1:224">
      <c r="A685" s="634"/>
      <c r="GP685" s="728"/>
      <c r="GQ685" s="728"/>
      <c r="GR685" s="728"/>
      <c r="HN685" s="723"/>
      <c r="HO685" s="723"/>
      <c r="HP685" s="723"/>
    </row>
    <row r="686" spans="1:224">
      <c r="A686" s="634"/>
      <c r="GP686" s="728"/>
      <c r="GQ686" s="728"/>
      <c r="GR686" s="728"/>
      <c r="HN686" s="723"/>
      <c r="HO686" s="723"/>
      <c r="HP686" s="723"/>
    </row>
    <row r="687" spans="1:224">
      <c r="A687" s="634"/>
      <c r="GP687" s="728"/>
      <c r="GQ687" s="728"/>
      <c r="GR687" s="728"/>
      <c r="HN687" s="723"/>
      <c r="HO687" s="723"/>
      <c r="HP687" s="723"/>
    </row>
    <row r="688" spans="1:224">
      <c r="A688" s="634"/>
      <c r="GP688" s="728"/>
      <c r="GQ688" s="728"/>
      <c r="GR688" s="728"/>
      <c r="HN688" s="723"/>
      <c r="HO688" s="723"/>
      <c r="HP688" s="723"/>
    </row>
    <row r="689" spans="1:224">
      <c r="A689" s="634"/>
      <c r="GP689" s="728"/>
      <c r="GQ689" s="728"/>
      <c r="GR689" s="728"/>
      <c r="HN689" s="723"/>
      <c r="HO689" s="723"/>
      <c r="HP689" s="723"/>
    </row>
    <row r="690" spans="1:224">
      <c r="A690" s="634"/>
      <c r="GP690" s="728"/>
      <c r="GQ690" s="728"/>
      <c r="GR690" s="728"/>
      <c r="HN690" s="723"/>
      <c r="HO690" s="723"/>
      <c r="HP690" s="723"/>
    </row>
    <row r="691" spans="1:224">
      <c r="A691" s="634"/>
      <c r="GP691" s="728"/>
      <c r="GQ691" s="728"/>
      <c r="GR691" s="728"/>
      <c r="HN691" s="723"/>
      <c r="HO691" s="723"/>
      <c r="HP691" s="723"/>
    </row>
    <row r="692" spans="1:224">
      <c r="A692" s="634"/>
      <c r="GP692" s="728"/>
      <c r="GQ692" s="728"/>
      <c r="GR692" s="728"/>
      <c r="HN692" s="723"/>
      <c r="HO692" s="723"/>
      <c r="HP692" s="723"/>
    </row>
    <row r="693" spans="1:224">
      <c r="A693" s="634"/>
      <c r="GP693" s="728"/>
      <c r="GQ693" s="728"/>
      <c r="GR693" s="728"/>
      <c r="HN693" s="723"/>
      <c r="HO693" s="723"/>
      <c r="HP693" s="723"/>
    </row>
    <row r="694" spans="1:224">
      <c r="A694" s="634"/>
      <c r="GP694" s="728"/>
      <c r="GQ694" s="728"/>
      <c r="GR694" s="728"/>
      <c r="HN694" s="723"/>
      <c r="HO694" s="723"/>
      <c r="HP694" s="723"/>
    </row>
    <row r="695" spans="1:224">
      <c r="A695" s="634"/>
      <c r="GP695" s="728"/>
      <c r="GQ695" s="728"/>
      <c r="GR695" s="728"/>
      <c r="HN695" s="723"/>
      <c r="HO695" s="723"/>
      <c r="HP695" s="723"/>
    </row>
    <row r="696" spans="1:224">
      <c r="A696" s="634"/>
      <c r="GP696" s="728"/>
      <c r="GQ696" s="728"/>
      <c r="GR696" s="728"/>
      <c r="HN696" s="723"/>
      <c r="HO696" s="723"/>
      <c r="HP696" s="723"/>
    </row>
    <row r="697" spans="1:224">
      <c r="A697" s="634"/>
      <c r="GP697" s="728"/>
      <c r="GQ697" s="728"/>
      <c r="GR697" s="728"/>
      <c r="HN697" s="723"/>
      <c r="HO697" s="723"/>
      <c r="HP697" s="723"/>
    </row>
    <row r="698" spans="1:224">
      <c r="A698" s="634"/>
      <c r="GP698" s="728"/>
      <c r="GQ698" s="728"/>
      <c r="GR698" s="728"/>
      <c r="HN698" s="723"/>
      <c r="HO698" s="723"/>
      <c r="HP698" s="723"/>
    </row>
    <row r="699" spans="1:224">
      <c r="A699" s="634"/>
      <c r="GP699" s="728"/>
      <c r="GQ699" s="728"/>
      <c r="GR699" s="728"/>
      <c r="HN699" s="723"/>
      <c r="HO699" s="723"/>
      <c r="HP699" s="723"/>
    </row>
    <row r="700" spans="1:224">
      <c r="A700" s="634"/>
      <c r="GP700" s="728"/>
      <c r="GQ700" s="728"/>
      <c r="GR700" s="728"/>
      <c r="HN700" s="723"/>
      <c r="HO700" s="723"/>
      <c r="HP700" s="723"/>
    </row>
    <row r="701" spans="1:224">
      <c r="A701" s="634"/>
      <c r="GP701" s="728"/>
      <c r="GQ701" s="728"/>
      <c r="GR701" s="728"/>
      <c r="HN701" s="723"/>
      <c r="HO701" s="723"/>
      <c r="HP701" s="723"/>
    </row>
    <row r="702" spans="1:224">
      <c r="A702" s="634"/>
      <c r="GP702" s="728"/>
      <c r="GQ702" s="728"/>
      <c r="GR702" s="728"/>
      <c r="HN702" s="723"/>
      <c r="HO702" s="723"/>
      <c r="HP702" s="723"/>
    </row>
    <row r="703" spans="1:224">
      <c r="A703" s="634"/>
      <c r="GP703" s="728"/>
      <c r="GQ703" s="728"/>
      <c r="GR703" s="728"/>
      <c r="HN703" s="723"/>
      <c r="HO703" s="723"/>
      <c r="HP703" s="723"/>
    </row>
    <row r="704" spans="1:224">
      <c r="A704" s="634"/>
      <c r="GP704" s="728"/>
      <c r="GQ704" s="728"/>
      <c r="GR704" s="728"/>
      <c r="HN704" s="723"/>
      <c r="HO704" s="723"/>
      <c r="HP704" s="723"/>
    </row>
    <row r="705" spans="1:224">
      <c r="A705" s="634"/>
      <c r="GP705" s="728"/>
      <c r="GQ705" s="728"/>
      <c r="GR705" s="728"/>
      <c r="HN705" s="723"/>
      <c r="HO705" s="723"/>
      <c r="HP705" s="723"/>
    </row>
    <row r="706" spans="1:224">
      <c r="A706" s="634"/>
      <c r="GP706" s="728"/>
      <c r="GQ706" s="728"/>
      <c r="GR706" s="728"/>
      <c r="HN706" s="723"/>
      <c r="HO706" s="723"/>
      <c r="HP706" s="723"/>
    </row>
    <row r="707" spans="1:224">
      <c r="A707" s="634"/>
      <c r="GP707" s="728"/>
      <c r="GQ707" s="728"/>
      <c r="GR707" s="728"/>
      <c r="HN707" s="723"/>
      <c r="HO707" s="723"/>
      <c r="HP707" s="723"/>
    </row>
    <row r="708" spans="1:224">
      <c r="A708" s="634"/>
      <c r="GP708" s="728"/>
      <c r="GQ708" s="728"/>
      <c r="GR708" s="728"/>
      <c r="HN708" s="723"/>
      <c r="HO708" s="723"/>
      <c r="HP708" s="723"/>
    </row>
    <row r="709" spans="1:224">
      <c r="A709" s="634"/>
      <c r="GP709" s="728"/>
      <c r="GQ709" s="728"/>
      <c r="GR709" s="728"/>
      <c r="HN709" s="723"/>
      <c r="HO709" s="723"/>
      <c r="HP709" s="723"/>
    </row>
    <row r="710" spans="1:224">
      <c r="A710" s="634"/>
      <c r="GP710" s="728"/>
      <c r="GQ710" s="728"/>
      <c r="GR710" s="728"/>
      <c r="HN710" s="723"/>
      <c r="HO710" s="723"/>
      <c r="HP710" s="723"/>
    </row>
    <row r="711" spans="1:224">
      <c r="A711" s="634"/>
      <c r="GP711" s="728"/>
      <c r="GQ711" s="728"/>
      <c r="GR711" s="728"/>
      <c r="HN711" s="723"/>
      <c r="HO711" s="723"/>
      <c r="HP711" s="723"/>
    </row>
    <row r="712" spans="1:224">
      <c r="A712" s="634"/>
      <c r="GP712" s="728"/>
      <c r="GQ712" s="728"/>
      <c r="GR712" s="728"/>
      <c r="HN712" s="723"/>
      <c r="HO712" s="723"/>
      <c r="HP712" s="723"/>
    </row>
    <row r="713" spans="1:224">
      <c r="A713" s="634"/>
      <c r="GP713" s="728"/>
      <c r="GQ713" s="728"/>
      <c r="GR713" s="728"/>
      <c r="HN713" s="723"/>
      <c r="HO713" s="723"/>
      <c r="HP713" s="723"/>
    </row>
    <row r="714" spans="1:224">
      <c r="A714" s="634"/>
      <c r="GP714" s="728"/>
      <c r="GQ714" s="728"/>
      <c r="GR714" s="728"/>
      <c r="HN714" s="723"/>
      <c r="HO714" s="723"/>
      <c r="HP714" s="723"/>
    </row>
    <row r="715" spans="1:224">
      <c r="A715" s="634"/>
      <c r="GP715" s="728"/>
      <c r="GQ715" s="728"/>
      <c r="GR715" s="728"/>
      <c r="HN715" s="723"/>
      <c r="HO715" s="723"/>
      <c r="HP715" s="723"/>
    </row>
    <row r="716" spans="1:224">
      <c r="A716" s="634"/>
      <c r="GP716" s="728"/>
      <c r="GQ716" s="728"/>
      <c r="GR716" s="728"/>
      <c r="HN716" s="723"/>
      <c r="HO716" s="723"/>
      <c r="HP716" s="723"/>
    </row>
    <row r="717" spans="1:224">
      <c r="A717" s="634"/>
      <c r="GP717" s="728"/>
      <c r="GQ717" s="728"/>
      <c r="GR717" s="728"/>
      <c r="HN717" s="723"/>
      <c r="HO717" s="723"/>
      <c r="HP717" s="723"/>
    </row>
    <row r="718" spans="1:224">
      <c r="A718" s="634"/>
      <c r="GP718" s="728"/>
      <c r="GQ718" s="728"/>
      <c r="GR718" s="728"/>
      <c r="HN718" s="723"/>
      <c r="HO718" s="723"/>
      <c r="HP718" s="723"/>
    </row>
    <row r="719" spans="1:224">
      <c r="A719" s="634"/>
      <c r="GP719" s="728"/>
      <c r="GQ719" s="728"/>
      <c r="GR719" s="728"/>
      <c r="HN719" s="723"/>
      <c r="HO719" s="723"/>
      <c r="HP719" s="723"/>
    </row>
    <row r="720" spans="1:224">
      <c r="A720" s="634"/>
      <c r="GP720" s="728"/>
      <c r="GQ720" s="728"/>
      <c r="GR720" s="728"/>
      <c r="HN720" s="723"/>
      <c r="HO720" s="723"/>
      <c r="HP720" s="723"/>
    </row>
    <row r="721" spans="1:224">
      <c r="A721" s="634"/>
      <c r="GP721" s="728"/>
      <c r="GQ721" s="728"/>
      <c r="GR721" s="728"/>
      <c r="HN721" s="723"/>
      <c r="HO721" s="723"/>
      <c r="HP721" s="723"/>
    </row>
    <row r="722" spans="1:224">
      <c r="A722" s="634"/>
      <c r="GP722" s="728"/>
      <c r="GQ722" s="728"/>
      <c r="GR722" s="728"/>
      <c r="HN722" s="723"/>
      <c r="HO722" s="723"/>
      <c r="HP722" s="723"/>
    </row>
    <row r="723" spans="1:224">
      <c r="A723" s="634"/>
      <c r="GP723" s="728"/>
      <c r="GQ723" s="728"/>
      <c r="GR723" s="728"/>
      <c r="HN723" s="723"/>
      <c r="HO723" s="723"/>
      <c r="HP723" s="723"/>
    </row>
    <row r="724" spans="1:224">
      <c r="A724" s="634"/>
      <c r="GP724" s="728"/>
      <c r="GQ724" s="728"/>
      <c r="GR724" s="728"/>
      <c r="HN724" s="723"/>
      <c r="HO724" s="723"/>
      <c r="HP724" s="723"/>
    </row>
    <row r="725" spans="1:224">
      <c r="A725" s="634"/>
      <c r="GP725" s="728"/>
      <c r="GQ725" s="728"/>
      <c r="GR725" s="728"/>
      <c r="HN725" s="723"/>
      <c r="HO725" s="723"/>
      <c r="HP725" s="723"/>
    </row>
    <row r="726" spans="1:224">
      <c r="A726" s="634"/>
      <c r="GP726" s="728"/>
      <c r="GQ726" s="728"/>
      <c r="GR726" s="728"/>
      <c r="HN726" s="723"/>
      <c r="HO726" s="723"/>
      <c r="HP726" s="723"/>
    </row>
    <row r="727" spans="1:224">
      <c r="A727" s="634"/>
      <c r="GP727" s="728"/>
      <c r="GQ727" s="728"/>
      <c r="GR727" s="728"/>
      <c r="HN727" s="723"/>
      <c r="HO727" s="723"/>
      <c r="HP727" s="723"/>
    </row>
    <row r="728" spans="1:224">
      <c r="A728" s="634"/>
      <c r="GP728" s="728"/>
      <c r="GQ728" s="728"/>
      <c r="GR728" s="728"/>
      <c r="HN728" s="723"/>
      <c r="HO728" s="723"/>
      <c r="HP728" s="723"/>
    </row>
    <row r="729" spans="1:224">
      <c r="A729" s="634"/>
      <c r="GP729" s="728"/>
      <c r="GQ729" s="728"/>
      <c r="GR729" s="728"/>
      <c r="HN729" s="723"/>
      <c r="HO729" s="723"/>
      <c r="HP729" s="723"/>
    </row>
    <row r="730" spans="1:224">
      <c r="A730" s="634"/>
      <c r="GP730" s="728"/>
      <c r="GQ730" s="728"/>
      <c r="GR730" s="728"/>
      <c r="HN730" s="723"/>
      <c r="HO730" s="723"/>
      <c r="HP730" s="723"/>
    </row>
    <row r="731" spans="1:224">
      <c r="A731" s="634"/>
      <c r="GP731" s="728"/>
      <c r="GQ731" s="728"/>
      <c r="GR731" s="728"/>
      <c r="HN731" s="723"/>
      <c r="HO731" s="723"/>
      <c r="HP731" s="723"/>
    </row>
    <row r="732" spans="1:224">
      <c r="A732" s="634"/>
      <c r="GP732" s="728"/>
      <c r="GQ732" s="728"/>
      <c r="GR732" s="728"/>
      <c r="HN732" s="723"/>
      <c r="HO732" s="723"/>
      <c r="HP732" s="723"/>
    </row>
    <row r="733" spans="1:224">
      <c r="A733" s="634"/>
      <c r="GP733" s="728"/>
      <c r="GQ733" s="728"/>
      <c r="GR733" s="728"/>
      <c r="HN733" s="723"/>
      <c r="HO733" s="723"/>
      <c r="HP733" s="723"/>
    </row>
    <row r="734" spans="1:224">
      <c r="A734" s="634"/>
      <c r="GP734" s="728"/>
      <c r="GQ734" s="728"/>
      <c r="GR734" s="728"/>
      <c r="HN734" s="723"/>
      <c r="HO734" s="723"/>
      <c r="HP734" s="723"/>
    </row>
    <row r="735" spans="1:224">
      <c r="A735" s="634"/>
      <c r="GP735" s="728"/>
      <c r="GQ735" s="728"/>
      <c r="GR735" s="728"/>
      <c r="HN735" s="723"/>
      <c r="HO735" s="723"/>
      <c r="HP735" s="723"/>
    </row>
    <row r="736" spans="1:224">
      <c r="A736" s="634"/>
      <c r="GP736" s="728"/>
      <c r="GQ736" s="728"/>
      <c r="GR736" s="728"/>
      <c r="HN736" s="723"/>
      <c r="HO736" s="723"/>
      <c r="HP736" s="723"/>
    </row>
    <row r="737" spans="1:224">
      <c r="A737" s="634"/>
      <c r="GP737" s="728"/>
      <c r="GQ737" s="728"/>
      <c r="GR737" s="728"/>
      <c r="HN737" s="723"/>
      <c r="HO737" s="723"/>
      <c r="HP737" s="723"/>
    </row>
    <row r="738" spans="1:224">
      <c r="A738" s="634"/>
      <c r="GP738" s="728"/>
      <c r="GQ738" s="728"/>
      <c r="GR738" s="728"/>
      <c r="HN738" s="723"/>
      <c r="HO738" s="723"/>
      <c r="HP738" s="723"/>
    </row>
    <row r="739" spans="1:224">
      <c r="A739" s="634"/>
      <c r="GP739" s="728"/>
      <c r="GQ739" s="728"/>
      <c r="GR739" s="728"/>
      <c r="HN739" s="723"/>
      <c r="HO739" s="723"/>
      <c r="HP739" s="723"/>
    </row>
    <row r="740" spans="1:224">
      <c r="A740" s="634"/>
      <c r="GP740" s="728"/>
      <c r="GQ740" s="728"/>
      <c r="GR740" s="728"/>
      <c r="HN740" s="723"/>
      <c r="HO740" s="723"/>
      <c r="HP740" s="723"/>
    </row>
    <row r="741" spans="1:224">
      <c r="A741" s="634"/>
      <c r="GP741" s="728"/>
      <c r="GQ741" s="728"/>
      <c r="GR741" s="728"/>
      <c r="HN741" s="723"/>
      <c r="HO741" s="723"/>
      <c r="HP741" s="723"/>
    </row>
    <row r="742" spans="1:224">
      <c r="A742" s="634"/>
      <c r="GP742" s="728"/>
      <c r="GQ742" s="728"/>
      <c r="GR742" s="728"/>
      <c r="HN742" s="723"/>
      <c r="HO742" s="723"/>
      <c r="HP742" s="723"/>
    </row>
    <row r="743" spans="1:224">
      <c r="A743" s="634"/>
      <c r="GP743" s="728"/>
      <c r="GQ743" s="728"/>
      <c r="GR743" s="728"/>
      <c r="HN743" s="723"/>
      <c r="HO743" s="723"/>
      <c r="HP743" s="723"/>
    </row>
    <row r="744" spans="1:224">
      <c r="A744" s="634"/>
      <c r="GP744" s="728"/>
      <c r="GQ744" s="728"/>
      <c r="GR744" s="728"/>
      <c r="HN744" s="723"/>
      <c r="HO744" s="723"/>
      <c r="HP744" s="723"/>
    </row>
    <row r="745" spans="1:224">
      <c r="A745" s="634"/>
      <c r="GP745" s="728"/>
      <c r="GQ745" s="728"/>
      <c r="GR745" s="728"/>
      <c r="HN745" s="723"/>
      <c r="HO745" s="723"/>
      <c r="HP745" s="723"/>
    </row>
    <row r="746" spans="1:224">
      <c r="A746" s="634"/>
      <c r="GP746" s="728"/>
      <c r="GQ746" s="728"/>
      <c r="GR746" s="728"/>
      <c r="HN746" s="723"/>
      <c r="HO746" s="723"/>
      <c r="HP746" s="723"/>
    </row>
    <row r="747" spans="1:224">
      <c r="A747" s="634"/>
      <c r="GP747" s="728"/>
      <c r="GQ747" s="728"/>
      <c r="GR747" s="728"/>
      <c r="HN747" s="723"/>
      <c r="HO747" s="723"/>
      <c r="HP747" s="723"/>
    </row>
    <row r="748" spans="1:224">
      <c r="A748" s="634"/>
      <c r="GP748" s="728"/>
      <c r="GQ748" s="728"/>
      <c r="GR748" s="728"/>
      <c r="HN748" s="723"/>
      <c r="HO748" s="723"/>
      <c r="HP748" s="723"/>
    </row>
    <row r="749" spans="1:224">
      <c r="A749" s="634"/>
      <c r="GP749" s="728"/>
      <c r="GQ749" s="728"/>
      <c r="GR749" s="728"/>
      <c r="HN749" s="723"/>
      <c r="HO749" s="723"/>
      <c r="HP749" s="723"/>
    </row>
    <row r="750" spans="1:224">
      <c r="A750" s="634"/>
      <c r="GP750" s="728"/>
      <c r="GQ750" s="728"/>
      <c r="GR750" s="728"/>
      <c r="HN750" s="723"/>
      <c r="HO750" s="723"/>
      <c r="HP750" s="723"/>
    </row>
    <row r="751" spans="1:224">
      <c r="A751" s="634"/>
      <c r="GP751" s="728"/>
      <c r="GQ751" s="728"/>
      <c r="GR751" s="728"/>
      <c r="HN751" s="723"/>
      <c r="HO751" s="723"/>
      <c r="HP751" s="723"/>
    </row>
    <row r="752" spans="1:224">
      <c r="A752" s="634"/>
      <c r="GP752" s="728"/>
      <c r="GQ752" s="728"/>
      <c r="GR752" s="728"/>
      <c r="HN752" s="723"/>
      <c r="HO752" s="723"/>
      <c r="HP752" s="723"/>
    </row>
    <row r="753" spans="1:224">
      <c r="A753" s="634"/>
      <c r="GP753" s="728"/>
      <c r="GQ753" s="728"/>
      <c r="GR753" s="728"/>
      <c r="HN753" s="723"/>
      <c r="HO753" s="723"/>
      <c r="HP753" s="723"/>
    </row>
    <row r="754" spans="1:224">
      <c r="A754" s="634"/>
      <c r="GP754" s="728"/>
      <c r="GQ754" s="728"/>
      <c r="GR754" s="728"/>
    </row>
    <row r="755" spans="1:224">
      <c r="A755" s="634"/>
      <c r="GP755" s="728"/>
      <c r="GQ755" s="728"/>
      <c r="GR755" s="728"/>
    </row>
    <row r="756" spans="1:224">
      <c r="A756" s="634"/>
      <c r="GP756" s="728"/>
      <c r="GQ756" s="728"/>
      <c r="GR756" s="728"/>
    </row>
    <row r="757" spans="1:224">
      <c r="A757" s="634"/>
      <c r="GP757" s="728"/>
      <c r="GQ757" s="728"/>
      <c r="GR757" s="728"/>
    </row>
    <row r="758" spans="1:224">
      <c r="A758" s="634"/>
      <c r="GP758" s="728"/>
      <c r="GQ758" s="728"/>
      <c r="GR758" s="728"/>
    </row>
    <row r="759" spans="1:224">
      <c r="A759" s="634"/>
      <c r="GP759" s="728"/>
      <c r="GQ759" s="728"/>
      <c r="GR759" s="728"/>
    </row>
    <row r="760" spans="1:224">
      <c r="A760" s="634"/>
      <c r="GP760" s="728"/>
      <c r="GQ760" s="728"/>
      <c r="GR760" s="728"/>
    </row>
    <row r="761" spans="1:224">
      <c r="A761" s="634"/>
      <c r="GP761" s="728"/>
      <c r="GQ761" s="728"/>
      <c r="GR761" s="728"/>
    </row>
    <row r="762" spans="1:224">
      <c r="A762" s="634"/>
      <c r="GP762" s="728"/>
      <c r="GQ762" s="728"/>
      <c r="GR762" s="728"/>
    </row>
    <row r="763" spans="1:224">
      <c r="A763" s="634"/>
      <c r="GP763" s="728"/>
      <c r="GQ763" s="728"/>
      <c r="GR763" s="728"/>
    </row>
    <row r="764" spans="1:224">
      <c r="A764" s="634"/>
      <c r="GP764" s="728"/>
      <c r="GQ764" s="728"/>
      <c r="GR764" s="728"/>
    </row>
    <row r="765" spans="1:224">
      <c r="A765" s="634"/>
      <c r="GP765" s="728"/>
      <c r="GQ765" s="728"/>
      <c r="GR765" s="728"/>
    </row>
    <row r="766" spans="1:224">
      <c r="A766" s="634"/>
      <c r="GP766" s="728"/>
      <c r="GQ766" s="728"/>
      <c r="GR766" s="728"/>
    </row>
    <row r="767" spans="1:224">
      <c r="A767" s="634"/>
      <c r="GP767" s="728"/>
      <c r="GQ767" s="728"/>
      <c r="GR767" s="728"/>
    </row>
    <row r="768" spans="1:224">
      <c r="A768" s="634"/>
      <c r="GP768" s="728"/>
      <c r="GQ768" s="728"/>
      <c r="GR768" s="728"/>
    </row>
    <row r="769" spans="1:200">
      <c r="A769" s="634"/>
      <c r="GP769" s="728"/>
      <c r="GQ769" s="728"/>
      <c r="GR769" s="728"/>
    </row>
    <row r="770" spans="1:200">
      <c r="A770" s="634"/>
      <c r="GP770" s="728"/>
      <c r="GQ770" s="728"/>
      <c r="GR770" s="728"/>
    </row>
    <row r="771" spans="1:200">
      <c r="A771" s="634"/>
      <c r="GP771" s="728"/>
      <c r="GQ771" s="728"/>
      <c r="GR771" s="728"/>
    </row>
    <row r="772" spans="1:200">
      <c r="A772" s="634"/>
      <c r="GP772" s="728"/>
      <c r="GQ772" s="728"/>
      <c r="GR772" s="728"/>
    </row>
    <row r="773" spans="1:200">
      <c r="A773" s="634"/>
      <c r="GP773" s="728"/>
      <c r="GQ773" s="728"/>
      <c r="GR773" s="728"/>
    </row>
    <row r="774" spans="1:200">
      <c r="A774" s="634"/>
      <c r="GP774" s="728"/>
      <c r="GQ774" s="728"/>
      <c r="GR774" s="728"/>
    </row>
    <row r="775" spans="1:200">
      <c r="A775" s="634"/>
      <c r="GP775" s="728"/>
      <c r="GQ775" s="728"/>
      <c r="GR775" s="728"/>
    </row>
    <row r="776" spans="1:200">
      <c r="A776" s="634"/>
      <c r="GP776" s="728"/>
      <c r="GQ776" s="728"/>
      <c r="GR776" s="728"/>
    </row>
    <row r="777" spans="1:200">
      <c r="A777" s="634"/>
      <c r="GP777" s="728"/>
      <c r="GQ777" s="728"/>
      <c r="GR777" s="728"/>
    </row>
    <row r="778" spans="1:200">
      <c r="A778" s="634"/>
      <c r="GP778" s="728"/>
      <c r="GQ778" s="728"/>
      <c r="GR778" s="728"/>
    </row>
    <row r="779" spans="1:200">
      <c r="A779" s="634"/>
      <c r="GP779" s="728"/>
      <c r="GQ779" s="728"/>
      <c r="GR779" s="728"/>
    </row>
    <row r="780" spans="1:200">
      <c r="A780" s="634"/>
      <c r="GP780" s="728"/>
      <c r="GQ780" s="728"/>
      <c r="GR780" s="728"/>
    </row>
    <row r="781" spans="1:200">
      <c r="A781" s="634"/>
      <c r="GP781" s="728"/>
      <c r="GQ781" s="728"/>
      <c r="GR781" s="728"/>
    </row>
    <row r="782" spans="1:200">
      <c r="A782" s="634"/>
      <c r="GP782" s="728"/>
      <c r="GQ782" s="728"/>
      <c r="GR782" s="728"/>
    </row>
    <row r="783" spans="1:200">
      <c r="A783" s="634"/>
      <c r="GP783" s="728"/>
      <c r="GQ783" s="728"/>
      <c r="GR783" s="728"/>
    </row>
    <row r="784" spans="1:200">
      <c r="A784" s="634"/>
      <c r="GP784" s="728"/>
      <c r="GQ784" s="728"/>
      <c r="GR784" s="728"/>
    </row>
    <row r="785" spans="1:200">
      <c r="A785" s="634"/>
      <c r="GP785" s="728"/>
      <c r="GQ785" s="728"/>
      <c r="GR785" s="728"/>
    </row>
    <row r="786" spans="1:200">
      <c r="A786" s="634"/>
      <c r="GP786" s="728"/>
      <c r="GQ786" s="728"/>
      <c r="GR786" s="728"/>
    </row>
    <row r="787" spans="1:200">
      <c r="A787" s="634"/>
      <c r="GP787" s="728"/>
      <c r="GQ787" s="728"/>
      <c r="GR787" s="728"/>
    </row>
    <row r="788" spans="1:200">
      <c r="A788" s="634"/>
      <c r="GP788" s="728"/>
      <c r="GQ788" s="728"/>
      <c r="GR788" s="728"/>
    </row>
    <row r="789" spans="1:200">
      <c r="A789" s="634"/>
      <c r="GP789" s="728"/>
      <c r="GQ789" s="728"/>
      <c r="GR789" s="728"/>
    </row>
    <row r="790" spans="1:200">
      <c r="A790" s="634"/>
      <c r="GP790" s="728"/>
      <c r="GQ790" s="728"/>
      <c r="GR790" s="728"/>
    </row>
    <row r="791" spans="1:200">
      <c r="A791" s="634"/>
      <c r="GP791" s="728"/>
      <c r="GQ791" s="728"/>
      <c r="GR791" s="728"/>
    </row>
    <row r="792" spans="1:200">
      <c r="A792" s="634"/>
      <c r="GP792" s="728"/>
      <c r="GQ792" s="728"/>
      <c r="GR792" s="728"/>
    </row>
    <row r="793" spans="1:200">
      <c r="A793" s="634"/>
      <c r="GP793" s="728"/>
      <c r="GQ793" s="728"/>
      <c r="GR793" s="728"/>
    </row>
    <row r="794" spans="1:200">
      <c r="A794" s="634"/>
      <c r="GP794" s="728"/>
      <c r="GQ794" s="728"/>
      <c r="GR794" s="728"/>
    </row>
    <row r="795" spans="1:200">
      <c r="A795" s="634"/>
      <c r="GP795" s="728"/>
      <c r="GQ795" s="728"/>
      <c r="GR795" s="728"/>
    </row>
    <row r="796" spans="1:200">
      <c r="A796" s="634"/>
      <c r="GP796" s="728"/>
      <c r="GQ796" s="728"/>
      <c r="GR796" s="728"/>
    </row>
    <row r="797" spans="1:200">
      <c r="A797" s="634"/>
      <c r="GP797" s="728"/>
      <c r="GQ797" s="728"/>
      <c r="GR797" s="728"/>
    </row>
    <row r="798" spans="1:200">
      <c r="A798" s="634"/>
      <c r="GP798" s="728"/>
      <c r="GQ798" s="728"/>
      <c r="GR798" s="728"/>
    </row>
    <row r="799" spans="1:200">
      <c r="A799" s="634"/>
      <c r="GP799" s="728"/>
      <c r="GQ799" s="728"/>
      <c r="GR799" s="728"/>
    </row>
    <row r="800" spans="1:200">
      <c r="A800" s="634"/>
      <c r="GP800" s="728"/>
      <c r="GQ800" s="728"/>
      <c r="GR800" s="728"/>
    </row>
    <row r="801" spans="1:200">
      <c r="A801" s="634"/>
      <c r="GP801" s="728"/>
      <c r="GQ801" s="728"/>
      <c r="GR801" s="728"/>
    </row>
    <row r="802" spans="1:200">
      <c r="A802" s="634"/>
      <c r="GP802" s="728"/>
      <c r="GQ802" s="728"/>
      <c r="GR802" s="728"/>
    </row>
    <row r="803" spans="1:200">
      <c r="A803" s="634"/>
      <c r="GP803" s="728"/>
      <c r="GQ803" s="728"/>
      <c r="GR803" s="728"/>
    </row>
    <row r="804" spans="1:200">
      <c r="A804" s="634"/>
      <c r="GP804" s="728"/>
      <c r="GQ804" s="728"/>
      <c r="GR804" s="728"/>
    </row>
    <row r="805" spans="1:200">
      <c r="A805" s="634"/>
      <c r="GP805" s="728"/>
      <c r="GQ805" s="728"/>
      <c r="GR805" s="728"/>
    </row>
    <row r="806" spans="1:200">
      <c r="A806" s="634"/>
      <c r="GP806" s="728"/>
      <c r="GQ806" s="728"/>
      <c r="GR806" s="728"/>
    </row>
    <row r="807" spans="1:200">
      <c r="A807" s="634"/>
      <c r="GP807" s="728"/>
      <c r="GQ807" s="728"/>
      <c r="GR807" s="728"/>
    </row>
    <row r="808" spans="1:200">
      <c r="A808" s="634"/>
      <c r="GP808" s="728"/>
      <c r="GQ808" s="728"/>
      <c r="GR808" s="728"/>
    </row>
    <row r="809" spans="1:200">
      <c r="A809" s="634"/>
      <c r="GP809" s="728"/>
      <c r="GQ809" s="728"/>
      <c r="GR809" s="728"/>
    </row>
    <row r="810" spans="1:200">
      <c r="A810" s="634"/>
      <c r="GP810" s="728"/>
      <c r="GQ810" s="728"/>
      <c r="GR810" s="728"/>
    </row>
    <row r="811" spans="1:200">
      <c r="A811" s="634"/>
      <c r="GP811" s="728"/>
      <c r="GQ811" s="728"/>
      <c r="GR811" s="728"/>
    </row>
    <row r="812" spans="1:200">
      <c r="A812" s="634"/>
      <c r="GP812" s="728"/>
      <c r="GQ812" s="728"/>
      <c r="GR812" s="728"/>
    </row>
    <row r="813" spans="1:200">
      <c r="A813" s="634"/>
      <c r="GP813" s="728"/>
      <c r="GQ813" s="728"/>
      <c r="GR813" s="728"/>
    </row>
    <row r="814" spans="1:200">
      <c r="A814" s="634"/>
      <c r="GP814" s="728"/>
      <c r="GQ814" s="728"/>
      <c r="GR814" s="728"/>
    </row>
    <row r="815" spans="1:200">
      <c r="A815" s="634"/>
      <c r="GP815" s="728"/>
      <c r="GQ815" s="728"/>
      <c r="GR815" s="728"/>
    </row>
    <row r="816" spans="1:200">
      <c r="A816" s="634"/>
      <c r="GP816" s="728"/>
      <c r="GQ816" s="728"/>
      <c r="GR816" s="728"/>
    </row>
    <row r="817" spans="1:200">
      <c r="A817" s="634"/>
      <c r="GP817" s="728"/>
      <c r="GQ817" s="728"/>
      <c r="GR817" s="728"/>
    </row>
    <row r="818" spans="1:200">
      <c r="A818" s="634"/>
      <c r="GP818" s="728"/>
      <c r="GQ818" s="728"/>
      <c r="GR818" s="728"/>
    </row>
    <row r="819" spans="1:200">
      <c r="A819" s="634"/>
      <c r="GP819" s="728"/>
      <c r="GQ819" s="728"/>
      <c r="GR819" s="728"/>
    </row>
    <row r="820" spans="1:200">
      <c r="A820" s="634"/>
      <c r="GP820" s="728"/>
      <c r="GQ820" s="728"/>
      <c r="GR820" s="728"/>
    </row>
    <row r="821" spans="1:200">
      <c r="A821" s="634"/>
      <c r="GP821" s="728"/>
      <c r="GQ821" s="728"/>
      <c r="GR821" s="728"/>
    </row>
    <row r="822" spans="1:200">
      <c r="A822" s="634"/>
      <c r="GP822" s="728"/>
      <c r="GQ822" s="728"/>
      <c r="GR822" s="728"/>
    </row>
    <row r="823" spans="1:200">
      <c r="A823" s="634"/>
      <c r="GP823" s="728"/>
      <c r="GQ823" s="728"/>
      <c r="GR823" s="728"/>
    </row>
    <row r="824" spans="1:200">
      <c r="A824" s="634"/>
      <c r="GP824" s="728"/>
      <c r="GQ824" s="728"/>
      <c r="GR824" s="728"/>
    </row>
    <row r="825" spans="1:200">
      <c r="A825" s="634"/>
      <c r="GP825" s="728"/>
      <c r="GQ825" s="728"/>
      <c r="GR825" s="728"/>
    </row>
    <row r="826" spans="1:200">
      <c r="A826" s="634"/>
      <c r="GP826" s="728"/>
      <c r="GQ826" s="728"/>
      <c r="GR826" s="728"/>
    </row>
    <row r="827" spans="1:200">
      <c r="A827" s="634"/>
      <c r="GP827" s="728"/>
      <c r="GQ827" s="728"/>
      <c r="GR827" s="728"/>
    </row>
    <row r="828" spans="1:200">
      <c r="A828" s="634"/>
      <c r="GP828" s="728"/>
      <c r="GQ828" s="728"/>
      <c r="GR828" s="728"/>
    </row>
    <row r="829" spans="1:200">
      <c r="A829" s="634"/>
      <c r="GP829" s="728"/>
      <c r="GQ829" s="728"/>
      <c r="GR829" s="728"/>
    </row>
    <row r="830" spans="1:200">
      <c r="A830" s="634"/>
      <c r="GP830" s="728"/>
      <c r="GQ830" s="728"/>
      <c r="GR830" s="728"/>
    </row>
    <row r="831" spans="1:200">
      <c r="A831" s="634"/>
      <c r="GP831" s="728"/>
      <c r="GQ831" s="728"/>
      <c r="GR831" s="728"/>
    </row>
    <row r="832" spans="1:200">
      <c r="A832" s="634"/>
      <c r="GP832" s="728"/>
      <c r="GQ832" s="728"/>
      <c r="GR832" s="728"/>
    </row>
    <row r="833" spans="1:200">
      <c r="A833" s="634"/>
      <c r="GP833" s="728"/>
      <c r="GQ833" s="728"/>
      <c r="GR833" s="728"/>
    </row>
    <row r="834" spans="1:200">
      <c r="A834" s="634"/>
      <c r="GP834" s="728"/>
      <c r="GQ834" s="728"/>
      <c r="GR834" s="728"/>
    </row>
    <row r="835" spans="1:200">
      <c r="A835" s="634"/>
      <c r="GP835" s="728"/>
      <c r="GQ835" s="728"/>
      <c r="GR835" s="728"/>
    </row>
    <row r="836" spans="1:200">
      <c r="A836" s="634"/>
      <c r="GP836" s="728"/>
      <c r="GQ836" s="728"/>
      <c r="GR836" s="728"/>
    </row>
    <row r="837" spans="1:200">
      <c r="A837" s="634"/>
      <c r="GP837" s="728"/>
      <c r="GQ837" s="728"/>
      <c r="GR837" s="728"/>
    </row>
    <row r="838" spans="1:200">
      <c r="A838" s="634"/>
      <c r="GP838" s="728"/>
      <c r="GQ838" s="728"/>
      <c r="GR838" s="728"/>
    </row>
    <row r="839" spans="1:200">
      <c r="A839" s="634"/>
      <c r="GP839" s="728"/>
      <c r="GQ839" s="728"/>
      <c r="GR839" s="728"/>
    </row>
    <row r="840" spans="1:200">
      <c r="A840" s="634"/>
      <c r="GP840" s="728"/>
      <c r="GQ840" s="728"/>
      <c r="GR840" s="728"/>
    </row>
    <row r="841" spans="1:200">
      <c r="A841" s="634"/>
      <c r="GP841" s="728"/>
      <c r="GQ841" s="728"/>
      <c r="GR841" s="728"/>
    </row>
    <row r="842" spans="1:200">
      <c r="A842" s="634"/>
      <c r="GP842" s="728"/>
      <c r="GQ842" s="728"/>
      <c r="GR842" s="728"/>
    </row>
    <row r="843" spans="1:200">
      <c r="A843" s="634"/>
      <c r="GP843" s="728"/>
      <c r="GQ843" s="728"/>
      <c r="GR843" s="728"/>
    </row>
    <row r="844" spans="1:200">
      <c r="A844" s="634"/>
      <c r="GP844" s="728"/>
      <c r="GQ844" s="728"/>
      <c r="GR844" s="728"/>
    </row>
    <row r="845" spans="1:200">
      <c r="A845" s="634"/>
      <c r="GP845" s="728"/>
      <c r="GQ845" s="728"/>
      <c r="GR845" s="728"/>
    </row>
    <row r="846" spans="1:200">
      <c r="A846" s="634"/>
      <c r="GP846" s="728"/>
      <c r="GQ846" s="728"/>
      <c r="GR846" s="728"/>
    </row>
    <row r="847" spans="1:200">
      <c r="A847" s="634"/>
      <c r="GP847" s="728"/>
      <c r="GQ847" s="728"/>
      <c r="GR847" s="728"/>
    </row>
    <row r="848" spans="1:200">
      <c r="A848" s="634"/>
      <c r="GP848" s="728"/>
      <c r="GQ848" s="728"/>
      <c r="GR848" s="728"/>
    </row>
    <row r="849" spans="1:200">
      <c r="A849" s="634"/>
      <c r="GP849" s="728"/>
      <c r="GQ849" s="728"/>
      <c r="GR849" s="728"/>
    </row>
    <row r="850" spans="1:200">
      <c r="A850" s="634"/>
      <c r="GP850" s="728"/>
      <c r="GQ850" s="728"/>
      <c r="GR850" s="728"/>
    </row>
    <row r="851" spans="1:200">
      <c r="A851" s="634"/>
      <c r="GP851" s="728"/>
      <c r="GQ851" s="728"/>
      <c r="GR851" s="728"/>
    </row>
    <row r="852" spans="1:200">
      <c r="A852" s="634"/>
      <c r="GP852" s="728"/>
      <c r="GQ852" s="728"/>
      <c r="GR852" s="728"/>
    </row>
    <row r="853" spans="1:200">
      <c r="A853" s="634"/>
      <c r="GP853" s="728"/>
      <c r="GQ853" s="728"/>
      <c r="GR853" s="728"/>
    </row>
    <row r="854" spans="1:200">
      <c r="A854" s="634"/>
      <c r="GP854" s="728"/>
      <c r="GQ854" s="728"/>
      <c r="GR854" s="728"/>
    </row>
    <row r="855" spans="1:200">
      <c r="A855" s="634"/>
      <c r="GP855" s="728"/>
      <c r="GQ855" s="728"/>
      <c r="GR855" s="728"/>
    </row>
    <row r="856" spans="1:200">
      <c r="A856" s="634"/>
      <c r="GP856" s="728"/>
      <c r="GQ856" s="728"/>
      <c r="GR856" s="728"/>
    </row>
    <row r="857" spans="1:200">
      <c r="A857" s="634"/>
      <c r="GP857" s="728"/>
      <c r="GQ857" s="728"/>
      <c r="GR857" s="728"/>
    </row>
    <row r="858" spans="1:200">
      <c r="A858" s="634"/>
      <c r="GP858" s="728"/>
      <c r="GQ858" s="728"/>
      <c r="GR858" s="728"/>
    </row>
    <row r="859" spans="1:200">
      <c r="A859" s="634"/>
      <c r="GP859" s="728"/>
      <c r="GQ859" s="728"/>
      <c r="GR859" s="728"/>
    </row>
    <row r="860" spans="1:200">
      <c r="A860" s="634"/>
      <c r="GP860" s="728"/>
      <c r="GQ860" s="728"/>
      <c r="GR860" s="728"/>
    </row>
    <row r="861" spans="1:200">
      <c r="A861" s="634"/>
      <c r="GP861" s="728"/>
      <c r="GQ861" s="728"/>
      <c r="GR861" s="728"/>
    </row>
    <row r="862" spans="1:200">
      <c r="A862" s="634"/>
      <c r="GP862" s="728"/>
      <c r="GQ862" s="728"/>
      <c r="GR862" s="728"/>
    </row>
    <row r="863" spans="1:200">
      <c r="A863" s="634"/>
      <c r="GP863" s="728"/>
      <c r="GQ863" s="728"/>
      <c r="GR863" s="728"/>
    </row>
    <row r="864" spans="1:200">
      <c r="A864" s="634"/>
      <c r="GP864" s="728"/>
      <c r="GQ864" s="728"/>
      <c r="GR864" s="728"/>
    </row>
    <row r="865" spans="1:200">
      <c r="A865" s="634"/>
      <c r="GP865" s="728"/>
      <c r="GQ865" s="728"/>
      <c r="GR865" s="728"/>
    </row>
    <row r="866" spans="1:200">
      <c r="A866" s="634"/>
      <c r="GP866" s="728"/>
      <c r="GQ866" s="728"/>
      <c r="GR866" s="728"/>
    </row>
    <row r="867" spans="1:200">
      <c r="A867" s="634"/>
      <c r="GP867" s="728"/>
      <c r="GQ867" s="728"/>
      <c r="GR867" s="728"/>
    </row>
    <row r="868" spans="1:200">
      <c r="A868" s="634"/>
      <c r="GP868" s="728"/>
      <c r="GQ868" s="728"/>
      <c r="GR868" s="728"/>
    </row>
    <row r="869" spans="1:200">
      <c r="A869" s="634"/>
      <c r="GP869" s="728"/>
      <c r="GQ869" s="728"/>
      <c r="GR869" s="728"/>
    </row>
    <row r="870" spans="1:200">
      <c r="A870" s="634"/>
      <c r="GP870" s="728"/>
      <c r="GQ870" s="728"/>
      <c r="GR870" s="728"/>
    </row>
    <row r="871" spans="1:200">
      <c r="A871" s="634"/>
      <c r="GP871" s="728"/>
      <c r="GQ871" s="728"/>
      <c r="GR871" s="728"/>
    </row>
    <row r="872" spans="1:200">
      <c r="A872" s="634"/>
      <c r="GP872" s="728"/>
      <c r="GQ872" s="728"/>
      <c r="GR872" s="728"/>
    </row>
    <row r="873" spans="1:200">
      <c r="A873" s="634"/>
      <c r="GP873" s="728"/>
      <c r="GQ873" s="728"/>
      <c r="GR873" s="728"/>
    </row>
    <row r="874" spans="1:200">
      <c r="A874" s="634"/>
      <c r="GP874" s="728"/>
      <c r="GQ874" s="728"/>
      <c r="GR874" s="728"/>
    </row>
    <row r="875" spans="1:200">
      <c r="A875" s="634"/>
      <c r="GP875" s="728"/>
      <c r="GQ875" s="728"/>
      <c r="GR875" s="728"/>
    </row>
    <row r="876" spans="1:200">
      <c r="A876" s="634"/>
      <c r="GP876" s="728"/>
      <c r="GQ876" s="728"/>
      <c r="GR876" s="728"/>
    </row>
    <row r="877" spans="1:200">
      <c r="A877" s="634"/>
      <c r="GP877" s="728"/>
      <c r="GQ877" s="728"/>
      <c r="GR877" s="728"/>
    </row>
    <row r="878" spans="1:200">
      <c r="A878" s="634"/>
      <c r="GP878" s="728"/>
      <c r="GQ878" s="728"/>
      <c r="GR878" s="728"/>
    </row>
    <row r="879" spans="1:200">
      <c r="A879" s="634"/>
      <c r="GP879" s="728"/>
      <c r="GQ879" s="728"/>
      <c r="GR879" s="728"/>
    </row>
    <row r="880" spans="1:200">
      <c r="A880" s="634"/>
      <c r="GP880" s="728"/>
      <c r="GQ880" s="728"/>
      <c r="GR880" s="728"/>
    </row>
    <row r="881" spans="1:200">
      <c r="A881" s="634"/>
      <c r="GP881" s="728"/>
      <c r="GQ881" s="728"/>
      <c r="GR881" s="728"/>
    </row>
    <row r="882" spans="1:200">
      <c r="A882" s="634"/>
      <c r="GP882" s="728"/>
      <c r="GQ882" s="728"/>
      <c r="GR882" s="728"/>
    </row>
    <row r="883" spans="1:200">
      <c r="A883" s="634"/>
      <c r="GP883" s="728"/>
      <c r="GQ883" s="728"/>
      <c r="GR883" s="728"/>
    </row>
    <row r="884" spans="1:200">
      <c r="A884" s="634"/>
      <c r="GP884" s="728"/>
      <c r="GQ884" s="728"/>
      <c r="GR884" s="728"/>
    </row>
    <row r="885" spans="1:200">
      <c r="A885" s="634"/>
      <c r="GP885" s="728"/>
      <c r="GQ885" s="728"/>
      <c r="GR885" s="728"/>
    </row>
    <row r="886" spans="1:200">
      <c r="A886" s="634"/>
      <c r="GP886" s="728"/>
      <c r="GQ886" s="728"/>
      <c r="GR886" s="728"/>
    </row>
    <row r="887" spans="1:200">
      <c r="A887" s="634"/>
      <c r="GP887" s="728"/>
      <c r="GQ887" s="728"/>
      <c r="GR887" s="728"/>
    </row>
    <row r="888" spans="1:200">
      <c r="A888" s="634"/>
      <c r="GP888" s="728"/>
      <c r="GQ888" s="728"/>
      <c r="GR888" s="728"/>
    </row>
    <row r="889" spans="1:200">
      <c r="A889" s="634"/>
      <c r="GP889" s="728"/>
      <c r="GQ889" s="728"/>
      <c r="GR889" s="728"/>
    </row>
    <row r="890" spans="1:200">
      <c r="A890" s="634"/>
      <c r="GP890" s="728"/>
      <c r="GQ890" s="728"/>
      <c r="GR890" s="728"/>
    </row>
    <row r="891" spans="1:200">
      <c r="A891" s="634"/>
      <c r="GP891" s="728"/>
      <c r="GQ891" s="728"/>
      <c r="GR891" s="728"/>
    </row>
    <row r="892" spans="1:200">
      <c r="A892" s="634"/>
      <c r="GP892" s="728"/>
      <c r="GQ892" s="728"/>
      <c r="GR892" s="728"/>
    </row>
    <row r="893" spans="1:200">
      <c r="A893" s="634"/>
      <c r="GP893" s="728"/>
      <c r="GQ893" s="728"/>
      <c r="GR893" s="728"/>
    </row>
    <row r="894" spans="1:200">
      <c r="A894" s="634"/>
      <c r="GP894" s="728"/>
      <c r="GQ894" s="728"/>
      <c r="GR894" s="728"/>
    </row>
    <row r="895" spans="1:200">
      <c r="A895" s="634"/>
      <c r="GP895" s="728"/>
      <c r="GQ895" s="728"/>
      <c r="GR895" s="728"/>
    </row>
    <row r="896" spans="1:200">
      <c r="A896" s="634"/>
      <c r="GP896" s="728"/>
      <c r="GQ896" s="728"/>
      <c r="GR896" s="728"/>
    </row>
    <row r="897" spans="1:200">
      <c r="A897" s="634"/>
      <c r="GP897" s="728"/>
      <c r="GQ897" s="728"/>
      <c r="GR897" s="728"/>
    </row>
    <row r="898" spans="1:200">
      <c r="A898" s="634"/>
      <c r="GP898" s="728"/>
      <c r="GQ898" s="728"/>
      <c r="GR898" s="728"/>
    </row>
    <row r="899" spans="1:200">
      <c r="A899" s="634"/>
      <c r="GP899" s="728"/>
      <c r="GQ899" s="728"/>
      <c r="GR899" s="728"/>
    </row>
    <row r="900" spans="1:200">
      <c r="A900" s="634"/>
      <c r="GP900" s="728"/>
      <c r="GQ900" s="728"/>
      <c r="GR900" s="728"/>
    </row>
    <row r="901" spans="1:200">
      <c r="A901" s="634"/>
      <c r="GP901" s="728"/>
      <c r="GQ901" s="728"/>
      <c r="GR901" s="728"/>
    </row>
    <row r="902" spans="1:200">
      <c r="A902" s="634"/>
      <c r="GP902" s="728"/>
      <c r="GQ902" s="728"/>
      <c r="GR902" s="728"/>
    </row>
    <row r="903" spans="1:200">
      <c r="A903" s="634"/>
      <c r="GP903" s="728"/>
      <c r="GQ903" s="728"/>
      <c r="GR903" s="728"/>
    </row>
    <row r="904" spans="1:200">
      <c r="A904" s="634"/>
      <c r="GP904" s="728"/>
      <c r="GQ904" s="728"/>
      <c r="GR904" s="728"/>
    </row>
    <row r="905" spans="1:200">
      <c r="A905" s="634"/>
      <c r="GP905" s="728"/>
      <c r="GQ905" s="728"/>
      <c r="GR905" s="728"/>
    </row>
    <row r="906" spans="1:200">
      <c r="A906" s="634"/>
      <c r="GP906" s="728"/>
      <c r="GQ906" s="728"/>
      <c r="GR906" s="728"/>
    </row>
    <row r="907" spans="1:200">
      <c r="A907" s="634"/>
      <c r="GP907" s="728"/>
      <c r="GQ907" s="728"/>
      <c r="GR907" s="728"/>
    </row>
    <row r="908" spans="1:200">
      <c r="A908" s="634"/>
      <c r="GP908" s="728"/>
      <c r="GQ908" s="728"/>
      <c r="GR908" s="728"/>
    </row>
    <row r="909" spans="1:200">
      <c r="A909" s="634"/>
      <c r="GP909" s="728"/>
      <c r="GQ909" s="728"/>
      <c r="GR909" s="728"/>
    </row>
    <row r="910" spans="1:200">
      <c r="A910" s="634"/>
      <c r="GP910" s="728"/>
      <c r="GQ910" s="728"/>
      <c r="GR910" s="728"/>
    </row>
    <row r="911" spans="1:200">
      <c r="A911" s="634"/>
      <c r="GP911" s="728"/>
      <c r="GQ911" s="728"/>
      <c r="GR911" s="728"/>
    </row>
    <row r="912" spans="1:200">
      <c r="A912" s="634"/>
      <c r="GP912" s="728"/>
      <c r="GQ912" s="728"/>
      <c r="GR912" s="728"/>
    </row>
    <row r="913" spans="1:200">
      <c r="A913" s="634"/>
      <c r="GP913" s="728"/>
      <c r="GQ913" s="728"/>
      <c r="GR913" s="728"/>
    </row>
    <row r="914" spans="1:200">
      <c r="A914" s="634"/>
      <c r="GP914" s="728"/>
      <c r="GQ914" s="728"/>
      <c r="GR914" s="728"/>
    </row>
    <row r="915" spans="1:200">
      <c r="A915" s="634"/>
      <c r="GP915" s="728"/>
      <c r="GQ915" s="728"/>
      <c r="GR915" s="728"/>
    </row>
    <row r="916" spans="1:200">
      <c r="A916" s="634"/>
      <c r="GP916" s="728"/>
      <c r="GQ916" s="728"/>
      <c r="GR916" s="728"/>
    </row>
    <row r="917" spans="1:200">
      <c r="A917" s="634"/>
      <c r="GP917" s="728"/>
      <c r="GQ917" s="728"/>
      <c r="GR917" s="728"/>
    </row>
    <row r="918" spans="1:200">
      <c r="A918" s="634"/>
      <c r="GP918" s="728"/>
      <c r="GQ918" s="728"/>
      <c r="GR918" s="728"/>
    </row>
    <row r="919" spans="1:200">
      <c r="A919" s="634"/>
      <c r="GP919" s="728"/>
      <c r="GQ919" s="728"/>
      <c r="GR919" s="728"/>
    </row>
    <row r="920" spans="1:200">
      <c r="A920" s="634"/>
      <c r="GP920" s="728"/>
      <c r="GQ920" s="728"/>
      <c r="GR920" s="728"/>
    </row>
    <row r="921" spans="1:200">
      <c r="A921" s="634"/>
      <c r="GP921" s="728"/>
      <c r="GQ921" s="728"/>
      <c r="GR921" s="728"/>
    </row>
    <row r="922" spans="1:200">
      <c r="A922" s="634"/>
      <c r="GP922" s="728"/>
      <c r="GQ922" s="728"/>
      <c r="GR922" s="728"/>
    </row>
    <row r="923" spans="1:200">
      <c r="A923" s="634"/>
      <c r="GP923" s="728"/>
      <c r="GQ923" s="728"/>
      <c r="GR923" s="728"/>
    </row>
    <row r="924" spans="1:200">
      <c r="A924" s="634"/>
      <c r="GP924" s="728"/>
      <c r="GQ924" s="728"/>
      <c r="GR924" s="728"/>
    </row>
    <row r="925" spans="1:200">
      <c r="A925" s="634"/>
      <c r="GP925" s="728"/>
      <c r="GQ925" s="728"/>
      <c r="GR925" s="728"/>
    </row>
    <row r="926" spans="1:200">
      <c r="A926" s="634"/>
      <c r="GP926" s="728"/>
      <c r="GQ926" s="728"/>
      <c r="GR926" s="728"/>
    </row>
    <row r="927" spans="1:200">
      <c r="A927" s="634"/>
      <c r="GP927" s="728"/>
      <c r="GQ927" s="728"/>
      <c r="GR927" s="728"/>
    </row>
    <row r="928" spans="1:200">
      <c r="A928" s="634"/>
      <c r="GP928" s="728"/>
      <c r="GQ928" s="728"/>
      <c r="GR928" s="728"/>
    </row>
    <row r="929" spans="1:200">
      <c r="A929" s="634"/>
      <c r="GP929" s="728"/>
      <c r="GQ929" s="728"/>
      <c r="GR929" s="728"/>
    </row>
    <row r="930" spans="1:200">
      <c r="A930" s="634"/>
      <c r="GP930" s="728"/>
      <c r="GQ930" s="728"/>
      <c r="GR930" s="728"/>
    </row>
    <row r="931" spans="1:200">
      <c r="A931" s="634"/>
      <c r="GP931" s="728"/>
      <c r="GQ931" s="728"/>
      <c r="GR931" s="728"/>
    </row>
    <row r="932" spans="1:200">
      <c r="A932" s="634"/>
      <c r="GP932" s="728"/>
      <c r="GQ932" s="728"/>
      <c r="GR932" s="728"/>
    </row>
    <row r="933" spans="1:200">
      <c r="A933" s="634"/>
      <c r="GP933" s="728"/>
      <c r="GQ933" s="728"/>
      <c r="GR933" s="728"/>
    </row>
    <row r="934" spans="1:200">
      <c r="A934" s="634"/>
      <c r="GP934" s="728"/>
      <c r="GQ934" s="728"/>
      <c r="GR934" s="728"/>
    </row>
    <row r="935" spans="1:200">
      <c r="A935" s="634"/>
      <c r="GP935" s="728"/>
      <c r="GQ935" s="728"/>
      <c r="GR935" s="728"/>
    </row>
    <row r="936" spans="1:200">
      <c r="A936" s="634"/>
      <c r="GP936" s="728"/>
      <c r="GQ936" s="728"/>
      <c r="GR936" s="728"/>
    </row>
    <row r="937" spans="1:200">
      <c r="A937" s="634"/>
      <c r="GP937" s="728"/>
      <c r="GQ937" s="728"/>
      <c r="GR937" s="728"/>
    </row>
    <row r="938" spans="1:200">
      <c r="A938" s="634"/>
      <c r="GP938" s="728"/>
      <c r="GQ938" s="728"/>
      <c r="GR938" s="728"/>
    </row>
    <row r="939" spans="1:200">
      <c r="A939" s="634"/>
      <c r="GP939" s="728"/>
      <c r="GQ939" s="728"/>
      <c r="GR939" s="728"/>
    </row>
    <row r="940" spans="1:200">
      <c r="A940" s="634"/>
      <c r="GP940" s="728"/>
      <c r="GQ940" s="728"/>
      <c r="GR940" s="728"/>
    </row>
    <row r="941" spans="1:200">
      <c r="A941" s="634"/>
      <c r="GP941" s="728"/>
      <c r="GQ941" s="728"/>
      <c r="GR941" s="728"/>
    </row>
    <row r="942" spans="1:200">
      <c r="A942" s="634"/>
      <c r="GP942" s="728"/>
      <c r="GQ942" s="728"/>
      <c r="GR942" s="728"/>
    </row>
    <row r="943" spans="1:200">
      <c r="A943" s="634"/>
      <c r="GP943" s="728"/>
      <c r="GQ943" s="728"/>
      <c r="GR943" s="728"/>
    </row>
    <row r="944" spans="1:200">
      <c r="A944" s="634"/>
      <c r="GP944" s="728"/>
      <c r="GQ944" s="728"/>
      <c r="GR944" s="728"/>
    </row>
    <row r="945" spans="1:200">
      <c r="A945" s="634"/>
      <c r="GP945" s="728"/>
      <c r="GQ945" s="728"/>
      <c r="GR945" s="728"/>
    </row>
    <row r="946" spans="1:200">
      <c r="A946" s="634"/>
      <c r="GP946" s="728"/>
      <c r="GQ946" s="728"/>
      <c r="GR946" s="728"/>
    </row>
    <row r="947" spans="1:200">
      <c r="A947" s="634"/>
      <c r="GP947" s="728"/>
      <c r="GQ947" s="728"/>
      <c r="GR947" s="728"/>
    </row>
    <row r="948" spans="1:200">
      <c r="A948" s="634"/>
      <c r="GP948" s="728"/>
      <c r="GQ948" s="728"/>
      <c r="GR948" s="728"/>
    </row>
    <row r="949" spans="1:200">
      <c r="A949" s="634"/>
      <c r="GP949" s="728"/>
      <c r="GQ949" s="728"/>
      <c r="GR949" s="728"/>
    </row>
    <row r="950" spans="1:200">
      <c r="A950" s="634"/>
      <c r="GP950" s="728"/>
      <c r="GQ950" s="728"/>
      <c r="GR950" s="728"/>
    </row>
    <row r="951" spans="1:200">
      <c r="A951" s="634"/>
      <c r="GP951" s="728"/>
      <c r="GQ951" s="728"/>
      <c r="GR951" s="728"/>
    </row>
    <row r="952" spans="1:200">
      <c r="A952" s="634"/>
      <c r="GP952" s="728"/>
      <c r="GQ952" s="728"/>
      <c r="GR952" s="728"/>
    </row>
    <row r="953" spans="1:200">
      <c r="A953" s="634"/>
      <c r="GP953" s="728"/>
      <c r="GQ953" s="728"/>
      <c r="GR953" s="728"/>
    </row>
    <row r="954" spans="1:200">
      <c r="A954" s="634"/>
      <c r="GP954" s="728"/>
      <c r="GQ954" s="728"/>
      <c r="GR954" s="728"/>
    </row>
    <row r="955" spans="1:200">
      <c r="A955" s="634"/>
      <c r="GP955" s="728"/>
      <c r="GQ955" s="728"/>
      <c r="GR955" s="728"/>
    </row>
    <row r="956" spans="1:200">
      <c r="A956" s="634"/>
      <c r="GP956" s="728"/>
      <c r="GQ956" s="728"/>
      <c r="GR956" s="728"/>
    </row>
    <row r="957" spans="1:200">
      <c r="A957" s="634"/>
      <c r="GP957" s="728"/>
      <c r="GQ957" s="728"/>
      <c r="GR957" s="728"/>
    </row>
    <row r="958" spans="1:200">
      <c r="A958" s="634"/>
      <c r="GP958" s="728"/>
      <c r="GQ958" s="728"/>
      <c r="GR958" s="728"/>
    </row>
    <row r="959" spans="1:200">
      <c r="A959" s="634"/>
      <c r="GP959" s="728"/>
      <c r="GQ959" s="728"/>
      <c r="GR959" s="728"/>
    </row>
    <row r="960" spans="1:200">
      <c r="A960" s="634"/>
      <c r="GP960" s="728"/>
      <c r="GQ960" s="728"/>
      <c r="GR960" s="728"/>
    </row>
    <row r="961" spans="1:200">
      <c r="A961" s="634"/>
      <c r="GP961" s="728"/>
      <c r="GQ961" s="728"/>
      <c r="GR961" s="728"/>
    </row>
    <row r="962" spans="1:200">
      <c r="A962" s="634"/>
      <c r="GP962" s="728"/>
      <c r="GQ962" s="728"/>
      <c r="GR962" s="728"/>
    </row>
    <row r="963" spans="1:200">
      <c r="A963" s="634"/>
      <c r="GP963" s="728"/>
      <c r="GQ963" s="728"/>
      <c r="GR963" s="728"/>
    </row>
    <row r="964" spans="1:200">
      <c r="A964" s="634"/>
      <c r="GP964" s="728"/>
      <c r="GQ964" s="728"/>
      <c r="GR964" s="728"/>
    </row>
    <row r="965" spans="1:200">
      <c r="A965" s="634"/>
      <c r="GP965" s="728"/>
      <c r="GQ965" s="728"/>
      <c r="GR965" s="728"/>
    </row>
    <row r="966" spans="1:200">
      <c r="A966" s="634"/>
      <c r="GP966" s="728"/>
      <c r="GQ966" s="728"/>
      <c r="GR966" s="728"/>
    </row>
    <row r="967" spans="1:200">
      <c r="A967" s="634"/>
      <c r="GP967" s="728"/>
      <c r="GQ967" s="728"/>
      <c r="GR967" s="728"/>
    </row>
    <row r="968" spans="1:200">
      <c r="A968" s="634"/>
      <c r="GP968" s="728"/>
      <c r="GQ968" s="728"/>
      <c r="GR968" s="728"/>
    </row>
    <row r="969" spans="1:200">
      <c r="A969" s="634"/>
      <c r="GP969" s="728"/>
      <c r="GQ969" s="728"/>
      <c r="GR969" s="728"/>
    </row>
    <row r="970" spans="1:200">
      <c r="A970" s="634"/>
      <c r="GP970" s="728"/>
      <c r="GQ970" s="728"/>
      <c r="GR970" s="728"/>
    </row>
    <row r="971" spans="1:200">
      <c r="A971" s="634"/>
      <c r="GP971" s="728"/>
      <c r="GQ971" s="728"/>
      <c r="GR971" s="728"/>
    </row>
    <row r="972" spans="1:200">
      <c r="A972" s="634"/>
      <c r="GP972" s="728"/>
      <c r="GQ972" s="728"/>
      <c r="GR972" s="728"/>
    </row>
    <row r="973" spans="1:200">
      <c r="A973" s="634"/>
      <c r="GP973" s="728"/>
      <c r="GQ973" s="728"/>
      <c r="GR973" s="728"/>
    </row>
    <row r="974" spans="1:200">
      <c r="A974" s="634"/>
      <c r="GP974" s="728"/>
      <c r="GQ974" s="728"/>
      <c r="GR974" s="728"/>
    </row>
    <row r="975" spans="1:200">
      <c r="A975" s="634"/>
      <c r="GP975" s="728"/>
      <c r="GQ975" s="728"/>
      <c r="GR975" s="728"/>
    </row>
    <row r="976" spans="1:200">
      <c r="A976" s="634"/>
      <c r="GP976" s="728"/>
      <c r="GQ976" s="728"/>
      <c r="GR976" s="728"/>
    </row>
    <row r="977" spans="1:200">
      <c r="A977" s="634"/>
      <c r="GP977" s="728"/>
      <c r="GQ977" s="728"/>
      <c r="GR977" s="728"/>
    </row>
    <row r="978" spans="1:200">
      <c r="A978" s="634"/>
      <c r="GP978" s="728"/>
      <c r="GQ978" s="728"/>
      <c r="GR978" s="728"/>
    </row>
    <row r="979" spans="1:200">
      <c r="A979" s="634"/>
      <c r="GP979" s="728"/>
      <c r="GQ979" s="728"/>
      <c r="GR979" s="728"/>
    </row>
    <row r="980" spans="1:200">
      <c r="A980" s="634"/>
      <c r="GP980" s="728"/>
      <c r="GQ980" s="728"/>
      <c r="GR980" s="728"/>
    </row>
    <row r="981" spans="1:200">
      <c r="A981" s="634"/>
      <c r="GP981" s="728"/>
      <c r="GQ981" s="728"/>
      <c r="GR981" s="728"/>
    </row>
    <row r="982" spans="1:200">
      <c r="A982" s="634"/>
      <c r="GP982" s="728"/>
      <c r="GQ982" s="728"/>
      <c r="GR982" s="728"/>
    </row>
    <row r="983" spans="1:200">
      <c r="A983" s="634"/>
      <c r="GP983" s="728"/>
      <c r="GQ983" s="728"/>
      <c r="GR983" s="728"/>
    </row>
    <row r="984" spans="1:200">
      <c r="A984" s="634"/>
      <c r="GP984" s="728"/>
      <c r="GQ984" s="728"/>
      <c r="GR984" s="728"/>
    </row>
    <row r="985" spans="1:200">
      <c r="A985" s="634"/>
      <c r="GP985" s="728"/>
      <c r="GQ985" s="728"/>
      <c r="GR985" s="728"/>
    </row>
    <row r="986" spans="1:200">
      <c r="A986" s="634"/>
      <c r="GP986" s="728"/>
      <c r="GQ986" s="728"/>
      <c r="GR986" s="728"/>
    </row>
    <row r="987" spans="1:200">
      <c r="A987" s="634"/>
      <c r="GP987" s="728"/>
      <c r="GQ987" s="728"/>
      <c r="GR987" s="728"/>
    </row>
    <row r="988" spans="1:200">
      <c r="A988" s="634"/>
      <c r="GP988" s="728"/>
      <c r="GQ988" s="728"/>
      <c r="GR988" s="728"/>
    </row>
    <row r="989" spans="1:200">
      <c r="A989" s="634"/>
      <c r="GP989" s="728"/>
      <c r="GQ989" s="728"/>
      <c r="GR989" s="728"/>
    </row>
    <row r="990" spans="1:200">
      <c r="A990" s="634"/>
      <c r="GP990" s="728"/>
      <c r="GQ990" s="728"/>
      <c r="GR990" s="728"/>
    </row>
    <row r="991" spans="1:200">
      <c r="A991" s="634"/>
      <c r="GP991" s="728"/>
      <c r="GQ991" s="728"/>
      <c r="GR991" s="728"/>
    </row>
    <row r="992" spans="1:200">
      <c r="A992" s="634"/>
      <c r="GP992" s="728"/>
      <c r="GQ992" s="728"/>
      <c r="GR992" s="728"/>
    </row>
    <row r="993" spans="1:200">
      <c r="A993" s="634"/>
      <c r="GP993" s="728"/>
      <c r="GQ993" s="728"/>
      <c r="GR993" s="728"/>
    </row>
    <row r="994" spans="1:200">
      <c r="A994" s="634"/>
      <c r="GP994" s="728"/>
      <c r="GQ994" s="728"/>
      <c r="GR994" s="728"/>
    </row>
    <row r="995" spans="1:200">
      <c r="A995" s="634"/>
      <c r="GP995" s="728"/>
      <c r="GQ995" s="728"/>
      <c r="GR995" s="728"/>
    </row>
    <row r="996" spans="1:200">
      <c r="A996" s="634"/>
      <c r="GP996" s="728"/>
      <c r="GQ996" s="728"/>
      <c r="GR996" s="728"/>
    </row>
    <row r="997" spans="1:200">
      <c r="A997" s="634"/>
      <c r="GP997" s="728"/>
      <c r="GQ997" s="728"/>
      <c r="GR997" s="728"/>
    </row>
    <row r="998" spans="1:200">
      <c r="A998" s="634"/>
      <c r="GP998" s="728"/>
      <c r="GQ998" s="728"/>
      <c r="GR998" s="728"/>
    </row>
    <row r="999" spans="1:200">
      <c r="A999" s="634"/>
      <c r="GP999" s="728"/>
      <c r="GQ999" s="728"/>
      <c r="GR999" s="728"/>
    </row>
    <row r="1000" spans="1:200">
      <c r="A1000" s="634"/>
      <c r="GP1000" s="728"/>
      <c r="GQ1000" s="728"/>
      <c r="GR1000" s="728"/>
    </row>
    <row r="1001" spans="1:200">
      <c r="A1001" s="634"/>
      <c r="GP1001" s="728"/>
      <c r="GQ1001" s="728"/>
      <c r="GR1001" s="728"/>
    </row>
    <row r="1002" spans="1:200">
      <c r="A1002" s="634"/>
      <c r="GP1002" s="728"/>
      <c r="GQ1002" s="728"/>
      <c r="GR1002" s="728"/>
    </row>
    <row r="1003" spans="1:200">
      <c r="A1003" s="634"/>
      <c r="GP1003" s="728"/>
      <c r="GQ1003" s="728"/>
      <c r="GR1003" s="728"/>
    </row>
    <row r="1004" spans="1:200">
      <c r="A1004" s="634"/>
      <c r="GP1004" s="728"/>
      <c r="GQ1004" s="728"/>
      <c r="GR1004" s="728"/>
    </row>
    <row r="1005" spans="1:200">
      <c r="A1005" s="634"/>
      <c r="GP1005" s="728"/>
      <c r="GQ1005" s="728"/>
      <c r="GR1005" s="728"/>
    </row>
    <row r="1006" spans="1:200">
      <c r="A1006" s="634"/>
      <c r="GP1006" s="728"/>
      <c r="GQ1006" s="728"/>
      <c r="GR1006" s="728"/>
    </row>
    <row r="1007" spans="1:200">
      <c r="A1007" s="634"/>
      <c r="GP1007" s="728"/>
      <c r="GQ1007" s="728"/>
      <c r="GR1007" s="728"/>
    </row>
    <row r="1008" spans="1:200">
      <c r="A1008" s="634"/>
      <c r="GP1008" s="728"/>
      <c r="GQ1008" s="728"/>
      <c r="GR1008" s="728"/>
    </row>
    <row r="1009" spans="1:200">
      <c r="A1009" s="634"/>
      <c r="GP1009" s="728"/>
      <c r="GQ1009" s="728"/>
      <c r="GR1009" s="728"/>
    </row>
    <row r="1010" spans="1:200">
      <c r="A1010" s="634"/>
      <c r="GP1010" s="728"/>
      <c r="GQ1010" s="728"/>
      <c r="GR1010" s="728"/>
    </row>
    <row r="1011" spans="1:200">
      <c r="A1011" s="634"/>
      <c r="GP1011" s="728"/>
      <c r="GQ1011" s="728"/>
      <c r="GR1011" s="728"/>
    </row>
    <row r="1012" spans="1:200">
      <c r="A1012" s="634"/>
      <c r="GP1012" s="728"/>
      <c r="GQ1012" s="728"/>
      <c r="GR1012" s="728"/>
    </row>
    <row r="1013" spans="1:200">
      <c r="A1013" s="634"/>
      <c r="GP1013" s="728"/>
      <c r="GQ1013" s="728"/>
      <c r="GR1013" s="728"/>
    </row>
    <row r="1014" spans="1:200">
      <c r="A1014" s="634"/>
      <c r="GP1014" s="728"/>
      <c r="GQ1014" s="728"/>
      <c r="GR1014" s="728"/>
    </row>
    <row r="1015" spans="1:200">
      <c r="A1015" s="634"/>
      <c r="GP1015" s="728"/>
      <c r="GQ1015" s="728"/>
      <c r="GR1015" s="728"/>
    </row>
    <row r="1016" spans="1:200">
      <c r="A1016" s="634"/>
      <c r="GP1016" s="728"/>
      <c r="GQ1016" s="728"/>
      <c r="GR1016" s="728"/>
    </row>
    <row r="1017" spans="1:200">
      <c r="A1017" s="634"/>
      <c r="GP1017" s="728"/>
      <c r="GQ1017" s="728"/>
      <c r="GR1017" s="728"/>
    </row>
    <row r="1018" spans="1:200">
      <c r="A1018" s="634"/>
      <c r="GP1018" s="728"/>
      <c r="GQ1018" s="728"/>
      <c r="GR1018" s="728"/>
    </row>
    <row r="1019" spans="1:200">
      <c r="A1019" s="634"/>
      <c r="GP1019" s="728"/>
      <c r="GQ1019" s="728"/>
      <c r="GR1019" s="728"/>
    </row>
    <row r="1020" spans="1:200">
      <c r="A1020" s="634"/>
      <c r="GP1020" s="728"/>
      <c r="GQ1020" s="728"/>
      <c r="GR1020" s="728"/>
    </row>
    <row r="1021" spans="1:200">
      <c r="A1021" s="634"/>
      <c r="GP1021" s="728"/>
      <c r="GQ1021" s="728"/>
      <c r="GR1021" s="728"/>
    </row>
    <row r="1022" spans="1:200">
      <c r="A1022" s="634"/>
      <c r="GP1022" s="728"/>
      <c r="GQ1022" s="728"/>
      <c r="GR1022" s="728"/>
    </row>
    <row r="1023" spans="1:200">
      <c r="A1023" s="634"/>
      <c r="GP1023" s="728"/>
      <c r="GQ1023" s="728"/>
      <c r="GR1023" s="728"/>
    </row>
    <row r="1024" spans="1:200">
      <c r="A1024" s="634"/>
      <c r="GP1024" s="728"/>
      <c r="GQ1024" s="728"/>
      <c r="GR1024" s="728"/>
    </row>
    <row r="1025" spans="1:200">
      <c r="A1025" s="634"/>
      <c r="GP1025" s="728"/>
      <c r="GQ1025" s="728"/>
      <c r="GR1025" s="728"/>
    </row>
    <row r="1026" spans="1:200">
      <c r="A1026" s="634"/>
      <c r="GP1026" s="728"/>
      <c r="GQ1026" s="728"/>
      <c r="GR1026" s="728"/>
    </row>
    <row r="1027" spans="1:200">
      <c r="A1027" s="634"/>
      <c r="GP1027" s="728"/>
      <c r="GQ1027" s="728"/>
      <c r="GR1027" s="728"/>
    </row>
    <row r="1028" spans="1:200">
      <c r="A1028" s="634"/>
      <c r="GP1028" s="728"/>
      <c r="GQ1028" s="728"/>
      <c r="GR1028" s="728"/>
    </row>
    <row r="1029" spans="1:200">
      <c r="A1029" s="634"/>
      <c r="GP1029" s="728"/>
      <c r="GQ1029" s="728"/>
      <c r="GR1029" s="728"/>
    </row>
    <row r="1030" spans="1:200">
      <c r="A1030" s="634"/>
      <c r="GP1030" s="728"/>
      <c r="GQ1030" s="728"/>
      <c r="GR1030" s="728"/>
    </row>
    <row r="1031" spans="1:200">
      <c r="A1031" s="634"/>
      <c r="GP1031" s="728"/>
      <c r="GQ1031" s="728"/>
      <c r="GR1031" s="728"/>
    </row>
    <row r="1032" spans="1:200">
      <c r="A1032" s="634"/>
      <c r="GP1032" s="728"/>
      <c r="GQ1032" s="728"/>
      <c r="GR1032" s="728"/>
    </row>
    <row r="1033" spans="1:200">
      <c r="A1033" s="634"/>
      <c r="GP1033" s="728"/>
      <c r="GQ1033" s="728"/>
      <c r="GR1033" s="728"/>
    </row>
    <row r="1034" spans="1:200">
      <c r="A1034" s="634"/>
      <c r="GP1034" s="728"/>
      <c r="GQ1034" s="728"/>
      <c r="GR1034" s="728"/>
    </row>
    <row r="1035" spans="1:200">
      <c r="A1035" s="634"/>
      <c r="GP1035" s="728"/>
      <c r="GQ1035" s="728"/>
      <c r="GR1035" s="728"/>
    </row>
    <row r="1036" spans="1:200">
      <c r="A1036" s="634"/>
      <c r="GP1036" s="728"/>
      <c r="GQ1036" s="728"/>
      <c r="GR1036" s="728"/>
    </row>
    <row r="1037" spans="1:200">
      <c r="A1037" s="634"/>
      <c r="GP1037" s="728"/>
      <c r="GQ1037" s="728"/>
      <c r="GR1037" s="728"/>
    </row>
    <row r="1038" spans="1:200">
      <c r="A1038" s="634"/>
      <c r="GP1038" s="728"/>
      <c r="GQ1038" s="728"/>
      <c r="GR1038" s="728"/>
    </row>
    <row r="1039" spans="1:200">
      <c r="A1039" s="634"/>
      <c r="GP1039" s="728"/>
      <c r="GQ1039" s="728"/>
      <c r="GR1039" s="728"/>
    </row>
    <row r="1040" spans="1:200">
      <c r="A1040" s="634"/>
      <c r="GP1040" s="728"/>
      <c r="GQ1040" s="728"/>
      <c r="GR1040" s="728"/>
    </row>
    <row r="1041" spans="1:200">
      <c r="A1041" s="634"/>
      <c r="GP1041" s="728"/>
      <c r="GQ1041" s="728"/>
      <c r="GR1041" s="728"/>
    </row>
    <row r="1042" spans="1:200">
      <c r="A1042" s="634"/>
      <c r="GP1042" s="728"/>
      <c r="GQ1042" s="728"/>
      <c r="GR1042" s="728"/>
    </row>
    <row r="1043" spans="1:200">
      <c r="A1043" s="634"/>
      <c r="GP1043" s="728"/>
      <c r="GQ1043" s="728"/>
      <c r="GR1043" s="728"/>
    </row>
    <row r="1044" spans="1:200">
      <c r="A1044" s="634"/>
      <c r="GP1044" s="728"/>
      <c r="GQ1044" s="728"/>
      <c r="GR1044" s="728"/>
    </row>
    <row r="1045" spans="1:200">
      <c r="A1045" s="634"/>
      <c r="GP1045" s="728"/>
      <c r="GQ1045" s="728"/>
      <c r="GR1045" s="728"/>
    </row>
    <row r="1046" spans="1:200">
      <c r="A1046" s="634"/>
      <c r="GP1046" s="728"/>
      <c r="GQ1046" s="728"/>
      <c r="GR1046" s="728"/>
    </row>
    <row r="1047" spans="1:200">
      <c r="A1047" s="634"/>
      <c r="GP1047" s="728"/>
      <c r="GQ1047" s="728"/>
      <c r="GR1047" s="728"/>
    </row>
    <row r="1048" spans="1:200">
      <c r="A1048" s="634"/>
      <c r="GP1048" s="728"/>
      <c r="GQ1048" s="728"/>
      <c r="GR1048" s="728"/>
    </row>
    <row r="1049" spans="1:200">
      <c r="A1049" s="634"/>
      <c r="GP1049" s="728"/>
      <c r="GQ1049" s="728"/>
      <c r="GR1049" s="728"/>
    </row>
    <row r="1050" spans="1:200">
      <c r="A1050" s="634"/>
      <c r="GP1050" s="728"/>
      <c r="GQ1050" s="728"/>
      <c r="GR1050" s="728"/>
    </row>
    <row r="1051" spans="1:200">
      <c r="A1051" s="634"/>
      <c r="GP1051" s="728"/>
      <c r="GQ1051" s="728"/>
      <c r="GR1051" s="728"/>
    </row>
    <row r="1052" spans="1:200">
      <c r="A1052" s="634"/>
      <c r="GP1052" s="728"/>
      <c r="GQ1052" s="728"/>
      <c r="GR1052" s="728"/>
    </row>
    <row r="1053" spans="1:200">
      <c r="A1053" s="634"/>
      <c r="GP1053" s="728"/>
      <c r="GQ1053" s="728"/>
      <c r="GR1053" s="728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EA147-A17D-4AE1-A78F-4ED1BC66E02E}">
  <dimension ref="B1:BG12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3.2"/>
  <cols>
    <col min="1" max="1" width="3.77734375" style="720" customWidth="1"/>
    <col min="2" max="2" width="42.44140625" style="720" customWidth="1"/>
    <col min="3" max="3" width="14.21875" style="720" customWidth="1"/>
    <col min="4" max="4" width="9.77734375" style="720" customWidth="1"/>
    <col min="5" max="6" width="8.88671875" style="720"/>
    <col min="7" max="11" width="11" style="720" customWidth="1"/>
    <col min="12" max="16" width="8.88671875" style="720"/>
    <col min="17" max="17" width="12.77734375" style="720" customWidth="1"/>
    <col min="18" max="24" width="8.88671875" style="720"/>
    <col min="25" max="25" width="11.21875" style="720" bestFit="1" customWidth="1"/>
    <col min="26" max="26" width="8.88671875" style="720"/>
    <col min="27" max="27" width="10" style="720" customWidth="1"/>
    <col min="28" max="28" width="8.88671875" style="720"/>
    <col min="29" max="29" width="9.77734375" style="720" bestFit="1" customWidth="1"/>
    <col min="30" max="34" width="8.88671875" style="720"/>
    <col min="35" max="35" width="9.5546875" style="720" bestFit="1" customWidth="1"/>
    <col min="36" max="36" width="8.88671875" style="720"/>
    <col min="37" max="37" width="10.5546875" style="720" customWidth="1"/>
    <col min="38" max="57" width="8.88671875" style="720"/>
    <col min="58" max="58" width="11.5546875" style="720" customWidth="1"/>
    <col min="59" max="59" width="11.21875" style="720" customWidth="1"/>
    <col min="60" max="16384" width="8.88671875" style="720"/>
  </cols>
  <sheetData>
    <row r="1" spans="2:59">
      <c r="AI1" s="723"/>
      <c r="AJ1" s="723"/>
      <c r="AK1" s="723"/>
      <c r="AL1" s="723"/>
      <c r="AN1" s="892"/>
      <c r="AS1" s="893"/>
      <c r="AT1" s="723"/>
      <c r="AU1" s="893"/>
      <c r="AV1" s="893"/>
      <c r="AW1" s="893"/>
      <c r="AX1" s="723"/>
    </row>
    <row r="3" spans="2:59">
      <c r="C3" s="804">
        <v>2020.1</v>
      </c>
      <c r="D3" s="804">
        <v>2020.1</v>
      </c>
      <c r="E3" s="804">
        <v>2020.1</v>
      </c>
      <c r="F3" s="804">
        <v>2020.1</v>
      </c>
      <c r="H3" s="720" t="s">
        <v>240</v>
      </c>
      <c r="I3" s="723" t="s">
        <v>708</v>
      </c>
      <c r="J3" s="723" t="s">
        <v>699</v>
      </c>
      <c r="K3" s="723" t="s">
        <v>697</v>
      </c>
      <c r="L3" s="723" t="s">
        <v>695</v>
      </c>
      <c r="M3" s="803">
        <v>2019.1</v>
      </c>
      <c r="N3" s="803">
        <v>2019.1</v>
      </c>
      <c r="O3" s="803">
        <v>2019.1</v>
      </c>
      <c r="R3" s="720" t="s">
        <v>240</v>
      </c>
      <c r="S3" s="723" t="s">
        <v>692</v>
      </c>
      <c r="T3" s="723" t="s">
        <v>686</v>
      </c>
      <c r="U3" s="723" t="s">
        <v>684</v>
      </c>
      <c r="V3" s="723" t="s">
        <v>677</v>
      </c>
      <c r="W3" s="803">
        <v>2018.1</v>
      </c>
      <c r="X3" s="803">
        <v>2018.1</v>
      </c>
      <c r="Y3" s="803">
        <v>2018.1</v>
      </c>
      <c r="AB3" s="720" t="s">
        <v>241</v>
      </c>
      <c r="AC3" s="723" t="s">
        <v>675</v>
      </c>
      <c r="AD3" s="723" t="s">
        <v>673</v>
      </c>
      <c r="AE3" s="723" t="s">
        <v>670</v>
      </c>
      <c r="AF3" s="723" t="s">
        <v>668</v>
      </c>
      <c r="AG3" s="720">
        <v>2017.1</v>
      </c>
      <c r="AH3" s="720">
        <v>2017.1</v>
      </c>
      <c r="AI3" s="720">
        <v>2017.1</v>
      </c>
      <c r="AL3" s="720" t="s">
        <v>241</v>
      </c>
      <c r="AM3" s="723" t="s">
        <v>661</v>
      </c>
      <c r="AN3" s="723" t="s">
        <v>655</v>
      </c>
      <c r="AO3" s="723" t="s">
        <v>653</v>
      </c>
      <c r="AP3" s="723" t="s">
        <v>649</v>
      </c>
      <c r="AQ3" s="804">
        <v>2016.1</v>
      </c>
      <c r="AR3" s="804">
        <v>2016.1</v>
      </c>
      <c r="AS3" s="804">
        <v>2016.1</v>
      </c>
      <c r="AV3" s="720" t="s">
        <v>241</v>
      </c>
      <c r="AW3" s="723" t="s">
        <v>646</v>
      </c>
      <c r="AX3" s="723" t="s">
        <v>639</v>
      </c>
      <c r="AY3" s="723" t="s">
        <v>629</v>
      </c>
      <c r="AZ3" s="723" t="s">
        <v>627</v>
      </c>
      <c r="BD3" s="806">
        <v>2015.1</v>
      </c>
      <c r="BE3" s="806">
        <v>2015.1</v>
      </c>
      <c r="BF3" s="806">
        <v>2015.1</v>
      </c>
      <c r="BG3" s="806">
        <v>2015.1</v>
      </c>
    </row>
    <row r="4" spans="2:59">
      <c r="B4" s="720" t="s">
        <v>206</v>
      </c>
      <c r="C4" s="720" t="s">
        <v>111</v>
      </c>
      <c r="D4" s="805"/>
      <c r="E4" s="720" t="s">
        <v>112</v>
      </c>
      <c r="F4" s="804" t="s">
        <v>113</v>
      </c>
      <c r="G4" s="804">
        <v>2020.1</v>
      </c>
      <c r="H4" s="720" t="s">
        <v>242</v>
      </c>
      <c r="I4" s="720" t="s">
        <v>243</v>
      </c>
      <c r="J4" s="720" t="s">
        <v>243</v>
      </c>
      <c r="K4" s="720" t="s">
        <v>243</v>
      </c>
      <c r="L4" s="720" t="s">
        <v>243</v>
      </c>
      <c r="M4" s="720" t="s">
        <v>111</v>
      </c>
      <c r="N4" s="805"/>
      <c r="O4" s="720" t="s">
        <v>112</v>
      </c>
      <c r="P4" s="803">
        <v>2019.1</v>
      </c>
      <c r="Q4" s="803">
        <v>2019.1</v>
      </c>
      <c r="R4" s="720" t="s">
        <v>242</v>
      </c>
      <c r="S4" s="720" t="s">
        <v>243</v>
      </c>
      <c r="T4" s="720" t="s">
        <v>243</v>
      </c>
      <c r="U4" s="720" t="s">
        <v>243</v>
      </c>
      <c r="V4" s="720" t="s">
        <v>243</v>
      </c>
      <c r="W4" s="720" t="s">
        <v>111</v>
      </c>
      <c r="Y4" s="720" t="s">
        <v>112</v>
      </c>
      <c r="Z4" s="803">
        <v>2018.1</v>
      </c>
      <c r="AA4" s="803">
        <v>2018.1</v>
      </c>
      <c r="AB4" s="720" t="s">
        <v>242</v>
      </c>
      <c r="AC4" s="720" t="s">
        <v>243</v>
      </c>
      <c r="AD4" s="720" t="s">
        <v>243</v>
      </c>
      <c r="AE4" s="720" t="s">
        <v>243</v>
      </c>
      <c r="AF4" s="720" t="s">
        <v>243</v>
      </c>
      <c r="AG4" s="720" t="s">
        <v>111</v>
      </c>
      <c r="AI4" s="720" t="s">
        <v>112</v>
      </c>
      <c r="AJ4" s="720">
        <v>2017.1</v>
      </c>
      <c r="AK4" s="720">
        <v>2017.1</v>
      </c>
      <c r="AL4" s="720" t="s">
        <v>242</v>
      </c>
      <c r="AM4" s="720" t="s">
        <v>243</v>
      </c>
      <c r="AN4" s="720" t="s">
        <v>243</v>
      </c>
      <c r="AO4" s="720" t="s">
        <v>243</v>
      </c>
      <c r="AP4" s="720" t="s">
        <v>243</v>
      </c>
      <c r="AQ4" s="720" t="s">
        <v>111</v>
      </c>
      <c r="AS4" s="720" t="s">
        <v>112</v>
      </c>
      <c r="AT4" s="804">
        <v>2016.1</v>
      </c>
      <c r="AU4" s="804">
        <v>2016.1</v>
      </c>
      <c r="AV4" s="720" t="s">
        <v>242</v>
      </c>
      <c r="AW4" s="720" t="s">
        <v>243</v>
      </c>
      <c r="AX4" s="720" t="s">
        <v>243</v>
      </c>
      <c r="AY4" s="720" t="s">
        <v>243</v>
      </c>
      <c r="AZ4" s="720" t="s">
        <v>243</v>
      </c>
      <c r="BD4" s="806" t="s">
        <v>244</v>
      </c>
      <c r="BE4" s="806" t="s">
        <v>245</v>
      </c>
      <c r="BF4" s="806" t="s">
        <v>54</v>
      </c>
      <c r="BG4" s="806" t="s">
        <v>709</v>
      </c>
    </row>
    <row r="5" spans="2:59">
      <c r="C5" s="720" t="s">
        <v>76</v>
      </c>
      <c r="D5" s="805" t="s">
        <v>76</v>
      </c>
      <c r="E5" s="720" t="s">
        <v>114</v>
      </c>
      <c r="F5" s="804" t="s">
        <v>115</v>
      </c>
      <c r="G5" s="720" t="s">
        <v>116</v>
      </c>
      <c r="H5" s="720" t="s">
        <v>246</v>
      </c>
      <c r="I5" s="720" t="s">
        <v>242</v>
      </c>
      <c r="J5" s="720" t="s">
        <v>242</v>
      </c>
      <c r="K5" s="720" t="s">
        <v>242</v>
      </c>
      <c r="L5" s="720" t="s">
        <v>242</v>
      </c>
      <c r="M5" s="720" t="s">
        <v>76</v>
      </c>
      <c r="N5" s="805" t="s">
        <v>76</v>
      </c>
      <c r="O5" s="720" t="s">
        <v>114</v>
      </c>
      <c r="P5" s="720" t="s">
        <v>111</v>
      </c>
      <c r="Q5" s="720" t="s">
        <v>116</v>
      </c>
      <c r="R5" s="720" t="s">
        <v>246</v>
      </c>
      <c r="S5" s="720" t="s">
        <v>247</v>
      </c>
      <c r="T5" s="720" t="s">
        <v>247</v>
      </c>
      <c r="U5" s="720" t="s">
        <v>247</v>
      </c>
      <c r="V5" s="720" t="s">
        <v>242</v>
      </c>
      <c r="W5" s="720" t="s">
        <v>76</v>
      </c>
      <c r="X5" s="720" t="s">
        <v>76</v>
      </c>
      <c r="Y5" s="720" t="s">
        <v>114</v>
      </c>
      <c r="Z5" s="720" t="s">
        <v>111</v>
      </c>
      <c r="AA5" s="720" t="s">
        <v>116</v>
      </c>
      <c r="AB5" s="720" t="s">
        <v>246</v>
      </c>
      <c r="AC5" s="720" t="s">
        <v>242</v>
      </c>
      <c r="AD5" s="720" t="s">
        <v>242</v>
      </c>
      <c r="AE5" s="720" t="s">
        <v>242</v>
      </c>
      <c r="AF5" s="720" t="s">
        <v>242</v>
      </c>
      <c r="AG5" s="720" t="s">
        <v>76</v>
      </c>
      <c r="AH5" s="720" t="s">
        <v>76</v>
      </c>
      <c r="AI5" s="720" t="s">
        <v>114</v>
      </c>
      <c r="AJ5" s="720" t="s">
        <v>111</v>
      </c>
      <c r="AK5" s="720" t="s">
        <v>116</v>
      </c>
      <c r="AL5" s="720" t="s">
        <v>246</v>
      </c>
      <c r="AM5" s="720" t="s">
        <v>242</v>
      </c>
      <c r="AN5" s="720" t="s">
        <v>242</v>
      </c>
      <c r="AO5" s="720" t="s">
        <v>242</v>
      </c>
      <c r="AP5" s="720" t="s">
        <v>242</v>
      </c>
      <c r="AQ5" s="720" t="s">
        <v>76</v>
      </c>
      <c r="AR5" s="720" t="s">
        <v>76</v>
      </c>
      <c r="AS5" s="720" t="s">
        <v>114</v>
      </c>
      <c r="AT5" s="720" t="s">
        <v>111</v>
      </c>
      <c r="AU5" s="804" t="s">
        <v>116</v>
      </c>
      <c r="AV5" s="720" t="s">
        <v>246</v>
      </c>
      <c r="AW5" s="720" t="s">
        <v>242</v>
      </c>
      <c r="AX5" s="720" t="s">
        <v>242</v>
      </c>
      <c r="AY5" s="720" t="s">
        <v>242</v>
      </c>
      <c r="AZ5" s="720" t="s">
        <v>242</v>
      </c>
      <c r="BD5" s="804"/>
      <c r="BE5" s="804"/>
      <c r="BF5" s="806"/>
    </row>
    <row r="6" spans="2:59">
      <c r="C6" s="720" t="s">
        <v>117</v>
      </c>
      <c r="D6" s="805" t="s">
        <v>117</v>
      </c>
      <c r="E6" s="720" t="s">
        <v>118</v>
      </c>
      <c r="F6" s="804" t="s">
        <v>119</v>
      </c>
      <c r="G6" s="720" t="s">
        <v>115</v>
      </c>
      <c r="M6" s="720" t="s">
        <v>117</v>
      </c>
      <c r="N6" s="805" t="s">
        <v>117</v>
      </c>
      <c r="O6" s="720" t="s">
        <v>118</v>
      </c>
      <c r="P6" s="720" t="s">
        <v>248</v>
      </c>
      <c r="Q6" s="720" t="s">
        <v>115</v>
      </c>
      <c r="W6" s="720" t="s">
        <v>117</v>
      </c>
      <c r="X6" s="720" t="s">
        <v>117</v>
      </c>
      <c r="Y6" s="720" t="s">
        <v>118</v>
      </c>
      <c r="Z6" s="720" t="s">
        <v>248</v>
      </c>
      <c r="AA6" s="720" t="s">
        <v>115</v>
      </c>
      <c r="AG6" s="720" t="s">
        <v>117</v>
      </c>
      <c r="AH6" s="720" t="s">
        <v>117</v>
      </c>
      <c r="AI6" s="720" t="s">
        <v>118</v>
      </c>
      <c r="AJ6" s="720" t="s">
        <v>248</v>
      </c>
      <c r="AK6" s="720" t="s">
        <v>115</v>
      </c>
      <c r="AQ6" s="720" t="s">
        <v>117</v>
      </c>
      <c r="AR6" s="720" t="s">
        <v>117</v>
      </c>
      <c r="AS6" s="720" t="s">
        <v>118</v>
      </c>
      <c r="AT6" s="720" t="s">
        <v>248</v>
      </c>
      <c r="AU6" s="804" t="s">
        <v>115</v>
      </c>
      <c r="BD6" s="804"/>
      <c r="BE6" s="804"/>
      <c r="BF6" s="806"/>
      <c r="BG6" s="806"/>
    </row>
    <row r="7" spans="2:59">
      <c r="B7" s="723" t="s">
        <v>249</v>
      </c>
      <c r="C7" s="807"/>
      <c r="D7" s="805"/>
      <c r="E7" s="808" t="e">
        <v>#DIV/0!</v>
      </c>
      <c r="F7" s="720">
        <f>G7/G$112</f>
        <v>0</v>
      </c>
      <c r="G7" s="808">
        <v>0</v>
      </c>
      <c r="H7" s="720" t="e">
        <f>I7+J7+K7+L7+R7</f>
        <v>#DIV/0!</v>
      </c>
      <c r="I7" s="720" t="e">
        <v>#DIV/0!</v>
      </c>
      <c r="J7" s="720" t="e">
        <v>#DIV/0!</v>
      </c>
      <c r="K7" s="720" t="e">
        <v>#DIV/0!</v>
      </c>
      <c r="L7" s="809" t="e">
        <v>#DIV/0!</v>
      </c>
      <c r="M7" s="807" t="e">
        <f>N7*Z7</f>
        <v>#DIV/0!</v>
      </c>
      <c r="N7" s="805" t="e">
        <f>((O7/Y7)-1)*100</f>
        <v>#DIV/0!</v>
      </c>
      <c r="O7" s="808" t="e">
        <v>#DIV/0!</v>
      </c>
      <c r="Q7" s="808"/>
      <c r="R7" s="720" t="e">
        <f>(S7+T7+U7+V7+AB7)</f>
        <v>#DIV/0!</v>
      </c>
      <c r="S7" s="809" t="e">
        <v>#DIV/0!</v>
      </c>
      <c r="T7" s="720" t="e">
        <v>#DIV/0!</v>
      </c>
      <c r="U7" s="720" t="e">
        <v>#DIV/0!</v>
      </c>
      <c r="V7" s="720" t="e">
        <v>#DIV/0!</v>
      </c>
      <c r="W7" s="807" t="e">
        <f>X7*AJ7</f>
        <v>#DIV/0!</v>
      </c>
      <c r="X7" s="724" t="e">
        <f>((Y7/AI7)-1)*100</f>
        <v>#DIV/0!</v>
      </c>
      <c r="Y7" s="810" t="e">
        <v>#DIV/0!</v>
      </c>
      <c r="Z7" s="720">
        <f t="shared" ref="Z7:Z13" si="0">AA7/$AA$112</f>
        <v>0</v>
      </c>
      <c r="AA7" s="808">
        <v>0</v>
      </c>
      <c r="AB7" s="720" t="e">
        <f>(AC7+AD7+AE7+AF7+AL7)</f>
        <v>#DIV/0!</v>
      </c>
      <c r="AC7" s="720" t="e">
        <v>#DIV/0!</v>
      </c>
      <c r="AD7" s="720" t="e">
        <v>#DIV/0!</v>
      </c>
      <c r="AE7" s="810" t="e">
        <v>#DIV/0!</v>
      </c>
      <c r="AF7" s="720" t="e">
        <v>#DIV/0!</v>
      </c>
      <c r="AG7" s="811" t="e">
        <f>AH7*AT7</f>
        <v>#DIV/0!</v>
      </c>
      <c r="AH7" s="724" t="e">
        <f>((AI7/AS7)-1)*100</f>
        <v>#DIV/0!</v>
      </c>
      <c r="AI7" s="812" t="e">
        <v>#DIV/0!</v>
      </c>
      <c r="AJ7" s="720">
        <f t="shared" ref="AJ7:AJ32" si="1">AK7/$AK$112</f>
        <v>0</v>
      </c>
      <c r="AK7" s="808">
        <v>0</v>
      </c>
      <c r="AL7" s="720" t="e">
        <f t="shared" ref="AL7:AL13" si="2">AM7+AN7+AO7+AP7+AV7</f>
        <v>#DIV/0!</v>
      </c>
      <c r="AM7" s="720" t="e">
        <v>#DIV/0!</v>
      </c>
      <c r="AN7" s="720" t="e">
        <v>#DIV/0!</v>
      </c>
      <c r="AO7" s="720" t="e">
        <v>#DIV/0!</v>
      </c>
      <c r="AP7" s="810" t="e">
        <v>#DIV/0!</v>
      </c>
      <c r="AQ7" s="720" t="e">
        <f>AR7*BG7</f>
        <v>#DIV/0!</v>
      </c>
      <c r="AR7" s="720" t="e">
        <v>#DIV/0!</v>
      </c>
      <c r="AS7" s="720" t="e">
        <v>#DIV/0!</v>
      </c>
      <c r="AT7" s="720">
        <f t="shared" ref="AT7:AT32" si="3">AU7/$AU$112</f>
        <v>0</v>
      </c>
      <c r="AU7" s="813">
        <v>0</v>
      </c>
      <c r="AV7" s="720" t="e">
        <f>AW7+AX7+AY7+AZ7</f>
        <v>#DIV/0!</v>
      </c>
      <c r="AW7" s="720" t="e">
        <v>#DIV/0!</v>
      </c>
      <c r="AX7" s="720" t="e">
        <v>#DIV/0!</v>
      </c>
      <c r="AY7" s="809" t="e">
        <v>#DIV/0!</v>
      </c>
      <c r="AZ7" s="812" t="e">
        <v>#DIV/0!</v>
      </c>
      <c r="BD7" s="723"/>
      <c r="BE7" s="725"/>
      <c r="BF7" s="632"/>
      <c r="BG7" s="814"/>
    </row>
    <row r="8" spans="2:59">
      <c r="B8" s="728" t="s">
        <v>120</v>
      </c>
      <c r="C8" s="807">
        <f>D8*P8</f>
        <v>-7.9065929914823876E-2</v>
      </c>
      <c r="D8" s="805">
        <f>((E8/O8)-1)*100</f>
        <v>-1.5140604209761377</v>
      </c>
      <c r="E8" s="808">
        <v>94.937940442648411</v>
      </c>
      <c r="F8" s="720">
        <f t="shared" ref="F8:F71" si="4">G8/G$112</f>
        <v>5.1045708565503133E-2</v>
      </c>
      <c r="G8" s="808">
        <v>39485.673713100005</v>
      </c>
      <c r="H8" s="720">
        <f t="shared" ref="H8:H71" si="5">I8+J8+K8+L8+R8</f>
        <v>0.18702101078580152</v>
      </c>
      <c r="I8" s="720">
        <v>1.0298893251736007E-2</v>
      </c>
      <c r="J8" s="720">
        <v>8.6514597445000088E-3</v>
      </c>
      <c r="K8" s="720">
        <v>8.2938463408118793E-3</v>
      </c>
      <c r="L8" s="809">
        <v>8.762409378334066E-3</v>
      </c>
      <c r="M8" s="807">
        <f t="shared" ref="M8:M71" si="6">N8*Z8</f>
        <v>1.2937401527315138</v>
      </c>
      <c r="N8" s="805">
        <f t="shared" ref="N8:N71" si="7">((O8/Y8)-1)*100</f>
        <v>26.390284280429267</v>
      </c>
      <c r="O8" s="808">
        <v>96.397456173397643</v>
      </c>
      <c r="P8" s="720">
        <f t="shared" ref="P8:P22" si="8">Q8/Q$112</f>
        <v>5.2221119328810454E-2</v>
      </c>
      <c r="Q8" s="808">
        <v>41269.872750000002</v>
      </c>
      <c r="R8" s="720">
        <f t="shared" ref="R8:R71" si="9">(S8+T8+U8+V8+AB8)</f>
        <v>0.15101440207041955</v>
      </c>
      <c r="S8" s="809">
        <v>9.1350349370668219E-3</v>
      </c>
      <c r="T8" s="720">
        <v>1.0145327887274186E-2</v>
      </c>
      <c r="U8" s="720">
        <v>9.8136378228331281E-3</v>
      </c>
      <c r="V8" s="720">
        <v>9.9554980518450284E-3</v>
      </c>
      <c r="W8" s="807">
        <f t="shared" ref="W8:W71" si="10">X8*AJ8</f>
        <v>0.28095342172464699</v>
      </c>
      <c r="X8" s="724">
        <f t="shared" ref="X8:X71" si="11">((Y8/AI8)-1)*100</f>
        <v>5.7310122540592312</v>
      </c>
      <c r="Y8" s="810">
        <v>76.269672722244351</v>
      </c>
      <c r="Z8" s="720">
        <f t="shared" si="0"/>
        <v>4.9023350373339353E-2</v>
      </c>
      <c r="AA8" s="808">
        <v>32994.090095539999</v>
      </c>
      <c r="AB8" s="720">
        <f t="shared" ref="AB8:AB71" si="12">(AC8+AD8+AE8+AF8+AL8)</f>
        <v>0.11196490337140039</v>
      </c>
      <c r="AC8" s="720">
        <v>9.9612518435235973E-3</v>
      </c>
      <c r="AD8" s="720">
        <v>9.20935791814643E-3</v>
      </c>
      <c r="AE8" s="810">
        <v>9.1027620108674427E-3</v>
      </c>
      <c r="AF8" s="720">
        <v>9.126149067132874E-3</v>
      </c>
      <c r="AG8" s="811">
        <f>AH8*AT8</f>
        <v>0.23512262435333933</v>
      </c>
      <c r="AH8" s="724">
        <f>((AI8/AS8)-1)*100</f>
        <v>4.6711604238280469</v>
      </c>
      <c r="AI8" s="812">
        <v>72.135574129355035</v>
      </c>
      <c r="AJ8" s="720">
        <f t="shared" si="1"/>
        <v>4.9023350373339353E-2</v>
      </c>
      <c r="AK8" s="808">
        <v>32994.090095539999</v>
      </c>
      <c r="AL8" s="720">
        <f t="shared" si="2"/>
        <v>7.4565382531730034E-2</v>
      </c>
      <c r="AM8" s="720">
        <v>9.3619842837229881E-3</v>
      </c>
      <c r="AN8" s="720">
        <v>9.8893785203198123E-3</v>
      </c>
      <c r="AO8" s="720">
        <v>9.1242218781458235E-3</v>
      </c>
      <c r="AP8" s="810">
        <v>8.2925164443841941E-3</v>
      </c>
      <c r="AQ8" s="720">
        <f t="shared" ref="AQ8:AQ71" si="13">AR8*BG8</f>
        <v>1.0383690432342061</v>
      </c>
      <c r="AR8" s="720">
        <v>22.518007973871001</v>
      </c>
      <c r="AS8" s="720">
        <v>68.916379485302443</v>
      </c>
      <c r="AT8" s="720">
        <f t="shared" si="3"/>
        <v>5.0334949567125933E-2</v>
      </c>
      <c r="AU8" s="813">
        <v>32558.610660800005</v>
      </c>
      <c r="AV8" s="720">
        <f t="shared" ref="AV8:AV32" si="14">AW8+AX8+AY8+AZ8</f>
        <v>3.7897281405157211E-2</v>
      </c>
      <c r="AW8" s="720">
        <v>8.6801445278806462E-3</v>
      </c>
      <c r="AX8" s="720">
        <v>9.7970694654304757E-3</v>
      </c>
      <c r="AY8" s="809">
        <v>9.4144038286858075E-3</v>
      </c>
      <c r="AZ8" s="812">
        <v>1.000566358316028E-2</v>
      </c>
      <c r="BD8" s="728">
        <v>489.28893699999998</v>
      </c>
      <c r="BE8" s="728">
        <v>56.25</v>
      </c>
      <c r="BF8" s="888">
        <f>BD8*BE8</f>
        <v>27522.502706249998</v>
      </c>
      <c r="BG8" s="814">
        <f t="shared" ref="BG8:BG71" si="15">+BF8/$BF$112</f>
        <v>4.6112828649811664E-2</v>
      </c>
    </row>
    <row r="9" spans="2:59">
      <c r="B9" s="723" t="s">
        <v>250</v>
      </c>
      <c r="C9" s="807"/>
      <c r="D9" s="805"/>
      <c r="E9" s="808" t="e">
        <v>#DIV/0!</v>
      </c>
      <c r="G9" s="808">
        <v>0</v>
      </c>
      <c r="H9" s="720" t="e">
        <f t="shared" si="5"/>
        <v>#DIV/0!</v>
      </c>
      <c r="I9" s="720" t="e">
        <v>#DIV/0!</v>
      </c>
      <c r="J9" s="720" t="e">
        <v>#DIV/0!</v>
      </c>
      <c r="K9" s="720" t="e">
        <v>#DIV/0!</v>
      </c>
      <c r="L9" s="809" t="e">
        <v>#DIV/0!</v>
      </c>
      <c r="O9" s="808">
        <v>0</v>
      </c>
      <c r="Q9" s="808">
        <v>0</v>
      </c>
      <c r="S9" s="809" t="e">
        <v>#VALUE!</v>
      </c>
      <c r="T9" s="720" t="e">
        <v>#VALUE!</v>
      </c>
      <c r="U9" s="720" t="e">
        <v>#VALUE!</v>
      </c>
      <c r="V9" s="720" t="e">
        <v>#VALUE!</v>
      </c>
      <c r="W9" s="807" t="s">
        <v>103</v>
      </c>
      <c r="X9" s="724" t="s">
        <v>103</v>
      </c>
      <c r="Y9" s="810" t="e">
        <v>#VALUE!</v>
      </c>
      <c r="Z9" s="720">
        <f t="shared" si="0"/>
        <v>0</v>
      </c>
      <c r="AA9" s="808">
        <v>0</v>
      </c>
      <c r="AB9" s="720" t="s">
        <v>103</v>
      </c>
      <c r="AC9" s="720" t="e">
        <v>#DIV/0!</v>
      </c>
      <c r="AD9" s="720" t="e">
        <v>#DIV/0!</v>
      </c>
      <c r="AE9" s="810" t="e">
        <v>#DIV/0!</v>
      </c>
      <c r="AF9" s="720" t="e">
        <v>#DIV/0!</v>
      </c>
      <c r="AG9" s="811"/>
      <c r="AH9" s="724"/>
      <c r="AI9" s="812" t="e">
        <v>#DIV/0!</v>
      </c>
      <c r="AJ9" s="720">
        <f t="shared" si="1"/>
        <v>0</v>
      </c>
      <c r="AK9" s="808">
        <v>0</v>
      </c>
      <c r="AL9" s="720" t="e">
        <f t="shared" si="2"/>
        <v>#DIV/0!</v>
      </c>
      <c r="AM9" s="720" t="e">
        <v>#DIV/0!</v>
      </c>
      <c r="AN9" s="720" t="e">
        <v>#DIV/0!</v>
      </c>
      <c r="AO9" s="720" t="e">
        <v>#DIV/0!</v>
      </c>
      <c r="AP9" s="810" t="e">
        <v>#DIV/0!</v>
      </c>
      <c r="AQ9" s="720" t="e">
        <f t="shared" si="13"/>
        <v>#DIV/0!</v>
      </c>
      <c r="AR9" s="720" t="e">
        <v>#DIV/0!</v>
      </c>
      <c r="AS9" s="720" t="e">
        <v>#DIV/0!</v>
      </c>
      <c r="AT9" s="720">
        <f t="shared" si="3"/>
        <v>0</v>
      </c>
      <c r="AU9" s="813">
        <v>0</v>
      </c>
      <c r="AV9" s="720" t="e">
        <f t="shared" si="14"/>
        <v>#DIV/0!</v>
      </c>
      <c r="AW9" s="720" t="e">
        <v>#DIV/0!</v>
      </c>
      <c r="AX9" s="720" t="e">
        <v>#DIV/0!</v>
      </c>
      <c r="AY9" s="809" t="e">
        <v>#DIV/0!</v>
      </c>
      <c r="AZ9" s="812" t="e">
        <v>#DIV/0!</v>
      </c>
      <c r="BD9" s="723"/>
      <c r="BE9" s="723"/>
      <c r="BF9" s="888">
        <f t="shared" ref="BF9:BF72" si="16">BD9*BE9</f>
        <v>0</v>
      </c>
      <c r="BG9" s="814">
        <f t="shared" si="15"/>
        <v>0</v>
      </c>
    </row>
    <row r="10" spans="2:59">
      <c r="B10" s="723" t="s">
        <v>251</v>
      </c>
      <c r="C10" s="807"/>
      <c r="D10" s="805"/>
      <c r="E10" s="808" t="e">
        <v>#DIV/0!</v>
      </c>
      <c r="F10" s="720">
        <f t="shared" si="4"/>
        <v>0</v>
      </c>
      <c r="G10" s="808">
        <v>0</v>
      </c>
      <c r="H10" s="720" t="e">
        <f t="shared" si="5"/>
        <v>#DIV/0!</v>
      </c>
      <c r="I10" s="720" t="e">
        <v>#DIV/0!</v>
      </c>
      <c r="J10" s="720" t="e">
        <v>#DIV/0!</v>
      </c>
      <c r="K10" s="720" t="e">
        <v>#DIV/0!</v>
      </c>
      <c r="L10" s="809" t="e">
        <v>#DIV/0!</v>
      </c>
      <c r="M10" s="807" t="e">
        <f t="shared" si="6"/>
        <v>#DIV/0!</v>
      </c>
      <c r="N10" s="805" t="e">
        <f t="shared" si="7"/>
        <v>#DIV/0!</v>
      </c>
      <c r="O10" s="808" t="e">
        <v>#DIV/0!</v>
      </c>
      <c r="Q10" s="808">
        <v>0</v>
      </c>
      <c r="R10" s="720" t="e">
        <f t="shared" si="9"/>
        <v>#DIV/0!</v>
      </c>
      <c r="S10" s="809" t="e">
        <v>#DIV/0!</v>
      </c>
      <c r="T10" s="720" t="e">
        <v>#DIV/0!</v>
      </c>
      <c r="U10" s="720" t="e">
        <v>#DIV/0!</v>
      </c>
      <c r="V10" s="720" t="e">
        <v>#DIV/0!</v>
      </c>
      <c r="W10" s="807" t="e">
        <f t="shared" si="10"/>
        <v>#DIV/0!</v>
      </c>
      <c r="X10" s="724" t="e">
        <f t="shared" si="11"/>
        <v>#DIV/0!</v>
      </c>
      <c r="Y10" s="810" t="e">
        <v>#DIV/0!</v>
      </c>
      <c r="Z10" s="720">
        <f t="shared" si="0"/>
        <v>0</v>
      </c>
      <c r="AA10" s="808">
        <v>0</v>
      </c>
      <c r="AB10" s="720" t="e">
        <f t="shared" si="12"/>
        <v>#DIV/0!</v>
      </c>
      <c r="AC10" s="720" t="e">
        <v>#DIV/0!</v>
      </c>
      <c r="AD10" s="720" t="e">
        <v>#DIV/0!</v>
      </c>
      <c r="AE10" s="810" t="e">
        <v>#DIV/0!</v>
      </c>
      <c r="AF10" s="720" t="e">
        <v>#DIV/0!</v>
      </c>
      <c r="AG10" s="811" t="e">
        <f>AH10*AT10</f>
        <v>#DIV/0!</v>
      </c>
      <c r="AH10" s="724" t="e">
        <f>((AI10/AS10)-1)*100</f>
        <v>#DIV/0!</v>
      </c>
      <c r="AI10" s="812" t="e">
        <v>#DIV/0!</v>
      </c>
      <c r="AJ10" s="720">
        <f t="shared" si="1"/>
        <v>0</v>
      </c>
      <c r="AK10" s="808">
        <v>0</v>
      </c>
      <c r="AL10" s="720" t="e">
        <f t="shared" si="2"/>
        <v>#DIV/0!</v>
      </c>
      <c r="AM10" s="720" t="e">
        <v>#DIV/0!</v>
      </c>
      <c r="AN10" s="720" t="e">
        <v>#DIV/0!</v>
      </c>
      <c r="AO10" s="720" t="e">
        <v>#DIV/0!</v>
      </c>
      <c r="AP10" s="810" t="e">
        <v>#DIV/0!</v>
      </c>
      <c r="AQ10" s="720" t="e">
        <f t="shared" si="13"/>
        <v>#DIV/0!</v>
      </c>
      <c r="AR10" s="720" t="e">
        <v>#DIV/0!</v>
      </c>
      <c r="AS10" s="720" t="e">
        <v>#DIV/0!</v>
      </c>
      <c r="AT10" s="720">
        <f t="shared" si="3"/>
        <v>0</v>
      </c>
      <c r="AU10" s="813">
        <v>0</v>
      </c>
      <c r="AV10" s="720" t="e">
        <f t="shared" si="14"/>
        <v>#DIV/0!</v>
      </c>
      <c r="AW10" s="720" t="e">
        <v>#DIV/0!</v>
      </c>
      <c r="AX10" s="720" t="e">
        <v>#DIV/0!</v>
      </c>
      <c r="AY10" s="809" t="e">
        <v>#DIV/0!</v>
      </c>
      <c r="AZ10" s="812" t="e">
        <v>#DIV/0!</v>
      </c>
      <c r="BD10" s="723"/>
      <c r="BE10" s="723"/>
      <c r="BF10" s="888">
        <f t="shared" si="16"/>
        <v>0</v>
      </c>
      <c r="BG10" s="814">
        <f t="shared" si="15"/>
        <v>0</v>
      </c>
    </row>
    <row r="11" spans="2:59">
      <c r="B11" s="728" t="s">
        <v>121</v>
      </c>
      <c r="C11" s="807">
        <f>D11*P11</f>
        <v>-5.6566685965513876E-2</v>
      </c>
      <c r="D11" s="805">
        <f>((E11/O11)-1)*100</f>
        <v>-11.090389703662606</v>
      </c>
      <c r="E11" s="808">
        <v>74.391395437572655</v>
      </c>
      <c r="F11" s="720">
        <f t="shared" si="4"/>
        <v>5.0213432587183048E-3</v>
      </c>
      <c r="G11" s="808">
        <v>3884.18786</v>
      </c>
      <c r="H11" s="720">
        <f t="shared" si="5"/>
        <v>0.16182095014169381</v>
      </c>
      <c r="I11" s="720">
        <v>9.627107694971054E-3</v>
      </c>
      <c r="J11" s="720">
        <v>7.7954309922098836E-3</v>
      </c>
      <c r="K11" s="720">
        <v>7.4826334923872462E-3</v>
      </c>
      <c r="L11" s="809">
        <v>7.2976481458007425E-3</v>
      </c>
      <c r="M11" s="807">
        <f t="shared" si="6"/>
        <v>0.20849629242688092</v>
      </c>
      <c r="N11" s="805">
        <f t="shared" si="7"/>
        <v>40.658786471998923</v>
      </c>
      <c r="O11" s="808">
        <v>83.670814875495168</v>
      </c>
      <c r="P11" s="720">
        <f t="shared" si="8"/>
        <v>5.1005138211538863E-3</v>
      </c>
      <c r="Q11" s="808">
        <v>4030.8893999999996</v>
      </c>
      <c r="R11" s="720">
        <f t="shared" si="9"/>
        <v>0.1296181298163249</v>
      </c>
      <c r="S11" s="809">
        <v>7.6494422468286185E-3</v>
      </c>
      <c r="T11" s="720">
        <v>8.9530566046076582E-3</v>
      </c>
      <c r="U11" s="720">
        <v>9.0272760984943575E-3</v>
      </c>
      <c r="V11" s="720">
        <v>8.5011667108946618E-3</v>
      </c>
      <c r="W11" s="807">
        <f t="shared" si="10"/>
        <v>-8.1304750488991551E-2</v>
      </c>
      <c r="X11" s="724">
        <f t="shared" si="11"/>
        <v>-15.855209945521576</v>
      </c>
      <c r="Y11" s="810">
        <v>59.48495431684362</v>
      </c>
      <c r="Z11" s="720">
        <f t="shared" si="0"/>
        <v>5.1279516807632491E-3</v>
      </c>
      <c r="AA11" s="808">
        <v>3451.2553399999997</v>
      </c>
      <c r="AB11" s="720">
        <f t="shared" si="12"/>
        <v>9.54871881554996E-2</v>
      </c>
      <c r="AC11" s="720">
        <v>9.4998888977428069E-3</v>
      </c>
      <c r="AD11" s="720">
        <v>8.5143842064444065E-3</v>
      </c>
      <c r="AE11" s="810">
        <v>6.9173403620837346E-3</v>
      </c>
      <c r="AF11" s="720">
        <v>7.0146098908445368E-3</v>
      </c>
      <c r="AG11" s="811">
        <f>AH11*AT11</f>
        <v>5.7113033658061446E-2</v>
      </c>
      <c r="AH11" s="724">
        <f>((AI11/AS11)-1)*100</f>
        <v>13.566165470433923</v>
      </c>
      <c r="AI11" s="812">
        <v>70.693567930148589</v>
      </c>
      <c r="AJ11" s="720">
        <f t="shared" si="1"/>
        <v>5.1279516807632491E-3</v>
      </c>
      <c r="AK11" s="808">
        <v>3451.2553399999997</v>
      </c>
      <c r="AL11" s="720">
        <f t="shared" si="2"/>
        <v>6.3540964798384114E-2</v>
      </c>
      <c r="AM11" s="720">
        <v>7.0727897980315457E-3</v>
      </c>
      <c r="AN11" s="720">
        <v>7.1845309828391839E-3</v>
      </c>
      <c r="AO11" s="720">
        <v>7.1495640896715703E-3</v>
      </c>
      <c r="AP11" s="810">
        <v>6.8972000247351645E-3</v>
      </c>
      <c r="AQ11" s="720">
        <f t="shared" si="13"/>
        <v>8.7905426436997475E-2</v>
      </c>
      <c r="AR11" s="720">
        <v>23.411565401613423</v>
      </c>
      <c r="AS11" s="720">
        <v>62.248793588573804</v>
      </c>
      <c r="AT11" s="720">
        <f t="shared" si="3"/>
        <v>4.2099614502368772E-3</v>
      </c>
      <c r="AU11" s="813">
        <v>2723.1674399999997</v>
      </c>
      <c r="AV11" s="720">
        <f t="shared" si="14"/>
        <v>3.5236879903106644E-2</v>
      </c>
      <c r="AW11" s="720">
        <v>7.1808338490388897E-3</v>
      </c>
      <c r="AX11" s="720">
        <v>8.8899903630169207E-3</v>
      </c>
      <c r="AY11" s="809">
        <v>9.8877051755869097E-3</v>
      </c>
      <c r="AZ11" s="812">
        <v>9.2783505154639193E-3</v>
      </c>
      <c r="BD11" s="728">
        <v>44.43</v>
      </c>
      <c r="BE11" s="728">
        <v>50.44</v>
      </c>
      <c r="BF11" s="888">
        <f t="shared" si="16"/>
        <v>2241.0491999999999</v>
      </c>
      <c r="BG11" s="814">
        <f t="shared" si="15"/>
        <v>3.7547863600329526E-3</v>
      </c>
    </row>
    <row r="12" spans="2:59">
      <c r="B12" s="723" t="s">
        <v>73</v>
      </c>
      <c r="C12" s="807"/>
      <c r="D12" s="805"/>
      <c r="E12" s="808" t="e">
        <v>#DIV/0!</v>
      </c>
      <c r="F12" s="720">
        <f t="shared" si="4"/>
        <v>0</v>
      </c>
      <c r="G12" s="808">
        <v>0</v>
      </c>
      <c r="H12" s="720" t="e">
        <f t="shared" si="5"/>
        <v>#DIV/0!</v>
      </c>
      <c r="I12" s="720" t="e">
        <v>#DIV/0!</v>
      </c>
      <c r="J12" s="720" t="e">
        <v>#DIV/0!</v>
      </c>
      <c r="K12" s="720" t="e">
        <v>#DIV/0!</v>
      </c>
      <c r="L12" s="809" t="e">
        <v>#DIV/0!</v>
      </c>
      <c r="M12" s="807" t="e">
        <f t="shared" si="6"/>
        <v>#DIV/0!</v>
      </c>
      <c r="N12" s="805" t="e">
        <f t="shared" si="7"/>
        <v>#DIV/0!</v>
      </c>
      <c r="O12" s="808" t="e">
        <v>#DIV/0!</v>
      </c>
      <c r="Q12" s="808">
        <v>0</v>
      </c>
      <c r="R12" s="720" t="e">
        <f t="shared" si="9"/>
        <v>#DIV/0!</v>
      </c>
      <c r="S12" s="809" t="e">
        <v>#DIV/0!</v>
      </c>
      <c r="T12" s="720" t="e">
        <v>#DIV/0!</v>
      </c>
      <c r="U12" s="720" t="e">
        <v>#DIV/0!</v>
      </c>
      <c r="V12" s="720" t="e">
        <v>#DIV/0!</v>
      </c>
      <c r="W12" s="807" t="e">
        <f t="shared" si="10"/>
        <v>#DIV/0!</v>
      </c>
      <c r="X12" s="724" t="e">
        <f t="shared" si="11"/>
        <v>#DIV/0!</v>
      </c>
      <c r="Y12" s="810" t="e">
        <v>#DIV/0!</v>
      </c>
      <c r="Z12" s="720">
        <f t="shared" si="0"/>
        <v>0</v>
      </c>
      <c r="AA12" s="808">
        <v>0</v>
      </c>
      <c r="AB12" s="720" t="e">
        <f t="shared" si="12"/>
        <v>#DIV/0!</v>
      </c>
      <c r="AC12" s="720" t="e">
        <v>#DIV/0!</v>
      </c>
      <c r="AD12" s="720" t="e">
        <v>#DIV/0!</v>
      </c>
      <c r="AE12" s="810" t="e">
        <v>#DIV/0!</v>
      </c>
      <c r="AF12" s="720" t="e">
        <v>#DIV/0!</v>
      </c>
      <c r="AG12" s="811" t="e">
        <f>AH12*AT12</f>
        <v>#DIV/0!</v>
      </c>
      <c r="AH12" s="724" t="e">
        <f>((AI12/AS12)-1)*100</f>
        <v>#DIV/0!</v>
      </c>
      <c r="AI12" s="812" t="e">
        <v>#DIV/0!</v>
      </c>
      <c r="AJ12" s="720">
        <f t="shared" si="1"/>
        <v>0</v>
      </c>
      <c r="AK12" s="808">
        <v>0</v>
      </c>
      <c r="AL12" s="720" t="e">
        <f t="shared" si="2"/>
        <v>#DIV/0!</v>
      </c>
      <c r="AM12" s="720" t="e">
        <v>#DIV/0!</v>
      </c>
      <c r="AN12" s="720" t="e">
        <v>#DIV/0!</v>
      </c>
      <c r="AO12" s="720" t="e">
        <v>#DIV/0!</v>
      </c>
      <c r="AP12" s="810" t="e">
        <v>#DIV/0!</v>
      </c>
      <c r="AQ12" s="720" t="e">
        <f t="shared" si="13"/>
        <v>#DIV/0!</v>
      </c>
      <c r="AR12" s="720" t="e">
        <v>#DIV/0!</v>
      </c>
      <c r="AS12" s="720" t="e">
        <v>#DIV/0!</v>
      </c>
      <c r="AT12" s="720">
        <f t="shared" si="3"/>
        <v>0</v>
      </c>
      <c r="AU12" s="813">
        <v>0</v>
      </c>
      <c r="AV12" s="720" t="e">
        <f t="shared" si="14"/>
        <v>#DIV/0!</v>
      </c>
      <c r="AW12" s="720" t="e">
        <v>#DIV/0!</v>
      </c>
      <c r="AX12" s="720" t="e">
        <v>#DIV/0!</v>
      </c>
      <c r="AY12" s="809" t="e">
        <v>#DIV/0!</v>
      </c>
      <c r="AZ12" s="812" t="e">
        <v>#DIV/0!</v>
      </c>
      <c r="BD12" s="723"/>
      <c r="BE12" s="723"/>
      <c r="BF12" s="888">
        <f t="shared" si="16"/>
        <v>0</v>
      </c>
      <c r="BG12" s="814">
        <f t="shared" si="15"/>
        <v>0</v>
      </c>
    </row>
    <row r="13" spans="2:59">
      <c r="B13" s="723" t="s">
        <v>122</v>
      </c>
      <c r="C13" s="807"/>
      <c r="D13" s="805"/>
      <c r="E13" s="808" t="e">
        <v>#DIV/0!</v>
      </c>
      <c r="F13" s="720">
        <f t="shared" si="4"/>
        <v>0</v>
      </c>
      <c r="G13" s="808">
        <v>0</v>
      </c>
      <c r="H13" s="720" t="e">
        <f t="shared" si="5"/>
        <v>#DIV/0!</v>
      </c>
      <c r="I13" s="720" t="e">
        <v>#DIV/0!</v>
      </c>
      <c r="J13" s="720" t="e">
        <v>#DIV/0!</v>
      </c>
      <c r="K13" s="720" t="e">
        <v>#DIV/0!</v>
      </c>
      <c r="L13" s="809" t="e">
        <v>#DIV/0!</v>
      </c>
      <c r="M13" s="807" t="e">
        <f t="shared" si="6"/>
        <v>#DIV/0!</v>
      </c>
      <c r="N13" s="805" t="e">
        <f t="shared" si="7"/>
        <v>#DIV/0!</v>
      </c>
      <c r="O13" s="808" t="e">
        <v>#DIV/0!</v>
      </c>
      <c r="Q13" s="808">
        <v>0</v>
      </c>
      <c r="R13" s="720" t="e">
        <f t="shared" si="9"/>
        <v>#DIV/0!</v>
      </c>
      <c r="S13" s="809" t="e">
        <v>#DIV/0!</v>
      </c>
      <c r="T13" s="720" t="e">
        <v>#DIV/0!</v>
      </c>
      <c r="U13" s="720" t="e">
        <v>#DIV/0!</v>
      </c>
      <c r="V13" s="720" t="e">
        <v>#DIV/0!</v>
      </c>
      <c r="W13" s="807" t="e">
        <f t="shared" si="10"/>
        <v>#DIV/0!</v>
      </c>
      <c r="X13" s="724" t="e">
        <f t="shared" si="11"/>
        <v>#DIV/0!</v>
      </c>
      <c r="Y13" s="810" t="e">
        <v>#DIV/0!</v>
      </c>
      <c r="Z13" s="720">
        <f t="shared" si="0"/>
        <v>0</v>
      </c>
      <c r="AA13" s="808">
        <v>0</v>
      </c>
      <c r="AB13" s="720" t="e">
        <f t="shared" si="12"/>
        <v>#DIV/0!</v>
      </c>
      <c r="AC13" s="720" t="e">
        <v>#DIV/0!</v>
      </c>
      <c r="AD13" s="720" t="e">
        <v>#DIV/0!</v>
      </c>
      <c r="AE13" s="810" t="e">
        <v>#DIV/0!</v>
      </c>
      <c r="AF13" s="720" t="e">
        <v>#DIV/0!</v>
      </c>
      <c r="AG13" s="811" t="e">
        <f>AH13*AT13</f>
        <v>#DIV/0!</v>
      </c>
      <c r="AH13" s="724" t="e">
        <f>((AI13/AS13)-1)*100</f>
        <v>#DIV/0!</v>
      </c>
      <c r="AI13" s="812" t="e">
        <v>#DIV/0!</v>
      </c>
      <c r="AJ13" s="720">
        <f t="shared" si="1"/>
        <v>0</v>
      </c>
      <c r="AK13" s="808">
        <v>0</v>
      </c>
      <c r="AL13" s="720" t="e">
        <f t="shared" si="2"/>
        <v>#DIV/0!</v>
      </c>
      <c r="AM13" s="720" t="e">
        <v>#DIV/0!</v>
      </c>
      <c r="AN13" s="720" t="e">
        <v>#DIV/0!</v>
      </c>
      <c r="AO13" s="720" t="e">
        <v>#DIV/0!</v>
      </c>
      <c r="AP13" s="810" t="e">
        <v>#DIV/0!</v>
      </c>
      <c r="AQ13" s="720" t="e">
        <f t="shared" si="13"/>
        <v>#DIV/0!</v>
      </c>
      <c r="AR13" s="720" t="e">
        <v>#DIV/0!</v>
      </c>
      <c r="AS13" s="720" t="e">
        <v>#DIV/0!</v>
      </c>
      <c r="AT13" s="720">
        <f t="shared" si="3"/>
        <v>0</v>
      </c>
      <c r="AU13" s="813">
        <v>0</v>
      </c>
      <c r="AV13" s="720" t="e">
        <f t="shared" si="14"/>
        <v>#DIV/0!</v>
      </c>
      <c r="AW13" s="720" t="e">
        <v>#DIV/0!</v>
      </c>
      <c r="AX13" s="720" t="e">
        <v>#DIV/0!</v>
      </c>
      <c r="AY13" s="809" t="e">
        <v>#DIV/0!</v>
      </c>
      <c r="AZ13" s="812" t="e">
        <v>#DIV/0!</v>
      </c>
      <c r="BD13" s="723"/>
      <c r="BE13" s="723"/>
      <c r="BF13" s="888">
        <f t="shared" si="16"/>
        <v>0</v>
      </c>
      <c r="BG13" s="814">
        <f t="shared" si="15"/>
        <v>0</v>
      </c>
    </row>
    <row r="14" spans="2:59">
      <c r="B14" s="723" t="s">
        <v>252</v>
      </c>
      <c r="C14" s="807"/>
      <c r="D14" s="805"/>
      <c r="E14" s="808" t="e">
        <v>#DIV/0!</v>
      </c>
      <c r="G14" s="808">
        <v>0</v>
      </c>
      <c r="H14" s="720" t="e">
        <f t="shared" si="5"/>
        <v>#DIV/0!</v>
      </c>
      <c r="I14" s="720" t="e">
        <v>#DIV/0!</v>
      </c>
      <c r="J14" s="720" t="e">
        <v>#DIV/0!</v>
      </c>
      <c r="K14" s="720" t="e">
        <v>#DIV/0!</v>
      </c>
      <c r="L14" s="809" t="e">
        <v>#DIV/0!</v>
      </c>
      <c r="N14" s="805"/>
      <c r="O14" s="808">
        <v>0</v>
      </c>
      <c r="Q14" s="808">
        <v>0</v>
      </c>
      <c r="S14" s="809" t="e">
        <v>#DIV/0!</v>
      </c>
      <c r="T14" s="720" t="e">
        <v>#DIV/0!</v>
      </c>
      <c r="U14" s="720" t="e">
        <v>#DIV/0!</v>
      </c>
      <c r="V14" s="720" t="e">
        <v>#DIV/0!</v>
      </c>
      <c r="W14" s="807"/>
      <c r="X14" s="724"/>
      <c r="Y14" s="810">
        <v>0</v>
      </c>
      <c r="AA14" s="808">
        <v>0</v>
      </c>
      <c r="AC14" s="720" t="e">
        <v>#VALUE!</v>
      </c>
      <c r="AD14" s="720" t="e">
        <v>#VALUE!</v>
      </c>
      <c r="AE14" s="810" t="e">
        <v>#VALUE!</v>
      </c>
      <c r="AF14" s="720" t="e">
        <v>#VALUE!</v>
      </c>
      <c r="AG14" s="811" t="s">
        <v>103</v>
      </c>
      <c r="AH14" s="724" t="s">
        <v>103</v>
      </c>
      <c r="AI14" s="812" t="e">
        <v>#VALUE!</v>
      </c>
      <c r="AJ14" s="720">
        <f t="shared" si="1"/>
        <v>0</v>
      </c>
      <c r="AK14" s="808">
        <v>0</v>
      </c>
      <c r="AL14" s="720" t="s">
        <v>103</v>
      </c>
      <c r="AM14" s="720" t="e">
        <v>#DIV/0!</v>
      </c>
      <c r="AN14" s="720" t="e">
        <v>#DIV/0!</v>
      </c>
      <c r="AO14" s="720" t="e">
        <v>#DIV/0!</v>
      </c>
      <c r="AP14" s="810" t="e">
        <v>#DIV/0!</v>
      </c>
      <c r="AQ14" s="720" t="e">
        <f t="shared" si="13"/>
        <v>#DIV/0!</v>
      </c>
      <c r="AR14" s="720" t="e">
        <v>#DIV/0!</v>
      </c>
      <c r="AS14" s="720" t="e">
        <v>#DIV/0!</v>
      </c>
      <c r="AT14" s="720">
        <f t="shared" si="3"/>
        <v>0</v>
      </c>
      <c r="AU14" s="813">
        <v>0</v>
      </c>
      <c r="AV14" s="720" t="e">
        <f t="shared" si="14"/>
        <v>#DIV/0!</v>
      </c>
      <c r="AW14" s="720" t="e">
        <v>#DIV/0!</v>
      </c>
      <c r="AX14" s="720" t="e">
        <v>#DIV/0!</v>
      </c>
      <c r="AY14" s="809" t="e">
        <v>#DIV/0!</v>
      </c>
      <c r="AZ14" s="812" t="e">
        <v>#DIV/0!</v>
      </c>
      <c r="BD14" s="723"/>
      <c r="BE14" s="723"/>
      <c r="BF14" s="888">
        <f t="shared" si="16"/>
        <v>0</v>
      </c>
      <c r="BG14" s="814">
        <f t="shared" si="15"/>
        <v>0</v>
      </c>
    </row>
    <row r="15" spans="2:59">
      <c r="B15" s="723" t="s">
        <v>253</v>
      </c>
      <c r="C15" s="807"/>
      <c r="D15" s="805"/>
      <c r="E15" s="808" t="e">
        <v>#DIV/0!</v>
      </c>
      <c r="G15" s="808">
        <v>0</v>
      </c>
      <c r="H15" s="720" t="e">
        <f t="shared" si="5"/>
        <v>#DIV/0!</v>
      </c>
      <c r="I15" s="720" t="e">
        <v>#DIV/0!</v>
      </c>
      <c r="J15" s="720" t="e">
        <v>#DIV/0!</v>
      </c>
      <c r="K15" s="720" t="e">
        <v>#DIV/0!</v>
      </c>
      <c r="L15" s="809" t="e">
        <v>#DIV/0!</v>
      </c>
      <c r="M15" s="807"/>
      <c r="N15" s="805"/>
      <c r="O15" s="808" t="e">
        <v>#DIV/0!</v>
      </c>
      <c r="Q15" s="808">
        <v>0</v>
      </c>
      <c r="R15" s="720" t="e">
        <f t="shared" si="9"/>
        <v>#DIV/0!</v>
      </c>
      <c r="S15" s="809" t="e">
        <v>#DIV/0!</v>
      </c>
      <c r="T15" s="720" t="e">
        <v>#DIV/0!</v>
      </c>
      <c r="U15" s="720" t="e">
        <v>#DIV/0!</v>
      </c>
      <c r="V15" s="720" t="e">
        <v>#DIV/0!</v>
      </c>
      <c r="W15" s="807" t="e">
        <f t="shared" si="10"/>
        <v>#DIV/0!</v>
      </c>
      <c r="X15" s="724" t="e">
        <f t="shared" si="11"/>
        <v>#DIV/0!</v>
      </c>
      <c r="Y15" s="810" t="e">
        <v>#DIV/0!</v>
      </c>
      <c r="Z15" s="720">
        <f t="shared" ref="Z15:Z32" si="17">AA15/$AA$112</f>
        <v>0</v>
      </c>
      <c r="AA15" s="808">
        <v>0</v>
      </c>
      <c r="AB15" s="720" t="e">
        <f t="shared" si="12"/>
        <v>#DIV/0!</v>
      </c>
      <c r="AC15" s="720" t="e">
        <v>#DIV/0!</v>
      </c>
      <c r="AD15" s="720" t="e">
        <v>#DIV/0!</v>
      </c>
      <c r="AE15" s="810" t="e">
        <v>#DIV/0!</v>
      </c>
      <c r="AF15" s="720" t="e">
        <v>#DIV/0!</v>
      </c>
      <c r="AG15" s="811" t="e">
        <f t="shared" ref="AG15:AG23" si="18">AH15*AT15</f>
        <v>#DIV/0!</v>
      </c>
      <c r="AH15" s="724" t="e">
        <f t="shared" ref="AH15:AH23" si="19">((AI15/AS15)-1)*100</f>
        <v>#DIV/0!</v>
      </c>
      <c r="AI15" s="812" t="e">
        <v>#DIV/0!</v>
      </c>
      <c r="AJ15" s="720">
        <f t="shared" si="1"/>
        <v>0</v>
      </c>
      <c r="AK15" s="808">
        <v>0</v>
      </c>
      <c r="AL15" s="720" t="e">
        <f t="shared" ref="AL15:AL32" si="20">AM15+AN15+AO15+AP15+AV15</f>
        <v>#DIV/0!</v>
      </c>
      <c r="AM15" s="720" t="e">
        <v>#DIV/0!</v>
      </c>
      <c r="AN15" s="720" t="e">
        <v>#DIV/0!</v>
      </c>
      <c r="AO15" s="720" t="e">
        <v>#DIV/0!</v>
      </c>
      <c r="AP15" s="810" t="e">
        <v>#DIV/0!</v>
      </c>
      <c r="AQ15" s="720" t="e">
        <f t="shared" si="13"/>
        <v>#DIV/0!</v>
      </c>
      <c r="AR15" s="720" t="e">
        <v>#DIV/0!</v>
      </c>
      <c r="AS15" s="720" t="e">
        <v>#DIV/0!</v>
      </c>
      <c r="AT15" s="720">
        <f t="shared" si="3"/>
        <v>0</v>
      </c>
      <c r="AU15" s="813">
        <v>0</v>
      </c>
      <c r="AV15" s="720" t="e">
        <f t="shared" si="14"/>
        <v>#DIV/0!</v>
      </c>
      <c r="AW15" s="720" t="e">
        <v>#DIV/0!</v>
      </c>
      <c r="AX15" s="720" t="e">
        <v>#DIV/0!</v>
      </c>
      <c r="AY15" s="809" t="e">
        <v>#DIV/0!</v>
      </c>
      <c r="AZ15" s="812" t="e">
        <v>#DIV/0!</v>
      </c>
      <c r="BD15" s="723"/>
      <c r="BE15" s="723"/>
      <c r="BF15" s="888">
        <f t="shared" si="16"/>
        <v>0</v>
      </c>
      <c r="BG15" s="814">
        <f t="shared" si="15"/>
        <v>0</v>
      </c>
    </row>
    <row r="16" spans="2:59">
      <c r="B16" s="723" t="s">
        <v>123</v>
      </c>
      <c r="C16" s="807"/>
      <c r="D16" s="805"/>
      <c r="E16" s="808" t="e">
        <v>#DIV/0!</v>
      </c>
      <c r="F16" s="720">
        <f t="shared" si="4"/>
        <v>0</v>
      </c>
      <c r="G16" s="808">
        <v>0</v>
      </c>
      <c r="H16" s="720" t="e">
        <f t="shared" si="5"/>
        <v>#DIV/0!</v>
      </c>
      <c r="I16" s="720" t="e">
        <v>#DIV/0!</v>
      </c>
      <c r="J16" s="720" t="e">
        <v>#DIV/0!</v>
      </c>
      <c r="K16" s="720" t="e">
        <v>#DIV/0!</v>
      </c>
      <c r="L16" s="809" t="e">
        <v>#DIV/0!</v>
      </c>
      <c r="M16" s="807" t="e">
        <f t="shared" si="6"/>
        <v>#DIV/0!</v>
      </c>
      <c r="N16" s="805" t="e">
        <f t="shared" si="7"/>
        <v>#DIV/0!</v>
      </c>
      <c r="O16" s="808" t="e">
        <v>#DIV/0!</v>
      </c>
      <c r="Q16" s="808">
        <v>0</v>
      </c>
      <c r="R16" s="720" t="e">
        <f t="shared" si="9"/>
        <v>#DIV/0!</v>
      </c>
      <c r="S16" s="809" t="e">
        <v>#DIV/0!</v>
      </c>
      <c r="T16" s="720" t="e">
        <v>#DIV/0!</v>
      </c>
      <c r="U16" s="720" t="e">
        <v>#DIV/0!</v>
      </c>
      <c r="V16" s="720" t="e">
        <v>#DIV/0!</v>
      </c>
      <c r="W16" s="807" t="e">
        <f t="shared" si="10"/>
        <v>#DIV/0!</v>
      </c>
      <c r="X16" s="724" t="e">
        <f t="shared" si="11"/>
        <v>#DIV/0!</v>
      </c>
      <c r="Y16" s="810" t="e">
        <v>#DIV/0!</v>
      </c>
      <c r="Z16" s="720">
        <f t="shared" si="17"/>
        <v>0</v>
      </c>
      <c r="AA16" s="808">
        <v>0</v>
      </c>
      <c r="AB16" s="720" t="e">
        <f t="shared" si="12"/>
        <v>#DIV/0!</v>
      </c>
      <c r="AC16" s="720" t="e">
        <v>#DIV/0!</v>
      </c>
      <c r="AD16" s="720" t="e">
        <v>#DIV/0!</v>
      </c>
      <c r="AE16" s="810" t="e">
        <v>#DIV/0!</v>
      </c>
      <c r="AF16" s="720" t="e">
        <v>#DIV/0!</v>
      </c>
      <c r="AG16" s="811" t="e">
        <f t="shared" si="18"/>
        <v>#DIV/0!</v>
      </c>
      <c r="AH16" s="724" t="e">
        <f t="shared" si="19"/>
        <v>#DIV/0!</v>
      </c>
      <c r="AI16" s="812" t="e">
        <v>#DIV/0!</v>
      </c>
      <c r="AJ16" s="720">
        <f t="shared" si="1"/>
        <v>0</v>
      </c>
      <c r="AK16" s="808">
        <v>0</v>
      </c>
      <c r="AL16" s="720" t="e">
        <f t="shared" si="20"/>
        <v>#DIV/0!</v>
      </c>
      <c r="AM16" s="720" t="e">
        <v>#DIV/0!</v>
      </c>
      <c r="AN16" s="720" t="e">
        <v>#DIV/0!</v>
      </c>
      <c r="AO16" s="720" t="e">
        <v>#DIV/0!</v>
      </c>
      <c r="AP16" s="810" t="e">
        <v>#DIV/0!</v>
      </c>
      <c r="AQ16" s="720">
        <f t="shared" si="13"/>
        <v>2.3841952510489595E-2</v>
      </c>
      <c r="AR16" s="720">
        <v>4.3221223291461275</v>
      </c>
      <c r="AS16" s="720">
        <v>56.876421093850468</v>
      </c>
      <c r="AT16" s="720">
        <f t="shared" si="3"/>
        <v>5.1663205991950706E-3</v>
      </c>
      <c r="AU16" s="813">
        <v>3341.77787769</v>
      </c>
      <c r="AV16" s="720">
        <f t="shared" si="14"/>
        <v>3.0183319939331106E-2</v>
      </c>
      <c r="AW16" s="720">
        <v>7.4100580466774412E-3</v>
      </c>
      <c r="AX16" s="720">
        <v>7.7762650590583824E-3</v>
      </c>
      <c r="AY16" s="809">
        <v>7.5689559793705834E-3</v>
      </c>
      <c r="AZ16" s="812">
        <v>7.4280408542246983E-3</v>
      </c>
      <c r="BD16" s="728">
        <v>60.388615999999999</v>
      </c>
      <c r="BE16" s="728">
        <v>54.52</v>
      </c>
      <c r="BF16" s="888">
        <f t="shared" si="16"/>
        <v>3292.38734432</v>
      </c>
      <c r="BG16" s="814">
        <f t="shared" si="15"/>
        <v>5.5162604606796908E-3</v>
      </c>
    </row>
    <row r="17" spans="2:59">
      <c r="B17" s="723" t="s">
        <v>254</v>
      </c>
      <c r="C17" s="807"/>
      <c r="D17" s="805"/>
      <c r="E17" s="808" t="e">
        <v>#DIV/0!</v>
      </c>
      <c r="G17" s="808">
        <v>0</v>
      </c>
      <c r="H17" s="720" t="e">
        <f t="shared" si="5"/>
        <v>#DIV/0!</v>
      </c>
      <c r="I17" s="720" t="e">
        <v>#DIV/0!</v>
      </c>
      <c r="J17" s="720" t="e">
        <v>#DIV/0!</v>
      </c>
      <c r="K17" s="720" t="e">
        <v>#DIV/0!</v>
      </c>
      <c r="L17" s="809" t="e">
        <v>#DIV/0!</v>
      </c>
      <c r="M17" s="807"/>
      <c r="N17" s="805"/>
      <c r="O17" s="808" t="e">
        <v>#DIV/0!</v>
      </c>
      <c r="Q17" s="808">
        <v>0</v>
      </c>
      <c r="R17" s="720" t="e">
        <f t="shared" si="9"/>
        <v>#DIV/0!</v>
      </c>
      <c r="S17" s="809" t="e">
        <v>#DIV/0!</v>
      </c>
      <c r="T17" s="720" t="e">
        <v>#DIV/0!</v>
      </c>
      <c r="U17" s="720" t="e">
        <v>#DIV/0!</v>
      </c>
      <c r="V17" s="720" t="e">
        <v>#DIV/0!</v>
      </c>
      <c r="W17" s="807" t="e">
        <f t="shared" si="10"/>
        <v>#DIV/0!</v>
      </c>
      <c r="X17" s="724" t="e">
        <f t="shared" si="11"/>
        <v>#DIV/0!</v>
      </c>
      <c r="Y17" s="810" t="e">
        <v>#DIV/0!</v>
      </c>
      <c r="Z17" s="720">
        <f t="shared" si="17"/>
        <v>0</v>
      </c>
      <c r="AA17" s="808">
        <v>0</v>
      </c>
      <c r="AB17" s="720" t="e">
        <f t="shared" si="12"/>
        <v>#DIV/0!</v>
      </c>
      <c r="AC17" s="720" t="e">
        <v>#DIV/0!</v>
      </c>
      <c r="AD17" s="720" t="e">
        <v>#DIV/0!</v>
      </c>
      <c r="AE17" s="810" t="e">
        <v>#DIV/0!</v>
      </c>
      <c r="AF17" s="720" t="e">
        <v>#DIV/0!</v>
      </c>
      <c r="AG17" s="811" t="e">
        <f t="shared" si="18"/>
        <v>#DIV/0!</v>
      </c>
      <c r="AH17" s="724" t="e">
        <f t="shared" si="19"/>
        <v>#DIV/0!</v>
      </c>
      <c r="AI17" s="812" t="e">
        <v>#DIV/0!</v>
      </c>
      <c r="AJ17" s="720">
        <f t="shared" si="1"/>
        <v>0</v>
      </c>
      <c r="AK17" s="808">
        <v>0</v>
      </c>
      <c r="AL17" s="720" t="e">
        <f t="shared" si="20"/>
        <v>#DIV/0!</v>
      </c>
      <c r="AM17" s="720" t="e">
        <v>#DIV/0!</v>
      </c>
      <c r="AN17" s="720" t="e">
        <v>#DIV/0!</v>
      </c>
      <c r="AO17" s="720" t="e">
        <v>#DIV/0!</v>
      </c>
      <c r="AP17" s="810" t="e">
        <v>#DIV/0!</v>
      </c>
      <c r="AQ17" s="720" t="e">
        <f t="shared" si="13"/>
        <v>#DIV/0!</v>
      </c>
      <c r="AR17" s="720" t="e">
        <v>#DIV/0!</v>
      </c>
      <c r="AS17" s="720" t="e">
        <v>#DIV/0!</v>
      </c>
      <c r="AT17" s="720">
        <f t="shared" si="3"/>
        <v>0</v>
      </c>
      <c r="AU17" s="813">
        <v>0</v>
      </c>
      <c r="AV17" s="720" t="e">
        <f t="shared" si="14"/>
        <v>#DIV/0!</v>
      </c>
      <c r="AW17" s="720" t="e">
        <v>#DIV/0!</v>
      </c>
      <c r="AX17" s="720" t="e">
        <v>#DIV/0!</v>
      </c>
      <c r="AY17" s="809" t="e">
        <v>#DIV/0!</v>
      </c>
      <c r="AZ17" s="812" t="e">
        <v>#DIV/0!</v>
      </c>
      <c r="BD17" s="723"/>
      <c r="BE17" s="723"/>
      <c r="BF17" s="888">
        <f t="shared" si="16"/>
        <v>0</v>
      </c>
      <c r="BG17" s="814">
        <f t="shared" si="15"/>
        <v>0</v>
      </c>
    </row>
    <row r="18" spans="2:59">
      <c r="B18" s="723" t="s">
        <v>124</v>
      </c>
      <c r="C18" s="807"/>
      <c r="D18" s="805"/>
      <c r="E18" s="808" t="e">
        <v>#DIV/0!</v>
      </c>
      <c r="F18" s="720">
        <f t="shared" si="4"/>
        <v>0</v>
      </c>
      <c r="G18" s="808">
        <v>0</v>
      </c>
      <c r="H18" s="720" t="e">
        <f t="shared" si="5"/>
        <v>#DIV/0!</v>
      </c>
      <c r="I18" s="720" t="e">
        <v>#DIV/0!</v>
      </c>
      <c r="J18" s="720" t="e">
        <v>#DIV/0!</v>
      </c>
      <c r="K18" s="720" t="e">
        <v>#DIV/0!</v>
      </c>
      <c r="L18" s="809" t="e">
        <v>#DIV/0!</v>
      </c>
      <c r="M18" s="807" t="e">
        <f t="shared" si="6"/>
        <v>#DIV/0!</v>
      </c>
      <c r="N18" s="805" t="e">
        <f t="shared" si="7"/>
        <v>#DIV/0!</v>
      </c>
      <c r="O18" s="808" t="e">
        <v>#DIV/0!</v>
      </c>
      <c r="Q18" s="808">
        <v>0</v>
      </c>
      <c r="R18" s="720" t="e">
        <f t="shared" si="9"/>
        <v>#DIV/0!</v>
      </c>
      <c r="S18" s="809" t="e">
        <v>#DIV/0!</v>
      </c>
      <c r="T18" s="720" t="e">
        <v>#DIV/0!</v>
      </c>
      <c r="U18" s="720" t="e">
        <v>#DIV/0!</v>
      </c>
      <c r="V18" s="720" t="e">
        <v>#DIV/0!</v>
      </c>
      <c r="W18" s="807" t="e">
        <f t="shared" si="10"/>
        <v>#DIV/0!</v>
      </c>
      <c r="X18" s="724" t="e">
        <f t="shared" si="11"/>
        <v>#DIV/0!</v>
      </c>
      <c r="Y18" s="810" t="e">
        <v>#DIV/0!</v>
      </c>
      <c r="Z18" s="720">
        <f t="shared" si="17"/>
        <v>0</v>
      </c>
      <c r="AA18" s="808">
        <v>0</v>
      </c>
      <c r="AB18" s="720" t="e">
        <f t="shared" si="12"/>
        <v>#DIV/0!</v>
      </c>
      <c r="AC18" s="720" t="e">
        <v>#DIV/0!</v>
      </c>
      <c r="AD18" s="720" t="e">
        <v>#DIV/0!</v>
      </c>
      <c r="AE18" s="810" t="e">
        <v>#DIV/0!</v>
      </c>
      <c r="AF18" s="720" t="e">
        <v>#DIV/0!</v>
      </c>
      <c r="AG18" s="811" t="e">
        <f t="shared" si="18"/>
        <v>#DIV/0!</v>
      </c>
      <c r="AH18" s="724" t="e">
        <f t="shared" si="19"/>
        <v>#DIV/0!</v>
      </c>
      <c r="AI18" s="812" t="e">
        <v>#DIV/0!</v>
      </c>
      <c r="AJ18" s="720">
        <f t="shared" si="1"/>
        <v>0</v>
      </c>
      <c r="AK18" s="808">
        <v>0</v>
      </c>
      <c r="AL18" s="720" t="e">
        <f t="shared" si="20"/>
        <v>#DIV/0!</v>
      </c>
      <c r="AM18" s="720" t="e">
        <v>#DIV/0!</v>
      </c>
      <c r="AN18" s="720" t="e">
        <v>#DIV/0!</v>
      </c>
      <c r="AO18" s="720" t="e">
        <v>#DIV/0!</v>
      </c>
      <c r="AP18" s="810" t="e">
        <v>#DIV/0!</v>
      </c>
      <c r="AQ18" s="720" t="e">
        <f t="shared" si="13"/>
        <v>#DIV/0!</v>
      </c>
      <c r="AR18" s="720" t="e">
        <v>#DIV/0!</v>
      </c>
      <c r="AS18" s="720" t="e">
        <v>#DIV/0!</v>
      </c>
      <c r="AT18" s="720">
        <f t="shared" si="3"/>
        <v>0</v>
      </c>
      <c r="AU18" s="813">
        <v>0</v>
      </c>
      <c r="AV18" s="720" t="e">
        <f t="shared" si="14"/>
        <v>#DIV/0!</v>
      </c>
      <c r="AW18" s="720" t="e">
        <v>#DIV/0!</v>
      </c>
      <c r="AX18" s="720" t="e">
        <v>#DIV/0!</v>
      </c>
      <c r="AY18" s="809" t="e">
        <v>#DIV/0!</v>
      </c>
      <c r="AZ18" s="812" t="e">
        <v>#DIV/0!</v>
      </c>
      <c r="BD18" s="723"/>
      <c r="BE18" s="723"/>
      <c r="BF18" s="888">
        <f t="shared" si="16"/>
        <v>0</v>
      </c>
      <c r="BG18" s="814">
        <f t="shared" si="15"/>
        <v>0</v>
      </c>
    </row>
    <row r="19" spans="2:59">
      <c r="B19" s="723" t="s">
        <v>255</v>
      </c>
      <c r="C19" s="807"/>
      <c r="D19" s="805"/>
      <c r="E19" s="808" t="e">
        <v>#DIV/0!</v>
      </c>
      <c r="G19" s="808">
        <v>0</v>
      </c>
      <c r="H19" s="720" t="e">
        <f t="shared" si="5"/>
        <v>#DIV/0!</v>
      </c>
      <c r="I19" s="720" t="e">
        <v>#DIV/0!</v>
      </c>
      <c r="J19" s="720" t="e">
        <v>#DIV/0!</v>
      </c>
      <c r="K19" s="720" t="e">
        <v>#DIV/0!</v>
      </c>
      <c r="L19" s="809" t="e">
        <v>#DIV/0!</v>
      </c>
      <c r="M19" s="807"/>
      <c r="N19" s="805"/>
      <c r="O19" s="808" t="e">
        <v>#DIV/0!</v>
      </c>
      <c r="Q19" s="808">
        <v>0</v>
      </c>
      <c r="R19" s="720" t="e">
        <f t="shared" si="9"/>
        <v>#DIV/0!</v>
      </c>
      <c r="S19" s="809" t="e">
        <v>#DIV/0!</v>
      </c>
      <c r="T19" s="720" t="e">
        <v>#DIV/0!</v>
      </c>
      <c r="U19" s="720" t="e">
        <v>#DIV/0!</v>
      </c>
      <c r="V19" s="720" t="e">
        <v>#DIV/0!</v>
      </c>
      <c r="W19" s="807" t="e">
        <f t="shared" si="10"/>
        <v>#DIV/0!</v>
      </c>
      <c r="X19" s="724" t="e">
        <f t="shared" si="11"/>
        <v>#DIV/0!</v>
      </c>
      <c r="Y19" s="810" t="e">
        <v>#DIV/0!</v>
      </c>
      <c r="Z19" s="720">
        <f t="shared" si="17"/>
        <v>0</v>
      </c>
      <c r="AA19" s="808">
        <v>0</v>
      </c>
      <c r="AB19" s="720" t="e">
        <f t="shared" si="12"/>
        <v>#DIV/0!</v>
      </c>
      <c r="AC19" s="720" t="e">
        <v>#DIV/0!</v>
      </c>
      <c r="AD19" s="720" t="e">
        <v>#DIV/0!</v>
      </c>
      <c r="AE19" s="810" t="e">
        <v>#DIV/0!</v>
      </c>
      <c r="AF19" s="720" t="e">
        <v>#DIV/0!</v>
      </c>
      <c r="AG19" s="811" t="e">
        <f t="shared" si="18"/>
        <v>#DIV/0!</v>
      </c>
      <c r="AH19" s="724" t="e">
        <f t="shared" si="19"/>
        <v>#DIV/0!</v>
      </c>
      <c r="AI19" s="812" t="e">
        <v>#DIV/0!</v>
      </c>
      <c r="AJ19" s="720">
        <f t="shared" si="1"/>
        <v>0</v>
      </c>
      <c r="AK19" s="808">
        <v>0</v>
      </c>
      <c r="AL19" s="720" t="e">
        <f t="shared" si="20"/>
        <v>#DIV/0!</v>
      </c>
      <c r="AM19" s="720" t="e">
        <v>#DIV/0!</v>
      </c>
      <c r="AN19" s="720" t="e">
        <v>#DIV/0!</v>
      </c>
      <c r="AO19" s="720" t="e">
        <v>#DIV/0!</v>
      </c>
      <c r="AP19" s="810" t="e">
        <v>#DIV/0!</v>
      </c>
      <c r="AQ19" s="720" t="e">
        <f t="shared" si="13"/>
        <v>#DIV/0!</v>
      </c>
      <c r="AR19" s="720" t="e">
        <v>#DIV/0!</v>
      </c>
      <c r="AS19" s="720" t="e">
        <v>#DIV/0!</v>
      </c>
      <c r="AT19" s="720">
        <f t="shared" si="3"/>
        <v>0</v>
      </c>
      <c r="AU19" s="813">
        <v>0</v>
      </c>
      <c r="AV19" s="720" t="e">
        <f t="shared" si="14"/>
        <v>#DIV/0!</v>
      </c>
      <c r="AW19" s="720" t="e">
        <v>#DIV/0!</v>
      </c>
      <c r="AX19" s="720" t="e">
        <v>#DIV/0!</v>
      </c>
      <c r="AY19" s="809" t="e">
        <v>#DIV/0!</v>
      </c>
      <c r="AZ19" s="812" t="e">
        <v>#DIV/0!</v>
      </c>
      <c r="BD19" s="723"/>
      <c r="BE19" s="723"/>
      <c r="BF19" s="888">
        <f t="shared" si="16"/>
        <v>0</v>
      </c>
      <c r="BG19" s="814">
        <f t="shared" si="15"/>
        <v>0</v>
      </c>
    </row>
    <row r="20" spans="2:59">
      <c r="B20" s="723" t="s">
        <v>256</v>
      </c>
      <c r="C20" s="807"/>
      <c r="D20" s="805"/>
      <c r="E20" s="808" t="e">
        <v>#DIV/0!</v>
      </c>
      <c r="F20" s="720">
        <f t="shared" si="4"/>
        <v>0</v>
      </c>
      <c r="G20" s="808">
        <v>0</v>
      </c>
      <c r="H20" s="720" t="e">
        <f t="shared" si="5"/>
        <v>#DIV/0!</v>
      </c>
      <c r="I20" s="720" t="e">
        <v>#DIV/0!</v>
      </c>
      <c r="J20" s="720" t="e">
        <v>#DIV/0!</v>
      </c>
      <c r="K20" s="720" t="e">
        <v>#DIV/0!</v>
      </c>
      <c r="L20" s="809" t="e">
        <v>#DIV/0!</v>
      </c>
      <c r="M20" s="807" t="e">
        <f t="shared" si="6"/>
        <v>#DIV/0!</v>
      </c>
      <c r="N20" s="805" t="e">
        <f t="shared" si="7"/>
        <v>#DIV/0!</v>
      </c>
      <c r="O20" s="808" t="e">
        <v>#DIV/0!</v>
      </c>
      <c r="Q20" s="808">
        <v>0</v>
      </c>
      <c r="R20" s="720" t="e">
        <f t="shared" si="9"/>
        <v>#DIV/0!</v>
      </c>
      <c r="S20" s="809" t="e">
        <v>#DIV/0!</v>
      </c>
      <c r="T20" s="720" t="e">
        <v>#DIV/0!</v>
      </c>
      <c r="U20" s="720" t="e">
        <v>#DIV/0!</v>
      </c>
      <c r="V20" s="720" t="e">
        <v>#DIV/0!</v>
      </c>
      <c r="W20" s="807" t="e">
        <f t="shared" si="10"/>
        <v>#DIV/0!</v>
      </c>
      <c r="X20" s="724" t="e">
        <f t="shared" si="11"/>
        <v>#DIV/0!</v>
      </c>
      <c r="Y20" s="810" t="e">
        <v>#DIV/0!</v>
      </c>
      <c r="Z20" s="720">
        <f t="shared" si="17"/>
        <v>0</v>
      </c>
      <c r="AA20" s="808">
        <v>0</v>
      </c>
      <c r="AB20" s="720" t="e">
        <f t="shared" si="12"/>
        <v>#DIV/0!</v>
      </c>
      <c r="AC20" s="720" t="e">
        <v>#DIV/0!</v>
      </c>
      <c r="AD20" s="720" t="e">
        <v>#DIV/0!</v>
      </c>
      <c r="AE20" s="810" t="e">
        <v>#DIV/0!</v>
      </c>
      <c r="AF20" s="720" t="e">
        <v>#DIV/0!</v>
      </c>
      <c r="AG20" s="811" t="e">
        <f t="shared" si="18"/>
        <v>#DIV/0!</v>
      </c>
      <c r="AH20" s="724" t="e">
        <f t="shared" si="19"/>
        <v>#DIV/0!</v>
      </c>
      <c r="AI20" s="812" t="e">
        <v>#DIV/0!</v>
      </c>
      <c r="AJ20" s="720">
        <f t="shared" si="1"/>
        <v>0</v>
      </c>
      <c r="AK20" s="808">
        <v>0</v>
      </c>
      <c r="AL20" s="720" t="e">
        <f t="shared" si="20"/>
        <v>#DIV/0!</v>
      </c>
      <c r="AM20" s="720" t="e">
        <v>#DIV/0!</v>
      </c>
      <c r="AN20" s="720" t="e">
        <v>#DIV/0!</v>
      </c>
      <c r="AO20" s="720" t="e">
        <v>#DIV/0!</v>
      </c>
      <c r="AP20" s="810" t="e">
        <v>#DIV/0!</v>
      </c>
      <c r="AQ20" s="720" t="e">
        <f t="shared" si="13"/>
        <v>#DIV/0!</v>
      </c>
      <c r="AR20" s="720" t="e">
        <v>#DIV/0!</v>
      </c>
      <c r="AS20" s="720" t="e">
        <v>#DIV/0!</v>
      </c>
      <c r="AT20" s="720">
        <f t="shared" si="3"/>
        <v>0</v>
      </c>
      <c r="AU20" s="813">
        <v>0</v>
      </c>
      <c r="AV20" s="720" t="e">
        <f t="shared" si="14"/>
        <v>#DIV/0!</v>
      </c>
      <c r="AW20" s="720" t="e">
        <v>#DIV/0!</v>
      </c>
      <c r="AX20" s="720" t="e">
        <v>#DIV/0!</v>
      </c>
      <c r="AY20" s="809" t="e">
        <v>#DIV/0!</v>
      </c>
      <c r="AZ20" s="812" t="e">
        <v>#DIV/0!</v>
      </c>
      <c r="BD20" s="723"/>
      <c r="BE20" s="723"/>
      <c r="BF20" s="888">
        <f t="shared" si="16"/>
        <v>0</v>
      </c>
      <c r="BG20" s="814">
        <f t="shared" si="15"/>
        <v>0</v>
      </c>
    </row>
    <row r="21" spans="2:59">
      <c r="B21" s="728" t="s">
        <v>125</v>
      </c>
      <c r="C21" s="807">
        <f>D21*P21</f>
        <v>-0.60925985849600217</v>
      </c>
      <c r="D21" s="805">
        <f>((E21/O21)-1)*100</f>
        <v>-21.325793720093365</v>
      </c>
      <c r="E21" s="808">
        <v>112.05934317482864</v>
      </c>
      <c r="F21" s="720">
        <f t="shared" si="4"/>
        <v>2.2713175185323897E-2</v>
      </c>
      <c r="G21" s="808">
        <v>17569.45</v>
      </c>
      <c r="H21" s="720">
        <f t="shared" si="5"/>
        <v>0.17994464751846512</v>
      </c>
      <c r="I21" s="720">
        <v>1.2446997688249899E-2</v>
      </c>
      <c r="J21" s="720">
        <v>9.0316991993054287E-3</v>
      </c>
      <c r="K21" s="720">
        <v>8.1755746487898861E-3</v>
      </c>
      <c r="L21" s="809">
        <v>8.4379926668201304E-3</v>
      </c>
      <c r="M21" s="807">
        <f t="shared" si="6"/>
        <v>0.63666697449825294</v>
      </c>
      <c r="N21" s="805">
        <f t="shared" si="7"/>
        <v>23.443593517805649</v>
      </c>
      <c r="O21" s="808">
        <v>142.43466629475049</v>
      </c>
      <c r="P21" s="720">
        <f t="shared" si="8"/>
        <v>2.8569152758987429E-2</v>
      </c>
      <c r="Q21" s="808">
        <v>22577.94</v>
      </c>
      <c r="R21" s="720">
        <f t="shared" si="9"/>
        <v>0.14185238331529978</v>
      </c>
      <c r="S21" s="809">
        <v>8.5853562655285702E-3</v>
      </c>
      <c r="T21" s="720">
        <v>9.6268357280060567E-3</v>
      </c>
      <c r="U21" s="720">
        <v>9.0136345309983663E-3</v>
      </c>
      <c r="V21" s="720">
        <v>9.4118687847659522E-3</v>
      </c>
      <c r="W21" s="807">
        <f t="shared" si="10"/>
        <v>0.15082448267949763</v>
      </c>
      <c r="X21" s="724">
        <f t="shared" si="11"/>
        <v>5.5537164736054079</v>
      </c>
      <c r="Y21" s="810">
        <v>115.38441342782649</v>
      </c>
      <c r="Z21" s="720">
        <f t="shared" si="17"/>
        <v>2.7157396924438987E-2</v>
      </c>
      <c r="AA21" s="808">
        <v>18277.689999999999</v>
      </c>
      <c r="AB21" s="720">
        <f t="shared" si="12"/>
        <v>0.10521468800600084</v>
      </c>
      <c r="AC21" s="720">
        <v>9.2641413545964026E-3</v>
      </c>
      <c r="AD21" s="720">
        <v>8.7652206304901954E-3</v>
      </c>
      <c r="AE21" s="810">
        <v>8.29068626858857E-3</v>
      </c>
      <c r="AF21" s="720">
        <v>8.3486195919492447E-3</v>
      </c>
      <c r="AG21" s="811">
        <f t="shared" si="18"/>
        <v>0.40965135883443016</v>
      </c>
      <c r="AH21" s="724">
        <f t="shared" si="19"/>
        <v>16.328334198883997</v>
      </c>
      <c r="AI21" s="812">
        <v>109.31345411857605</v>
      </c>
      <c r="AJ21" s="720">
        <f t="shared" si="1"/>
        <v>2.7157396924438987E-2</v>
      </c>
      <c r="AK21" s="808">
        <v>18277.689999999999</v>
      </c>
      <c r="AL21" s="720">
        <f t="shared" si="20"/>
        <v>7.0546020160376421E-2</v>
      </c>
      <c r="AM21" s="720">
        <v>8.5801764864459184E-3</v>
      </c>
      <c r="AN21" s="720">
        <v>8.8198703481249564E-3</v>
      </c>
      <c r="AO21" s="720">
        <v>8.5866412479973578E-3</v>
      </c>
      <c r="AP21" s="810">
        <v>8.0519640174182838E-3</v>
      </c>
      <c r="AQ21" s="720">
        <f t="shared" si="13"/>
        <v>0.3938195460492725</v>
      </c>
      <c r="AR21" s="720">
        <v>16.457749396895483</v>
      </c>
      <c r="AS21" s="720">
        <v>93.969757988354957</v>
      </c>
      <c r="AT21" s="720">
        <f t="shared" si="3"/>
        <v>2.5088374223895347E-2</v>
      </c>
      <c r="AU21" s="813">
        <v>16228.14</v>
      </c>
      <c r="AV21" s="720">
        <f t="shared" si="14"/>
        <v>3.65073680603899E-2</v>
      </c>
      <c r="AW21" s="720">
        <v>8.2793563703259087E-3</v>
      </c>
      <c r="AX21" s="720">
        <v>9.2759076684842661E-3</v>
      </c>
      <c r="AY21" s="809">
        <v>9.1718253506258094E-3</v>
      </c>
      <c r="AZ21" s="812">
        <v>9.7802786709539121E-3</v>
      </c>
      <c r="BD21" s="728">
        <v>177</v>
      </c>
      <c r="BE21" s="728">
        <v>80.69</v>
      </c>
      <c r="BF21" s="888">
        <f t="shared" si="16"/>
        <v>14282.13</v>
      </c>
      <c r="BG21" s="814">
        <f t="shared" si="15"/>
        <v>2.3929125213412283E-2</v>
      </c>
    </row>
    <row r="22" spans="2:59">
      <c r="B22" s="728" t="s">
        <v>678</v>
      </c>
      <c r="C22" s="807">
        <f>D22*P22</f>
        <v>-8.2399054594631191E-2</v>
      </c>
      <c r="D22" s="805">
        <f>((E22/O22)-1)*100</f>
        <v>-1.298463743510192</v>
      </c>
      <c r="E22" s="808">
        <v>89.209303579528751</v>
      </c>
      <c r="F22" s="720">
        <f t="shared" si="4"/>
        <v>7.548103882188438E-2</v>
      </c>
      <c r="G22" s="808">
        <v>58387.271999999997</v>
      </c>
      <c r="H22" s="720">
        <f t="shared" si="5"/>
        <v>0.23575707964439324</v>
      </c>
      <c r="I22" s="720">
        <v>1.5884201488660321E-2</v>
      </c>
      <c r="J22" s="720">
        <v>1.3365975407766949E-2</v>
      </c>
      <c r="K22" s="720">
        <v>1.3506635552222295E-2</v>
      </c>
      <c r="L22" s="809">
        <v>1.3990448891542991E-2</v>
      </c>
      <c r="M22" s="807">
        <f t="shared" si="6"/>
        <v>1.3750147030331084</v>
      </c>
      <c r="N22" s="805">
        <f t="shared" si="7"/>
        <v>19.354594995885922</v>
      </c>
      <c r="O22" s="808">
        <v>90.382892671200011</v>
      </c>
      <c r="P22" s="720">
        <f t="shared" si="8"/>
        <v>6.3458879777326963E-2</v>
      </c>
      <c r="Q22" s="808">
        <v>50150.972000000002</v>
      </c>
      <c r="R22" s="720">
        <f t="shared" si="9"/>
        <v>0.17900981830420068</v>
      </c>
      <c r="S22" s="809">
        <v>1.3944010934795581E-2</v>
      </c>
      <c r="T22" s="720">
        <v>1.4769063289854297E-2</v>
      </c>
      <c r="U22" s="720">
        <v>1.3506261425949869E-2</v>
      </c>
      <c r="V22" s="720">
        <v>1.3753822401155642E-2</v>
      </c>
      <c r="W22" s="807">
        <f t="shared" si="10"/>
        <v>-0.66808204132869897</v>
      </c>
      <c r="X22" s="724">
        <f t="shared" si="11"/>
        <v>-9.4038684134931323</v>
      </c>
      <c r="Y22" s="810">
        <v>75.726362000822391</v>
      </c>
      <c r="Z22" s="720">
        <f t="shared" si="17"/>
        <v>7.1043320892293857E-2</v>
      </c>
      <c r="AA22" s="808">
        <v>47814.147999999994</v>
      </c>
      <c r="AB22" s="720">
        <f t="shared" si="12"/>
        <v>0.12303666025244528</v>
      </c>
      <c r="AC22" s="720">
        <v>1.3736696862386167E-2</v>
      </c>
      <c r="AD22" s="720">
        <v>1.0438237465603635E-2</v>
      </c>
      <c r="AE22" s="810">
        <v>1.0679546927630351E-2</v>
      </c>
      <c r="AF22" s="720">
        <v>1.0616754476224115E-2</v>
      </c>
      <c r="AG22" s="811">
        <f t="shared" si="18"/>
        <v>0.49294931252924767</v>
      </c>
      <c r="AH22" s="724">
        <f t="shared" si="19"/>
        <v>7.1651925024029506</v>
      </c>
      <c r="AI22" s="812">
        <v>83.586749980063018</v>
      </c>
      <c r="AJ22" s="720">
        <f t="shared" si="1"/>
        <v>7.1043320892293857E-2</v>
      </c>
      <c r="AK22" s="808">
        <v>47814.147999999994</v>
      </c>
      <c r="AL22" s="720">
        <f t="shared" si="20"/>
        <v>7.7565424520601001E-2</v>
      </c>
      <c r="AM22" s="720">
        <v>1.0387001538628203E-2</v>
      </c>
      <c r="AN22" s="720">
        <v>9.6652205471261608E-3</v>
      </c>
      <c r="AO22" s="720">
        <v>9.8740728518659834E-3</v>
      </c>
      <c r="AP22" s="810">
        <v>9.3265597190396333E-3</v>
      </c>
      <c r="AQ22" s="720">
        <f t="shared" si="13"/>
        <v>0.6976948805708979</v>
      </c>
      <c r="AR22" s="720">
        <v>10.057909197374414</v>
      </c>
      <c r="AS22" s="720">
        <v>77.998040248179251</v>
      </c>
      <c r="AT22" s="720">
        <f t="shared" si="3"/>
        <v>6.8797776523649573E-2</v>
      </c>
      <c r="AU22" s="813">
        <v>44501.088000000003</v>
      </c>
      <c r="AV22" s="720">
        <f t="shared" si="14"/>
        <v>3.8312569863941021E-2</v>
      </c>
      <c r="AW22" s="720">
        <v>9.586109191568961E-3</v>
      </c>
      <c r="AX22" s="720">
        <v>9.7543530409717853E-3</v>
      </c>
      <c r="AY22" s="809">
        <v>9.2891406806002146E-3</v>
      </c>
      <c r="AZ22" s="812">
        <v>9.6829669508000579E-3</v>
      </c>
      <c r="BD22" s="728">
        <v>584.20000000000005</v>
      </c>
      <c r="BE22" s="728">
        <v>70.87</v>
      </c>
      <c r="BF22" s="888">
        <f t="shared" si="16"/>
        <v>41402.254000000008</v>
      </c>
      <c r="BG22" s="814">
        <f t="shared" si="15"/>
        <v>6.936778478304706E-2</v>
      </c>
    </row>
    <row r="23" spans="2:59">
      <c r="B23" s="728" t="s">
        <v>127</v>
      </c>
      <c r="C23" s="807">
        <f>D23*P23</f>
        <v>-0.50479631037551309</v>
      </c>
      <c r="D23" s="805">
        <f>((E23/O23)-1)*100</f>
        <v>-6.2607643579901895</v>
      </c>
      <c r="E23" s="808">
        <v>100.21050652887078</v>
      </c>
      <c r="F23" s="720">
        <f t="shared" si="4"/>
        <v>7.6223406706127886E-2</v>
      </c>
      <c r="G23" s="808">
        <v>58961.52</v>
      </c>
      <c r="H23" s="720">
        <f t="shared" si="5"/>
        <v>0.23900230624222041</v>
      </c>
      <c r="I23" s="720">
        <v>1.4309284196747917E-2</v>
      </c>
      <c r="J23" s="720">
        <v>1.2558568779045862E-2</v>
      </c>
      <c r="K23" s="720">
        <v>1.1832726184977769E-2</v>
      </c>
      <c r="L23" s="809">
        <v>1.2485264831559074E-2</v>
      </c>
      <c r="M23" s="807">
        <f t="shared" si="6"/>
        <v>1.7983711812086711</v>
      </c>
      <c r="N23" s="805">
        <f t="shared" si="7"/>
        <v>21.35834721736336</v>
      </c>
      <c r="O23" s="808">
        <v>106.90348160249007</v>
      </c>
      <c r="P23" s="720">
        <f>Q23/Q$112</f>
        <v>8.0628543339324982E-2</v>
      </c>
      <c r="Q23" s="808">
        <v>63720</v>
      </c>
      <c r="R23" s="720">
        <f t="shared" si="9"/>
        <v>0.18781646224988979</v>
      </c>
      <c r="S23" s="809">
        <v>1.2116243916711365E-2</v>
      </c>
      <c r="T23" s="720">
        <v>1.2501355105947356E-2</v>
      </c>
      <c r="U23" s="720">
        <v>1.3327983515775741E-2</v>
      </c>
      <c r="V23" s="720">
        <v>1.2797112453960176E-2</v>
      </c>
      <c r="W23" s="807">
        <f t="shared" si="10"/>
        <v>-0.11934797064689041</v>
      </c>
      <c r="X23" s="724">
        <f t="shared" si="11"/>
        <v>-1.4174356347563144</v>
      </c>
      <c r="Y23" s="810">
        <v>88.08910474943815</v>
      </c>
      <c r="Z23" s="720">
        <f t="shared" si="17"/>
        <v>8.4199922536453461E-2</v>
      </c>
      <c r="AA23" s="808">
        <v>56668.91</v>
      </c>
      <c r="AB23" s="720">
        <f t="shared" si="12"/>
        <v>0.13707376725749515</v>
      </c>
      <c r="AC23" s="720">
        <v>1.2914696948177269E-2</v>
      </c>
      <c r="AD23" s="720">
        <v>1.1770606736179915E-2</v>
      </c>
      <c r="AE23" s="810">
        <v>1.16734551654297E-2</v>
      </c>
      <c r="AF23" s="720">
        <v>1.114466613995607E-2</v>
      </c>
      <c r="AG23" s="811">
        <f t="shared" si="18"/>
        <v>0.51574324431426144</v>
      </c>
      <c r="AH23" s="724">
        <f t="shared" si="19"/>
        <v>5.958053717974976</v>
      </c>
      <c r="AI23" s="812">
        <v>89.355663769378353</v>
      </c>
      <c r="AJ23" s="720">
        <f t="shared" si="1"/>
        <v>8.4199922536453461E-2</v>
      </c>
      <c r="AK23" s="808">
        <v>56668.91</v>
      </c>
      <c r="AL23" s="720">
        <f t="shared" si="20"/>
        <v>8.9570342267752179E-2</v>
      </c>
      <c r="AM23" s="720">
        <v>1.1242172722366836E-2</v>
      </c>
      <c r="AN23" s="720">
        <v>1.1748589805177501E-2</v>
      </c>
      <c r="AO23" s="720">
        <v>1.1272953095715157E-2</v>
      </c>
      <c r="AP23" s="810">
        <v>1.0051699670746478E-2</v>
      </c>
      <c r="AQ23" s="720">
        <f t="shared" si="13"/>
        <v>0.8944732529265863</v>
      </c>
      <c r="AR23" s="720">
        <v>9.8348105082597606</v>
      </c>
      <c r="AS23" s="720">
        <v>84.331167508241847</v>
      </c>
      <c r="AT23" s="720">
        <f t="shared" si="3"/>
        <v>8.6562368976013923E-2</v>
      </c>
      <c r="AU23" s="813">
        <v>55991.920000000006</v>
      </c>
      <c r="AV23" s="720">
        <f t="shared" si="14"/>
        <v>4.525492697374621E-2</v>
      </c>
      <c r="AW23" s="720">
        <v>1.0580152318917128E-2</v>
      </c>
      <c r="AX23" s="720">
        <v>1.1820351576407033E-2</v>
      </c>
      <c r="AY23" s="809">
        <v>1.1596988923791633E-2</v>
      </c>
      <c r="AZ23" s="812">
        <v>1.1257434154630416E-2</v>
      </c>
      <c r="BD23" s="728">
        <v>707</v>
      </c>
      <c r="BE23" s="728">
        <v>76.78</v>
      </c>
      <c r="BF23" s="888">
        <f t="shared" si="16"/>
        <v>54283.46</v>
      </c>
      <c r="BG23" s="814">
        <f t="shared" si="15"/>
        <v>9.0949719079525065E-2</v>
      </c>
    </row>
    <row r="24" spans="2:59">
      <c r="B24" s="723" t="s">
        <v>257</v>
      </c>
      <c r="C24" s="807"/>
      <c r="D24" s="805"/>
      <c r="E24" s="808" t="e">
        <v>#DIV/0!</v>
      </c>
      <c r="G24" s="808">
        <v>0</v>
      </c>
      <c r="H24" s="720" t="e">
        <f t="shared" si="5"/>
        <v>#DIV/0!</v>
      </c>
      <c r="I24" s="720" t="e">
        <v>#DIV/0!</v>
      </c>
      <c r="J24" s="720" t="e">
        <v>#DIV/0!</v>
      </c>
      <c r="K24" s="720" t="e">
        <v>#DIV/0!</v>
      </c>
      <c r="L24" s="809" t="e">
        <v>#DIV/0!</v>
      </c>
      <c r="O24" s="808">
        <v>0</v>
      </c>
      <c r="Q24" s="808">
        <v>0</v>
      </c>
      <c r="S24" s="809" t="e">
        <v>#VALUE!</v>
      </c>
      <c r="T24" s="720" t="e">
        <v>#VALUE!</v>
      </c>
      <c r="U24" s="720" t="e">
        <v>#VALUE!</v>
      </c>
      <c r="V24" s="720" t="e">
        <v>#VALUE!</v>
      </c>
      <c r="W24" s="807" t="s">
        <v>103</v>
      </c>
      <c r="X24" s="724" t="s">
        <v>103</v>
      </c>
      <c r="Y24" s="810" t="e">
        <v>#VALUE!</v>
      </c>
      <c r="Z24" s="720">
        <f t="shared" si="17"/>
        <v>0</v>
      </c>
      <c r="AA24" s="808">
        <v>0</v>
      </c>
      <c r="AB24" s="720" t="s">
        <v>103</v>
      </c>
      <c r="AC24" s="720" t="e">
        <v>#DIV/0!</v>
      </c>
      <c r="AD24" s="720" t="e">
        <v>#DIV/0!</v>
      </c>
      <c r="AE24" s="810" t="e">
        <v>#DIV/0!</v>
      </c>
      <c r="AF24" s="720" t="e">
        <v>#DIV/0!</v>
      </c>
      <c r="AG24" s="811"/>
      <c r="AH24" s="724"/>
      <c r="AI24" s="812" t="e">
        <v>#DIV/0!</v>
      </c>
      <c r="AJ24" s="720">
        <f t="shared" si="1"/>
        <v>0</v>
      </c>
      <c r="AK24" s="808">
        <v>0</v>
      </c>
      <c r="AL24" s="720" t="e">
        <f t="shared" si="20"/>
        <v>#DIV/0!</v>
      </c>
      <c r="AM24" s="720" t="e">
        <v>#DIV/0!</v>
      </c>
      <c r="AN24" s="720" t="e">
        <v>#DIV/0!</v>
      </c>
      <c r="AO24" s="720" t="e">
        <v>#DIV/0!</v>
      </c>
      <c r="AP24" s="810" t="e">
        <v>#DIV/0!</v>
      </c>
      <c r="AQ24" s="720" t="e">
        <f t="shared" si="13"/>
        <v>#DIV/0!</v>
      </c>
      <c r="AR24" s="720" t="e">
        <v>#DIV/0!</v>
      </c>
      <c r="AS24" s="720" t="e">
        <v>#DIV/0!</v>
      </c>
      <c r="AT24" s="720">
        <f t="shared" si="3"/>
        <v>0</v>
      </c>
      <c r="AU24" s="813">
        <v>0</v>
      </c>
      <c r="AV24" s="720" t="e">
        <f t="shared" si="14"/>
        <v>#DIV/0!</v>
      </c>
      <c r="AW24" s="720" t="e">
        <v>#DIV/0!</v>
      </c>
      <c r="AX24" s="720" t="e">
        <v>#DIV/0!</v>
      </c>
      <c r="AY24" s="809" t="e">
        <v>#DIV/0!</v>
      </c>
      <c r="AZ24" s="812" t="e">
        <v>#DIV/0!</v>
      </c>
      <c r="BD24" s="723"/>
      <c r="BE24" s="723"/>
      <c r="BF24" s="888">
        <f t="shared" si="16"/>
        <v>0</v>
      </c>
      <c r="BG24" s="814">
        <f t="shared" si="15"/>
        <v>0</v>
      </c>
    </row>
    <row r="25" spans="2:59">
      <c r="B25" s="723" t="s">
        <v>258</v>
      </c>
      <c r="C25" s="807"/>
      <c r="D25" s="805"/>
      <c r="E25" s="808" t="e">
        <v>#DIV/0!</v>
      </c>
      <c r="G25" s="808">
        <v>0</v>
      </c>
      <c r="H25" s="720" t="e">
        <f t="shared" si="5"/>
        <v>#DIV/0!</v>
      </c>
      <c r="I25" s="720" t="e">
        <v>#DIV/0!</v>
      </c>
      <c r="J25" s="720" t="e">
        <v>#DIV/0!</v>
      </c>
      <c r="K25" s="720" t="e">
        <v>#DIV/0!</v>
      </c>
      <c r="L25" s="809" t="e">
        <v>#DIV/0!</v>
      </c>
      <c r="M25" s="807"/>
      <c r="N25" s="805"/>
      <c r="O25" s="808" t="e">
        <v>#DIV/0!</v>
      </c>
      <c r="Q25" s="808">
        <v>0</v>
      </c>
      <c r="R25" s="720" t="e">
        <f t="shared" si="9"/>
        <v>#DIV/0!</v>
      </c>
      <c r="S25" s="809" t="e">
        <v>#DIV/0!</v>
      </c>
      <c r="T25" s="720" t="e">
        <v>#DIV/0!</v>
      </c>
      <c r="U25" s="720" t="e">
        <v>#DIV/0!</v>
      </c>
      <c r="V25" s="720" t="e">
        <v>#DIV/0!</v>
      </c>
      <c r="W25" s="807" t="e">
        <f t="shared" si="10"/>
        <v>#DIV/0!</v>
      </c>
      <c r="X25" s="724" t="e">
        <f t="shared" si="11"/>
        <v>#DIV/0!</v>
      </c>
      <c r="Y25" s="810" t="e">
        <v>#DIV/0!</v>
      </c>
      <c r="Z25" s="720">
        <f t="shared" si="17"/>
        <v>0</v>
      </c>
      <c r="AA25" s="808">
        <v>0</v>
      </c>
      <c r="AB25" s="720" t="e">
        <f t="shared" si="12"/>
        <v>#DIV/0!</v>
      </c>
      <c r="AC25" s="720" t="e">
        <v>#DIV/0!</v>
      </c>
      <c r="AD25" s="720" t="e">
        <v>#DIV/0!</v>
      </c>
      <c r="AE25" s="810" t="e">
        <v>#DIV/0!</v>
      </c>
      <c r="AF25" s="720" t="e">
        <v>#DIV/0!</v>
      </c>
      <c r="AG25" s="811" t="e">
        <f t="shared" ref="AG25:AG37" si="21">AH25*AT25</f>
        <v>#DIV/0!</v>
      </c>
      <c r="AH25" s="724" t="e">
        <f t="shared" ref="AH25:AH32" si="22">((AI25/AS25)-1)*100</f>
        <v>#DIV/0!</v>
      </c>
      <c r="AI25" s="812" t="e">
        <v>#DIV/0!</v>
      </c>
      <c r="AJ25" s="720">
        <f t="shared" si="1"/>
        <v>0</v>
      </c>
      <c r="AK25" s="808">
        <v>0</v>
      </c>
      <c r="AL25" s="720" t="e">
        <f t="shared" si="20"/>
        <v>#DIV/0!</v>
      </c>
      <c r="AM25" s="720" t="e">
        <v>#DIV/0!</v>
      </c>
      <c r="AN25" s="720" t="e">
        <v>#DIV/0!</v>
      </c>
      <c r="AO25" s="720" t="e">
        <v>#DIV/0!</v>
      </c>
      <c r="AP25" s="810" t="e">
        <v>#DIV/0!</v>
      </c>
      <c r="AQ25" s="720" t="e">
        <f t="shared" si="13"/>
        <v>#DIV/0!</v>
      </c>
      <c r="AR25" s="720" t="e">
        <v>#DIV/0!</v>
      </c>
      <c r="AS25" s="720" t="e">
        <v>#DIV/0!</v>
      </c>
      <c r="AT25" s="720">
        <f t="shared" si="3"/>
        <v>0</v>
      </c>
      <c r="AU25" s="813">
        <v>0</v>
      </c>
      <c r="AV25" s="720" t="e">
        <f t="shared" si="14"/>
        <v>#DIV/0!</v>
      </c>
      <c r="AW25" s="720" t="e">
        <v>#DIV/0!</v>
      </c>
      <c r="AX25" s="720" t="e">
        <v>#DIV/0!</v>
      </c>
      <c r="AY25" s="809" t="e">
        <v>#DIV/0!</v>
      </c>
      <c r="AZ25" s="812" t="e">
        <v>#DIV/0!</v>
      </c>
      <c r="BD25" s="723"/>
      <c r="BE25" s="723"/>
      <c r="BF25" s="888">
        <f t="shared" si="16"/>
        <v>0</v>
      </c>
      <c r="BG25" s="814">
        <f t="shared" si="15"/>
        <v>0</v>
      </c>
    </row>
    <row r="26" spans="2:59">
      <c r="B26" s="728" t="s">
        <v>128</v>
      </c>
      <c r="C26" s="807">
        <f>D26*P26</f>
        <v>5.4934981101221456E-2</v>
      </c>
      <c r="D26" s="805">
        <f>((E26/O26)-1)*100</f>
        <v>18.214902747129535</v>
      </c>
      <c r="E26" s="808">
        <v>77.394080382967061</v>
      </c>
      <c r="F26" s="720">
        <f t="shared" si="4"/>
        <v>3.5674587032456006E-3</v>
      </c>
      <c r="G26" s="808">
        <v>2759.5563721200001</v>
      </c>
      <c r="H26" s="720">
        <f t="shared" si="5"/>
        <v>0.13881813394595438</v>
      </c>
      <c r="I26" s="720">
        <v>6.4151727495675246E-3</v>
      </c>
      <c r="J26" s="720">
        <v>6.3855751015834345E-3</v>
      </c>
      <c r="K26" s="720">
        <v>6.4258014325427899E-3</v>
      </c>
      <c r="L26" s="809">
        <v>6.5522955095381969E-3</v>
      </c>
      <c r="M26" s="807">
        <f t="shared" si="6"/>
        <v>5.5480579253085034E-2</v>
      </c>
      <c r="N26" s="805">
        <f t="shared" si="7"/>
        <v>18.324487278799428</v>
      </c>
      <c r="O26" s="808">
        <v>65.468970987963132</v>
      </c>
      <c r="P26" s="720">
        <f>Q26/Q$112</f>
        <v>3.0159360093140542E-3</v>
      </c>
      <c r="Q26" s="808">
        <v>2383.4666304799998</v>
      </c>
      <c r="R26" s="720">
        <f t="shared" si="9"/>
        <v>0.11303928915272243</v>
      </c>
      <c r="S26" s="809">
        <v>6.7707695859239615E-3</v>
      </c>
      <c r="T26" s="720">
        <v>7.8878325815814505E-3</v>
      </c>
      <c r="U26" s="720">
        <v>6.8696498838547266E-3</v>
      </c>
      <c r="V26" s="720">
        <v>6.6085431106036067E-3</v>
      </c>
      <c r="W26" s="807">
        <f t="shared" si="10"/>
        <v>1.0764867498291164E-2</v>
      </c>
      <c r="X26" s="724">
        <f t="shared" si="11"/>
        <v>3.5554905912311474</v>
      </c>
      <c r="Y26" s="810">
        <v>55.3300271935287</v>
      </c>
      <c r="Z26" s="720">
        <f t="shared" si="17"/>
        <v>3.027674303186287E-3</v>
      </c>
      <c r="AA26" s="808">
        <v>2037.709744</v>
      </c>
      <c r="AB26" s="720">
        <f t="shared" si="12"/>
        <v>8.4902493990758693E-2</v>
      </c>
      <c r="AC26" s="720">
        <v>7.079815632354226E-3</v>
      </c>
      <c r="AD26" s="720">
        <v>6.4841626515231305E-3</v>
      </c>
      <c r="AE26" s="810">
        <v>6.4567491726509893E-3</v>
      </c>
      <c r="AF26" s="720">
        <v>6.8556815948682065E-3</v>
      </c>
      <c r="AG26" s="811">
        <f t="shared" si="21"/>
        <v>3.7018726227474152E-2</v>
      </c>
      <c r="AH26" s="724">
        <f t="shared" si="22"/>
        <v>12.958624046036871</v>
      </c>
      <c r="AI26" s="812">
        <v>53.430317289437788</v>
      </c>
      <c r="AJ26" s="720">
        <f t="shared" si="1"/>
        <v>3.027674303186287E-3</v>
      </c>
      <c r="AK26" s="808">
        <v>2037.709744</v>
      </c>
      <c r="AL26" s="720">
        <f t="shared" si="20"/>
        <v>5.8026084939362135E-2</v>
      </c>
      <c r="AM26" s="720">
        <v>6.4551876861090787E-3</v>
      </c>
      <c r="AN26" s="720">
        <v>6.9640456771738616E-3</v>
      </c>
      <c r="AO26" s="720">
        <v>6.8782524211678971E-3</v>
      </c>
      <c r="AP26" s="810">
        <v>6.7611573295086689E-3</v>
      </c>
      <c r="AQ26" s="720">
        <f t="shared" si="13"/>
        <v>5.8362411174497211E-2</v>
      </c>
      <c r="AR26" s="720">
        <v>22.414043040759513</v>
      </c>
      <c r="AS26" s="720">
        <v>47.300786230949477</v>
      </c>
      <c r="AT26" s="720">
        <f t="shared" si="3"/>
        <v>2.8566864889328718E-3</v>
      </c>
      <c r="AU26" s="813">
        <v>1847.81635768</v>
      </c>
      <c r="AV26" s="720">
        <f t="shared" si="14"/>
        <v>3.0967441825402623E-2</v>
      </c>
      <c r="AW26" s="720">
        <v>6.5865813825337037E-3</v>
      </c>
      <c r="AX26" s="720">
        <v>7.789466524826559E-3</v>
      </c>
      <c r="AY26" s="809">
        <v>8.0801417541646898E-3</v>
      </c>
      <c r="AZ26" s="812">
        <v>8.5112521638776688E-3</v>
      </c>
      <c r="BD26" s="728">
        <v>40.22</v>
      </c>
      <c r="BE26" s="728">
        <v>38.64</v>
      </c>
      <c r="BF26" s="888">
        <f t="shared" si="16"/>
        <v>1554.1007999999999</v>
      </c>
      <c r="BG26" s="814">
        <f t="shared" si="15"/>
        <v>2.6038323861681837E-3</v>
      </c>
    </row>
    <row r="27" spans="2:59">
      <c r="B27" s="723" t="s">
        <v>129</v>
      </c>
      <c r="C27" s="807"/>
      <c r="D27" s="805"/>
      <c r="E27" s="808" t="e">
        <v>#DIV/0!</v>
      </c>
      <c r="G27" s="808">
        <v>0</v>
      </c>
      <c r="H27" s="720" t="e">
        <f t="shared" si="5"/>
        <v>#DIV/0!</v>
      </c>
      <c r="I27" s="720" t="e">
        <v>#DIV/0!</v>
      </c>
      <c r="J27" s="720" t="e">
        <v>#DIV/0!</v>
      </c>
      <c r="K27" s="720" t="e">
        <v>#DIV/0!</v>
      </c>
      <c r="L27" s="809" t="e">
        <v>#DIV/0!</v>
      </c>
      <c r="M27" s="807" t="e">
        <f t="shared" si="6"/>
        <v>#DIV/0!</v>
      </c>
      <c r="N27" s="805" t="e">
        <f t="shared" si="7"/>
        <v>#DIV/0!</v>
      </c>
      <c r="O27" s="808" t="e">
        <v>#DIV/0!</v>
      </c>
      <c r="Q27" s="808">
        <v>0</v>
      </c>
      <c r="R27" s="720" t="e">
        <f t="shared" si="9"/>
        <v>#DIV/0!</v>
      </c>
      <c r="S27" s="809" t="e">
        <v>#DIV/0!</v>
      </c>
      <c r="T27" s="720" t="e">
        <v>#DIV/0!</v>
      </c>
      <c r="U27" s="720" t="e">
        <v>#DIV/0!</v>
      </c>
      <c r="V27" s="720" t="e">
        <v>#DIV/0!</v>
      </c>
      <c r="W27" s="807" t="e">
        <f t="shared" si="10"/>
        <v>#DIV/0!</v>
      </c>
      <c r="X27" s="724" t="e">
        <f t="shared" si="11"/>
        <v>#DIV/0!</v>
      </c>
      <c r="Y27" s="810" t="e">
        <v>#DIV/0!</v>
      </c>
      <c r="Z27" s="720">
        <f t="shared" si="17"/>
        <v>0</v>
      </c>
      <c r="AA27" s="808">
        <v>0</v>
      </c>
      <c r="AB27" s="720" t="e">
        <f t="shared" si="12"/>
        <v>#DIV/0!</v>
      </c>
      <c r="AC27" s="720" t="e">
        <v>#DIV/0!</v>
      </c>
      <c r="AD27" s="720" t="e">
        <v>#DIV/0!</v>
      </c>
      <c r="AE27" s="810" t="e">
        <v>#DIV/0!</v>
      </c>
      <c r="AF27" s="720" t="e">
        <v>#DIV/0!</v>
      </c>
      <c r="AG27" s="811" t="e">
        <f t="shared" si="21"/>
        <v>#DIV/0!</v>
      </c>
      <c r="AH27" s="724" t="e">
        <f t="shared" si="22"/>
        <v>#DIV/0!</v>
      </c>
      <c r="AI27" s="812" t="e">
        <v>#DIV/0!</v>
      </c>
      <c r="AJ27" s="720">
        <f t="shared" si="1"/>
        <v>0</v>
      </c>
      <c r="AK27" s="808">
        <v>0</v>
      </c>
      <c r="AL27" s="720" t="e">
        <f t="shared" si="20"/>
        <v>#DIV/0!</v>
      </c>
      <c r="AM27" s="720" t="e">
        <v>#DIV/0!</v>
      </c>
      <c r="AN27" s="720">
        <v>8.0650031506861713E-3</v>
      </c>
      <c r="AO27" s="720">
        <v>7.9923243432235922E-3</v>
      </c>
      <c r="AP27" s="810">
        <v>7.9713103440740129E-3</v>
      </c>
      <c r="AQ27" s="720">
        <f t="shared" si="13"/>
        <v>6.9889345690549401E-2</v>
      </c>
      <c r="AR27" s="720">
        <v>38.682481240776958</v>
      </c>
      <c r="AS27" s="720">
        <v>34.420991843960842</v>
      </c>
      <c r="AT27" s="720">
        <f t="shared" si="3"/>
        <v>2.2313487762598257E-3</v>
      </c>
      <c r="AU27" s="813">
        <v>1443.3235093999997</v>
      </c>
      <c r="AV27" s="720">
        <f t="shared" si="14"/>
        <v>4.1482355339208458E-2</v>
      </c>
      <c r="AW27" s="720">
        <v>8.1292528486398754E-3</v>
      </c>
      <c r="AX27" s="720">
        <v>9.4836500758047268E-3</v>
      </c>
      <c r="AY27" s="809">
        <v>1.1942846910176698E-2</v>
      </c>
      <c r="AZ27" s="812">
        <v>1.1926605504587157E-2</v>
      </c>
      <c r="BD27" s="728">
        <v>43.447124000000002</v>
      </c>
      <c r="BE27" s="728">
        <v>24.82</v>
      </c>
      <c r="BF27" s="888">
        <f t="shared" si="16"/>
        <v>1078.35761768</v>
      </c>
      <c r="BG27" s="814">
        <f t="shared" si="15"/>
        <v>1.8067441241818758E-3</v>
      </c>
    </row>
    <row r="28" spans="2:59">
      <c r="B28" s="728" t="s">
        <v>130</v>
      </c>
      <c r="C28" s="807">
        <f>D28*P28</f>
        <v>3.6735432320736623E-2</v>
      </c>
      <c r="D28" s="805">
        <f>((E28/O28)-1)*100</f>
        <v>1.6734690867590718</v>
      </c>
      <c r="E28" s="808">
        <v>116.2347123384739</v>
      </c>
      <c r="F28" s="720">
        <f t="shared" si="4"/>
        <v>2.3712618208287278E-2</v>
      </c>
      <c r="G28" s="808">
        <v>18342.55477626</v>
      </c>
      <c r="H28" s="720">
        <f t="shared" si="5"/>
        <v>0.23693425921542929</v>
      </c>
      <c r="I28" s="720">
        <v>1.2121695058697042E-2</v>
      </c>
      <c r="J28" s="720">
        <v>9.4349017200841632E-3</v>
      </c>
      <c r="K28" s="720">
        <v>9.3514303950059177E-3</v>
      </c>
      <c r="L28" s="809">
        <v>1.0568989514232418E-2</v>
      </c>
      <c r="M28" s="807">
        <f t="shared" si="6"/>
        <v>0.53658162601867521</v>
      </c>
      <c r="N28" s="805">
        <f t="shared" si="7"/>
        <v>26.57715448325051</v>
      </c>
      <c r="O28" s="808">
        <v>114.32157610289619</v>
      </c>
      <c r="P28" s="720">
        <f>Q28/Q$112</f>
        <v>2.1951664725328383E-2</v>
      </c>
      <c r="Q28" s="808">
        <v>17348.199761109998</v>
      </c>
      <c r="R28" s="720">
        <f t="shared" si="9"/>
        <v>0.19545724252740976</v>
      </c>
      <c r="S28" s="809">
        <v>1.1268552835093672E-2</v>
      </c>
      <c r="T28" s="720">
        <v>1.2389189556449848E-2</v>
      </c>
      <c r="U28" s="720">
        <v>1.2715210376992452E-2</v>
      </c>
      <c r="V28" s="720">
        <v>1.2629591306138561E-2</v>
      </c>
      <c r="W28" s="807">
        <f t="shared" si="10"/>
        <v>0.17069090262611544</v>
      </c>
      <c r="X28" s="724">
        <f t="shared" si="11"/>
        <v>8.4544051976573886</v>
      </c>
      <c r="Y28" s="810">
        <v>90.317701144106493</v>
      </c>
      <c r="Z28" s="720">
        <f t="shared" si="17"/>
        <v>2.0189581482729476E-2</v>
      </c>
      <c r="AA28" s="808">
        <v>13588.154733599999</v>
      </c>
      <c r="AB28" s="720">
        <f t="shared" si="12"/>
        <v>0.14645469845273523</v>
      </c>
      <c r="AC28" s="720">
        <v>1.2807137964389786E-2</v>
      </c>
      <c r="AD28" s="720">
        <v>1.2262352076259447E-2</v>
      </c>
      <c r="AE28" s="810">
        <v>1.2632463179056258E-2</v>
      </c>
      <c r="AF28" s="720">
        <v>1.2424200004543225E-2</v>
      </c>
      <c r="AG28" s="811">
        <f t="shared" si="21"/>
        <v>3.9403734861472956E-3</v>
      </c>
      <c r="AH28" s="724">
        <f t="shared" si="22"/>
        <v>0.17942761045093292</v>
      </c>
      <c r="AI28" s="812">
        <v>83.277116295555828</v>
      </c>
      <c r="AJ28" s="720">
        <f t="shared" si="1"/>
        <v>2.0189581482729476E-2</v>
      </c>
      <c r="AK28" s="808">
        <v>13588.154733599999</v>
      </c>
      <c r="AL28" s="720">
        <f t="shared" si="20"/>
        <v>9.6328545228486523E-2</v>
      </c>
      <c r="AM28" s="720">
        <v>1.2414497388374116E-2</v>
      </c>
      <c r="AN28" s="720">
        <v>1.2685031229767255E-2</v>
      </c>
      <c r="AO28" s="720">
        <v>1.1736847952033943E-2</v>
      </c>
      <c r="AP28" s="810">
        <v>1.0955819262281806E-2</v>
      </c>
      <c r="AQ28" s="720">
        <f t="shared" si="13"/>
        <v>0.17026309801852021</v>
      </c>
      <c r="AR28" s="720">
        <v>7.2757281973379939</v>
      </c>
      <c r="AS28" s="720">
        <v>83.127961780117204</v>
      </c>
      <c r="AT28" s="720">
        <f t="shared" si="3"/>
        <v>2.1960797874108946E-2</v>
      </c>
      <c r="AU28" s="813">
        <v>14205.10150368</v>
      </c>
      <c r="AV28" s="720">
        <f t="shared" si="14"/>
        <v>4.853634939602941E-2</v>
      </c>
      <c r="AW28" s="720">
        <v>1.1122624447605452E-2</v>
      </c>
      <c r="AX28" s="720">
        <v>1.2740957465773159E-2</v>
      </c>
      <c r="AY28" s="809">
        <v>1.2899717837260733E-2</v>
      </c>
      <c r="AZ28" s="812">
        <v>1.177304964539007E-2</v>
      </c>
      <c r="BD28" s="728">
        <v>180.245555</v>
      </c>
      <c r="BE28" s="728">
        <v>77.489999999999995</v>
      </c>
      <c r="BF28" s="888">
        <f t="shared" si="16"/>
        <v>13967.228056949998</v>
      </c>
      <c r="BG28" s="814">
        <f t="shared" si="15"/>
        <v>2.3401519875469675E-2</v>
      </c>
    </row>
    <row r="29" spans="2:59">
      <c r="B29" s="728" t="s">
        <v>207</v>
      </c>
      <c r="C29" s="807">
        <f>D29*P29</f>
        <v>3.158300944753698</v>
      </c>
      <c r="D29" s="805">
        <f>((E29/O29)-1)*100</f>
        <v>27.284684806329906</v>
      </c>
      <c r="E29" s="808">
        <v>275.16313771576586</v>
      </c>
      <c r="F29" s="720">
        <f t="shared" si="4"/>
        <v>0.14993341912869501</v>
      </c>
      <c r="G29" s="808">
        <v>115978.84</v>
      </c>
      <c r="H29" s="720">
        <f t="shared" si="5"/>
        <v>0.14355888004224845</v>
      </c>
      <c r="I29" s="720">
        <v>6.6150831834523903E-3</v>
      </c>
      <c r="J29" s="720">
        <v>5.8386251430651787E-3</v>
      </c>
      <c r="K29" s="720">
        <v>6.0360376735171771E-3</v>
      </c>
      <c r="L29" s="809">
        <v>6.8232323397834499E-3</v>
      </c>
      <c r="M29" s="807">
        <f t="shared" si="6"/>
        <v>1.8976375778148957</v>
      </c>
      <c r="N29" s="805">
        <f t="shared" si="7"/>
        <v>21.48365239931276</v>
      </c>
      <c r="O29" s="808">
        <v>216.1792977171138</v>
      </c>
      <c r="P29" s="720">
        <f>Q29/Q$112</f>
        <v>0.11575361662308771</v>
      </c>
      <c r="Q29" s="808">
        <v>91479.02399999999</v>
      </c>
      <c r="R29" s="720">
        <f t="shared" si="9"/>
        <v>0.11824590170243025</v>
      </c>
      <c r="S29" s="809">
        <v>7.1840847876241867E-3</v>
      </c>
      <c r="T29" s="720">
        <v>7.0501264321467727E-3</v>
      </c>
      <c r="U29" s="720">
        <v>7.2636653217696169E-3</v>
      </c>
      <c r="V29" s="720">
        <v>7.2403372661388569E-3</v>
      </c>
      <c r="W29" s="807">
        <f t="shared" si="10"/>
        <v>2.709795849082492</v>
      </c>
      <c r="X29" s="724">
        <f t="shared" si="11"/>
        <v>30.678309059322139</v>
      </c>
      <c r="Y29" s="810">
        <v>177.94929066384964</v>
      </c>
      <c r="Z29" s="720">
        <f t="shared" si="17"/>
        <v>8.8329374472452329E-2</v>
      </c>
      <c r="AA29" s="808">
        <v>59448.147000000004</v>
      </c>
      <c r="AB29" s="720">
        <f t="shared" si="12"/>
        <v>8.9507687894750818E-2</v>
      </c>
      <c r="AC29" s="720">
        <v>7.354375660199303E-3</v>
      </c>
      <c r="AD29" s="720">
        <v>6.7646415834223348E-3</v>
      </c>
      <c r="AE29" s="810">
        <v>7.1616041815514165E-3</v>
      </c>
      <c r="AF29" s="720">
        <v>7.4375628863946148E-3</v>
      </c>
      <c r="AG29" s="811">
        <f t="shared" si="21"/>
        <v>0.95810739614157936</v>
      </c>
      <c r="AH29" s="724">
        <f t="shared" si="22"/>
        <v>11.624761705008101</v>
      </c>
      <c r="AI29" s="812">
        <v>136.17354857497321</v>
      </c>
      <c r="AJ29" s="720">
        <f t="shared" si="1"/>
        <v>8.8329374472452329E-2</v>
      </c>
      <c r="AK29" s="808">
        <v>59448.147000000004</v>
      </c>
      <c r="AL29" s="720">
        <f t="shared" si="20"/>
        <v>6.0789503583183142E-2</v>
      </c>
      <c r="AM29" s="720">
        <v>8.0572519840782161E-3</v>
      </c>
      <c r="AN29" s="720">
        <v>7.6113775358698683E-3</v>
      </c>
      <c r="AO29" s="720">
        <v>7.3809169610765035E-3</v>
      </c>
      <c r="AP29" s="810">
        <v>6.8776854016826226E-3</v>
      </c>
      <c r="AQ29" s="720">
        <f t="shared" si="13"/>
        <v>1.3094785925465191</v>
      </c>
      <c r="AR29" s="720">
        <v>17.243864712190614</v>
      </c>
      <c r="AS29" s="720">
        <v>121.99224123303432</v>
      </c>
      <c r="AT29" s="720">
        <f t="shared" si="3"/>
        <v>8.2419530004543148E-2</v>
      </c>
      <c r="AU29" s="813">
        <v>53312.17</v>
      </c>
      <c r="AV29" s="720">
        <f t="shared" si="14"/>
        <v>3.0862271700475931E-2</v>
      </c>
      <c r="AW29" s="720">
        <v>7.5232797280380334E-3</v>
      </c>
      <c r="AX29" s="720">
        <v>7.5288651234356688E-3</v>
      </c>
      <c r="AY29" s="809">
        <v>7.9553885035977597E-3</v>
      </c>
      <c r="AZ29" s="812">
        <v>7.8547383454044689E-3</v>
      </c>
      <c r="BD29" s="728">
        <v>435.6</v>
      </c>
      <c r="BE29" s="728">
        <v>104.05</v>
      </c>
      <c r="BF29" s="888">
        <f t="shared" si="16"/>
        <v>45324.18</v>
      </c>
      <c r="BG29" s="814">
        <f t="shared" si="15"/>
        <v>7.5938811536881187E-2</v>
      </c>
    </row>
    <row r="30" spans="2:59">
      <c r="B30" s="723" t="s">
        <v>259</v>
      </c>
      <c r="C30" s="807"/>
      <c r="D30" s="805"/>
      <c r="E30" s="808" t="e">
        <v>#DIV/0!</v>
      </c>
      <c r="G30" s="808">
        <v>0</v>
      </c>
      <c r="H30" s="720" t="e">
        <f t="shared" si="5"/>
        <v>#DIV/0!</v>
      </c>
      <c r="I30" s="720" t="e">
        <v>#DIV/0!</v>
      </c>
      <c r="J30" s="720" t="e">
        <v>#DIV/0!</v>
      </c>
      <c r="K30" s="720" t="e">
        <v>#DIV/0!</v>
      </c>
      <c r="L30" s="809" t="e">
        <v>#DIV/0!</v>
      </c>
      <c r="M30" s="807"/>
      <c r="N30" s="805"/>
      <c r="O30" s="808" t="e">
        <v>#DIV/0!</v>
      </c>
      <c r="Q30" s="808">
        <v>0</v>
      </c>
      <c r="R30" s="720" t="e">
        <f t="shared" si="9"/>
        <v>#DIV/0!</v>
      </c>
      <c r="S30" s="809" t="e">
        <v>#DIV/0!</v>
      </c>
      <c r="T30" s="720" t="e">
        <v>#DIV/0!</v>
      </c>
      <c r="U30" s="720" t="e">
        <v>#DIV/0!</v>
      </c>
      <c r="V30" s="720" t="e">
        <v>#DIV/0!</v>
      </c>
      <c r="W30" s="807" t="e">
        <f t="shared" si="10"/>
        <v>#DIV/0!</v>
      </c>
      <c r="X30" s="724" t="e">
        <f t="shared" si="11"/>
        <v>#DIV/0!</v>
      </c>
      <c r="Y30" s="810" t="e">
        <v>#DIV/0!</v>
      </c>
      <c r="Z30" s="720">
        <f t="shared" si="17"/>
        <v>0</v>
      </c>
      <c r="AA30" s="808">
        <v>0</v>
      </c>
      <c r="AB30" s="720" t="e">
        <f t="shared" si="12"/>
        <v>#DIV/0!</v>
      </c>
      <c r="AC30" s="720" t="e">
        <v>#DIV/0!</v>
      </c>
      <c r="AD30" s="720" t="e">
        <v>#DIV/0!</v>
      </c>
      <c r="AE30" s="810" t="e">
        <v>#DIV/0!</v>
      </c>
      <c r="AF30" s="720" t="e">
        <v>#DIV/0!</v>
      </c>
      <c r="AG30" s="811" t="e">
        <f t="shared" si="21"/>
        <v>#DIV/0!</v>
      </c>
      <c r="AH30" s="724" t="e">
        <f t="shared" si="22"/>
        <v>#DIV/0!</v>
      </c>
      <c r="AI30" s="812" t="e">
        <v>#DIV/0!</v>
      </c>
      <c r="AJ30" s="720">
        <f t="shared" si="1"/>
        <v>0</v>
      </c>
      <c r="AK30" s="808">
        <v>0</v>
      </c>
      <c r="AL30" s="720" t="e">
        <f t="shared" si="20"/>
        <v>#DIV/0!</v>
      </c>
      <c r="AM30" s="720" t="e">
        <v>#DIV/0!</v>
      </c>
      <c r="AN30" s="720" t="e">
        <v>#DIV/0!</v>
      </c>
      <c r="AO30" s="720" t="e">
        <v>#DIV/0!</v>
      </c>
      <c r="AP30" s="810" t="e">
        <v>#DIV/0!</v>
      </c>
      <c r="AQ30" s="720" t="e">
        <f t="shared" si="13"/>
        <v>#DIV/0!</v>
      </c>
      <c r="AR30" s="720" t="e">
        <v>#DIV/0!</v>
      </c>
      <c r="AS30" s="720" t="e">
        <v>#DIV/0!</v>
      </c>
      <c r="AT30" s="720">
        <f t="shared" si="3"/>
        <v>0</v>
      </c>
      <c r="AU30" s="813">
        <v>0</v>
      </c>
      <c r="AV30" s="720" t="e">
        <f t="shared" si="14"/>
        <v>#DIV/0!</v>
      </c>
      <c r="AW30" s="720" t="e">
        <v>#DIV/0!</v>
      </c>
      <c r="AX30" s="720" t="e">
        <v>#DIV/0!</v>
      </c>
      <c r="AY30" s="809" t="e">
        <v>#DIV/0!</v>
      </c>
      <c r="AZ30" s="812" t="e">
        <v>#DIV/0!</v>
      </c>
      <c r="BD30" s="723"/>
      <c r="BE30" s="723"/>
      <c r="BF30" s="888">
        <f t="shared" si="16"/>
        <v>0</v>
      </c>
      <c r="BG30" s="814">
        <f t="shared" si="15"/>
        <v>0</v>
      </c>
    </row>
    <row r="31" spans="2:59">
      <c r="B31" s="723" t="s">
        <v>260</v>
      </c>
      <c r="C31" s="807"/>
      <c r="D31" s="805"/>
      <c r="E31" s="808" t="e">
        <v>#DIV/0!</v>
      </c>
      <c r="F31" s="720">
        <f t="shared" si="4"/>
        <v>0</v>
      </c>
      <c r="G31" s="808">
        <v>0</v>
      </c>
      <c r="H31" s="720" t="e">
        <f t="shared" si="5"/>
        <v>#DIV/0!</v>
      </c>
      <c r="I31" s="720" t="e">
        <v>#DIV/0!</v>
      </c>
      <c r="J31" s="720" t="e">
        <v>#DIV/0!</v>
      </c>
      <c r="K31" s="720" t="e">
        <v>#DIV/0!</v>
      </c>
      <c r="L31" s="809" t="e">
        <v>#DIV/0!</v>
      </c>
      <c r="M31" s="807" t="e">
        <f t="shared" si="6"/>
        <v>#DIV/0!</v>
      </c>
      <c r="N31" s="805" t="e">
        <f t="shared" si="7"/>
        <v>#DIV/0!</v>
      </c>
      <c r="O31" s="808" t="e">
        <v>#DIV/0!</v>
      </c>
      <c r="Q31" s="808">
        <v>0</v>
      </c>
      <c r="R31" s="720" t="e">
        <f t="shared" si="9"/>
        <v>#DIV/0!</v>
      </c>
      <c r="S31" s="809" t="e">
        <v>#DIV/0!</v>
      </c>
      <c r="T31" s="720" t="e">
        <v>#DIV/0!</v>
      </c>
      <c r="U31" s="720" t="e">
        <v>#DIV/0!</v>
      </c>
      <c r="V31" s="720" t="e">
        <v>#DIV/0!</v>
      </c>
      <c r="W31" s="807" t="e">
        <f t="shared" si="10"/>
        <v>#DIV/0!</v>
      </c>
      <c r="X31" s="724" t="e">
        <f t="shared" si="11"/>
        <v>#DIV/0!</v>
      </c>
      <c r="Y31" s="810" t="e">
        <v>#DIV/0!</v>
      </c>
      <c r="Z31" s="720">
        <f t="shared" si="17"/>
        <v>0</v>
      </c>
      <c r="AA31" s="808">
        <v>0</v>
      </c>
      <c r="AB31" s="720" t="e">
        <f t="shared" si="12"/>
        <v>#DIV/0!</v>
      </c>
      <c r="AC31" s="720" t="e">
        <v>#DIV/0!</v>
      </c>
      <c r="AD31" s="720" t="e">
        <v>#DIV/0!</v>
      </c>
      <c r="AE31" s="810" t="e">
        <v>#DIV/0!</v>
      </c>
      <c r="AF31" s="720" t="e">
        <v>#DIV/0!</v>
      </c>
      <c r="AG31" s="811" t="e">
        <f t="shared" si="21"/>
        <v>#DIV/0!</v>
      </c>
      <c r="AH31" s="724" t="e">
        <f t="shared" si="22"/>
        <v>#DIV/0!</v>
      </c>
      <c r="AI31" s="812" t="e">
        <v>#DIV/0!</v>
      </c>
      <c r="AJ31" s="720">
        <f t="shared" si="1"/>
        <v>0</v>
      </c>
      <c r="AK31" s="808">
        <v>0</v>
      </c>
      <c r="AL31" s="720" t="e">
        <f t="shared" si="20"/>
        <v>#DIV/0!</v>
      </c>
      <c r="AM31" s="720" t="e">
        <v>#DIV/0!</v>
      </c>
      <c r="AN31" s="720" t="e">
        <v>#DIV/0!</v>
      </c>
      <c r="AO31" s="720" t="e">
        <v>#DIV/0!</v>
      </c>
      <c r="AP31" s="810" t="e">
        <v>#DIV/0!</v>
      </c>
      <c r="AQ31" s="720" t="e">
        <f t="shared" si="13"/>
        <v>#DIV/0!</v>
      </c>
      <c r="AR31" s="720" t="e">
        <v>#DIV/0!</v>
      </c>
      <c r="AS31" s="720" t="e">
        <v>#DIV/0!</v>
      </c>
      <c r="AT31" s="720">
        <f t="shared" si="3"/>
        <v>0</v>
      </c>
      <c r="AU31" s="813">
        <v>0</v>
      </c>
      <c r="AV31" s="720" t="e">
        <f t="shared" si="14"/>
        <v>#DIV/0!</v>
      </c>
      <c r="AW31" s="720" t="e">
        <v>#DIV/0!</v>
      </c>
      <c r="AX31" s="720" t="e">
        <v>#DIV/0!</v>
      </c>
      <c r="AY31" s="809" t="e">
        <v>#DIV/0!</v>
      </c>
      <c r="AZ31" s="812" t="e">
        <v>#DIV/0!</v>
      </c>
      <c r="BD31" s="723"/>
      <c r="BE31" s="723"/>
      <c r="BF31" s="888">
        <f t="shared" si="16"/>
        <v>0</v>
      </c>
      <c r="BG31" s="814">
        <f t="shared" si="15"/>
        <v>0</v>
      </c>
    </row>
    <row r="32" spans="2:59">
      <c r="B32" s="723" t="s">
        <v>261</v>
      </c>
      <c r="C32" s="807"/>
      <c r="D32" s="805"/>
      <c r="E32" s="808" t="e">
        <v>#DIV/0!</v>
      </c>
      <c r="F32" s="720">
        <f t="shared" si="4"/>
        <v>0</v>
      </c>
      <c r="G32" s="808">
        <v>0</v>
      </c>
      <c r="H32" s="720" t="e">
        <f t="shared" si="5"/>
        <v>#DIV/0!</v>
      </c>
      <c r="I32" s="720" t="e">
        <v>#DIV/0!</v>
      </c>
      <c r="J32" s="720" t="e">
        <v>#DIV/0!</v>
      </c>
      <c r="K32" s="720" t="e">
        <v>#DIV/0!</v>
      </c>
      <c r="L32" s="809" t="e">
        <v>#DIV/0!</v>
      </c>
      <c r="M32" s="807" t="e">
        <f t="shared" si="6"/>
        <v>#DIV/0!</v>
      </c>
      <c r="N32" s="805" t="e">
        <f t="shared" si="7"/>
        <v>#DIV/0!</v>
      </c>
      <c r="O32" s="808" t="e">
        <v>#DIV/0!</v>
      </c>
      <c r="Q32" s="808">
        <v>0</v>
      </c>
      <c r="R32" s="720" t="e">
        <f t="shared" si="9"/>
        <v>#DIV/0!</v>
      </c>
      <c r="S32" s="809" t="e">
        <v>#DIV/0!</v>
      </c>
      <c r="T32" s="720" t="e">
        <v>#DIV/0!</v>
      </c>
      <c r="U32" s="720" t="e">
        <v>#DIV/0!</v>
      </c>
      <c r="V32" s="720" t="e">
        <v>#DIV/0!</v>
      </c>
      <c r="W32" s="807" t="e">
        <f t="shared" si="10"/>
        <v>#DIV/0!</v>
      </c>
      <c r="X32" s="724" t="e">
        <f t="shared" si="11"/>
        <v>#DIV/0!</v>
      </c>
      <c r="Y32" s="810" t="e">
        <v>#DIV/0!</v>
      </c>
      <c r="Z32" s="720">
        <f t="shared" si="17"/>
        <v>0</v>
      </c>
      <c r="AA32" s="808">
        <v>0</v>
      </c>
      <c r="AB32" s="720" t="e">
        <f t="shared" si="12"/>
        <v>#DIV/0!</v>
      </c>
      <c r="AC32" s="720" t="e">
        <v>#DIV/0!</v>
      </c>
      <c r="AD32" s="720" t="e">
        <v>#DIV/0!</v>
      </c>
      <c r="AE32" s="810" t="e">
        <v>#DIV/0!</v>
      </c>
      <c r="AF32" s="720" t="e">
        <v>#DIV/0!</v>
      </c>
      <c r="AG32" s="811" t="e">
        <f t="shared" si="21"/>
        <v>#DIV/0!</v>
      </c>
      <c r="AH32" s="724" t="e">
        <f t="shared" si="22"/>
        <v>#DIV/0!</v>
      </c>
      <c r="AI32" s="812" t="e">
        <v>#DIV/0!</v>
      </c>
      <c r="AJ32" s="720">
        <f t="shared" si="1"/>
        <v>0</v>
      </c>
      <c r="AK32" s="808">
        <v>0</v>
      </c>
      <c r="AL32" s="720" t="e">
        <f t="shared" si="20"/>
        <v>#DIV/0!</v>
      </c>
      <c r="AM32" s="720" t="e">
        <v>#DIV/0!</v>
      </c>
      <c r="AN32" s="720" t="e">
        <v>#DIV/0!</v>
      </c>
      <c r="AO32" s="720" t="e">
        <v>#DIV/0!</v>
      </c>
      <c r="AP32" s="810" t="e">
        <v>#DIV/0!</v>
      </c>
      <c r="AQ32" s="720" t="e">
        <f t="shared" si="13"/>
        <v>#DIV/0!</v>
      </c>
      <c r="AR32" s="720" t="e">
        <v>#DIV/0!</v>
      </c>
      <c r="AS32" s="720" t="e">
        <v>#DIV/0!</v>
      </c>
      <c r="AT32" s="720">
        <f t="shared" si="3"/>
        <v>0</v>
      </c>
      <c r="AU32" s="813">
        <v>0</v>
      </c>
      <c r="AV32" s="720" t="e">
        <f t="shared" si="14"/>
        <v>#DIV/0!</v>
      </c>
      <c r="AW32" s="720" t="e">
        <v>#DIV/0!</v>
      </c>
      <c r="AX32" s="720" t="e">
        <v>#DIV/0!</v>
      </c>
      <c r="AY32" s="809" t="e">
        <v>#DIV/0!</v>
      </c>
      <c r="AZ32" s="812" t="e">
        <v>#DIV/0!</v>
      </c>
      <c r="BD32" s="723"/>
      <c r="BE32" s="723"/>
      <c r="BF32" s="888">
        <f t="shared" si="16"/>
        <v>0</v>
      </c>
      <c r="BG32" s="814">
        <f t="shared" si="15"/>
        <v>0</v>
      </c>
    </row>
    <row r="33" spans="2:59">
      <c r="B33" s="723" t="s">
        <v>262</v>
      </c>
      <c r="C33" s="807"/>
      <c r="D33" s="805"/>
      <c r="E33" s="808" t="e">
        <v>#DIV/0!</v>
      </c>
      <c r="G33" s="808">
        <v>0</v>
      </c>
      <c r="H33" s="720" t="e">
        <f t="shared" si="5"/>
        <v>#DIV/0!</v>
      </c>
      <c r="I33" s="720" t="e">
        <v>#DIV/0!</v>
      </c>
      <c r="J33" s="720" t="e">
        <v>#DIV/0!</v>
      </c>
      <c r="K33" s="720" t="e">
        <v>#DIV/0!</v>
      </c>
      <c r="L33" s="809" t="e">
        <v>#DIV/0!</v>
      </c>
      <c r="N33" s="805"/>
      <c r="O33" s="808">
        <v>0</v>
      </c>
      <c r="Q33" s="808">
        <v>0</v>
      </c>
      <c r="S33" s="809" t="e">
        <v>#DIV/0!</v>
      </c>
      <c r="T33" s="720" t="e">
        <v>#DIV/0!</v>
      </c>
      <c r="U33" s="720" t="e">
        <v>#DIV/0!</v>
      </c>
      <c r="V33" s="720" t="e">
        <v>#DIV/0!</v>
      </c>
      <c r="W33" s="807"/>
      <c r="X33" s="724"/>
      <c r="Y33" s="810">
        <v>0</v>
      </c>
      <c r="AA33" s="808">
        <v>0</v>
      </c>
      <c r="AC33" s="720" t="e">
        <v>#DIV/0!</v>
      </c>
      <c r="AD33" s="720" t="e">
        <v>#DIV/0!</v>
      </c>
      <c r="AE33" s="810" t="e">
        <v>#DIV/0!</v>
      </c>
      <c r="AF33" s="720" t="e">
        <v>#DIV/0!</v>
      </c>
      <c r="AG33" s="811">
        <f t="shared" si="21"/>
        <v>0</v>
      </c>
      <c r="AH33" s="724"/>
      <c r="AI33" s="812">
        <v>0</v>
      </c>
      <c r="AK33" s="808">
        <v>0</v>
      </c>
      <c r="AM33" s="720" t="e">
        <v>#DIV/0!</v>
      </c>
      <c r="AN33" s="720" t="e">
        <v>#DIV/0!</v>
      </c>
      <c r="AO33" s="720" t="e">
        <v>#DIV/0!</v>
      </c>
      <c r="AP33" s="810" t="e">
        <v>#DIV/0!</v>
      </c>
      <c r="AQ33" s="720" t="e">
        <f t="shared" si="13"/>
        <v>#DIV/0!</v>
      </c>
      <c r="AR33" s="720" t="e">
        <v>#DIV/0!</v>
      </c>
      <c r="AS33" s="720">
        <v>0</v>
      </c>
      <c r="AU33" s="813">
        <v>0</v>
      </c>
      <c r="AW33" s="720" t="e">
        <v>#DIV/0!</v>
      </c>
      <c r="AX33" s="720" t="e">
        <v>#DIV/0!</v>
      </c>
      <c r="AY33" s="809" t="e">
        <v>#DIV/0!</v>
      </c>
      <c r="AZ33" s="812" t="e">
        <v>#DIV/0!</v>
      </c>
      <c r="BD33" s="723"/>
      <c r="BE33" s="723"/>
      <c r="BF33" s="888">
        <f t="shared" si="16"/>
        <v>0</v>
      </c>
      <c r="BG33" s="814">
        <f t="shared" si="15"/>
        <v>0</v>
      </c>
    </row>
    <row r="34" spans="2:59">
      <c r="B34" s="728" t="s">
        <v>131</v>
      </c>
      <c r="C34" s="807">
        <f>D34*P34</f>
        <v>4.8702914694356989E-2</v>
      </c>
      <c r="D34" s="805">
        <f>((E34/O34)-1)*100</f>
        <v>8.6726698237155944</v>
      </c>
      <c r="E34" s="808">
        <v>51.467690082051817</v>
      </c>
      <c r="F34" s="720">
        <f t="shared" si="4"/>
        <v>6.0633981704945206E-3</v>
      </c>
      <c r="G34" s="808">
        <v>4690.2544499999995</v>
      </c>
      <c r="H34" s="720">
        <f t="shared" si="5"/>
        <v>0.19553287066322467</v>
      </c>
      <c r="I34" s="720">
        <v>9.0946483937036499E-3</v>
      </c>
      <c r="J34" s="720">
        <v>8.0470587351896307E-3</v>
      </c>
      <c r="K34" s="720">
        <v>8.2099972203567625E-3</v>
      </c>
      <c r="L34" s="809">
        <v>8.535627381364758E-3</v>
      </c>
      <c r="M34" s="807">
        <f t="shared" si="6"/>
        <v>0.1213309988483519</v>
      </c>
      <c r="N34" s="805">
        <f t="shared" si="7"/>
        <v>22.677573260037811</v>
      </c>
      <c r="O34" s="808">
        <v>47.360288622282511</v>
      </c>
      <c r="P34" s="720">
        <f>Q34/Q$112</f>
        <v>5.6156772579048107E-3</v>
      </c>
      <c r="Q34" s="808">
        <v>4438.0183500000003</v>
      </c>
      <c r="R34" s="720">
        <f t="shared" si="9"/>
        <v>0.16164553893260986</v>
      </c>
      <c r="S34" s="809">
        <v>9.0466432820256806E-3</v>
      </c>
      <c r="T34" s="720">
        <v>9.6752141254178477E-3</v>
      </c>
      <c r="U34" s="720">
        <v>9.8692574170696802E-3</v>
      </c>
      <c r="V34" s="720">
        <v>1.014871053087287E-2</v>
      </c>
      <c r="W34" s="807">
        <f t="shared" si="10"/>
        <v>3.7594497210866724E-2</v>
      </c>
      <c r="X34" s="724">
        <f t="shared" si="11"/>
        <v>7.0266623761937153</v>
      </c>
      <c r="Y34" s="810">
        <v>38.605498432784955</v>
      </c>
      <c r="Z34" s="720">
        <f t="shared" ref="Z34:Z40" si="23">AA34/$AA$112</f>
        <v>5.3502637807441309E-3</v>
      </c>
      <c r="AA34" s="808">
        <v>3600.8776200000002</v>
      </c>
      <c r="AB34" s="720">
        <f t="shared" si="12"/>
        <v>0.12290571357722378</v>
      </c>
      <c r="AC34" s="720">
        <v>1.0034614332918398E-2</v>
      </c>
      <c r="AD34" s="720">
        <v>9.4621514197952439E-3</v>
      </c>
      <c r="AE34" s="810">
        <v>1.0156079982945312E-2</v>
      </c>
      <c r="AF34" s="720">
        <v>1.0367341359158308E-2</v>
      </c>
      <c r="AG34" s="811">
        <f t="shared" si="21"/>
        <v>3.6387550739019413E-2</v>
      </c>
      <c r="AH34" s="724">
        <f>((AI34/AS34)-1)*100</f>
        <v>6.8263562275928003</v>
      </c>
      <c r="AI34" s="812">
        <v>36.070916887128959</v>
      </c>
      <c r="AJ34" s="720">
        <f t="shared" ref="AJ34:AJ40" si="24">AK34/$AK$112</f>
        <v>5.3502637807441309E-3</v>
      </c>
      <c r="AK34" s="808">
        <v>3600.8776200000002</v>
      </c>
      <c r="AL34" s="720">
        <f t="shared" ref="AL34:AL40" si="25">AM34+AN34+AO34+AP34+AV34</f>
        <v>8.2885526482406519E-2</v>
      </c>
      <c r="AM34" s="720">
        <v>9.9849646998675205E-3</v>
      </c>
      <c r="AN34" s="720">
        <v>9.9640255887533599E-3</v>
      </c>
      <c r="AO34" s="720">
        <v>1.092540869429952E-2</v>
      </c>
      <c r="AP34" s="810">
        <v>9.8526721910828004E-3</v>
      </c>
      <c r="AQ34" s="720">
        <f t="shared" si="13"/>
        <v>2.8283196508055622E-2</v>
      </c>
      <c r="AR34" s="720">
        <v>5.1243273723295957</v>
      </c>
      <c r="AS34" s="720">
        <v>33.765933951992267</v>
      </c>
      <c r="AT34" s="720">
        <f t="shared" ref="AT34:AT40" si="26">AU34/$AU$112</f>
        <v>5.3304500271956759E-3</v>
      </c>
      <c r="AU34" s="813">
        <v>3447.9432000000002</v>
      </c>
      <c r="AV34" s="720">
        <f t="shared" ref="AV34:AV40" si="27">AW34+AX34+AY34+AZ34</f>
        <v>4.2158455308403307E-2</v>
      </c>
      <c r="AW34" s="720">
        <v>9.8767692187589438E-3</v>
      </c>
      <c r="AX34" s="720">
        <v>1.0936682251804162E-2</v>
      </c>
      <c r="AY34" s="809">
        <v>1.0917825903094154E-2</v>
      </c>
      <c r="AZ34" s="812">
        <v>1.0427177934746047E-2</v>
      </c>
      <c r="BD34" s="728">
        <v>102.56100000000001</v>
      </c>
      <c r="BE34" s="728">
        <v>32.119999999999997</v>
      </c>
      <c r="BF34" s="888">
        <f t="shared" si="16"/>
        <v>3294.2593200000001</v>
      </c>
      <c r="BG34" s="814">
        <f t="shared" si="15"/>
        <v>5.5193968794381805E-3</v>
      </c>
    </row>
    <row r="35" spans="2:59">
      <c r="B35" s="728" t="s">
        <v>132</v>
      </c>
      <c r="C35" s="807">
        <f>D35*P35</f>
        <v>-0.82243412050043851</v>
      </c>
      <c r="D35" s="805">
        <f>((E35/O35)-1)*100</f>
        <v>-47.170316204617571</v>
      </c>
      <c r="E35" s="808">
        <v>19.255447219195201</v>
      </c>
      <c r="F35" s="720">
        <f t="shared" si="4"/>
        <v>1.0027557000798788E-2</v>
      </c>
      <c r="G35" s="808">
        <v>7756.6724999999997</v>
      </c>
      <c r="H35" s="720">
        <f t="shared" si="5"/>
        <v>0.24630726337833039</v>
      </c>
      <c r="I35" s="720">
        <v>2.2962459109257673E-2</v>
      </c>
      <c r="J35" s="720">
        <v>1.2762827949827029E-2</v>
      </c>
      <c r="K35" s="720">
        <v>1.1423396018438767E-2</v>
      </c>
      <c r="L35" s="809">
        <v>1.1922126457559676E-2</v>
      </c>
      <c r="M35" s="807">
        <f t="shared" si="6"/>
        <v>0.29187885283991288</v>
      </c>
      <c r="N35" s="805">
        <f t="shared" si="7"/>
        <v>16.546988115662977</v>
      </c>
      <c r="O35" s="808">
        <v>36.448159132987691</v>
      </c>
      <c r="P35" s="720">
        <f>Q35/Q$112</f>
        <v>1.7435416733965613E-2</v>
      </c>
      <c r="Q35" s="808">
        <v>13779.050300000001</v>
      </c>
      <c r="R35" s="720">
        <f t="shared" si="9"/>
        <v>0.18723645384324725</v>
      </c>
      <c r="S35" s="809">
        <v>1.1015102234124519E-2</v>
      </c>
      <c r="T35" s="720">
        <v>1.1858109532309031E-2</v>
      </c>
      <c r="U35" s="720">
        <v>1.1569628490782056E-2</v>
      </c>
      <c r="V35" s="720">
        <v>1.143011086271099E-2</v>
      </c>
      <c r="W35" s="807">
        <f t="shared" si="10"/>
        <v>5.7574398639401073E-2</v>
      </c>
      <c r="X35" s="724">
        <f t="shared" si="11"/>
        <v>3.2639668163117364</v>
      </c>
      <c r="Y35" s="810">
        <v>31.273359974618984</v>
      </c>
      <c r="Z35" s="720">
        <f t="shared" si="23"/>
        <v>1.7639394601584771E-2</v>
      </c>
      <c r="AA35" s="808">
        <v>11871.807419999999</v>
      </c>
      <c r="AB35" s="720">
        <f t="shared" si="12"/>
        <v>0.14136350272332066</v>
      </c>
      <c r="AC35" s="720">
        <v>1.1443532544692315E-2</v>
      </c>
      <c r="AD35" s="720">
        <v>1.0558155340940812E-2</v>
      </c>
      <c r="AE35" s="810">
        <v>1.0157892815506114E-2</v>
      </c>
      <c r="AF35" s="720">
        <v>1.0731966692863136E-2</v>
      </c>
      <c r="AG35" s="811">
        <f t="shared" si="21"/>
        <v>0.52042474390364091</v>
      </c>
      <c r="AH35" s="724">
        <f>((AI35/AS35)-1)*100</f>
        <v>37.406086030299534</v>
      </c>
      <c r="AI35" s="812">
        <v>30.284871808429305</v>
      </c>
      <c r="AJ35" s="720">
        <f t="shared" si="24"/>
        <v>1.7639394601584771E-2</v>
      </c>
      <c r="AK35" s="808">
        <v>11871.807419999999</v>
      </c>
      <c r="AL35" s="720">
        <f t="shared" si="25"/>
        <v>9.8471955329318267E-2</v>
      </c>
      <c r="AM35" s="720">
        <v>1.055559041043889E-2</v>
      </c>
      <c r="AN35" s="720">
        <v>1.1251670407334529E-2</v>
      </c>
      <c r="AO35" s="720">
        <v>1.1803774724288358E-2</v>
      </c>
      <c r="AP35" s="810">
        <v>1.1303790037935425E-2</v>
      </c>
      <c r="AQ35" s="720">
        <f t="shared" si="13"/>
        <v>0.1174071140888191</v>
      </c>
      <c r="AR35" s="720">
        <v>7.9883153079656877</v>
      </c>
      <c r="AS35" s="720">
        <v>22.040415154355799</v>
      </c>
      <c r="AT35" s="720">
        <f t="shared" si="26"/>
        <v>1.3912836095230292E-2</v>
      </c>
      <c r="AU35" s="813">
        <v>8999.365600000001</v>
      </c>
      <c r="AV35" s="720">
        <f t="shared" si="27"/>
        <v>5.3557129749321059E-2</v>
      </c>
      <c r="AW35" s="720">
        <v>1.2810339318165513E-2</v>
      </c>
      <c r="AX35" s="720">
        <v>1.3843064927137499E-2</v>
      </c>
      <c r="AY35" s="809">
        <v>1.3897945157197238E-2</v>
      </c>
      <c r="AZ35" s="812">
        <v>1.3005780346820808E-2</v>
      </c>
      <c r="BD35" s="728">
        <v>429.79599999999999</v>
      </c>
      <c r="BE35" s="728">
        <v>20.41</v>
      </c>
      <c r="BF35" s="888">
        <f t="shared" si="16"/>
        <v>8772.1363600000004</v>
      </c>
      <c r="BG35" s="814">
        <f t="shared" si="15"/>
        <v>1.4697356020955326E-2</v>
      </c>
    </row>
    <row r="36" spans="2:59">
      <c r="B36" s="728" t="s">
        <v>133</v>
      </c>
      <c r="C36" s="807">
        <f>D36*P36</f>
        <v>-6.0405558102519664E-2</v>
      </c>
      <c r="D36" s="805">
        <f>((E36/O36)-1)*100</f>
        <v>-9.5095513242942182</v>
      </c>
      <c r="E36" s="808">
        <v>100.41282949471086</v>
      </c>
      <c r="F36" s="720">
        <f t="shared" si="4"/>
        <v>5.7315661719654337E-3</v>
      </c>
      <c r="G36" s="808">
        <v>4433.5705800000005</v>
      </c>
      <c r="H36" s="720">
        <f t="shared" si="5"/>
        <v>0.14378436604067496</v>
      </c>
      <c r="I36" s="720">
        <v>8.6630739910383489E-3</v>
      </c>
      <c r="J36" s="720">
        <v>7.0766843367754406E-3</v>
      </c>
      <c r="K36" s="720">
        <v>6.2724457445640118E-3</v>
      </c>
      <c r="L36" s="809">
        <v>6.9930384132201387E-3</v>
      </c>
      <c r="M36" s="807">
        <f t="shared" si="6"/>
        <v>9.74032193078498E-2</v>
      </c>
      <c r="N36" s="805">
        <f t="shared" si="7"/>
        <v>15.710391891378727</v>
      </c>
      <c r="O36" s="808">
        <v>110.96511395867238</v>
      </c>
      <c r="P36" s="720">
        <f>Q36/Q$112</f>
        <v>6.3520933893274779E-3</v>
      </c>
      <c r="Q36" s="808">
        <v>5020.0012800000004</v>
      </c>
      <c r="R36" s="720">
        <f t="shared" si="9"/>
        <v>0.11477912355507701</v>
      </c>
      <c r="S36" s="809">
        <v>7.0111894563212396E-3</v>
      </c>
      <c r="T36" s="720">
        <v>7.4489678565718446E-3</v>
      </c>
      <c r="U36" s="720">
        <v>6.941727906394711E-3</v>
      </c>
      <c r="V36" s="720">
        <v>6.9491820598741308E-3</v>
      </c>
      <c r="W36" s="807">
        <f t="shared" si="10"/>
        <v>5.6896273574000102E-2</v>
      </c>
      <c r="X36" s="724">
        <f t="shared" si="11"/>
        <v>9.1769323576618156</v>
      </c>
      <c r="Y36" s="810">
        <v>95.899004527475014</v>
      </c>
      <c r="Z36" s="720">
        <f t="shared" si="23"/>
        <v>6.1999229542644974E-3</v>
      </c>
      <c r="AA36" s="808">
        <v>4172.7220799999996</v>
      </c>
      <c r="AB36" s="720">
        <f t="shared" si="12"/>
        <v>8.6428056275915086E-2</v>
      </c>
      <c r="AC36" s="720">
        <v>7.2135106144810921E-3</v>
      </c>
      <c r="AD36" s="720">
        <v>6.9248132891815773E-3</v>
      </c>
      <c r="AE36" s="810">
        <v>6.6654538065635035E-3</v>
      </c>
      <c r="AF36" s="720">
        <v>6.8229726799898596E-3</v>
      </c>
      <c r="AG36" s="811">
        <f t="shared" si="21"/>
        <v>8.2388929951201714E-2</v>
      </c>
      <c r="AH36" s="724">
        <f>((AI36/AS36)-1)*100</f>
        <v>14.226817925714187</v>
      </c>
      <c r="AI36" s="812">
        <v>87.838156336277592</v>
      </c>
      <c r="AJ36" s="720">
        <f t="shared" si="24"/>
        <v>6.1999229542644974E-3</v>
      </c>
      <c r="AK36" s="808">
        <v>4172.7220799999996</v>
      </c>
      <c r="AL36" s="720">
        <f t="shared" si="25"/>
        <v>5.8801305885699054E-2</v>
      </c>
      <c r="AM36" s="720">
        <v>6.9733052117966045E-3</v>
      </c>
      <c r="AN36" s="720">
        <v>7.1332355162841716E-3</v>
      </c>
      <c r="AO36" s="720">
        <v>7.288876326737157E-3</v>
      </c>
      <c r="AP36" s="810">
        <v>6.4631932971383988E-3</v>
      </c>
      <c r="AQ36" s="720">
        <f t="shared" si="13"/>
        <v>0.11782472920908185</v>
      </c>
      <c r="AR36" s="720">
        <v>22.312733672438156</v>
      </c>
      <c r="AS36" s="720">
        <v>76.898015659861869</v>
      </c>
      <c r="AT36" s="720">
        <f t="shared" si="26"/>
        <v>5.7911003276627498E-3</v>
      </c>
      <c r="AU36" s="813">
        <v>3745.9097999999999</v>
      </c>
      <c r="AV36" s="720">
        <f t="shared" si="27"/>
        <v>3.0942695533742716E-2</v>
      </c>
      <c r="AW36" s="720">
        <v>7.0010755622131656E-3</v>
      </c>
      <c r="AX36" s="720">
        <v>7.6223941933364478E-3</v>
      </c>
      <c r="AY36" s="809">
        <v>7.9472984536473248E-3</v>
      </c>
      <c r="AZ36" s="812">
        <v>8.3719273245457786E-3</v>
      </c>
      <c r="BD36" s="728">
        <v>50.131</v>
      </c>
      <c r="BE36" s="728">
        <v>62.87</v>
      </c>
      <c r="BF36" s="888">
        <f t="shared" si="16"/>
        <v>3151.7359699999997</v>
      </c>
      <c r="BG36" s="814">
        <f t="shared" si="15"/>
        <v>5.2806048303541157E-3</v>
      </c>
    </row>
    <row r="37" spans="2:59">
      <c r="B37" s="723" t="s">
        <v>263</v>
      </c>
      <c r="C37" s="807"/>
      <c r="D37" s="805"/>
      <c r="E37" s="808" t="e">
        <v>#DIV/0!</v>
      </c>
      <c r="F37" s="720">
        <f t="shared" si="4"/>
        <v>0</v>
      </c>
      <c r="G37" s="808">
        <v>0</v>
      </c>
      <c r="H37" s="720" t="e">
        <f t="shared" si="5"/>
        <v>#DIV/0!</v>
      </c>
      <c r="I37" s="720" t="e">
        <v>#DIV/0!</v>
      </c>
      <c r="J37" s="720" t="e">
        <v>#DIV/0!</v>
      </c>
      <c r="K37" s="720" t="e">
        <v>#DIV/0!</v>
      </c>
      <c r="L37" s="809" t="e">
        <v>#DIV/0!</v>
      </c>
      <c r="M37" s="807" t="e">
        <f t="shared" si="6"/>
        <v>#DIV/0!</v>
      </c>
      <c r="N37" s="805" t="e">
        <f t="shared" si="7"/>
        <v>#DIV/0!</v>
      </c>
      <c r="O37" s="808" t="e">
        <v>#DIV/0!</v>
      </c>
      <c r="Q37" s="808">
        <v>0</v>
      </c>
      <c r="R37" s="720" t="e">
        <f t="shared" si="9"/>
        <v>#DIV/0!</v>
      </c>
      <c r="S37" s="809" t="e">
        <v>#DIV/0!</v>
      </c>
      <c r="T37" s="720" t="e">
        <v>#DIV/0!</v>
      </c>
      <c r="U37" s="720" t="e">
        <v>#DIV/0!</v>
      </c>
      <c r="V37" s="720" t="e">
        <v>#DIV/0!</v>
      </c>
      <c r="W37" s="807" t="e">
        <f t="shared" si="10"/>
        <v>#DIV/0!</v>
      </c>
      <c r="X37" s="724" t="e">
        <f t="shared" si="11"/>
        <v>#DIV/0!</v>
      </c>
      <c r="Y37" s="810" t="e">
        <v>#DIV/0!</v>
      </c>
      <c r="Z37" s="720">
        <f t="shared" si="23"/>
        <v>0</v>
      </c>
      <c r="AA37" s="808">
        <v>0</v>
      </c>
      <c r="AB37" s="720" t="e">
        <f t="shared" si="12"/>
        <v>#DIV/0!</v>
      </c>
      <c r="AC37" s="720" t="e">
        <v>#DIV/0!</v>
      </c>
      <c r="AD37" s="720" t="e">
        <v>#DIV/0!</v>
      </c>
      <c r="AE37" s="810" t="e">
        <v>#DIV/0!</v>
      </c>
      <c r="AF37" s="720" t="e">
        <v>#DIV/0!</v>
      </c>
      <c r="AG37" s="811" t="e">
        <f t="shared" si="21"/>
        <v>#DIV/0!</v>
      </c>
      <c r="AH37" s="724" t="e">
        <f>((AI37/AS37)-1)*100</f>
        <v>#DIV/0!</v>
      </c>
      <c r="AI37" s="812" t="e">
        <v>#DIV/0!</v>
      </c>
      <c r="AJ37" s="720">
        <f t="shared" si="24"/>
        <v>0</v>
      </c>
      <c r="AK37" s="808">
        <v>0</v>
      </c>
      <c r="AL37" s="720" t="e">
        <f t="shared" si="25"/>
        <v>#DIV/0!</v>
      </c>
      <c r="AM37" s="720" t="e">
        <v>#DIV/0!</v>
      </c>
      <c r="AN37" s="720" t="e">
        <v>#DIV/0!</v>
      </c>
      <c r="AO37" s="720" t="e">
        <v>#DIV/0!</v>
      </c>
      <c r="AP37" s="810" t="e">
        <v>#DIV/0!</v>
      </c>
      <c r="AQ37" s="720" t="e">
        <f t="shared" si="13"/>
        <v>#DIV/0!</v>
      </c>
      <c r="AR37" s="720" t="e">
        <v>#DIV/0!</v>
      </c>
      <c r="AS37" s="720" t="e">
        <v>#DIV/0!</v>
      </c>
      <c r="AT37" s="720">
        <f t="shared" si="26"/>
        <v>0</v>
      </c>
      <c r="AU37" s="813">
        <v>0</v>
      </c>
      <c r="AV37" s="720" t="e">
        <f t="shared" si="27"/>
        <v>#DIV/0!</v>
      </c>
      <c r="AW37" s="720" t="e">
        <v>#DIV/0!</v>
      </c>
      <c r="AX37" s="720" t="e">
        <v>#DIV/0!</v>
      </c>
      <c r="AY37" s="809" t="e">
        <v>#DIV/0!</v>
      </c>
      <c r="AZ37" s="812" t="e">
        <v>#DIV/0!</v>
      </c>
      <c r="BD37" s="723"/>
      <c r="BE37" s="723"/>
      <c r="BF37" s="888">
        <f t="shared" si="16"/>
        <v>0</v>
      </c>
      <c r="BG37" s="814">
        <f t="shared" si="15"/>
        <v>0</v>
      </c>
    </row>
    <row r="38" spans="2:59">
      <c r="B38" s="723" t="s">
        <v>264</v>
      </c>
      <c r="C38" s="807"/>
      <c r="D38" s="805"/>
      <c r="E38" s="808" t="e">
        <v>#DIV/0!</v>
      </c>
      <c r="G38" s="808">
        <v>0</v>
      </c>
      <c r="H38" s="720" t="e">
        <f t="shared" si="5"/>
        <v>#DIV/0!</v>
      </c>
      <c r="I38" s="720" t="e">
        <v>#DIV/0!</v>
      </c>
      <c r="J38" s="720" t="e">
        <v>#DIV/0!</v>
      </c>
      <c r="K38" s="720" t="e">
        <v>#DIV/0!</v>
      </c>
      <c r="L38" s="809" t="e">
        <v>#DIV/0!</v>
      </c>
      <c r="N38" s="805"/>
      <c r="O38" s="808">
        <v>0</v>
      </c>
      <c r="Q38" s="808">
        <v>0</v>
      </c>
      <c r="S38" s="809" t="e">
        <v>#VALUE!</v>
      </c>
      <c r="T38" s="720" t="e">
        <v>#VALUE!</v>
      </c>
      <c r="U38" s="720" t="e">
        <v>#VALUE!</v>
      </c>
      <c r="V38" s="720" t="e">
        <v>#VALUE!</v>
      </c>
      <c r="W38" s="807" t="s">
        <v>103</v>
      </c>
      <c r="X38" s="724" t="s">
        <v>103</v>
      </c>
      <c r="Y38" s="810" t="e">
        <v>#VALUE!</v>
      </c>
      <c r="Z38" s="720">
        <f t="shared" si="23"/>
        <v>0</v>
      </c>
      <c r="AA38" s="808">
        <v>0</v>
      </c>
      <c r="AB38" s="720" t="s">
        <v>103</v>
      </c>
      <c r="AC38" s="720" t="e">
        <v>#DIV/0!</v>
      </c>
      <c r="AD38" s="720" t="e">
        <v>#DIV/0!</v>
      </c>
      <c r="AE38" s="810" t="e">
        <v>#DIV/0!</v>
      </c>
      <c r="AF38" s="720" t="e">
        <v>#DIV/0!</v>
      </c>
      <c r="AG38" s="811"/>
      <c r="AH38" s="724"/>
      <c r="AI38" s="812" t="e">
        <v>#DIV/0!</v>
      </c>
      <c r="AJ38" s="720">
        <f t="shared" si="24"/>
        <v>0</v>
      </c>
      <c r="AK38" s="808">
        <v>0</v>
      </c>
      <c r="AL38" s="720" t="e">
        <f t="shared" si="25"/>
        <v>#DIV/0!</v>
      </c>
      <c r="AM38" s="720" t="e">
        <v>#DIV/0!</v>
      </c>
      <c r="AN38" s="720" t="e">
        <v>#DIV/0!</v>
      </c>
      <c r="AO38" s="720" t="e">
        <v>#DIV/0!</v>
      </c>
      <c r="AP38" s="810" t="e">
        <v>#DIV/0!</v>
      </c>
      <c r="AQ38" s="720" t="e">
        <f t="shared" si="13"/>
        <v>#DIV/0!</v>
      </c>
      <c r="AR38" s="720" t="e">
        <v>#DIV/0!</v>
      </c>
      <c r="AS38" s="720" t="e">
        <v>#DIV/0!</v>
      </c>
      <c r="AT38" s="720">
        <f t="shared" si="26"/>
        <v>0</v>
      </c>
      <c r="AU38" s="813">
        <v>0</v>
      </c>
      <c r="AV38" s="720" t="e">
        <f t="shared" si="27"/>
        <v>#DIV/0!</v>
      </c>
      <c r="AW38" s="720" t="e">
        <v>#DIV/0!</v>
      </c>
      <c r="AX38" s="720" t="e">
        <v>#DIV/0!</v>
      </c>
      <c r="AY38" s="809" t="e">
        <v>#DIV/0!</v>
      </c>
      <c r="AZ38" s="812" t="e">
        <v>#DIV/0!</v>
      </c>
      <c r="BD38" s="723"/>
      <c r="BE38" s="723"/>
      <c r="BF38" s="888">
        <f t="shared" si="16"/>
        <v>0</v>
      </c>
      <c r="BG38" s="814">
        <f t="shared" si="15"/>
        <v>0</v>
      </c>
    </row>
    <row r="39" spans="2:59">
      <c r="B39" s="728" t="s">
        <v>679</v>
      </c>
      <c r="C39" s="807">
        <f>D39*P39</f>
        <v>-4.1436354215700126E-2</v>
      </c>
      <c r="D39" s="805">
        <f>((E39/O39)-1)*100</f>
        <v>-2.1001980838137868</v>
      </c>
      <c r="E39" s="808">
        <v>64.459236674715001</v>
      </c>
      <c r="F39" s="720">
        <f t="shared" si="4"/>
        <v>1.7044431692598415E-2</v>
      </c>
      <c r="G39" s="808">
        <v>13184.474999999999</v>
      </c>
      <c r="H39" s="720">
        <f t="shared" si="5"/>
        <v>0.17092164713378757</v>
      </c>
      <c r="I39" s="720">
        <v>1.0643784210288233E-2</v>
      </c>
      <c r="J39" s="720">
        <v>8.9326979308844753E-3</v>
      </c>
      <c r="K39" s="720">
        <v>8.158259914544521E-3</v>
      </c>
      <c r="L39" s="809">
        <v>8.9569283284467362E-3</v>
      </c>
      <c r="M39" s="807">
        <f t="shared" si="6"/>
        <v>0.15995085189991087</v>
      </c>
      <c r="N39" s="805">
        <f t="shared" si="7"/>
        <v>13.962557923353414</v>
      </c>
      <c r="O39" s="808">
        <v>65.842050150315643</v>
      </c>
      <c r="P39" s="809">
        <f>(Q39+Q40)/Q$112</f>
        <v>1.9729736225858809E-2</v>
      </c>
      <c r="Q39" s="808">
        <v>15592.230000000001</v>
      </c>
      <c r="R39" s="720">
        <f t="shared" si="9"/>
        <v>0.13422997674962361</v>
      </c>
      <c r="S39" s="809">
        <v>9.2056256122353044E-3</v>
      </c>
      <c r="T39" s="720">
        <v>9.3350784660714368E-3</v>
      </c>
      <c r="U39" s="720">
        <v>9.2671915028675663E-3</v>
      </c>
      <c r="V39" s="720">
        <v>7.8261508835964604E-3</v>
      </c>
      <c r="W39" s="807">
        <f t="shared" si="10"/>
        <v>-8.8516891227893553E-4</v>
      </c>
      <c r="X39" s="724">
        <f t="shared" si="11"/>
        <v>-7.7268873924973835E-2</v>
      </c>
      <c r="Y39" s="810">
        <v>57.775159973680417</v>
      </c>
      <c r="Z39" s="720">
        <f t="shared" si="23"/>
        <v>1.1455698359709663E-2</v>
      </c>
      <c r="AA39" s="808">
        <v>7710.0063726600001</v>
      </c>
      <c r="AB39" s="720">
        <f t="shared" si="12"/>
        <v>9.8595930284852834E-2</v>
      </c>
      <c r="AC39" s="720">
        <v>8.2928547294572764E-3</v>
      </c>
      <c r="AD39" s="720">
        <v>8.1977674853789158E-3</v>
      </c>
      <c r="AE39" s="810">
        <v>8.6568424645601331E-3</v>
      </c>
      <c r="AF39" s="720">
        <v>8.0378020636874322E-3</v>
      </c>
      <c r="AG39" s="811">
        <f t="shared" ref="AG39:AG51" si="28">AH39*AT39</f>
        <v>0.13164861053781329</v>
      </c>
      <c r="AH39" s="724">
        <f>((AI39/AS39)-1)*100</f>
        <v>12.442221154475064</v>
      </c>
      <c r="AI39" s="812">
        <v>57.819836710411813</v>
      </c>
      <c r="AJ39" s="720">
        <f t="shared" si="24"/>
        <v>1.1455698359709663E-2</v>
      </c>
      <c r="AK39" s="808">
        <v>7710.0063726600001</v>
      </c>
      <c r="AL39" s="720">
        <f t="shared" si="25"/>
        <v>6.5410663541769082E-2</v>
      </c>
      <c r="AM39" s="720">
        <v>7.7952124641797616E-3</v>
      </c>
      <c r="AN39" s="720">
        <v>7.0843270123300533E-3</v>
      </c>
      <c r="AO39" s="720">
        <v>6.9876041859758186E-3</v>
      </c>
      <c r="AP39" s="810">
        <v>7.0222514176399454E-3</v>
      </c>
      <c r="AQ39" s="720">
        <f t="shared" si="13"/>
        <v>0.27893260802162245</v>
      </c>
      <c r="AR39" s="720">
        <v>32.667234593349171</v>
      </c>
      <c r="AS39" s="720">
        <v>51.421820128382137</v>
      </c>
      <c r="AT39" s="720">
        <f t="shared" si="26"/>
        <v>1.0580796539729046E-2</v>
      </c>
      <c r="AU39" s="813">
        <v>6844.0723191500001</v>
      </c>
      <c r="AV39" s="720">
        <f t="shared" si="27"/>
        <v>3.6521268461643504E-2</v>
      </c>
      <c r="AW39" s="720">
        <v>7.8791374678020502E-3</v>
      </c>
      <c r="AX39" s="720">
        <v>8.6581989047880038E-3</v>
      </c>
      <c r="AY39" s="809">
        <v>9.4637684420633833E-3</v>
      </c>
      <c r="AZ39" s="812">
        <v>1.0520163646990065E-2</v>
      </c>
      <c r="BD39" s="728">
        <v>131.48291</v>
      </c>
      <c r="BE39" s="728">
        <v>38.76</v>
      </c>
      <c r="BF39" s="888">
        <f t="shared" si="16"/>
        <v>5096.2775916000001</v>
      </c>
      <c r="BG39" s="814">
        <f t="shared" si="15"/>
        <v>8.5386048587783193E-3</v>
      </c>
    </row>
    <row r="40" spans="2:59">
      <c r="B40" s="728" t="s">
        <v>134</v>
      </c>
      <c r="C40" s="807"/>
      <c r="D40" s="805"/>
      <c r="E40" s="808" t="e">
        <v>#DIV/0!</v>
      </c>
      <c r="F40" s="720">
        <f t="shared" si="4"/>
        <v>0</v>
      </c>
      <c r="G40" s="808">
        <v>0</v>
      </c>
      <c r="H40" s="720" t="e">
        <f t="shared" si="5"/>
        <v>#DIV/0!</v>
      </c>
      <c r="I40" s="720" t="e">
        <v>#DIV/0!</v>
      </c>
      <c r="J40" s="720" t="e">
        <v>#DIV/0!</v>
      </c>
      <c r="K40" s="720" t="e">
        <v>#DIV/0!</v>
      </c>
      <c r="L40" s="809" t="e">
        <v>#DIV/0!</v>
      </c>
      <c r="M40" s="807" t="e">
        <f t="shared" si="6"/>
        <v>#DIV/0!</v>
      </c>
      <c r="N40" s="805" t="e">
        <f t="shared" si="7"/>
        <v>#DIV/0!</v>
      </c>
      <c r="O40" s="808" t="e">
        <v>#DIV/0!</v>
      </c>
      <c r="Q40" s="808">
        <v>0</v>
      </c>
      <c r="R40" s="720" t="e">
        <f t="shared" si="9"/>
        <v>#DIV/0!</v>
      </c>
      <c r="S40" s="809" t="e">
        <v>#DIV/0!</v>
      </c>
      <c r="T40" s="720" t="e">
        <v>#DIV/0!</v>
      </c>
      <c r="U40" s="720" t="e">
        <v>#DIV/0!</v>
      </c>
      <c r="V40" s="720" t="e">
        <v>#DIV/0!</v>
      </c>
      <c r="W40" s="807">
        <f t="shared" si="10"/>
        <v>9.3593774764351378E-2</v>
      </c>
      <c r="X40" s="724">
        <f t="shared" si="11"/>
        <v>12.725841594807141</v>
      </c>
      <c r="Y40" s="810">
        <v>35.480148327481267</v>
      </c>
      <c r="Z40" s="720">
        <f t="shared" si="23"/>
        <v>7.3546235875309729E-3</v>
      </c>
      <c r="AA40" s="808">
        <v>4949.8680000000004</v>
      </c>
      <c r="AB40" s="720">
        <f t="shared" si="12"/>
        <v>0.11607890303495641</v>
      </c>
      <c r="AC40" s="720">
        <v>9.5718602318606901E-3</v>
      </c>
      <c r="AD40" s="720">
        <v>9.3584326240458652E-3</v>
      </c>
      <c r="AE40" s="810">
        <v>9.8680578184542501E-3</v>
      </c>
      <c r="AF40" s="720">
        <v>1.0116804327496662E-2</v>
      </c>
      <c r="AG40" s="811">
        <f t="shared" si="28"/>
        <v>-4.5583739416065666E-2</v>
      </c>
      <c r="AH40" s="724">
        <f>((AI40/AS40)-1)*100</f>
        <v>-5.929145161033345</v>
      </c>
      <c r="AI40" s="812">
        <v>31.474724717527149</v>
      </c>
      <c r="AJ40" s="720">
        <f t="shared" si="24"/>
        <v>7.3546235875309729E-3</v>
      </c>
      <c r="AK40" s="808">
        <v>4949.8680000000004</v>
      </c>
      <c r="AL40" s="720">
        <f t="shared" si="25"/>
        <v>7.7163748033098944E-2</v>
      </c>
      <c r="AM40" s="720">
        <v>1.0043059186611367E-2</v>
      </c>
      <c r="AN40" s="720">
        <v>1.0622920884444675E-2</v>
      </c>
      <c r="AO40" s="720">
        <v>1.0065535399329873E-2</v>
      </c>
      <c r="AP40" s="810">
        <v>8.9584496061218821E-3</v>
      </c>
      <c r="AQ40" s="720">
        <f t="shared" si="13"/>
        <v>0.17490009754294075</v>
      </c>
      <c r="AR40" s="720">
        <v>25.406782235195145</v>
      </c>
      <c r="AS40" s="720">
        <v>33.458529500350068</v>
      </c>
      <c r="AT40" s="720">
        <f t="shared" si="26"/>
        <v>7.6880795086017471E-3</v>
      </c>
      <c r="AU40" s="813">
        <v>4972.95</v>
      </c>
      <c r="AV40" s="720">
        <f t="shared" si="27"/>
        <v>3.7473782956591137E-2</v>
      </c>
      <c r="AW40" s="720">
        <v>8.3763742568582905E-3</v>
      </c>
      <c r="AX40" s="720">
        <v>9.7973730994171688E-3</v>
      </c>
      <c r="AY40" s="809">
        <v>9.1593071234944926E-3</v>
      </c>
      <c r="AZ40" s="812">
        <v>1.0140728476821192E-2</v>
      </c>
      <c r="BD40" s="728">
        <v>154</v>
      </c>
      <c r="BE40" s="728">
        <v>26.68</v>
      </c>
      <c r="BF40" s="888">
        <f t="shared" si="16"/>
        <v>4108.72</v>
      </c>
      <c r="BG40" s="814">
        <f t="shared" si="15"/>
        <v>6.8839924679898121E-3</v>
      </c>
    </row>
    <row r="41" spans="2:59">
      <c r="B41" s="723" t="s">
        <v>265</v>
      </c>
      <c r="C41" s="807"/>
      <c r="D41" s="805"/>
      <c r="E41" s="808" t="e">
        <v>#DIV/0!</v>
      </c>
      <c r="G41" s="808">
        <v>0</v>
      </c>
      <c r="H41" s="720" t="e">
        <f t="shared" si="5"/>
        <v>#DIV/0!</v>
      </c>
      <c r="I41" s="720" t="e">
        <v>#DIV/0!</v>
      </c>
      <c r="J41" s="720" t="e">
        <v>#DIV/0!</v>
      </c>
      <c r="K41" s="720" t="e">
        <v>#DIV/0!</v>
      </c>
      <c r="L41" s="809" t="e">
        <v>#DIV/0!</v>
      </c>
      <c r="M41" s="807"/>
      <c r="N41" s="805"/>
      <c r="O41" s="808">
        <v>0</v>
      </c>
      <c r="Q41" s="808">
        <v>0</v>
      </c>
      <c r="S41" s="809" t="e">
        <v>#DIV/0!</v>
      </c>
      <c r="T41" s="720" t="e">
        <v>#DIV/0!</v>
      </c>
      <c r="U41" s="720" t="e">
        <v>#DIV/0!</v>
      </c>
      <c r="V41" s="720" t="e">
        <v>#DIV/0!</v>
      </c>
      <c r="W41" s="807"/>
      <c r="X41" s="724"/>
      <c r="Y41" s="810">
        <v>0</v>
      </c>
      <c r="AA41" s="808">
        <v>0</v>
      </c>
      <c r="AC41" s="720" t="e">
        <v>#DIV/0!</v>
      </c>
      <c r="AD41" s="720" t="e">
        <v>#DIV/0!</v>
      </c>
      <c r="AE41" s="810" t="e">
        <v>#DIV/0!</v>
      </c>
      <c r="AF41" s="720" t="e">
        <v>#DIV/0!</v>
      </c>
      <c r="AG41" s="811">
        <f t="shared" si="28"/>
        <v>0</v>
      </c>
      <c r="AH41" s="724"/>
      <c r="AI41" s="812">
        <v>0</v>
      </c>
      <c r="AK41" s="808">
        <v>0</v>
      </c>
      <c r="AM41" s="720" t="e">
        <v>#DIV/0!</v>
      </c>
      <c r="AN41" s="720" t="e">
        <v>#DIV/0!</v>
      </c>
      <c r="AO41" s="720" t="e">
        <v>#DIV/0!</v>
      </c>
      <c r="AP41" s="810" t="e">
        <v>#DIV/0!</v>
      </c>
      <c r="AQ41" s="720" t="e">
        <f t="shared" si="13"/>
        <v>#DIV/0!</v>
      </c>
      <c r="AR41" s="720" t="e">
        <v>#DIV/0!</v>
      </c>
      <c r="AS41" s="720">
        <v>0</v>
      </c>
      <c r="AU41" s="813">
        <v>0</v>
      </c>
      <c r="AW41" s="720" t="e">
        <v>#DIV/0!</v>
      </c>
      <c r="AX41" s="720" t="e">
        <v>#DIV/0!</v>
      </c>
      <c r="AY41" s="809" t="e">
        <v>#DIV/0!</v>
      </c>
      <c r="AZ41" s="812" t="e">
        <v>#DIV/0!</v>
      </c>
      <c r="BD41" s="723"/>
      <c r="BE41" s="723"/>
      <c r="BF41" s="888">
        <f t="shared" si="16"/>
        <v>0</v>
      </c>
      <c r="BG41" s="814">
        <f t="shared" si="15"/>
        <v>0</v>
      </c>
    </row>
    <row r="42" spans="2:59">
      <c r="B42" s="723" t="s">
        <v>266</v>
      </c>
      <c r="C42" s="807"/>
      <c r="D42" s="805"/>
      <c r="E42" s="808" t="e">
        <v>#DIV/0!</v>
      </c>
      <c r="F42" s="720">
        <f t="shared" si="4"/>
        <v>0</v>
      </c>
      <c r="G42" s="808">
        <v>0</v>
      </c>
      <c r="H42" s="720" t="e">
        <f t="shared" si="5"/>
        <v>#DIV/0!</v>
      </c>
      <c r="I42" s="720" t="e">
        <v>#DIV/0!</v>
      </c>
      <c r="J42" s="720" t="e">
        <v>#DIV/0!</v>
      </c>
      <c r="K42" s="720" t="e">
        <v>#DIV/0!</v>
      </c>
      <c r="L42" s="809" t="e">
        <v>#DIV/0!</v>
      </c>
      <c r="M42" s="807" t="e">
        <f t="shared" si="6"/>
        <v>#DIV/0!</v>
      </c>
      <c r="N42" s="805" t="e">
        <f t="shared" si="7"/>
        <v>#DIV/0!</v>
      </c>
      <c r="O42" s="808" t="e">
        <v>#DIV/0!</v>
      </c>
      <c r="Q42" s="808">
        <v>0</v>
      </c>
      <c r="R42" s="720" t="e">
        <f t="shared" si="9"/>
        <v>#DIV/0!</v>
      </c>
      <c r="S42" s="809" t="e">
        <v>#DIV/0!</v>
      </c>
      <c r="T42" s="720" t="e">
        <v>#DIV/0!</v>
      </c>
      <c r="U42" s="720" t="e">
        <v>#DIV/0!</v>
      </c>
      <c r="V42" s="720" t="e">
        <v>#DIV/0!</v>
      </c>
      <c r="W42" s="807" t="e">
        <f t="shared" si="10"/>
        <v>#DIV/0!</v>
      </c>
      <c r="X42" s="724" t="e">
        <f t="shared" si="11"/>
        <v>#DIV/0!</v>
      </c>
      <c r="Y42" s="810" t="e">
        <v>#DIV/0!</v>
      </c>
      <c r="Z42" s="720">
        <f>AA42/$AA$112</f>
        <v>0</v>
      </c>
      <c r="AA42" s="808">
        <v>0</v>
      </c>
      <c r="AB42" s="720" t="e">
        <f t="shared" si="12"/>
        <v>#DIV/0!</v>
      </c>
      <c r="AC42" s="720" t="e">
        <v>#DIV/0!</v>
      </c>
      <c r="AD42" s="720" t="e">
        <v>#DIV/0!</v>
      </c>
      <c r="AE42" s="810" t="e">
        <v>#DIV/0!</v>
      </c>
      <c r="AF42" s="720" t="e">
        <v>#DIV/0!</v>
      </c>
      <c r="AG42" s="811" t="e">
        <f t="shared" si="28"/>
        <v>#DIV/0!</v>
      </c>
      <c r="AH42" s="724" t="e">
        <f t="shared" ref="AH42:AH48" si="29">((AI42/AS42)-1)*100</f>
        <v>#DIV/0!</v>
      </c>
      <c r="AI42" s="812" t="e">
        <v>#DIV/0!</v>
      </c>
      <c r="AJ42" s="720">
        <f t="shared" ref="AJ42:AJ48" si="30">AK42/$AK$112</f>
        <v>0</v>
      </c>
      <c r="AK42" s="808">
        <v>0</v>
      </c>
      <c r="AL42" s="720" t="e">
        <f t="shared" ref="AL42:AL48" si="31">AM42+AN42+AO42+AP42+AV42</f>
        <v>#DIV/0!</v>
      </c>
      <c r="AM42" s="720" t="e">
        <v>#DIV/0!</v>
      </c>
      <c r="AN42" s="720" t="e">
        <v>#DIV/0!</v>
      </c>
      <c r="AO42" s="720" t="e">
        <v>#DIV/0!</v>
      </c>
      <c r="AP42" s="810" t="e">
        <v>#DIV/0!</v>
      </c>
      <c r="AQ42" s="720" t="e">
        <f t="shared" si="13"/>
        <v>#DIV/0!</v>
      </c>
      <c r="AR42" s="720" t="e">
        <v>#DIV/0!</v>
      </c>
      <c r="AS42" s="720" t="e">
        <v>#DIV/0!</v>
      </c>
      <c r="AT42" s="720">
        <f t="shared" ref="AT42:AT48" si="32">AU42/$AU$112</f>
        <v>0</v>
      </c>
      <c r="AU42" s="813">
        <v>0</v>
      </c>
      <c r="AV42" s="720" t="e">
        <f t="shared" ref="AV42:AV48" si="33">AW42+AX42+AY42+AZ42</f>
        <v>#DIV/0!</v>
      </c>
      <c r="AW42" s="720" t="e">
        <v>#DIV/0!</v>
      </c>
      <c r="AX42" s="720" t="e">
        <v>#DIV/0!</v>
      </c>
      <c r="AY42" s="809" t="e">
        <v>#DIV/0!</v>
      </c>
      <c r="AZ42" s="812" t="e">
        <v>#DIV/0!</v>
      </c>
      <c r="BD42" s="723"/>
      <c r="BE42" s="723"/>
      <c r="BF42" s="888">
        <f t="shared" si="16"/>
        <v>0</v>
      </c>
      <c r="BG42" s="814">
        <f t="shared" si="15"/>
        <v>0</v>
      </c>
    </row>
    <row r="43" spans="2:59">
      <c r="B43" s="723" t="s">
        <v>135</v>
      </c>
      <c r="C43" s="807"/>
      <c r="D43" s="805"/>
      <c r="E43" s="808" t="e">
        <v>#DIV/0!</v>
      </c>
      <c r="F43" s="720">
        <f t="shared" si="4"/>
        <v>0</v>
      </c>
      <c r="G43" s="808">
        <v>0</v>
      </c>
      <c r="H43" s="720" t="e">
        <f t="shared" si="5"/>
        <v>#DIV/0!</v>
      </c>
      <c r="I43" s="720" t="e">
        <v>#DIV/0!</v>
      </c>
      <c r="J43" s="720" t="e">
        <v>#DIV/0!</v>
      </c>
      <c r="K43" s="720" t="e">
        <v>#DIV/0!</v>
      </c>
      <c r="L43" s="809" t="e">
        <v>#DIV/0!</v>
      </c>
      <c r="M43" s="807" t="e">
        <f t="shared" si="6"/>
        <v>#DIV/0!</v>
      </c>
      <c r="N43" s="805" t="e">
        <f t="shared" si="7"/>
        <v>#DIV/0!</v>
      </c>
      <c r="O43" s="808" t="e">
        <v>#DIV/0!</v>
      </c>
      <c r="Q43" s="808">
        <v>0</v>
      </c>
      <c r="R43" s="720" t="e">
        <f t="shared" si="9"/>
        <v>#DIV/0!</v>
      </c>
      <c r="S43" s="809" t="e">
        <v>#DIV/0!</v>
      </c>
      <c r="T43" s="720" t="e">
        <v>#DIV/0!</v>
      </c>
      <c r="U43" s="720" t="e">
        <v>#DIV/0!</v>
      </c>
      <c r="V43" s="720" t="e">
        <v>#DIV/0!</v>
      </c>
      <c r="W43" s="807" t="e">
        <f t="shared" si="10"/>
        <v>#DIV/0!</v>
      </c>
      <c r="X43" s="724" t="e">
        <f t="shared" si="11"/>
        <v>#DIV/0!</v>
      </c>
      <c r="Y43" s="810" t="e">
        <v>#DIV/0!</v>
      </c>
      <c r="Z43" s="720">
        <f>AA43/$AA$112</f>
        <v>0</v>
      </c>
      <c r="AA43" s="808">
        <v>0</v>
      </c>
      <c r="AB43" s="720" t="e">
        <f t="shared" si="12"/>
        <v>#DIV/0!</v>
      </c>
      <c r="AC43" s="720" t="e">
        <v>#DIV/0!</v>
      </c>
      <c r="AD43" s="720" t="e">
        <v>#DIV/0!</v>
      </c>
      <c r="AE43" s="810" t="e">
        <v>#DIV/0!</v>
      </c>
      <c r="AF43" s="720" t="e">
        <v>#DIV/0!</v>
      </c>
      <c r="AG43" s="811" t="e">
        <f t="shared" si="28"/>
        <v>#DIV/0!</v>
      </c>
      <c r="AH43" s="724" t="e">
        <f t="shared" si="29"/>
        <v>#DIV/0!</v>
      </c>
      <c r="AI43" s="812" t="e">
        <v>#DIV/0!</v>
      </c>
      <c r="AJ43" s="720">
        <f t="shared" si="30"/>
        <v>0</v>
      </c>
      <c r="AK43" s="808">
        <v>0</v>
      </c>
      <c r="AL43" s="720" t="e">
        <f t="shared" si="31"/>
        <v>#DIV/0!</v>
      </c>
      <c r="AM43" s="720" t="e">
        <v>#DIV/0!</v>
      </c>
      <c r="AN43" s="720" t="e">
        <v>#DIV/0!</v>
      </c>
      <c r="AO43" s="720" t="e">
        <v>#DIV/0!</v>
      </c>
      <c r="AP43" s="810" t="e">
        <v>#DIV/0!</v>
      </c>
      <c r="AQ43" s="720" t="e">
        <f t="shared" si="13"/>
        <v>#DIV/0!</v>
      </c>
      <c r="AR43" s="720" t="e">
        <v>#DIV/0!</v>
      </c>
      <c r="AS43" s="720" t="e">
        <v>#DIV/0!</v>
      </c>
      <c r="AT43" s="720">
        <f t="shared" si="32"/>
        <v>0</v>
      </c>
      <c r="AU43" s="813">
        <v>0</v>
      </c>
      <c r="AV43" s="720" t="e">
        <f t="shared" si="33"/>
        <v>#DIV/0!</v>
      </c>
      <c r="AW43" s="720" t="e">
        <v>#DIV/0!</v>
      </c>
      <c r="AX43" s="720" t="e">
        <v>#DIV/0!</v>
      </c>
      <c r="AY43" s="809" t="e">
        <v>#DIV/0!</v>
      </c>
      <c r="AZ43" s="812" t="e">
        <v>#DIV/0!</v>
      </c>
      <c r="BD43" s="723"/>
      <c r="BE43" s="723"/>
      <c r="BF43" s="888">
        <f t="shared" si="16"/>
        <v>0</v>
      </c>
      <c r="BG43" s="814">
        <f t="shared" si="15"/>
        <v>0</v>
      </c>
    </row>
    <row r="44" spans="2:59">
      <c r="B44" s="723" t="s">
        <v>267</v>
      </c>
      <c r="C44" s="807"/>
      <c r="D44" s="805"/>
      <c r="E44" s="808" t="e">
        <v>#DIV/0!</v>
      </c>
      <c r="G44" s="808">
        <v>0</v>
      </c>
      <c r="H44" s="720" t="e">
        <f t="shared" si="5"/>
        <v>#DIV/0!</v>
      </c>
      <c r="I44" s="720" t="e">
        <v>#DIV/0!</v>
      </c>
      <c r="J44" s="720" t="e">
        <v>#DIV/0!</v>
      </c>
      <c r="K44" s="720" t="e">
        <v>#DIV/0!</v>
      </c>
      <c r="L44" s="809" t="e">
        <v>#DIV/0!</v>
      </c>
      <c r="M44" s="807"/>
      <c r="N44" s="805"/>
      <c r="O44" s="808" t="e">
        <v>#DIV/0!</v>
      </c>
      <c r="Q44" s="808">
        <v>0</v>
      </c>
      <c r="R44" s="720" t="e">
        <f t="shared" si="9"/>
        <v>#DIV/0!</v>
      </c>
      <c r="S44" s="809" t="e">
        <v>#DIV/0!</v>
      </c>
      <c r="T44" s="720" t="e">
        <v>#DIV/0!</v>
      </c>
      <c r="U44" s="720" t="e">
        <v>#DIV/0!</v>
      </c>
      <c r="V44" s="720" t="e">
        <v>#DIV/0!</v>
      </c>
      <c r="W44" s="807" t="e">
        <f t="shared" si="10"/>
        <v>#DIV/0!</v>
      </c>
      <c r="X44" s="724" t="e">
        <f t="shared" si="11"/>
        <v>#DIV/0!</v>
      </c>
      <c r="Y44" s="810" t="e">
        <v>#DIV/0!</v>
      </c>
      <c r="Z44" s="720">
        <f>AA44/$AA$112</f>
        <v>0</v>
      </c>
      <c r="AA44" s="808">
        <v>0</v>
      </c>
      <c r="AB44" s="720" t="e">
        <f t="shared" si="12"/>
        <v>#DIV/0!</v>
      </c>
      <c r="AC44" s="720" t="e">
        <v>#DIV/0!</v>
      </c>
      <c r="AD44" s="720" t="e">
        <v>#DIV/0!</v>
      </c>
      <c r="AE44" s="810" t="e">
        <v>#DIV/0!</v>
      </c>
      <c r="AF44" s="720" t="e">
        <v>#DIV/0!</v>
      </c>
      <c r="AG44" s="811" t="e">
        <f t="shared" si="28"/>
        <v>#DIV/0!</v>
      </c>
      <c r="AH44" s="724" t="e">
        <f t="shared" si="29"/>
        <v>#DIV/0!</v>
      </c>
      <c r="AI44" s="812" t="e">
        <v>#DIV/0!</v>
      </c>
      <c r="AJ44" s="720">
        <f t="shared" si="30"/>
        <v>0</v>
      </c>
      <c r="AK44" s="808">
        <v>0</v>
      </c>
      <c r="AL44" s="720" t="e">
        <f t="shared" si="31"/>
        <v>#DIV/0!</v>
      </c>
      <c r="AM44" s="720" t="e">
        <v>#DIV/0!</v>
      </c>
      <c r="AN44" s="720" t="e">
        <v>#DIV/0!</v>
      </c>
      <c r="AO44" s="720" t="e">
        <v>#DIV/0!</v>
      </c>
      <c r="AP44" s="810" t="e">
        <v>#DIV/0!</v>
      </c>
      <c r="AQ44" s="720" t="e">
        <f t="shared" si="13"/>
        <v>#DIV/0!</v>
      </c>
      <c r="AR44" s="720" t="e">
        <v>#DIV/0!</v>
      </c>
      <c r="AS44" s="720" t="e">
        <v>#DIV/0!</v>
      </c>
      <c r="AT44" s="720">
        <f t="shared" si="32"/>
        <v>0</v>
      </c>
      <c r="AU44" s="813">
        <v>0</v>
      </c>
      <c r="AV44" s="720" t="e">
        <f t="shared" si="33"/>
        <v>#DIV/0!</v>
      </c>
      <c r="AW44" s="720" t="e">
        <v>#DIV/0!</v>
      </c>
      <c r="AX44" s="720" t="e">
        <v>#DIV/0!</v>
      </c>
      <c r="AY44" s="809" t="e">
        <v>#DIV/0!</v>
      </c>
      <c r="AZ44" s="812" t="e">
        <v>#DIV/0!</v>
      </c>
      <c r="BD44" s="723"/>
      <c r="BE44" s="723"/>
      <c r="BF44" s="888">
        <f t="shared" si="16"/>
        <v>0</v>
      </c>
      <c r="BG44" s="814">
        <f t="shared" si="15"/>
        <v>0</v>
      </c>
    </row>
    <row r="45" spans="2:59">
      <c r="B45" s="728" t="s">
        <v>625</v>
      </c>
      <c r="C45" s="807">
        <f>D45*P45</f>
        <v>0.37678671576632111</v>
      </c>
      <c r="D45" s="805">
        <f>((E45/O45)-1)*100</f>
        <v>13.224027977925168</v>
      </c>
      <c r="E45" s="808">
        <v>91.340406676200558</v>
      </c>
      <c r="F45" s="720">
        <f t="shared" si="4"/>
        <v>3.2497472005723518E-2</v>
      </c>
      <c r="G45" s="808">
        <v>25137.952086059999</v>
      </c>
      <c r="H45" s="720">
        <f t="shared" si="5"/>
        <v>0.16788654489452198</v>
      </c>
      <c r="I45" s="720">
        <v>8.41326031198808E-3</v>
      </c>
      <c r="J45" s="720">
        <v>7.2462847643438534E-3</v>
      </c>
      <c r="K45" s="720">
        <v>7.1675070624118552E-3</v>
      </c>
      <c r="L45" s="809">
        <v>8.0294492250388792E-3</v>
      </c>
      <c r="M45" s="807">
        <f t="shared" si="6"/>
        <v>0.67510442955920635</v>
      </c>
      <c r="N45" s="805">
        <f t="shared" si="7"/>
        <v>24.33466866363505</v>
      </c>
      <c r="O45" s="808">
        <v>80.672281588505953</v>
      </c>
      <c r="P45" s="720">
        <f t="shared" ref="P45:P48" si="34">Q45/Q$112</f>
        <v>2.8492583076449179E-2</v>
      </c>
      <c r="Q45" s="808">
        <v>22517.427680550001</v>
      </c>
      <c r="R45" s="720">
        <f t="shared" si="9"/>
        <v>0.13703004353073933</v>
      </c>
      <c r="S45" s="809">
        <v>8.5096324164362549E-3</v>
      </c>
      <c r="T45" s="720">
        <v>8.6948326739297119E-3</v>
      </c>
      <c r="U45" s="720">
        <v>9.1292584891821561E-3</v>
      </c>
      <c r="V45" s="720">
        <v>9.4883133143085774E-3</v>
      </c>
      <c r="W45" s="807">
        <f t="shared" si="10"/>
        <v>9.6019169771457469E-2</v>
      </c>
      <c r="X45" s="724">
        <f t="shared" si="11"/>
        <v>3.4610862844898893</v>
      </c>
      <c r="Y45" s="810">
        <v>64.883175751045115</v>
      </c>
      <c r="Z45" s="720">
        <f>AA45/$AA$112</f>
        <v>2.7742495239643877E-2</v>
      </c>
      <c r="AA45" s="808">
        <v>18671.477580399998</v>
      </c>
      <c r="AB45" s="720">
        <f t="shared" si="12"/>
        <v>0.10120800663688265</v>
      </c>
      <c r="AC45" s="720">
        <v>9.3581833126062403E-3</v>
      </c>
      <c r="AD45" s="720">
        <v>8.1474929868671966E-3</v>
      </c>
      <c r="AE45" s="810">
        <v>8.450440891574644E-3</v>
      </c>
      <c r="AF45" s="720">
        <v>8.347546743266673E-3</v>
      </c>
      <c r="AG45" s="811">
        <f t="shared" si="28"/>
        <v>0.11433025642447445</v>
      </c>
      <c r="AH45" s="724">
        <f t="shared" si="29"/>
        <v>3.9945736280258215</v>
      </c>
      <c r="AI45" s="812">
        <v>62.712637264056944</v>
      </c>
      <c r="AJ45" s="720">
        <f t="shared" si="30"/>
        <v>2.7742495239643877E-2</v>
      </c>
      <c r="AK45" s="808">
        <v>18671.477580399998</v>
      </c>
      <c r="AL45" s="720">
        <f t="shared" si="31"/>
        <v>6.6904342702567898E-2</v>
      </c>
      <c r="AM45" s="720">
        <v>8.5525198343383638E-3</v>
      </c>
      <c r="AN45" s="720">
        <v>8.4592107979589073E-3</v>
      </c>
      <c r="AO45" s="720">
        <v>8.5529009129752028E-3</v>
      </c>
      <c r="AP45" s="810">
        <v>7.6791146153781832E-3</v>
      </c>
      <c r="AQ45" s="720">
        <f t="shared" si="13"/>
        <v>0.5191786594922253</v>
      </c>
      <c r="AR45" s="720">
        <v>19.366110851653715</v>
      </c>
      <c r="AS45" s="720">
        <v>60.303759202255456</v>
      </c>
      <c r="AT45" s="720">
        <f t="shared" si="32"/>
        <v>2.8621391685544718E-2</v>
      </c>
      <c r="AU45" s="813">
        <v>18513.433637540002</v>
      </c>
      <c r="AV45" s="720">
        <f t="shared" si="33"/>
        <v>3.3660596541917227E-2</v>
      </c>
      <c r="AW45" s="720">
        <v>7.8247676356409494E-3</v>
      </c>
      <c r="AX45" s="720">
        <v>8.3182609093152768E-3</v>
      </c>
      <c r="AY45" s="809">
        <v>8.3235578670336745E-3</v>
      </c>
      <c r="AZ45" s="812">
        <v>9.1940101299273283E-3</v>
      </c>
      <c r="BD45" s="728">
        <v>316.72127499999999</v>
      </c>
      <c r="BE45" s="728">
        <v>50.52</v>
      </c>
      <c r="BF45" s="888">
        <f t="shared" si="16"/>
        <v>16000.758813</v>
      </c>
      <c r="BG45" s="814">
        <f t="shared" si="15"/>
        <v>2.6808617562358496E-2</v>
      </c>
    </row>
    <row r="46" spans="2:59">
      <c r="B46" s="728" t="s">
        <v>136</v>
      </c>
      <c r="C46" s="807">
        <f>D46*P46</f>
        <v>-8.6602033698654612E-3</v>
      </c>
      <c r="D46" s="805">
        <f>((E46/O46)-1)*100</f>
        <v>-0.33431220005473161</v>
      </c>
      <c r="E46" s="808">
        <v>49.275419658712522</v>
      </c>
      <c r="F46" s="720">
        <f t="shared" si="4"/>
        <v>2.7713591340458681E-2</v>
      </c>
      <c r="G46" s="808">
        <v>21437.45</v>
      </c>
      <c r="H46" s="720">
        <f t="shared" si="5"/>
        <v>0.22973345791645908</v>
      </c>
      <c r="I46" s="720">
        <v>1.1853584987331169E-2</v>
      </c>
      <c r="J46" s="720">
        <v>9.6953082351982026E-3</v>
      </c>
      <c r="K46" s="720">
        <v>9.4447672204010149E-3</v>
      </c>
      <c r="L46" s="809">
        <v>1.0546911855520742E-2</v>
      </c>
      <c r="M46" s="807">
        <f t="shared" si="6"/>
        <v>0.5474944999552287</v>
      </c>
      <c r="N46" s="805">
        <f t="shared" si="7"/>
        <v>27.183361057116585</v>
      </c>
      <c r="O46" s="808">
        <v>49.440705970565311</v>
      </c>
      <c r="P46" s="720">
        <f t="shared" si="34"/>
        <v>2.5904538836595443E-2</v>
      </c>
      <c r="Q46" s="808">
        <v>20472.12</v>
      </c>
      <c r="R46" s="720">
        <f t="shared" si="9"/>
        <v>0.18819288561800795</v>
      </c>
      <c r="S46" s="809">
        <v>1.0752876792923151E-2</v>
      </c>
      <c r="T46" s="720">
        <v>1.1796129801042244E-2</v>
      </c>
      <c r="U46" s="720">
        <v>1.1181236249631105E-2</v>
      </c>
      <c r="V46" s="720">
        <v>1.145868628063932E-2</v>
      </c>
      <c r="W46" s="807">
        <f t="shared" si="10"/>
        <v>0.24017464182862513</v>
      </c>
      <c r="X46" s="724">
        <f t="shared" si="11"/>
        <v>11.924784643727126</v>
      </c>
      <c r="Y46" s="810">
        <v>38.873564560353188</v>
      </c>
      <c r="Z46" s="720">
        <f>AA46/$AA$112</f>
        <v>2.0140794907769325E-2</v>
      </c>
      <c r="AA46" s="808">
        <v>13555.32</v>
      </c>
      <c r="AB46" s="720">
        <f t="shared" si="12"/>
        <v>0.14300395649377215</v>
      </c>
      <c r="AC46" s="720">
        <v>1.1972110105841084E-2</v>
      </c>
      <c r="AD46" s="720">
        <v>1.3143042759833931E-2</v>
      </c>
      <c r="AE46" s="810">
        <v>1.2902852494585282E-2</v>
      </c>
      <c r="AF46" s="720">
        <v>1.3475438428457462E-2</v>
      </c>
      <c r="AG46" s="811">
        <f t="shared" si="28"/>
        <v>-0.17760377687065632</v>
      </c>
      <c r="AH46" s="724">
        <f t="shared" si="29"/>
        <v>-7.5682511395378516</v>
      </c>
      <c r="AI46" s="812">
        <v>34.731864514274832</v>
      </c>
      <c r="AJ46" s="720">
        <f t="shared" si="30"/>
        <v>2.0140794907769325E-2</v>
      </c>
      <c r="AK46" s="808">
        <v>13555.32</v>
      </c>
      <c r="AL46" s="720">
        <f t="shared" si="31"/>
        <v>9.1510512705054392E-2</v>
      </c>
      <c r="AM46" s="720">
        <v>1.2210807475880037E-2</v>
      </c>
      <c r="AN46" s="720">
        <v>1.2401784037105099E-2</v>
      </c>
      <c r="AO46" s="720">
        <v>1.1485743170728018E-2</v>
      </c>
      <c r="AP46" s="810">
        <v>1.0772565468888088E-2</v>
      </c>
      <c r="AQ46" s="720">
        <f t="shared" si="13"/>
        <v>0.17744857585620863</v>
      </c>
      <c r="AR46" s="720">
        <v>7.1753761081338574</v>
      </c>
      <c r="AS46" s="720">
        <v>37.575686863511734</v>
      </c>
      <c r="AT46" s="720">
        <f t="shared" si="32"/>
        <v>2.3466950765259825E-2</v>
      </c>
      <c r="AU46" s="813">
        <v>15179.34</v>
      </c>
      <c r="AV46" s="720">
        <f t="shared" si="33"/>
        <v>4.4639612552453148E-2</v>
      </c>
      <c r="AW46" s="720">
        <v>1.0351507308529677E-2</v>
      </c>
      <c r="AX46" s="720">
        <v>1.1603107444307025E-2</v>
      </c>
      <c r="AY46" s="809">
        <v>1.162508996551506E-2</v>
      </c>
      <c r="AZ46" s="812">
        <v>1.1059907834101382E-2</v>
      </c>
      <c r="BD46" s="728">
        <v>421</v>
      </c>
      <c r="BE46" s="728">
        <v>35.06</v>
      </c>
      <c r="BF46" s="888">
        <f t="shared" si="16"/>
        <v>14760.26</v>
      </c>
      <c r="BG46" s="814">
        <f t="shared" si="15"/>
        <v>2.4730212490890423E-2</v>
      </c>
    </row>
    <row r="47" spans="2:59">
      <c r="B47" s="728" t="s">
        <v>137</v>
      </c>
      <c r="C47" s="807">
        <f>D47*P47</f>
        <v>-0.28280835978880703</v>
      </c>
      <c r="D47" s="805">
        <f>((E47/O47)-1)*100</f>
        <v>-25.955080448779178</v>
      </c>
      <c r="E47" s="808">
        <v>37.067977319027499</v>
      </c>
      <c r="F47" s="720">
        <f t="shared" si="4"/>
        <v>7.9493081614020449E-3</v>
      </c>
      <c r="G47" s="808">
        <v>6149.0730000000003</v>
      </c>
      <c r="H47" s="720">
        <f t="shared" si="5"/>
        <v>0.20624722808420112</v>
      </c>
      <c r="I47" s="720">
        <v>1.5021155326829854E-2</v>
      </c>
      <c r="J47" s="720">
        <v>1.0290366230696794E-2</v>
      </c>
      <c r="K47" s="720">
        <v>9.9986362873018264E-3</v>
      </c>
      <c r="L47" s="809">
        <v>9.9567159146737565E-3</v>
      </c>
      <c r="M47" s="807">
        <f t="shared" si="6"/>
        <v>0.37943255082499577</v>
      </c>
      <c r="N47" s="805">
        <f t="shared" si="7"/>
        <v>36.556943942709253</v>
      </c>
      <c r="O47" s="808">
        <v>50.061472878481013</v>
      </c>
      <c r="P47" s="720">
        <f t="shared" si="34"/>
        <v>1.0896069474602966E-2</v>
      </c>
      <c r="Q47" s="808">
        <v>8611.0639999999985</v>
      </c>
      <c r="R47" s="720">
        <f t="shared" si="9"/>
        <v>0.1609803543246989</v>
      </c>
      <c r="S47" s="809">
        <v>9.744919612015986E-3</v>
      </c>
      <c r="T47" s="720">
        <v>1.0623206514223974E-2</v>
      </c>
      <c r="U47" s="720">
        <v>1.1348601970626619E-2</v>
      </c>
      <c r="V47" s="720">
        <v>1.056425844329336E-2</v>
      </c>
      <c r="W47" s="807">
        <f t="shared" si="10"/>
        <v>-2.7923208710968379E-2</v>
      </c>
      <c r="X47" s="724">
        <f t="shared" si="11"/>
        <v>-2.6902994308947825</v>
      </c>
      <c r="Y47" s="810">
        <v>36.659778282299342</v>
      </c>
      <c r="Z47" s="720">
        <f t="shared" ref="Z47:Z109" si="35">AA47/$AA$112</f>
        <v>1.0379219647562143E-2</v>
      </c>
      <c r="AA47" s="808">
        <v>6985.5059999999994</v>
      </c>
      <c r="AB47" s="720">
        <f t="shared" si="12"/>
        <v>0.11869936778453896</v>
      </c>
      <c r="AC47" s="720">
        <v>1.1236841319790324E-2</v>
      </c>
      <c r="AD47" s="720">
        <v>1.1077123864015312E-2</v>
      </c>
      <c r="AE47" s="810">
        <v>1.0025387318384154E-2</v>
      </c>
      <c r="AF47" s="720">
        <v>9.3645053678965764E-3</v>
      </c>
      <c r="AG47" s="811">
        <f t="shared" si="28"/>
        <v>0.23494991878873864</v>
      </c>
      <c r="AH47" s="724">
        <f t="shared" si="29"/>
        <v>26.594365971069767</v>
      </c>
      <c r="AI47" s="812">
        <v>37.673302936807545</v>
      </c>
      <c r="AJ47" s="720">
        <f t="shared" si="30"/>
        <v>1.0379219647562143E-2</v>
      </c>
      <c r="AK47" s="808">
        <v>6985.5059999999994</v>
      </c>
      <c r="AL47" s="720">
        <f t="shared" si="31"/>
        <v>7.6995509914452587E-2</v>
      </c>
      <c r="AM47" s="720">
        <v>9.2337884715970216E-3</v>
      </c>
      <c r="AN47" s="720">
        <v>9.5695999033097896E-3</v>
      </c>
      <c r="AO47" s="720">
        <v>1.0027507769307309E-2</v>
      </c>
      <c r="AP47" s="810">
        <v>8.7280929231435458E-3</v>
      </c>
      <c r="AQ47" s="720">
        <f t="shared" si="13"/>
        <v>-6.1837162630588249E-2</v>
      </c>
      <c r="AR47" s="720">
        <v>-5.8555280232447942</v>
      </c>
      <c r="AS47" s="720">
        <v>29.759067591852322</v>
      </c>
      <c r="AT47" s="720">
        <f t="shared" si="32"/>
        <v>8.8345749262954774E-3</v>
      </c>
      <c r="AU47" s="813">
        <v>5714.5479999999998</v>
      </c>
      <c r="AV47" s="720">
        <f t="shared" si="33"/>
        <v>3.9436520847094911E-2</v>
      </c>
      <c r="AW47" s="720">
        <v>9.8891210251842634E-3</v>
      </c>
      <c r="AX47" s="720">
        <v>1.0657840577866572E-2</v>
      </c>
      <c r="AY47" s="809">
        <v>1.0139121722167981E-2</v>
      </c>
      <c r="AZ47" s="812">
        <v>8.7504375218760942E-3</v>
      </c>
      <c r="BD47" s="728">
        <v>199.4</v>
      </c>
      <c r="BE47" s="728">
        <v>31.61</v>
      </c>
      <c r="BF47" s="888">
        <f t="shared" si="16"/>
        <v>6303.0339999999997</v>
      </c>
      <c r="BG47" s="814">
        <f t="shared" si="15"/>
        <v>1.0560475910133494E-2</v>
      </c>
    </row>
    <row r="48" spans="2:59">
      <c r="B48" s="728" t="s">
        <v>138</v>
      </c>
      <c r="C48" s="807">
        <f>D48*P48</f>
        <v>-2.0489621643818293E-2</v>
      </c>
      <c r="D48" s="805">
        <f>((E48/O48)-1)*100</f>
        <v>-8.2077212263528274</v>
      </c>
      <c r="E48" s="808">
        <v>52.471924443347717</v>
      </c>
      <c r="F48" s="720">
        <f t="shared" si="4"/>
        <v>2.2830091037825931E-3</v>
      </c>
      <c r="G48" s="808">
        <v>1765.9888576200001</v>
      </c>
      <c r="H48" s="720">
        <f t="shared" si="5"/>
        <v>0.18020522814547257</v>
      </c>
      <c r="I48" s="720">
        <v>9.7407078834223712E-3</v>
      </c>
      <c r="J48" s="720">
        <v>7.9330476779960798E-3</v>
      </c>
      <c r="K48" s="720">
        <v>7.5209984363108851E-3</v>
      </c>
      <c r="L48" s="809">
        <v>7.6044707665859695E-3</v>
      </c>
      <c r="M48" s="807">
        <f t="shared" si="6"/>
        <v>3.9406134047367473E-2</v>
      </c>
      <c r="N48" s="805">
        <f t="shared" si="7"/>
        <v>18.15404046496656</v>
      </c>
      <c r="O48" s="808">
        <v>57.163767088449255</v>
      </c>
      <c r="P48" s="720">
        <f t="shared" si="34"/>
        <v>2.4963837195190698E-3</v>
      </c>
      <c r="Q48" s="808">
        <v>1972.8692100800001</v>
      </c>
      <c r="R48" s="720">
        <f t="shared" si="9"/>
        <v>0.14740600338115728</v>
      </c>
      <c r="S48" s="809">
        <v>8.0046262942675903E-3</v>
      </c>
      <c r="T48" s="720">
        <v>7.637808130547436E-3</v>
      </c>
      <c r="U48" s="720">
        <v>7.8602839349098102E-3</v>
      </c>
      <c r="V48" s="720">
        <v>7.8545447060014567E-3</v>
      </c>
      <c r="W48" s="807">
        <f t="shared" si="10"/>
        <v>3.8845325457271498E-2</v>
      </c>
      <c r="X48" s="724">
        <f t="shared" si="11"/>
        <v>17.895681148991404</v>
      </c>
      <c r="Y48" s="810">
        <v>48.380712892673934</v>
      </c>
      <c r="Z48" s="720">
        <f t="shared" si="35"/>
        <v>2.1706536417285694E-3</v>
      </c>
      <c r="AA48" s="808">
        <v>1460.9107961</v>
      </c>
      <c r="AB48" s="720">
        <f t="shared" si="12"/>
        <v>0.116048740315431</v>
      </c>
      <c r="AC48" s="720">
        <v>8.558460066514121E-3</v>
      </c>
      <c r="AD48" s="720">
        <v>7.9159457154267011E-3</v>
      </c>
      <c r="AE48" s="810">
        <v>8.0573342580883191E-3</v>
      </c>
      <c r="AF48" s="720">
        <v>8.7496352727487112E-3</v>
      </c>
      <c r="AG48" s="811">
        <f t="shared" si="28"/>
        <v>5.5666915202966225E-2</v>
      </c>
      <c r="AH48" s="724">
        <f t="shared" si="29"/>
        <v>32.421651412857535</v>
      </c>
      <c r="AI48" s="812">
        <v>41.036883133600547</v>
      </c>
      <c r="AJ48" s="720">
        <f t="shared" si="30"/>
        <v>2.1706536417285694E-3</v>
      </c>
      <c r="AK48" s="808">
        <v>1460.9107961</v>
      </c>
      <c r="AL48" s="720">
        <f t="shared" si="31"/>
        <v>8.2767365002653137E-2</v>
      </c>
      <c r="AM48" s="720">
        <v>9.0655561695669549E-3</v>
      </c>
      <c r="AN48" s="720">
        <v>8.1613089756239453E-3</v>
      </c>
      <c r="AO48" s="720">
        <v>9.5403310996477874E-3</v>
      </c>
      <c r="AP48" s="810">
        <v>9.7625930844410028E-3</v>
      </c>
      <c r="AQ48" s="720">
        <f t="shared" si="13"/>
        <v>-7.2804381794498276E-3</v>
      </c>
      <c r="AR48" s="720">
        <v>-3.6693907633033263</v>
      </c>
      <c r="AS48" s="720">
        <v>30.989556991445323</v>
      </c>
      <c r="AT48" s="720">
        <f t="shared" si="32"/>
        <v>1.716967297381103E-3</v>
      </c>
      <c r="AU48" s="813">
        <v>1110.6014853199999</v>
      </c>
      <c r="AV48" s="720">
        <f t="shared" si="33"/>
        <v>4.6237575673373436E-2</v>
      </c>
      <c r="AW48" s="720">
        <v>1.0922884570213957E-2</v>
      </c>
      <c r="AX48" s="720">
        <v>1.1818441485446741E-2</v>
      </c>
      <c r="AY48" s="809">
        <v>1.1936099241772892E-2</v>
      </c>
      <c r="AZ48" s="812">
        <v>1.1560150375939849E-2</v>
      </c>
      <c r="BD48" s="728">
        <v>36.811087999999998</v>
      </c>
      <c r="BE48" s="728">
        <v>32.17</v>
      </c>
      <c r="BF48" s="888">
        <f t="shared" si="16"/>
        <v>1184.2127009599999</v>
      </c>
      <c r="BG48" s="814">
        <f t="shared" si="15"/>
        <v>1.9840999907286237E-3</v>
      </c>
    </row>
    <row r="49" spans="2:59">
      <c r="B49" s="723" t="s">
        <v>268</v>
      </c>
      <c r="C49" s="807"/>
      <c r="D49" s="805"/>
      <c r="E49" s="808" t="e">
        <v>#DIV/0!</v>
      </c>
      <c r="G49" s="808">
        <v>0</v>
      </c>
      <c r="H49" s="720" t="e">
        <f t="shared" si="5"/>
        <v>#DIV/0!</v>
      </c>
      <c r="I49" s="720" t="e">
        <v>#DIV/0!</v>
      </c>
      <c r="J49" s="720" t="e">
        <v>#DIV/0!</v>
      </c>
      <c r="K49" s="720" t="e">
        <v>#DIV/0!</v>
      </c>
      <c r="L49" s="809" t="e">
        <v>#DIV/0!</v>
      </c>
      <c r="M49" s="807"/>
      <c r="N49" s="805"/>
      <c r="O49" s="808">
        <v>0</v>
      </c>
      <c r="Q49" s="808">
        <v>0</v>
      </c>
      <c r="S49" s="809" t="e">
        <v>#DIV/0!</v>
      </c>
      <c r="T49" s="720" t="e">
        <v>#DIV/0!</v>
      </c>
      <c r="U49" s="720" t="e">
        <v>#DIV/0!</v>
      </c>
      <c r="V49" s="720" t="e">
        <v>#DIV/0!</v>
      </c>
      <c r="W49" s="807"/>
      <c r="X49" s="724"/>
      <c r="Y49" s="810">
        <v>0</v>
      </c>
      <c r="Z49" s="720">
        <f t="shared" si="35"/>
        <v>0</v>
      </c>
      <c r="AA49" s="808">
        <v>0</v>
      </c>
      <c r="AC49" s="720" t="e">
        <v>#DIV/0!</v>
      </c>
      <c r="AD49" s="720" t="e">
        <v>#DIV/0!</v>
      </c>
      <c r="AE49" s="810" t="e">
        <v>#DIV/0!</v>
      </c>
      <c r="AF49" s="720" t="e">
        <v>#DIV/0!</v>
      </c>
      <c r="AG49" s="811">
        <f t="shared" si="28"/>
        <v>0</v>
      </c>
      <c r="AH49" s="724"/>
      <c r="AI49" s="812">
        <v>0</v>
      </c>
      <c r="AK49" s="808">
        <v>0</v>
      </c>
      <c r="AM49" s="720" t="e">
        <v>#DIV/0!</v>
      </c>
      <c r="AN49" s="720" t="e">
        <v>#DIV/0!</v>
      </c>
      <c r="AO49" s="720" t="e">
        <v>#DIV/0!</v>
      </c>
      <c r="AP49" s="810" t="e">
        <v>#DIV/0!</v>
      </c>
      <c r="AQ49" s="720" t="e">
        <f t="shared" si="13"/>
        <v>#DIV/0!</v>
      </c>
      <c r="AR49" s="720" t="e">
        <v>#DIV/0!</v>
      </c>
      <c r="AS49" s="720">
        <v>0</v>
      </c>
      <c r="AU49" s="813">
        <v>0</v>
      </c>
      <c r="AW49" s="720" t="e">
        <v>#DIV/0!</v>
      </c>
      <c r="AX49" s="720" t="e">
        <v>#DIV/0!</v>
      </c>
      <c r="AY49" s="809" t="e">
        <v>#DIV/0!</v>
      </c>
      <c r="AZ49" s="812" t="e">
        <v>#DIV/0!</v>
      </c>
      <c r="BD49" s="723"/>
      <c r="BE49" s="723"/>
      <c r="BF49" s="888">
        <f t="shared" si="16"/>
        <v>0</v>
      </c>
      <c r="BG49" s="814">
        <f t="shared" si="15"/>
        <v>0</v>
      </c>
    </row>
    <row r="50" spans="2:59">
      <c r="B50" s="728" t="s">
        <v>139</v>
      </c>
      <c r="C50" s="807">
        <f>D50*P50</f>
        <v>-0.50646605745041318</v>
      </c>
      <c r="D50" s="805">
        <f>((E50/O50)-1)*100</f>
        <v>-17.901399471342604</v>
      </c>
      <c r="E50" s="808">
        <v>31.526679832983771</v>
      </c>
      <c r="F50" s="720">
        <f t="shared" si="4"/>
        <v>2.3243501327444606E-2</v>
      </c>
      <c r="G50" s="808">
        <v>17979.676159999999</v>
      </c>
      <c r="H50" s="720">
        <f t="shared" si="5"/>
        <v>0.2774181455828108</v>
      </c>
      <c r="I50" s="720">
        <v>2.1124866723126776E-2</v>
      </c>
      <c r="J50" s="720">
        <v>1.4279010195759995E-2</v>
      </c>
      <c r="K50" s="720">
        <v>1.6059270772631258E-2</v>
      </c>
      <c r="L50" s="809">
        <v>1.6093768370758474E-2</v>
      </c>
      <c r="M50" s="807">
        <f t="shared" si="6"/>
        <v>0.69989215429934803</v>
      </c>
      <c r="N50" s="805">
        <f t="shared" si="7"/>
        <v>18.592618471288858</v>
      </c>
      <c r="O50" s="808">
        <v>38.400995424981751</v>
      </c>
      <c r="P50" s="720">
        <f>Q50/Q$112</f>
        <v>2.8291981208574651E-2</v>
      </c>
      <c r="Q50" s="808">
        <v>22358.893859999996</v>
      </c>
      <c r="R50" s="720">
        <f t="shared" si="9"/>
        <v>0.20986122952053429</v>
      </c>
      <c r="S50" s="809">
        <v>1.5521895876750498E-2</v>
      </c>
      <c r="T50" s="720">
        <v>1.7038243799372004E-2</v>
      </c>
      <c r="U50" s="720">
        <v>1.6268737675638988E-2</v>
      </c>
      <c r="V50" s="720">
        <v>1.6437267416754033E-2</v>
      </c>
      <c r="W50" s="807">
        <f t="shared" si="10"/>
        <v>-0.77734703101527636</v>
      </c>
      <c r="X50" s="724">
        <f t="shared" si="11"/>
        <v>-20.650205433328207</v>
      </c>
      <c r="Y50" s="810">
        <v>32.380594947634613</v>
      </c>
      <c r="Z50" s="720">
        <f t="shared" si="35"/>
        <v>3.7643549529085281E-2</v>
      </c>
      <c r="AA50" s="808">
        <v>25335.16488</v>
      </c>
      <c r="AB50" s="720">
        <f t="shared" si="12"/>
        <v>0.14459508475201877</v>
      </c>
      <c r="AC50" s="720">
        <v>1.6351358353600267E-2</v>
      </c>
      <c r="AD50" s="720">
        <v>1.4217778654566129E-2</v>
      </c>
      <c r="AE50" s="810">
        <v>1.1475818212513278E-2</v>
      </c>
      <c r="AF50" s="720">
        <v>1.1151127926382769E-2</v>
      </c>
      <c r="AG50" s="811">
        <f t="shared" si="28"/>
        <v>9.7906498277674406E-2</v>
      </c>
      <c r="AH50" s="724">
        <f>((AI50/AS50)-1)*100</f>
        <v>2.4835370714924698</v>
      </c>
      <c r="AI50" s="812">
        <v>40.807408670009323</v>
      </c>
      <c r="AJ50" s="720">
        <f t="shared" ref="AJ50:AJ78" si="36">AK50/$AK$112</f>
        <v>3.7643549529085281E-2</v>
      </c>
      <c r="AK50" s="808">
        <v>25335.16488</v>
      </c>
      <c r="AL50" s="720">
        <f t="shared" ref="AL50:AL56" si="37">AM50+AN50+AO50+AP50+AV50</f>
        <v>9.1399001604956343E-2</v>
      </c>
      <c r="AM50" s="720">
        <v>1.1409358360035933E-2</v>
      </c>
      <c r="AN50" s="720">
        <v>1.1919723044817592E-2</v>
      </c>
      <c r="AO50" s="720">
        <v>1.1612777387011131E-2</v>
      </c>
      <c r="AP50" s="810">
        <v>1.0528552695226196E-2</v>
      </c>
      <c r="AQ50" s="720">
        <f t="shared" si="13"/>
        <v>0.68637963845933581</v>
      </c>
      <c r="AR50" s="720">
        <v>18.296201502635601</v>
      </c>
      <c r="AS50" s="720">
        <v>39.81850142578714</v>
      </c>
      <c r="AT50" s="720">
        <f t="shared" ref="AT50:AT78" si="38">AU50/$AU$112</f>
        <v>3.9422201263473775E-2</v>
      </c>
      <c r="AU50" s="813">
        <v>25499.81898</v>
      </c>
      <c r="AV50" s="720">
        <f t="shared" ref="AV50:AV78" si="39">AW50+AX50+AY50+AZ50</f>
        <v>4.5928590117865487E-2</v>
      </c>
      <c r="AW50" s="720">
        <v>1.0336875533024419E-2</v>
      </c>
      <c r="AX50" s="720">
        <v>1.1329011729501629E-2</v>
      </c>
      <c r="AY50" s="809">
        <v>1.162273000158986E-2</v>
      </c>
      <c r="AZ50" s="812">
        <v>1.2639972853749576E-2</v>
      </c>
      <c r="BD50" s="728">
        <v>665.20500000000004</v>
      </c>
      <c r="BE50" s="728">
        <v>33.659999999999997</v>
      </c>
      <c r="BF50" s="888">
        <f t="shared" si="16"/>
        <v>22390.800299999999</v>
      </c>
      <c r="BG50" s="814">
        <f t="shared" si="15"/>
        <v>3.7514870961628928E-2</v>
      </c>
    </row>
    <row r="51" spans="2:59">
      <c r="B51" s="728" t="s">
        <v>140</v>
      </c>
      <c r="C51" s="807">
        <f>D51*P51</f>
        <v>-0.24325000673998948</v>
      </c>
      <c r="D51" s="805">
        <f>((E51/O51)-1)*100</f>
        <v>-17.937205069729998</v>
      </c>
      <c r="E51" s="808">
        <v>89.812133873710181</v>
      </c>
      <c r="F51" s="720">
        <f t="shared" si="4"/>
        <v>1.1016999062123662E-2</v>
      </c>
      <c r="G51" s="808">
        <v>8522.0411762200001</v>
      </c>
      <c r="H51" s="720">
        <f t="shared" si="5"/>
        <v>0.18501298157685933</v>
      </c>
      <c r="I51" s="720">
        <v>1.2109734670853013E-2</v>
      </c>
      <c r="J51" s="720">
        <v>1.0117644103116439E-2</v>
      </c>
      <c r="K51" s="720">
        <v>8.767777338825054E-3</v>
      </c>
      <c r="L51" s="809">
        <v>8.9751195199678137E-3</v>
      </c>
      <c r="M51" s="807">
        <f t="shared" si="6"/>
        <v>0.32947911213012326</v>
      </c>
      <c r="N51" s="805">
        <f t="shared" si="7"/>
        <v>23.871512889709969</v>
      </c>
      <c r="O51" s="808">
        <v>109.44318183413679</v>
      </c>
      <c r="P51" s="720">
        <f>Q51/Q$112</f>
        <v>1.3561198960170611E-2</v>
      </c>
      <c r="Q51" s="808">
        <v>10717.29144486</v>
      </c>
      <c r="R51" s="720">
        <f t="shared" si="9"/>
        <v>0.14504270594409702</v>
      </c>
      <c r="S51" s="809">
        <v>8.7675551756822134E-3</v>
      </c>
      <c r="T51" s="720">
        <v>9.751306748412578E-3</v>
      </c>
      <c r="U51" s="720">
        <v>9.8019915066529118E-3</v>
      </c>
      <c r="V51" s="720">
        <v>9.5516791273986563E-3</v>
      </c>
      <c r="W51" s="807">
        <f t="shared" si="10"/>
        <v>-1.6067017159570641E-2</v>
      </c>
      <c r="X51" s="724">
        <f t="shared" si="11"/>
        <v>-1.1640920261810295</v>
      </c>
      <c r="Y51" s="810">
        <v>88.352179836198857</v>
      </c>
      <c r="Z51" s="720">
        <f t="shared" si="35"/>
        <v>1.3802188141671917E-2</v>
      </c>
      <c r="AA51" s="808">
        <v>9289.2598240199986</v>
      </c>
      <c r="AB51" s="720">
        <f t="shared" si="12"/>
        <v>0.10717017338595065</v>
      </c>
      <c r="AC51" s="720">
        <v>9.5593921424092891E-3</v>
      </c>
      <c r="AD51" s="720">
        <v>8.8831382004571878E-3</v>
      </c>
      <c r="AE51" s="810">
        <v>8.3684399013462443E-3</v>
      </c>
      <c r="AF51" s="720">
        <v>8.246055795115519E-3</v>
      </c>
      <c r="AG51" s="811">
        <f t="shared" si="28"/>
        <v>0.18925671194887497</v>
      </c>
      <c r="AH51" s="724">
        <f>((AI51/AS51)-1)*100</f>
        <v>14.687795829187911</v>
      </c>
      <c r="AI51" s="812">
        <v>89.392794225761364</v>
      </c>
      <c r="AJ51" s="720">
        <f t="shared" si="36"/>
        <v>1.3802188141671917E-2</v>
      </c>
      <c r="AK51" s="808">
        <v>9289.2598240199986</v>
      </c>
      <c r="AL51" s="720">
        <f t="shared" si="37"/>
        <v>7.2113147346622414E-2</v>
      </c>
      <c r="AM51" s="720">
        <v>8.356448045600498E-3</v>
      </c>
      <c r="AN51" s="720">
        <v>8.8550630748194647E-3</v>
      </c>
      <c r="AO51" s="720">
        <v>8.6055409859867732E-3</v>
      </c>
      <c r="AP51" s="810">
        <v>8.0055709068388905E-3</v>
      </c>
      <c r="AQ51" s="720">
        <f t="shared" si="13"/>
        <v>0.26342413530795677</v>
      </c>
      <c r="AR51" s="720">
        <v>22.265834763461314</v>
      </c>
      <c r="AS51" s="720">
        <v>77.944469661706592</v>
      </c>
      <c r="AT51" s="720">
        <f t="shared" si="38"/>
        <v>1.2885303836589278E-2</v>
      </c>
      <c r="AU51" s="813">
        <v>8334.7176160799991</v>
      </c>
      <c r="AV51" s="720">
        <f t="shared" si="39"/>
        <v>3.8290524333376777E-2</v>
      </c>
      <c r="AW51" s="720">
        <v>8.5729781056656379E-3</v>
      </c>
      <c r="AX51" s="720">
        <v>9.8851619137135301E-3</v>
      </c>
      <c r="AY51" s="809">
        <v>9.3736042120464731E-3</v>
      </c>
      <c r="AZ51" s="812">
        <v>1.0458780101951132E-2</v>
      </c>
      <c r="BD51" s="728">
        <v>110.765</v>
      </c>
      <c r="BE51" s="728">
        <v>63.75</v>
      </c>
      <c r="BF51" s="888">
        <f t="shared" si="16"/>
        <v>7061.2687500000002</v>
      </c>
      <c r="BG51" s="814">
        <f t="shared" si="15"/>
        <v>1.1830867250494518E-2</v>
      </c>
    </row>
    <row r="52" spans="2:59">
      <c r="B52" s="723" t="s">
        <v>269</v>
      </c>
      <c r="C52" s="807"/>
      <c r="D52" s="805"/>
      <c r="E52" s="808" t="e">
        <v>#DIV/0!</v>
      </c>
      <c r="G52" s="808">
        <v>0</v>
      </c>
      <c r="H52" s="720" t="e">
        <f t="shared" si="5"/>
        <v>#DIV/0!</v>
      </c>
      <c r="I52" s="720" t="e">
        <v>#DIV/0!</v>
      </c>
      <c r="J52" s="720" t="e">
        <v>#DIV/0!</v>
      </c>
      <c r="K52" s="720" t="e">
        <v>#DIV/0!</v>
      </c>
      <c r="L52" s="809" t="e">
        <v>#DIV/0!</v>
      </c>
      <c r="N52" s="805"/>
      <c r="O52" s="808">
        <v>0</v>
      </c>
      <c r="Q52" s="808">
        <v>0</v>
      </c>
      <c r="S52" s="809" t="e">
        <v>#VALUE!</v>
      </c>
      <c r="T52" s="720" t="e">
        <v>#VALUE!</v>
      </c>
      <c r="U52" s="720" t="e">
        <v>#VALUE!</v>
      </c>
      <c r="V52" s="720" t="e">
        <v>#VALUE!</v>
      </c>
      <c r="W52" s="807"/>
      <c r="X52" s="724" t="s">
        <v>103</v>
      </c>
      <c r="Y52" s="810" t="e">
        <v>#VALUE!</v>
      </c>
      <c r="Z52" s="720">
        <f t="shared" si="35"/>
        <v>0</v>
      </c>
      <c r="AA52" s="808">
        <v>0</v>
      </c>
      <c r="AB52" s="720" t="s">
        <v>103</v>
      </c>
      <c r="AC52" s="720" t="e">
        <v>#DIV/0!</v>
      </c>
      <c r="AD52" s="720" t="e">
        <v>#DIV/0!</v>
      </c>
      <c r="AE52" s="810" t="e">
        <v>#DIV/0!</v>
      </c>
      <c r="AF52" s="720" t="e">
        <v>#DIV/0!</v>
      </c>
      <c r="AG52" s="811"/>
      <c r="AH52" s="724"/>
      <c r="AI52" s="812" t="e">
        <v>#DIV/0!</v>
      </c>
      <c r="AJ52" s="720">
        <f t="shared" si="36"/>
        <v>0</v>
      </c>
      <c r="AK52" s="808">
        <v>0</v>
      </c>
      <c r="AL52" s="720" t="e">
        <f t="shared" si="37"/>
        <v>#DIV/0!</v>
      </c>
      <c r="AM52" s="720" t="e">
        <v>#DIV/0!</v>
      </c>
      <c r="AN52" s="720" t="e">
        <v>#DIV/0!</v>
      </c>
      <c r="AO52" s="720" t="e">
        <v>#DIV/0!</v>
      </c>
      <c r="AP52" s="810" t="e">
        <v>#DIV/0!</v>
      </c>
      <c r="AQ52" s="720" t="e">
        <f t="shared" si="13"/>
        <v>#DIV/0!</v>
      </c>
      <c r="AR52" s="720" t="e">
        <v>#DIV/0!</v>
      </c>
      <c r="AS52" s="720" t="e">
        <v>#DIV/0!</v>
      </c>
      <c r="AT52" s="720">
        <f t="shared" si="38"/>
        <v>0</v>
      </c>
      <c r="AU52" s="813">
        <v>0</v>
      </c>
      <c r="AV52" s="720" t="e">
        <f t="shared" si="39"/>
        <v>#DIV/0!</v>
      </c>
      <c r="AW52" s="720" t="e">
        <v>#DIV/0!</v>
      </c>
      <c r="AX52" s="720" t="e">
        <v>#DIV/0!</v>
      </c>
      <c r="AY52" s="809" t="e">
        <v>#DIV/0!</v>
      </c>
      <c r="AZ52" s="812" t="e">
        <v>#DIV/0!</v>
      </c>
      <c r="BD52" s="723"/>
      <c r="BE52" s="723"/>
      <c r="BF52" s="888">
        <f t="shared" si="16"/>
        <v>0</v>
      </c>
      <c r="BG52" s="814">
        <f t="shared" si="15"/>
        <v>0</v>
      </c>
    </row>
    <row r="53" spans="2:59">
      <c r="B53" s="723" t="s">
        <v>141</v>
      </c>
      <c r="C53" s="807"/>
      <c r="D53" s="805"/>
      <c r="E53" s="808" t="e">
        <v>#DIV/0!</v>
      </c>
      <c r="F53" s="720">
        <f t="shared" si="4"/>
        <v>0</v>
      </c>
      <c r="G53" s="808">
        <v>0</v>
      </c>
      <c r="H53" s="720" t="e">
        <f t="shared" si="5"/>
        <v>#DIV/0!</v>
      </c>
      <c r="I53" s="720" t="e">
        <v>#DIV/0!</v>
      </c>
      <c r="J53" s="720" t="e">
        <v>#DIV/0!</v>
      </c>
      <c r="K53" s="720" t="e">
        <v>#DIV/0!</v>
      </c>
      <c r="L53" s="809" t="e">
        <v>#DIV/0!</v>
      </c>
      <c r="M53" s="807" t="e">
        <f t="shared" si="6"/>
        <v>#DIV/0!</v>
      </c>
      <c r="N53" s="805" t="e">
        <f t="shared" si="7"/>
        <v>#DIV/0!</v>
      </c>
      <c r="O53" s="808" t="e">
        <v>#DIV/0!</v>
      </c>
      <c r="Q53" s="808">
        <v>0</v>
      </c>
      <c r="R53" s="720" t="e">
        <f t="shared" si="9"/>
        <v>#DIV/0!</v>
      </c>
      <c r="S53" s="809" t="e">
        <v>#DIV/0!</v>
      </c>
      <c r="T53" s="720" t="e">
        <v>#DIV/0!</v>
      </c>
      <c r="U53" s="720" t="e">
        <v>#DIV/0!</v>
      </c>
      <c r="V53" s="720" t="e">
        <v>#DIV/0!</v>
      </c>
      <c r="W53" s="807" t="e">
        <f t="shared" si="10"/>
        <v>#DIV/0!</v>
      </c>
      <c r="X53" s="724" t="e">
        <f t="shared" si="11"/>
        <v>#DIV/0!</v>
      </c>
      <c r="Y53" s="810" t="e">
        <v>#DIV/0!</v>
      </c>
      <c r="Z53" s="720">
        <f t="shared" si="35"/>
        <v>0</v>
      </c>
      <c r="AA53" s="808">
        <v>0</v>
      </c>
      <c r="AB53" s="720" t="e">
        <f t="shared" si="12"/>
        <v>#DIV/0!</v>
      </c>
      <c r="AC53" s="720" t="e">
        <v>#DIV/0!</v>
      </c>
      <c r="AD53" s="720" t="e">
        <v>#DIV/0!</v>
      </c>
      <c r="AE53" s="810" t="e">
        <v>#DIV/0!</v>
      </c>
      <c r="AF53" s="720" t="e">
        <v>#DIV/0!</v>
      </c>
      <c r="AG53" s="811" t="e">
        <f>AH53*AT53</f>
        <v>#DIV/0!</v>
      </c>
      <c r="AH53" s="724" t="e">
        <f>((AI53/AS53)-1)*100</f>
        <v>#DIV/0!</v>
      </c>
      <c r="AI53" s="812" t="e">
        <v>#DIV/0!</v>
      </c>
      <c r="AJ53" s="720">
        <f t="shared" si="36"/>
        <v>0</v>
      </c>
      <c r="AK53" s="808">
        <v>0</v>
      </c>
      <c r="AL53" s="720" t="e">
        <f t="shared" si="37"/>
        <v>#DIV/0!</v>
      </c>
      <c r="AM53" s="720" t="e">
        <v>#DIV/0!</v>
      </c>
      <c r="AN53" s="720" t="e">
        <v>#DIV/0!</v>
      </c>
      <c r="AO53" s="720" t="e">
        <v>#DIV/0!</v>
      </c>
      <c r="AP53" s="810" t="e">
        <v>#DIV/0!</v>
      </c>
      <c r="AQ53" s="720" t="e">
        <f t="shared" si="13"/>
        <v>#DIV/0!</v>
      </c>
      <c r="AR53" s="720" t="e">
        <v>#DIV/0!</v>
      </c>
      <c r="AS53" s="720" t="e">
        <v>#DIV/0!</v>
      </c>
      <c r="AT53" s="720">
        <f t="shared" si="38"/>
        <v>0</v>
      </c>
      <c r="AU53" s="813">
        <v>0</v>
      </c>
      <c r="AV53" s="720" t="e">
        <f t="shared" si="39"/>
        <v>#DIV/0!</v>
      </c>
      <c r="AW53" s="720" t="e">
        <v>#DIV/0!</v>
      </c>
      <c r="AX53" s="720">
        <v>1.0601541278604619E-2</v>
      </c>
      <c r="AY53" s="809">
        <v>1.1259538123989636E-2</v>
      </c>
      <c r="AZ53" s="812">
        <v>1.002227171492205E-2</v>
      </c>
      <c r="BD53" s="728">
        <v>252</v>
      </c>
      <c r="BE53" s="728">
        <v>26.83</v>
      </c>
      <c r="BF53" s="888">
        <f t="shared" si="16"/>
        <v>6761.16</v>
      </c>
      <c r="BG53" s="814">
        <f t="shared" si="15"/>
        <v>1.1328047303022351E-2</v>
      </c>
    </row>
    <row r="54" spans="2:59">
      <c r="B54" s="723" t="s">
        <v>270</v>
      </c>
      <c r="C54" s="807"/>
      <c r="D54" s="805"/>
      <c r="E54" s="808" t="e">
        <v>#DIV/0!</v>
      </c>
      <c r="G54" s="808">
        <v>0</v>
      </c>
      <c r="H54" s="720" t="e">
        <f t="shared" si="5"/>
        <v>#DIV/0!</v>
      </c>
      <c r="I54" s="720" t="e">
        <v>#DIV/0!</v>
      </c>
      <c r="J54" s="720" t="e">
        <v>#DIV/0!</v>
      </c>
      <c r="K54" s="720" t="e">
        <v>#DIV/0!</v>
      </c>
      <c r="L54" s="809" t="e">
        <v>#DIV/0!</v>
      </c>
      <c r="M54" s="807"/>
      <c r="N54" s="805"/>
      <c r="O54" s="808" t="e">
        <v>#DIV/0!</v>
      </c>
      <c r="Q54" s="808">
        <v>0</v>
      </c>
      <c r="R54" s="720" t="e">
        <f t="shared" si="9"/>
        <v>#DIV/0!</v>
      </c>
      <c r="S54" s="809" t="e">
        <v>#DIV/0!</v>
      </c>
      <c r="T54" s="720" t="e">
        <v>#DIV/0!</v>
      </c>
      <c r="U54" s="720" t="e">
        <v>#DIV/0!</v>
      </c>
      <c r="V54" s="720" t="e">
        <v>#DIV/0!</v>
      </c>
      <c r="W54" s="807" t="e">
        <f t="shared" si="10"/>
        <v>#DIV/0!</v>
      </c>
      <c r="X54" s="724" t="e">
        <f t="shared" si="11"/>
        <v>#DIV/0!</v>
      </c>
      <c r="Y54" s="810" t="e">
        <v>#DIV/0!</v>
      </c>
      <c r="Z54" s="720">
        <f t="shared" si="35"/>
        <v>0</v>
      </c>
      <c r="AA54" s="808">
        <v>0</v>
      </c>
      <c r="AB54" s="720" t="e">
        <f t="shared" si="12"/>
        <v>#DIV/0!</v>
      </c>
      <c r="AC54" s="720" t="e">
        <v>#DIV/0!</v>
      </c>
      <c r="AD54" s="720" t="e">
        <v>#DIV/0!</v>
      </c>
      <c r="AE54" s="810" t="e">
        <v>#DIV/0!</v>
      </c>
      <c r="AF54" s="720" t="e">
        <v>#DIV/0!</v>
      </c>
      <c r="AG54" s="811" t="e">
        <f>AH54*AT54</f>
        <v>#DIV/0!</v>
      </c>
      <c r="AH54" s="724" t="e">
        <f>((AI54/AS54)-1)*100</f>
        <v>#DIV/0!</v>
      </c>
      <c r="AI54" s="812" t="e">
        <v>#DIV/0!</v>
      </c>
      <c r="AJ54" s="720">
        <f t="shared" si="36"/>
        <v>0</v>
      </c>
      <c r="AK54" s="808">
        <v>0</v>
      </c>
      <c r="AL54" s="720" t="e">
        <f t="shared" si="37"/>
        <v>#DIV/0!</v>
      </c>
      <c r="AM54" s="720" t="e">
        <v>#DIV/0!</v>
      </c>
      <c r="AN54" s="720" t="e">
        <v>#DIV/0!</v>
      </c>
      <c r="AO54" s="720" t="e">
        <v>#DIV/0!</v>
      </c>
      <c r="AP54" s="810" t="e">
        <v>#DIV/0!</v>
      </c>
      <c r="AQ54" s="720" t="e">
        <f t="shared" si="13"/>
        <v>#DIV/0!</v>
      </c>
      <c r="AR54" s="720" t="e">
        <v>#DIV/0!</v>
      </c>
      <c r="AS54" s="720" t="e">
        <v>#DIV/0!</v>
      </c>
      <c r="AT54" s="720">
        <f t="shared" si="38"/>
        <v>0</v>
      </c>
      <c r="AU54" s="813">
        <v>0</v>
      </c>
      <c r="AV54" s="720" t="e">
        <f t="shared" si="39"/>
        <v>#DIV/0!</v>
      </c>
      <c r="AW54" s="720" t="e">
        <v>#DIV/0!</v>
      </c>
      <c r="AX54" s="720" t="e">
        <v>#DIV/0!</v>
      </c>
      <c r="AY54" s="809" t="e">
        <v>#DIV/0!</v>
      </c>
      <c r="AZ54" s="812" t="e">
        <v>#DIV/0!</v>
      </c>
      <c r="BD54" s="723"/>
      <c r="BE54" s="723"/>
      <c r="BF54" s="888">
        <f t="shared" si="16"/>
        <v>0</v>
      </c>
      <c r="BG54" s="814">
        <f t="shared" si="15"/>
        <v>0</v>
      </c>
    </row>
    <row r="55" spans="2:59">
      <c r="B55" s="728" t="s">
        <v>142</v>
      </c>
      <c r="C55" s="807">
        <f>D55*P55</f>
        <v>-0.20864482412771296</v>
      </c>
      <c r="D55" s="805">
        <f>((E55/O55)-1)*100</f>
        <v>-8.1685697396438162</v>
      </c>
      <c r="E55" s="808">
        <v>64.612612776569833</v>
      </c>
      <c r="F55" s="720">
        <f t="shared" si="4"/>
        <v>2.4082407545900679E-2</v>
      </c>
      <c r="G55" s="808">
        <v>18628.599999999999</v>
      </c>
      <c r="H55" s="720">
        <f t="shared" si="5"/>
        <v>0.1792774735639687</v>
      </c>
      <c r="I55" s="720">
        <v>1.3563472813982768E-2</v>
      </c>
      <c r="J55" s="720">
        <v>9.7720855449306802E-3</v>
      </c>
      <c r="K55" s="720">
        <v>9.3119971467871803E-3</v>
      </c>
      <c r="L55" s="809">
        <v>1.0324684109091688E-2</v>
      </c>
      <c r="M55" s="807">
        <f t="shared" si="6"/>
        <v>4.3733819643452555E-2</v>
      </c>
      <c r="N55" s="805">
        <f t="shared" si="7"/>
        <v>1.1341365661651004</v>
      </c>
      <c r="O55" s="808">
        <v>70.360020086133005</v>
      </c>
      <c r="P55" s="720">
        <f>Q55/Q$112</f>
        <v>2.5542393684308648E-2</v>
      </c>
      <c r="Q55" s="808">
        <v>20185.920000000002</v>
      </c>
      <c r="R55" s="720">
        <f t="shared" si="9"/>
        <v>0.13630523394917637</v>
      </c>
      <c r="S55" s="809">
        <v>1.1130003690782724E-2</v>
      </c>
      <c r="T55" s="720">
        <v>1.2010104623069161E-2</v>
      </c>
      <c r="U55" s="720">
        <v>9.8625598741944979E-3</v>
      </c>
      <c r="V55" s="720">
        <v>1.0450067354762952E-2</v>
      </c>
      <c r="W55" s="807">
        <f t="shared" si="10"/>
        <v>-0.6694481150644882</v>
      </c>
      <c r="X55" s="724">
        <f t="shared" si="11"/>
        <v>-17.360605422412611</v>
      </c>
      <c r="Y55" s="810">
        <v>69.570990048549319</v>
      </c>
      <c r="Z55" s="720">
        <f t="shared" si="35"/>
        <v>3.8561334629507102E-2</v>
      </c>
      <c r="AA55" s="808">
        <v>25952.86</v>
      </c>
      <c r="AB55" s="720">
        <f t="shared" si="12"/>
        <v>9.2852498406367057E-2</v>
      </c>
      <c r="AC55" s="720">
        <v>1.0288271400231109E-2</v>
      </c>
      <c r="AD55" s="720">
        <v>1.0258459665419569E-2</v>
      </c>
      <c r="AE55" s="810">
        <v>7.4856152971830613E-3</v>
      </c>
      <c r="AF55" s="720">
        <v>7.337058171449108E-3</v>
      </c>
      <c r="AG55" s="811">
        <f>AH55*AT55</f>
        <v>0.49922237393213953</v>
      </c>
      <c r="AH55" s="724">
        <f>((AI55/AS55)-1)*100</f>
        <v>13.778571177998987</v>
      </c>
      <c r="AI55" s="812">
        <v>84.186229103156634</v>
      </c>
      <c r="AJ55" s="720">
        <f t="shared" si="36"/>
        <v>3.8561334629507102E-2</v>
      </c>
      <c r="AK55" s="808">
        <v>25952.86</v>
      </c>
      <c r="AL55" s="720">
        <f t="shared" si="37"/>
        <v>5.7483093872084216E-2</v>
      </c>
      <c r="AM55" s="720">
        <v>7.1574134110053414E-3</v>
      </c>
      <c r="AN55" s="720">
        <v>7.8558119691191555E-3</v>
      </c>
      <c r="AO55" s="720">
        <v>6.8800431304295428E-3</v>
      </c>
      <c r="AP55" s="810">
        <v>6.3606284859057515E-3</v>
      </c>
      <c r="AQ55" s="720">
        <f t="shared" si="13"/>
        <v>0.62929232395662016</v>
      </c>
      <c r="AR55" s="720">
        <v>18.442911739056591</v>
      </c>
      <c r="AS55" s="720">
        <v>73.991286963388646</v>
      </c>
      <c r="AT55" s="720">
        <f t="shared" si="38"/>
        <v>3.6231795552885464E-2</v>
      </c>
      <c r="AU55" s="813">
        <v>23436.14</v>
      </c>
      <c r="AV55" s="720">
        <f t="shared" si="39"/>
        <v>2.9229196875624426E-2</v>
      </c>
      <c r="AW55" s="720">
        <v>6.826447623328724E-3</v>
      </c>
      <c r="AX55" s="720">
        <v>8.2217007813888739E-3</v>
      </c>
      <c r="AY55" s="809">
        <v>6.6693536166427033E-3</v>
      </c>
      <c r="AZ55" s="812">
        <v>7.511694854264124E-3</v>
      </c>
      <c r="BD55" s="728">
        <v>326</v>
      </c>
      <c r="BE55" s="728">
        <v>62.47</v>
      </c>
      <c r="BF55" s="888">
        <f t="shared" si="16"/>
        <v>20365.22</v>
      </c>
      <c r="BG55" s="814">
        <f t="shared" si="15"/>
        <v>3.4121093938977463E-2</v>
      </c>
    </row>
    <row r="56" spans="2:59">
      <c r="B56" s="728" t="s">
        <v>143</v>
      </c>
      <c r="C56" s="807">
        <f>D56*P56</f>
        <v>0.61893869241015576</v>
      </c>
      <c r="D56" s="805">
        <f>((E56/O56)-1)*100</f>
        <v>9.2769828777454997</v>
      </c>
      <c r="E56" s="808">
        <v>68.357078594564655</v>
      </c>
      <c r="F56" s="720">
        <f t="shared" si="4"/>
        <v>7.3211477163028893E-2</v>
      </c>
      <c r="G56" s="808">
        <v>56631.685219999999</v>
      </c>
      <c r="H56" s="720">
        <f t="shared" si="5"/>
        <v>0.26259842250765897</v>
      </c>
      <c r="I56" s="720">
        <v>1.4295307194206512E-2</v>
      </c>
      <c r="J56" s="720">
        <v>1.2032772566765243E-2</v>
      </c>
      <c r="K56" s="720">
        <v>1.2285424146545057E-2</v>
      </c>
      <c r="L56" s="809">
        <v>1.3575503569447015E-2</v>
      </c>
      <c r="M56" s="807">
        <f t="shared" si="6"/>
        <v>1.5376740514002707</v>
      </c>
      <c r="N56" s="805">
        <f t="shared" si="7"/>
        <v>21.85296928225673</v>
      </c>
      <c r="O56" s="808">
        <v>62.553958568786328</v>
      </c>
      <c r="P56" s="720">
        <f>Q56/Q$112</f>
        <v>6.6717671097024894E-2</v>
      </c>
      <c r="Q56" s="808">
        <v>52726.364959999999</v>
      </c>
      <c r="R56" s="720">
        <f t="shared" si="9"/>
        <v>0.21040941503069513</v>
      </c>
      <c r="S56" s="809">
        <v>1.3891462299510654E-2</v>
      </c>
      <c r="T56" s="720">
        <v>1.6125578877778764E-2</v>
      </c>
      <c r="U56" s="720">
        <v>1.6023425889412746E-2</v>
      </c>
      <c r="V56" s="720">
        <v>1.4892802574683346E-2</v>
      </c>
      <c r="W56" s="807">
        <f t="shared" si="10"/>
        <v>-0.40889865202880127</v>
      </c>
      <c r="X56" s="724">
        <f t="shared" si="11"/>
        <v>-5.8111468254305247</v>
      </c>
      <c r="Y56" s="810">
        <v>51.335604653086563</v>
      </c>
      <c r="Z56" s="720">
        <f t="shared" si="35"/>
        <v>7.0364536349244208E-2</v>
      </c>
      <c r="AA56" s="808">
        <v>47357.306960000002</v>
      </c>
      <c r="AB56" s="720">
        <f t="shared" si="12"/>
        <v>0.14947614538930962</v>
      </c>
      <c r="AC56" s="720">
        <v>1.4736873658837305E-2</v>
      </c>
      <c r="AD56" s="720">
        <v>1.3522678808376289E-2</v>
      </c>
      <c r="AE56" s="810">
        <v>1.3079356876404179E-2</v>
      </c>
      <c r="AF56" s="720">
        <v>1.3262888916766432E-2</v>
      </c>
      <c r="AG56" s="811">
        <f>AH56*AT56</f>
        <v>3.8872362150347679E-2</v>
      </c>
      <c r="AH56" s="724">
        <f>((AI56/AS56)-1)*100</f>
        <v>0.53412368210350447</v>
      </c>
      <c r="AI56" s="812">
        <v>54.502845000077912</v>
      </c>
      <c r="AJ56" s="720">
        <f t="shared" si="36"/>
        <v>7.0364536349244208E-2</v>
      </c>
      <c r="AK56" s="808">
        <v>47357.306960000002</v>
      </c>
      <c r="AL56" s="720">
        <f t="shared" si="37"/>
        <v>9.487434712892541E-2</v>
      </c>
      <c r="AM56" s="720">
        <v>1.2179770250142989E-2</v>
      </c>
      <c r="AN56" s="720">
        <v>1.2187114835218454E-2</v>
      </c>
      <c r="AO56" s="720">
        <v>1.1559664071430694E-2</v>
      </c>
      <c r="AP56" s="810">
        <v>1.0943177096593367E-2</v>
      </c>
      <c r="AQ56" s="720">
        <f t="shared" si="13"/>
        <v>1.5091294451669588</v>
      </c>
      <c r="AR56" s="720">
        <v>22.432879489366918</v>
      </c>
      <c r="AS56" s="720">
        <v>54.213279037891674</v>
      </c>
      <c r="AT56" s="720">
        <f t="shared" si="38"/>
        <v>7.2777829279651471E-2</v>
      </c>
      <c r="AU56" s="813">
        <v>47075.541519999999</v>
      </c>
      <c r="AV56" s="720">
        <f t="shared" si="39"/>
        <v>4.8004620875539902E-2</v>
      </c>
      <c r="AW56" s="720">
        <v>1.0876512637141525E-2</v>
      </c>
      <c r="AX56" s="720">
        <v>1.1887012068226507E-2</v>
      </c>
      <c r="AY56" s="809">
        <v>1.229360213675898E-2</v>
      </c>
      <c r="AZ56" s="812">
        <v>1.2947494033412887E-2</v>
      </c>
      <c r="BD56" s="728">
        <v>906.77599999999995</v>
      </c>
      <c r="BE56" s="728">
        <v>44.28</v>
      </c>
      <c r="BF56" s="888">
        <f t="shared" si="16"/>
        <v>40152.041279999998</v>
      </c>
      <c r="BG56" s="814">
        <f t="shared" si="15"/>
        <v>6.7273104457333671E-2</v>
      </c>
    </row>
    <row r="57" spans="2:59">
      <c r="B57" s="723" t="s">
        <v>271</v>
      </c>
      <c r="C57" s="807"/>
      <c r="D57" s="805"/>
      <c r="E57" s="808" t="e">
        <v>#DIV/0!</v>
      </c>
      <c r="G57" s="808">
        <v>0</v>
      </c>
      <c r="H57" s="720" t="e">
        <f t="shared" si="5"/>
        <v>#DIV/0!</v>
      </c>
      <c r="I57" s="720" t="e">
        <v>#DIV/0!</v>
      </c>
      <c r="J57" s="720" t="e">
        <v>#DIV/0!</v>
      </c>
      <c r="K57" s="720" t="e">
        <v>#DIV/0!</v>
      </c>
      <c r="L57" s="809" t="e">
        <v>#DIV/0!</v>
      </c>
      <c r="M57" s="807"/>
      <c r="N57" s="805"/>
      <c r="O57" s="808">
        <v>0</v>
      </c>
      <c r="Q57" s="808">
        <v>0</v>
      </c>
      <c r="S57" s="809" t="e">
        <v>#DIV/0!</v>
      </c>
      <c r="T57" s="720" t="e">
        <v>#DIV/0!</v>
      </c>
      <c r="U57" s="720" t="e">
        <v>#DIV/0!</v>
      </c>
      <c r="V57" s="720" t="e">
        <v>#DIV/0!</v>
      </c>
      <c r="W57" s="807"/>
      <c r="X57" s="724"/>
      <c r="Y57" s="810">
        <v>0</v>
      </c>
      <c r="AA57" s="808">
        <v>0</v>
      </c>
      <c r="AC57" s="720" t="e">
        <v>#VALUE!</v>
      </c>
      <c r="AD57" s="720" t="e">
        <v>#VALUE!</v>
      </c>
      <c r="AE57" s="810" t="e">
        <v>#VALUE!</v>
      </c>
      <c r="AF57" s="720" t="e">
        <v>#VALUE!</v>
      </c>
      <c r="AG57" s="811" t="s">
        <v>103</v>
      </c>
      <c r="AH57" s="724" t="s">
        <v>103</v>
      </c>
      <c r="AI57" s="812" t="e">
        <v>#VALUE!</v>
      </c>
      <c r="AJ57" s="720">
        <f t="shared" si="36"/>
        <v>0</v>
      </c>
      <c r="AK57" s="808">
        <v>0</v>
      </c>
      <c r="AL57" s="720" t="s">
        <v>103</v>
      </c>
      <c r="AM57" s="720" t="e">
        <v>#DIV/0!</v>
      </c>
      <c r="AN57" s="720" t="e">
        <v>#DIV/0!</v>
      </c>
      <c r="AO57" s="720" t="e">
        <v>#DIV/0!</v>
      </c>
      <c r="AP57" s="810" t="e">
        <v>#DIV/0!</v>
      </c>
      <c r="AQ57" s="720" t="e">
        <f t="shared" si="13"/>
        <v>#DIV/0!</v>
      </c>
      <c r="AR57" s="720" t="e">
        <v>#DIV/0!</v>
      </c>
      <c r="AS57" s="720" t="e">
        <v>#DIV/0!</v>
      </c>
      <c r="AT57" s="720">
        <f t="shared" si="38"/>
        <v>0</v>
      </c>
      <c r="AU57" s="813">
        <v>0</v>
      </c>
      <c r="AV57" s="720" t="e">
        <f t="shared" si="39"/>
        <v>#DIV/0!</v>
      </c>
      <c r="AW57" s="720" t="e">
        <v>#DIV/0!</v>
      </c>
      <c r="AX57" s="720" t="e">
        <v>#DIV/0!</v>
      </c>
      <c r="AY57" s="809" t="e">
        <v>#DIV/0!</v>
      </c>
      <c r="AZ57" s="812" t="e">
        <v>#DIV/0!</v>
      </c>
      <c r="BD57" s="723"/>
      <c r="BE57" s="723"/>
      <c r="BF57" s="888">
        <f t="shared" si="16"/>
        <v>0</v>
      </c>
      <c r="BG57" s="814">
        <f t="shared" si="15"/>
        <v>0</v>
      </c>
    </row>
    <row r="58" spans="2:59">
      <c r="B58" s="723" t="s">
        <v>144</v>
      </c>
      <c r="C58" s="807"/>
      <c r="D58" s="805"/>
      <c r="E58" s="808" t="e">
        <v>#DIV/0!</v>
      </c>
      <c r="G58" s="808">
        <v>0</v>
      </c>
      <c r="H58" s="720" t="e">
        <f t="shared" si="5"/>
        <v>#DIV/0!</v>
      </c>
      <c r="I58" s="720" t="e">
        <v>#DIV/0!</v>
      </c>
      <c r="J58" s="720" t="e">
        <v>#DIV/0!</v>
      </c>
      <c r="K58" s="720" t="e">
        <v>#DIV/0!</v>
      </c>
      <c r="L58" s="809" t="e">
        <v>#DIV/0!</v>
      </c>
      <c r="M58" s="807" t="e">
        <f t="shared" si="6"/>
        <v>#DIV/0!</v>
      </c>
      <c r="N58" s="805" t="e">
        <f t="shared" si="7"/>
        <v>#DIV/0!</v>
      </c>
      <c r="O58" s="808" t="e">
        <v>#DIV/0!</v>
      </c>
      <c r="Q58" s="808">
        <v>0</v>
      </c>
      <c r="R58" s="720" t="e">
        <f t="shared" si="9"/>
        <v>#DIV/0!</v>
      </c>
      <c r="S58" s="809" t="e">
        <v>#DIV/0!</v>
      </c>
      <c r="T58" s="720" t="e">
        <v>#DIV/0!</v>
      </c>
      <c r="U58" s="720" t="e">
        <v>#DIV/0!</v>
      </c>
      <c r="V58" s="720" t="e">
        <v>#DIV/0!</v>
      </c>
      <c r="W58" s="807" t="e">
        <f t="shared" si="10"/>
        <v>#DIV/0!</v>
      </c>
      <c r="X58" s="724" t="e">
        <f t="shared" si="11"/>
        <v>#DIV/0!</v>
      </c>
      <c r="Y58" s="810" t="e">
        <v>#DIV/0!</v>
      </c>
      <c r="Z58" s="720">
        <f t="shared" si="35"/>
        <v>0</v>
      </c>
      <c r="AA58" s="808">
        <v>0</v>
      </c>
      <c r="AB58" s="720" t="e">
        <f t="shared" si="12"/>
        <v>#DIV/0!</v>
      </c>
      <c r="AC58" s="720" t="e">
        <v>#DIV/0!</v>
      </c>
      <c r="AD58" s="720" t="e">
        <v>#DIV/0!</v>
      </c>
      <c r="AE58" s="810" t="e">
        <v>#DIV/0!</v>
      </c>
      <c r="AF58" s="720" t="e">
        <v>#DIV/0!</v>
      </c>
      <c r="AG58" s="811" t="e">
        <f t="shared" ref="AG58:AG66" si="40">AH58*AT58</f>
        <v>#DIV/0!</v>
      </c>
      <c r="AH58" s="724" t="e">
        <f t="shared" ref="AH58:AH66" si="41">((AI58/AS58)-1)*100</f>
        <v>#DIV/0!</v>
      </c>
      <c r="AI58" s="812" t="e">
        <v>#DIV/0!</v>
      </c>
      <c r="AJ58" s="720">
        <f t="shared" si="36"/>
        <v>0</v>
      </c>
      <c r="AK58" s="808">
        <v>0</v>
      </c>
      <c r="AL58" s="720" t="e">
        <f t="shared" ref="AL58:AL78" si="42">AM58+AN58+AO58+AP58+AV58</f>
        <v>#DIV/0!</v>
      </c>
      <c r="AM58" s="720" t="e">
        <v>#DIV/0!</v>
      </c>
      <c r="AN58" s="720" t="e">
        <v>#DIV/0!</v>
      </c>
      <c r="AO58" s="720" t="e">
        <v>#DIV/0!</v>
      </c>
      <c r="AP58" s="810">
        <v>8.6428665637434728E-3</v>
      </c>
      <c r="AQ58" s="720">
        <f t="shared" si="13"/>
        <v>0.35814521142074202</v>
      </c>
      <c r="AR58" s="720">
        <v>47.391518154551093</v>
      </c>
      <c r="AS58" s="720">
        <v>28.593954521982912</v>
      </c>
      <c r="AT58" s="720">
        <f t="shared" si="38"/>
        <v>9.920927097601626E-3</v>
      </c>
      <c r="AU58" s="813">
        <v>6417.2430000000004</v>
      </c>
      <c r="AV58" s="720">
        <f t="shared" si="39"/>
        <v>3.8647094877693855E-2</v>
      </c>
      <c r="AW58" s="720">
        <v>8.6055054690875217E-3</v>
      </c>
      <c r="AX58" s="720">
        <v>8.6236040043511254E-3</v>
      </c>
      <c r="AY58" s="809">
        <v>8.6773285526130801E-3</v>
      </c>
      <c r="AZ58" s="812">
        <v>1.274065685164213E-2</v>
      </c>
      <c r="BD58" s="728">
        <v>232.5</v>
      </c>
      <c r="BE58" s="728">
        <v>19.399999999999999</v>
      </c>
      <c r="BF58" s="888">
        <f t="shared" si="16"/>
        <v>4510.5</v>
      </c>
      <c r="BG58" s="814">
        <f t="shared" si="15"/>
        <v>7.5571584403094014E-3</v>
      </c>
    </row>
    <row r="59" spans="2:59">
      <c r="B59" s="723" t="s">
        <v>272</v>
      </c>
      <c r="C59" s="807"/>
      <c r="D59" s="805"/>
      <c r="E59" s="808" t="e">
        <v>#DIV/0!</v>
      </c>
      <c r="G59" s="808">
        <v>0</v>
      </c>
      <c r="H59" s="720" t="e">
        <f t="shared" si="5"/>
        <v>#DIV/0!</v>
      </c>
      <c r="I59" s="720" t="e">
        <v>#DIV/0!</v>
      </c>
      <c r="J59" s="720" t="e">
        <v>#DIV/0!</v>
      </c>
      <c r="K59" s="720" t="e">
        <v>#DIV/0!</v>
      </c>
      <c r="L59" s="809" t="e">
        <v>#DIV/0!</v>
      </c>
      <c r="M59" s="807"/>
      <c r="N59" s="805"/>
      <c r="O59" s="808" t="e">
        <v>#DIV/0!</v>
      </c>
      <c r="Q59" s="808">
        <v>0</v>
      </c>
      <c r="R59" s="720" t="e">
        <f t="shared" si="9"/>
        <v>#DIV/0!</v>
      </c>
      <c r="S59" s="809" t="e">
        <v>#DIV/0!</v>
      </c>
      <c r="T59" s="720" t="e">
        <v>#DIV/0!</v>
      </c>
      <c r="U59" s="720" t="e">
        <v>#DIV/0!</v>
      </c>
      <c r="V59" s="720" t="e">
        <v>#DIV/0!</v>
      </c>
      <c r="W59" s="807" t="e">
        <f t="shared" si="10"/>
        <v>#DIV/0!</v>
      </c>
      <c r="X59" s="724" t="e">
        <f t="shared" si="11"/>
        <v>#DIV/0!</v>
      </c>
      <c r="Y59" s="810" t="e">
        <v>#DIV/0!</v>
      </c>
      <c r="Z59" s="720">
        <f t="shared" si="35"/>
        <v>0</v>
      </c>
      <c r="AA59" s="808">
        <v>0</v>
      </c>
      <c r="AB59" s="720" t="e">
        <f t="shared" si="12"/>
        <v>#DIV/0!</v>
      </c>
      <c r="AC59" s="720" t="e">
        <v>#DIV/0!</v>
      </c>
      <c r="AD59" s="720" t="e">
        <v>#DIV/0!</v>
      </c>
      <c r="AE59" s="810" t="e">
        <v>#DIV/0!</v>
      </c>
      <c r="AF59" s="720" t="e">
        <v>#DIV/0!</v>
      </c>
      <c r="AG59" s="811" t="e">
        <f t="shared" si="40"/>
        <v>#DIV/0!</v>
      </c>
      <c r="AH59" s="724" t="e">
        <f t="shared" si="41"/>
        <v>#DIV/0!</v>
      </c>
      <c r="AI59" s="812" t="e">
        <v>#DIV/0!</v>
      </c>
      <c r="AJ59" s="720">
        <f t="shared" si="36"/>
        <v>0</v>
      </c>
      <c r="AK59" s="808">
        <v>0</v>
      </c>
      <c r="AL59" s="720" t="e">
        <f t="shared" si="42"/>
        <v>#DIV/0!</v>
      </c>
      <c r="AM59" s="720" t="e">
        <v>#DIV/0!</v>
      </c>
      <c r="AN59" s="720" t="e">
        <v>#DIV/0!</v>
      </c>
      <c r="AO59" s="720" t="e">
        <v>#DIV/0!</v>
      </c>
      <c r="AP59" s="810" t="e">
        <v>#DIV/0!</v>
      </c>
      <c r="AQ59" s="720" t="e">
        <f t="shared" si="13"/>
        <v>#DIV/0!</v>
      </c>
      <c r="AR59" s="720" t="e">
        <v>#DIV/0!</v>
      </c>
      <c r="AS59" s="720" t="e">
        <v>#DIV/0!</v>
      </c>
      <c r="AT59" s="720">
        <f t="shared" si="38"/>
        <v>0</v>
      </c>
      <c r="AU59" s="813">
        <v>0</v>
      </c>
      <c r="AV59" s="720" t="e">
        <f t="shared" si="39"/>
        <v>#DIV/0!</v>
      </c>
      <c r="AW59" s="720" t="e">
        <v>#DIV/0!</v>
      </c>
      <c r="AX59" s="720" t="e">
        <v>#DIV/0!</v>
      </c>
      <c r="AY59" s="809" t="e">
        <v>#DIV/0!</v>
      </c>
      <c r="AZ59" s="812" t="e">
        <v>#DIV/0!</v>
      </c>
      <c r="BD59" s="723"/>
      <c r="BE59" s="723"/>
      <c r="BF59" s="888">
        <f t="shared" si="16"/>
        <v>0</v>
      </c>
      <c r="BG59" s="814">
        <f t="shared" si="15"/>
        <v>0</v>
      </c>
    </row>
    <row r="60" spans="2:59">
      <c r="B60" s="723" t="s">
        <v>273</v>
      </c>
      <c r="C60" s="807"/>
      <c r="D60" s="805"/>
      <c r="E60" s="808" t="e">
        <v>#DIV/0!</v>
      </c>
      <c r="F60" s="720">
        <f t="shared" si="4"/>
        <v>0</v>
      </c>
      <c r="G60" s="808">
        <v>0</v>
      </c>
      <c r="H60" s="720" t="e">
        <f t="shared" si="5"/>
        <v>#DIV/0!</v>
      </c>
      <c r="I60" s="720" t="e">
        <v>#DIV/0!</v>
      </c>
      <c r="J60" s="720" t="e">
        <v>#DIV/0!</v>
      </c>
      <c r="K60" s="720" t="e">
        <v>#DIV/0!</v>
      </c>
      <c r="L60" s="809" t="e">
        <v>#DIV/0!</v>
      </c>
      <c r="M60" s="807" t="e">
        <f t="shared" si="6"/>
        <v>#DIV/0!</v>
      </c>
      <c r="N60" s="805" t="e">
        <f t="shared" si="7"/>
        <v>#DIV/0!</v>
      </c>
      <c r="O60" s="808" t="e">
        <v>#DIV/0!</v>
      </c>
      <c r="Q60" s="808">
        <v>0</v>
      </c>
      <c r="R60" s="720" t="e">
        <f t="shared" si="9"/>
        <v>#DIV/0!</v>
      </c>
      <c r="S60" s="809" t="e">
        <v>#DIV/0!</v>
      </c>
      <c r="T60" s="720" t="e">
        <v>#DIV/0!</v>
      </c>
      <c r="U60" s="720" t="e">
        <v>#DIV/0!</v>
      </c>
      <c r="V60" s="720" t="e">
        <v>#DIV/0!</v>
      </c>
      <c r="W60" s="807" t="e">
        <f t="shared" si="10"/>
        <v>#DIV/0!</v>
      </c>
      <c r="X60" s="724" t="e">
        <f t="shared" si="11"/>
        <v>#DIV/0!</v>
      </c>
      <c r="Y60" s="810" t="e">
        <v>#DIV/0!</v>
      </c>
      <c r="Z60" s="720">
        <f t="shared" si="35"/>
        <v>0</v>
      </c>
      <c r="AA60" s="808">
        <v>0</v>
      </c>
      <c r="AB60" s="720" t="e">
        <f t="shared" si="12"/>
        <v>#DIV/0!</v>
      </c>
      <c r="AC60" s="720" t="e">
        <v>#DIV/0!</v>
      </c>
      <c r="AD60" s="720" t="e">
        <v>#DIV/0!</v>
      </c>
      <c r="AE60" s="810" t="e">
        <v>#DIV/0!</v>
      </c>
      <c r="AF60" s="720" t="e">
        <v>#DIV/0!</v>
      </c>
      <c r="AG60" s="811" t="e">
        <f t="shared" si="40"/>
        <v>#DIV/0!</v>
      </c>
      <c r="AH60" s="724" t="e">
        <f t="shared" si="41"/>
        <v>#DIV/0!</v>
      </c>
      <c r="AI60" s="812" t="e">
        <v>#DIV/0!</v>
      </c>
      <c r="AJ60" s="720">
        <f t="shared" si="36"/>
        <v>0</v>
      </c>
      <c r="AK60" s="808">
        <v>0</v>
      </c>
      <c r="AL60" s="720" t="e">
        <f t="shared" si="42"/>
        <v>#DIV/0!</v>
      </c>
      <c r="AM60" s="720" t="e">
        <v>#DIV/0!</v>
      </c>
      <c r="AN60" s="720" t="e">
        <v>#DIV/0!</v>
      </c>
      <c r="AO60" s="720" t="e">
        <v>#DIV/0!</v>
      </c>
      <c r="AP60" s="810" t="e">
        <v>#DIV/0!</v>
      </c>
      <c r="AQ60" s="720" t="e">
        <f t="shared" si="13"/>
        <v>#DIV/0!</v>
      </c>
      <c r="AR60" s="720" t="e">
        <v>#DIV/0!</v>
      </c>
      <c r="AS60" s="720" t="e">
        <v>#DIV/0!</v>
      </c>
      <c r="AT60" s="720">
        <f t="shared" si="38"/>
        <v>0</v>
      </c>
      <c r="AU60" s="813">
        <v>0</v>
      </c>
      <c r="AV60" s="720" t="e">
        <f t="shared" si="39"/>
        <v>#DIV/0!</v>
      </c>
      <c r="AW60" s="720" t="e">
        <v>#DIV/0!</v>
      </c>
      <c r="AX60" s="720" t="e">
        <v>#DIV/0!</v>
      </c>
      <c r="AY60" s="809" t="e">
        <v>#DIV/0!</v>
      </c>
      <c r="AZ60" s="812" t="e">
        <v>#DIV/0!</v>
      </c>
      <c r="BD60" s="723"/>
      <c r="BE60" s="723"/>
      <c r="BF60" s="888">
        <f t="shared" si="16"/>
        <v>0</v>
      </c>
      <c r="BG60" s="814">
        <f t="shared" si="15"/>
        <v>0</v>
      </c>
    </row>
    <row r="61" spans="2:59">
      <c r="B61" s="723" t="s">
        <v>546</v>
      </c>
      <c r="C61" s="807"/>
      <c r="D61" s="805"/>
      <c r="E61" s="808" t="e">
        <v>#DIV/0!</v>
      </c>
      <c r="F61" s="720">
        <f t="shared" si="4"/>
        <v>0</v>
      </c>
      <c r="G61" s="808">
        <v>0</v>
      </c>
      <c r="H61" s="720" t="e">
        <f t="shared" si="5"/>
        <v>#DIV/0!</v>
      </c>
      <c r="I61" s="720" t="e">
        <v>#DIV/0!</v>
      </c>
      <c r="J61" s="720" t="e">
        <v>#DIV/0!</v>
      </c>
      <c r="K61" s="720" t="e">
        <v>#DIV/0!</v>
      </c>
      <c r="L61" s="809" t="e">
        <v>#DIV/0!</v>
      </c>
      <c r="M61" s="807" t="e">
        <f t="shared" si="6"/>
        <v>#DIV/0!</v>
      </c>
      <c r="N61" s="805" t="e">
        <f t="shared" si="7"/>
        <v>#DIV/0!</v>
      </c>
      <c r="O61" s="808" t="e">
        <v>#DIV/0!</v>
      </c>
      <c r="Q61" s="808">
        <v>0</v>
      </c>
      <c r="R61" s="720" t="e">
        <f t="shared" si="9"/>
        <v>#DIV/0!</v>
      </c>
      <c r="S61" s="809" t="e">
        <v>#DIV/0!</v>
      </c>
      <c r="T61" s="720" t="e">
        <v>#DIV/0!</v>
      </c>
      <c r="U61" s="720" t="e">
        <v>#DIV/0!</v>
      </c>
      <c r="V61" s="720" t="e">
        <v>#DIV/0!</v>
      </c>
      <c r="W61" s="807" t="e">
        <f t="shared" si="10"/>
        <v>#DIV/0!</v>
      </c>
      <c r="X61" s="724" t="e">
        <f t="shared" si="11"/>
        <v>#DIV/0!</v>
      </c>
      <c r="Y61" s="810" t="e">
        <v>#DIV/0!</v>
      </c>
      <c r="Z61" s="720">
        <f t="shared" si="35"/>
        <v>0</v>
      </c>
      <c r="AA61" s="808">
        <v>0</v>
      </c>
      <c r="AB61" s="720" t="e">
        <f t="shared" si="12"/>
        <v>#DIV/0!</v>
      </c>
      <c r="AC61" s="720" t="e">
        <v>#DIV/0!</v>
      </c>
      <c r="AD61" s="720" t="e">
        <v>#DIV/0!</v>
      </c>
      <c r="AE61" s="810" t="e">
        <v>#DIV/0!</v>
      </c>
      <c r="AF61" s="720" t="e">
        <v>#DIV/0!</v>
      </c>
      <c r="AG61" s="811" t="e">
        <f t="shared" si="40"/>
        <v>#DIV/0!</v>
      </c>
      <c r="AH61" s="724" t="e">
        <f t="shared" si="41"/>
        <v>#DIV/0!</v>
      </c>
      <c r="AI61" s="812" t="e">
        <v>#DIV/0!</v>
      </c>
      <c r="AJ61" s="720">
        <f t="shared" si="36"/>
        <v>0</v>
      </c>
      <c r="AK61" s="808">
        <v>0</v>
      </c>
      <c r="AL61" s="720" t="e">
        <f t="shared" si="42"/>
        <v>#DIV/0!</v>
      </c>
      <c r="AM61" s="720" t="e">
        <v>#DIV/0!</v>
      </c>
      <c r="AN61" s="720" t="e">
        <v>#DIV/0!</v>
      </c>
      <c r="AO61" s="720" t="e">
        <v>#DIV/0!</v>
      </c>
      <c r="AP61" s="810" t="e">
        <v>#DIV/0!</v>
      </c>
      <c r="AQ61" s="720" t="e">
        <f t="shared" si="13"/>
        <v>#DIV/0!</v>
      </c>
      <c r="AR61" s="720" t="e">
        <v>#DIV/0!</v>
      </c>
      <c r="AS61" s="720" t="e">
        <v>#DIV/0!</v>
      </c>
      <c r="AT61" s="720">
        <f t="shared" si="38"/>
        <v>0</v>
      </c>
      <c r="AU61" s="813">
        <v>0</v>
      </c>
      <c r="AV61" s="720" t="e">
        <f t="shared" si="39"/>
        <v>#DIV/0!</v>
      </c>
      <c r="AW61" s="720" t="e">
        <v>#DIV/0!</v>
      </c>
      <c r="AX61" s="720" t="e">
        <v>#DIV/0!</v>
      </c>
      <c r="AY61" s="809" t="e">
        <v>#DIV/0!</v>
      </c>
      <c r="AZ61" s="812" t="e">
        <v>#DIV/0!</v>
      </c>
      <c r="BD61" s="728"/>
      <c r="BE61" s="728"/>
      <c r="BF61" s="888">
        <f t="shared" si="16"/>
        <v>0</v>
      </c>
      <c r="BG61" s="814">
        <f t="shared" si="15"/>
        <v>0</v>
      </c>
    </row>
    <row r="62" spans="2:59">
      <c r="B62" s="728" t="s">
        <v>145</v>
      </c>
      <c r="C62" s="807">
        <f>D62*P62</f>
        <v>3.563018739298425E-2</v>
      </c>
      <c r="D62" s="805">
        <f>((E62/O62)-1)*100</f>
        <v>1.570321878349823</v>
      </c>
      <c r="E62" s="808">
        <v>85.191187356986376</v>
      </c>
      <c r="F62" s="720">
        <f t="shared" si="4"/>
        <v>2.3123754856998791E-2</v>
      </c>
      <c r="G62" s="808">
        <v>17887.047999999999</v>
      </c>
      <c r="H62" s="720">
        <f t="shared" si="5"/>
        <v>0.16972658735392521</v>
      </c>
      <c r="I62" s="720">
        <v>7.8965518000708237E-3</v>
      </c>
      <c r="J62" s="720">
        <v>7.4404019354312447E-3</v>
      </c>
      <c r="K62" s="720">
        <v>6.8095010986495017E-3</v>
      </c>
      <c r="L62" s="809">
        <v>7.2117558106356092E-3</v>
      </c>
      <c r="M62" s="807">
        <f t="shared" si="6"/>
        <v>0.6615343460394405</v>
      </c>
      <c r="N62" s="805">
        <f t="shared" si="7"/>
        <v>33.618758669512076</v>
      </c>
      <c r="O62" s="808">
        <v>83.874094106957102</v>
      </c>
      <c r="P62" s="720">
        <f t="shared" ref="P62:P64" si="43">Q62/Q$112</f>
        <v>2.2689735069109738E-2</v>
      </c>
      <c r="Q62" s="808">
        <v>17931.490000000002</v>
      </c>
      <c r="R62" s="720">
        <f t="shared" si="9"/>
        <v>0.14036837670913804</v>
      </c>
      <c r="S62" s="809">
        <v>7.3174600329191566E-3</v>
      </c>
      <c r="T62" s="720">
        <v>8.1911450486447605E-3</v>
      </c>
      <c r="U62" s="720">
        <v>8.0817140358779051E-3</v>
      </c>
      <c r="V62" s="720">
        <v>8.3338247579529592E-3</v>
      </c>
      <c r="W62" s="807">
        <f t="shared" si="10"/>
        <v>0.13857653779476228</v>
      </c>
      <c r="X62" s="724">
        <f t="shared" si="11"/>
        <v>7.0423723413158612</v>
      </c>
      <c r="Y62" s="810">
        <v>62.771196905374893</v>
      </c>
      <c r="Z62" s="720">
        <f t="shared" si="35"/>
        <v>1.9677536358276303E-2</v>
      </c>
      <c r="AA62" s="808">
        <v>13243.534</v>
      </c>
      <c r="AB62" s="720">
        <f t="shared" si="12"/>
        <v>0.10844423283374327</v>
      </c>
      <c r="AC62" s="720">
        <v>8.8830871297821308E-3</v>
      </c>
      <c r="AD62" s="720">
        <v>8.462075346474824E-3</v>
      </c>
      <c r="AE62" s="810">
        <v>8.2375358777847275E-3</v>
      </c>
      <c r="AF62" s="720">
        <v>8.645601073690232E-3</v>
      </c>
      <c r="AG62" s="811">
        <f t="shared" si="40"/>
        <v>0.23684944049581363</v>
      </c>
      <c r="AH62" s="724">
        <f t="shared" si="41"/>
        <v>12.604919236252975</v>
      </c>
      <c r="AI62" s="812">
        <v>58.641447804634161</v>
      </c>
      <c r="AJ62" s="720">
        <f t="shared" si="36"/>
        <v>1.9677536358276303E-2</v>
      </c>
      <c r="AK62" s="808">
        <v>13243.534</v>
      </c>
      <c r="AL62" s="720">
        <f t="shared" si="42"/>
        <v>7.4215933406011347E-2</v>
      </c>
      <c r="AM62" s="720">
        <v>8.5890425349562944E-3</v>
      </c>
      <c r="AN62" s="720">
        <v>8.86343727756643E-3</v>
      </c>
      <c r="AO62" s="720">
        <v>9.0540160825971685E-3</v>
      </c>
      <c r="AP62" s="810">
        <v>8.2450978787543521E-3</v>
      </c>
      <c r="AQ62" s="720">
        <f t="shared" si="13"/>
        <v>0.40147349252671966</v>
      </c>
      <c r="AR62" s="720">
        <v>23.405600510829537</v>
      </c>
      <c r="AS62" s="720">
        <v>52.07716341557007</v>
      </c>
      <c r="AT62" s="720">
        <f t="shared" si="38"/>
        <v>1.8790238640689707E-2</v>
      </c>
      <c r="AU62" s="813">
        <v>12154.26</v>
      </c>
      <c r="AV62" s="720">
        <f t="shared" si="39"/>
        <v>3.9464339632137094E-2</v>
      </c>
      <c r="AW62" s="720">
        <v>8.7436386807255486E-3</v>
      </c>
      <c r="AX62" s="720">
        <v>1.0034504590639102E-2</v>
      </c>
      <c r="AY62" s="809">
        <v>9.8050923268021718E-3</v>
      </c>
      <c r="AZ62" s="812">
        <v>1.0881104033970275E-2</v>
      </c>
      <c r="BD62" s="728">
        <v>242.6</v>
      </c>
      <c r="BE62" s="728">
        <v>42.2</v>
      </c>
      <c r="BF62" s="888">
        <f t="shared" si="16"/>
        <v>10237.720000000001</v>
      </c>
      <c r="BG62" s="814">
        <f t="shared" si="15"/>
        <v>1.7152881522563879E-2</v>
      </c>
    </row>
    <row r="63" spans="2:59">
      <c r="B63" s="723" t="s">
        <v>146</v>
      </c>
      <c r="C63" s="807"/>
      <c r="D63" s="805"/>
      <c r="E63" s="808" t="e">
        <v>#DIV/0!</v>
      </c>
      <c r="F63" s="720">
        <f t="shared" si="4"/>
        <v>0</v>
      </c>
      <c r="G63" s="808">
        <v>0</v>
      </c>
      <c r="H63" s="720" t="e">
        <f t="shared" si="5"/>
        <v>#DIV/0!</v>
      </c>
      <c r="I63" s="720" t="e">
        <v>#DIV/0!</v>
      </c>
      <c r="J63" s="720" t="e">
        <v>#DIV/0!</v>
      </c>
      <c r="K63" s="720" t="e">
        <v>#DIV/0!</v>
      </c>
      <c r="L63" s="809" t="e">
        <v>#DIV/0!</v>
      </c>
      <c r="M63" s="807" t="e">
        <f t="shared" si="6"/>
        <v>#DIV/0!</v>
      </c>
      <c r="N63" s="805" t="e">
        <f t="shared" si="7"/>
        <v>#DIV/0!</v>
      </c>
      <c r="O63" s="808" t="e">
        <v>#DIV/0!</v>
      </c>
      <c r="Q63" s="808">
        <v>0</v>
      </c>
      <c r="R63" s="720" t="e">
        <f t="shared" si="9"/>
        <v>#DIV/0!</v>
      </c>
      <c r="S63" s="809" t="e">
        <v>#DIV/0!</v>
      </c>
      <c r="T63" s="720" t="e">
        <v>#DIV/0!</v>
      </c>
      <c r="U63" s="720" t="e">
        <v>#DIV/0!</v>
      </c>
      <c r="V63" s="720" t="e">
        <v>#DIV/0!</v>
      </c>
      <c r="W63" s="807" t="e">
        <f t="shared" si="10"/>
        <v>#DIV/0!</v>
      </c>
      <c r="X63" s="724" t="e">
        <f t="shared" si="11"/>
        <v>#DIV/0!</v>
      </c>
      <c r="Y63" s="810" t="e">
        <v>#DIV/0!</v>
      </c>
      <c r="Z63" s="720">
        <f t="shared" si="35"/>
        <v>0</v>
      </c>
      <c r="AA63" s="808">
        <v>0</v>
      </c>
      <c r="AB63" s="720" t="e">
        <f t="shared" si="12"/>
        <v>#DIV/0!</v>
      </c>
      <c r="AC63" s="720" t="e">
        <v>#DIV/0!</v>
      </c>
      <c r="AD63" s="720" t="e">
        <v>#DIV/0!</v>
      </c>
      <c r="AE63" s="810" t="e">
        <v>#DIV/0!</v>
      </c>
      <c r="AF63" s="720" t="e">
        <v>#DIV/0!</v>
      </c>
      <c r="AG63" s="811" t="e">
        <f t="shared" si="40"/>
        <v>#DIV/0!</v>
      </c>
      <c r="AH63" s="724" t="e">
        <f t="shared" si="41"/>
        <v>#DIV/0!</v>
      </c>
      <c r="AI63" s="812" t="e">
        <v>#DIV/0!</v>
      </c>
      <c r="AJ63" s="720">
        <f t="shared" si="36"/>
        <v>0</v>
      </c>
      <c r="AK63" s="808">
        <v>0</v>
      </c>
      <c r="AL63" s="720" t="e">
        <f t="shared" si="42"/>
        <v>#DIV/0!</v>
      </c>
      <c r="AM63" s="720" t="e">
        <v>#DIV/0!</v>
      </c>
      <c r="AN63" s="720" t="e">
        <v>#DIV/0!</v>
      </c>
      <c r="AO63" s="720" t="e">
        <v>#DIV/0!</v>
      </c>
      <c r="AP63" s="810" t="e">
        <v>#DIV/0!</v>
      </c>
      <c r="AQ63" s="720" t="e">
        <f t="shared" si="13"/>
        <v>#DIV/0!</v>
      </c>
      <c r="AR63" s="720" t="e">
        <v>#DIV/0!</v>
      </c>
      <c r="AS63" s="720" t="e">
        <v>#DIV/0!</v>
      </c>
      <c r="AT63" s="720">
        <f t="shared" si="38"/>
        <v>0</v>
      </c>
      <c r="AU63" s="813">
        <v>0</v>
      </c>
      <c r="AV63" s="720" t="e">
        <f t="shared" si="39"/>
        <v>#DIV/0!</v>
      </c>
      <c r="AW63" s="720" t="e">
        <v>#DIV/0!</v>
      </c>
      <c r="AX63" s="720" t="e">
        <v>#DIV/0!</v>
      </c>
      <c r="AY63" s="809">
        <v>8.6746166944679428E-3</v>
      </c>
      <c r="AZ63" s="812">
        <v>9.4281972937581837E-3</v>
      </c>
      <c r="BD63" s="728">
        <v>56.854999999999997</v>
      </c>
      <c r="BE63" s="728">
        <v>51.42</v>
      </c>
      <c r="BF63" s="888">
        <f t="shared" si="16"/>
        <v>2923.4841000000001</v>
      </c>
      <c r="BG63" s="814">
        <f t="shared" si="15"/>
        <v>4.8981781490799988E-3</v>
      </c>
    </row>
    <row r="64" spans="2:59">
      <c r="B64" s="728" t="s">
        <v>147</v>
      </c>
      <c r="C64" s="807">
        <f>D64*P64</f>
        <v>-9.7733891127757826E-4</v>
      </c>
      <c r="D64" s="805">
        <f>((E64/O64)-1)*100</f>
        <v>-0.96185122261412959</v>
      </c>
      <c r="E64" s="808">
        <v>61.081250585571055</v>
      </c>
      <c r="F64" s="720">
        <f t="shared" si="4"/>
        <v>1.0073926294174491E-3</v>
      </c>
      <c r="G64" s="808">
        <v>779.25408000000004</v>
      </c>
      <c r="H64" s="720">
        <f t="shared" si="5"/>
        <v>0.1674550952899668</v>
      </c>
      <c r="I64" s="720">
        <v>8.3081062858665448E-3</v>
      </c>
      <c r="J64" s="720">
        <v>6.8963561011660575E-3</v>
      </c>
      <c r="K64" s="720">
        <v>6.6812840334443766E-3</v>
      </c>
      <c r="L64" s="809">
        <v>7.0338642396566755E-3</v>
      </c>
      <c r="M64" s="807">
        <f t="shared" si="6"/>
        <v>1.8782354093457878E-2</v>
      </c>
      <c r="N64" s="805">
        <f t="shared" si="7"/>
        <v>20.066125755663975</v>
      </c>
      <c r="O64" s="808">
        <v>61.67446720239807</v>
      </c>
      <c r="P64" s="720">
        <f t="shared" si="43"/>
        <v>1.0161019587014259E-3</v>
      </c>
      <c r="Q64" s="808">
        <v>803.01607999999999</v>
      </c>
      <c r="R64" s="720">
        <f t="shared" si="9"/>
        <v>0.13853548462983314</v>
      </c>
      <c r="S64" s="809">
        <v>7.7238380878811557E-3</v>
      </c>
      <c r="T64" s="720">
        <v>8.0922703850173985E-3</v>
      </c>
      <c r="U64" s="720">
        <v>7.9936130361314937E-3</v>
      </c>
      <c r="V64" s="720">
        <v>7.9150842046317119E-3</v>
      </c>
      <c r="W64" s="807">
        <f t="shared" si="10"/>
        <v>5.8433919517877084E-3</v>
      </c>
      <c r="X64" s="724">
        <f t="shared" si="11"/>
        <v>6.2427870947789232</v>
      </c>
      <c r="Y64" s="810">
        <v>51.367083608499506</v>
      </c>
      <c r="Z64" s="720">
        <f t="shared" si="35"/>
        <v>9.3602294345017086E-4</v>
      </c>
      <c r="AA64" s="808">
        <v>629.96969999999999</v>
      </c>
      <c r="AB64" s="720">
        <f t="shared" si="12"/>
        <v>0.10681067891617138</v>
      </c>
      <c r="AC64" s="720">
        <v>8.6367909739049186E-3</v>
      </c>
      <c r="AD64" s="720">
        <v>8.5981426633148332E-3</v>
      </c>
      <c r="AE64" s="810">
        <v>7.8732892071542073E-3</v>
      </c>
      <c r="AF64" s="720">
        <v>8.0010865869292597E-3</v>
      </c>
      <c r="AG64" s="811">
        <f t="shared" si="40"/>
        <v>8.7249189779977521E-3</v>
      </c>
      <c r="AH64" s="724">
        <f t="shared" si="41"/>
        <v>9.5438866116807972</v>
      </c>
      <c r="AI64" s="812">
        <v>48.348772667903617</v>
      </c>
      <c r="AJ64" s="720">
        <f t="shared" si="36"/>
        <v>9.3602294345017086E-4</v>
      </c>
      <c r="AK64" s="808">
        <v>629.96969999999999</v>
      </c>
      <c r="AL64" s="720">
        <f t="shared" si="42"/>
        <v>7.3701369484868162E-2</v>
      </c>
      <c r="AM64" s="720">
        <v>8.5158072926757571E-3</v>
      </c>
      <c r="AN64" s="720">
        <v>8.2753227831979057E-3</v>
      </c>
      <c r="AO64" s="720">
        <v>9.5192981096078409E-3</v>
      </c>
      <c r="AP64" s="810">
        <v>8.6420403058984838E-3</v>
      </c>
      <c r="AQ64" s="720">
        <f t="shared" si="13"/>
        <v>2.1926383714498607E-2</v>
      </c>
      <c r="AR64" s="720">
        <v>26.938282436621552</v>
      </c>
      <c r="AS64" s="720">
        <v>44.136440803213318</v>
      </c>
      <c r="AT64" s="720">
        <f t="shared" si="38"/>
        <v>9.1418929551397769E-4</v>
      </c>
      <c r="AU64" s="813">
        <v>591.33333000000005</v>
      </c>
      <c r="AV64" s="720">
        <f t="shared" si="39"/>
        <v>3.8748900993488183E-2</v>
      </c>
      <c r="AW64" s="720">
        <v>8.6067419734552047E-3</v>
      </c>
      <c r="AX64" s="720">
        <v>9.9516907440522079E-3</v>
      </c>
      <c r="AY64" s="809">
        <v>9.5908316920922162E-3</v>
      </c>
      <c r="AZ64" s="812">
        <v>1.0599636583888551E-2</v>
      </c>
      <c r="BD64" s="728">
        <v>13.972</v>
      </c>
      <c r="BE64" s="728">
        <v>34.770000000000003</v>
      </c>
      <c r="BF64" s="888">
        <f t="shared" si="16"/>
        <v>485.80644000000001</v>
      </c>
      <c r="BG64" s="814">
        <f t="shared" si="15"/>
        <v>8.139488390206547E-4</v>
      </c>
    </row>
    <row r="65" spans="2:59">
      <c r="B65" s="723" t="s">
        <v>274</v>
      </c>
      <c r="C65" s="807"/>
      <c r="D65" s="805"/>
      <c r="E65" s="808" t="e">
        <v>#DIV/0!</v>
      </c>
      <c r="G65" s="808">
        <v>0</v>
      </c>
      <c r="H65" s="720" t="e">
        <f t="shared" si="5"/>
        <v>#DIV/0!</v>
      </c>
      <c r="I65" s="720" t="e">
        <v>#DIV/0!</v>
      </c>
      <c r="J65" s="720" t="e">
        <v>#DIV/0!</v>
      </c>
      <c r="K65" s="720" t="e">
        <v>#DIV/0!</v>
      </c>
      <c r="L65" s="809" t="e">
        <v>#DIV/0!</v>
      </c>
      <c r="M65" s="807"/>
      <c r="N65" s="805"/>
      <c r="O65" s="808">
        <v>0</v>
      </c>
      <c r="Q65" s="808">
        <v>0</v>
      </c>
      <c r="S65" s="809" t="e">
        <v>#VALUE!</v>
      </c>
      <c r="T65" s="720" t="e">
        <v>#VALUE!</v>
      </c>
      <c r="U65" s="720" t="e">
        <v>#VALUE!</v>
      </c>
      <c r="V65" s="720" t="e">
        <v>#VALUE!</v>
      </c>
      <c r="W65" s="807" t="s">
        <v>103</v>
      </c>
      <c r="X65" s="724" t="s">
        <v>103</v>
      </c>
      <c r="Y65" s="810" t="e">
        <v>#VALUE!</v>
      </c>
      <c r="Z65" s="720">
        <f t="shared" si="35"/>
        <v>0</v>
      </c>
      <c r="AA65" s="808">
        <v>0</v>
      </c>
      <c r="AB65" s="720" t="s">
        <v>103</v>
      </c>
      <c r="AC65" s="720" t="e">
        <v>#DIV/0!</v>
      </c>
      <c r="AD65" s="720" t="e">
        <v>#DIV/0!</v>
      </c>
      <c r="AE65" s="810" t="e">
        <v>#DIV/0!</v>
      </c>
      <c r="AF65" s="720" t="e">
        <v>#DIV/0!</v>
      </c>
      <c r="AG65" s="811" t="e">
        <f t="shared" si="40"/>
        <v>#DIV/0!</v>
      </c>
      <c r="AH65" s="724" t="e">
        <f t="shared" si="41"/>
        <v>#DIV/0!</v>
      </c>
      <c r="AI65" s="812" t="e">
        <v>#DIV/0!</v>
      </c>
      <c r="AJ65" s="720">
        <f t="shared" si="36"/>
        <v>0</v>
      </c>
      <c r="AK65" s="808">
        <v>0</v>
      </c>
      <c r="AL65" s="720" t="e">
        <f t="shared" si="42"/>
        <v>#DIV/0!</v>
      </c>
      <c r="AM65" s="720" t="e">
        <v>#DIV/0!</v>
      </c>
      <c r="AN65" s="720" t="e">
        <v>#DIV/0!</v>
      </c>
      <c r="AO65" s="720" t="e">
        <v>#DIV/0!</v>
      </c>
      <c r="AP65" s="810" t="e">
        <v>#DIV/0!</v>
      </c>
      <c r="AQ65" s="720" t="e">
        <f t="shared" si="13"/>
        <v>#DIV/0!</v>
      </c>
      <c r="AR65" s="720" t="e">
        <v>#DIV/0!</v>
      </c>
      <c r="AS65" s="720" t="e">
        <v>#DIV/0!</v>
      </c>
      <c r="AT65" s="720">
        <f t="shared" si="38"/>
        <v>0</v>
      </c>
      <c r="AU65" s="813">
        <v>0</v>
      </c>
      <c r="AV65" s="720" t="e">
        <f t="shared" si="39"/>
        <v>#DIV/0!</v>
      </c>
      <c r="AW65" s="720" t="e">
        <v>#DIV/0!</v>
      </c>
      <c r="AX65" s="720" t="e">
        <v>#DIV/0!</v>
      </c>
      <c r="AY65" s="809" t="e">
        <v>#DIV/0!</v>
      </c>
      <c r="AZ65" s="812" t="e">
        <v>#DIV/0!</v>
      </c>
      <c r="BD65" s="723"/>
      <c r="BE65" s="723"/>
      <c r="BF65" s="888">
        <f t="shared" si="16"/>
        <v>0</v>
      </c>
      <c r="BG65" s="814">
        <f t="shared" si="15"/>
        <v>0</v>
      </c>
    </row>
    <row r="66" spans="2:59">
      <c r="B66" s="723" t="s">
        <v>148</v>
      </c>
      <c r="C66" s="807"/>
      <c r="D66" s="805"/>
      <c r="E66" s="808" t="e">
        <v>#DIV/0!</v>
      </c>
      <c r="F66" s="720">
        <f t="shared" si="4"/>
        <v>0</v>
      </c>
      <c r="G66" s="808">
        <v>0</v>
      </c>
      <c r="H66" s="720" t="e">
        <f t="shared" si="5"/>
        <v>#DIV/0!</v>
      </c>
      <c r="I66" s="720" t="e">
        <v>#DIV/0!</v>
      </c>
      <c r="J66" s="720" t="e">
        <v>#DIV/0!</v>
      </c>
      <c r="K66" s="720" t="e">
        <v>#DIV/0!</v>
      </c>
      <c r="L66" s="809" t="e">
        <v>#DIV/0!</v>
      </c>
      <c r="M66" s="807" t="e">
        <f t="shared" si="6"/>
        <v>#DIV/0!</v>
      </c>
      <c r="N66" s="805" t="e">
        <f t="shared" si="7"/>
        <v>#DIV/0!</v>
      </c>
      <c r="O66" s="808" t="e">
        <v>#DIV/0!</v>
      </c>
      <c r="Q66" s="808">
        <v>0</v>
      </c>
      <c r="R66" s="720" t="e">
        <f t="shared" si="9"/>
        <v>#DIV/0!</v>
      </c>
      <c r="S66" s="809" t="e">
        <v>#DIV/0!</v>
      </c>
      <c r="T66" s="720" t="e">
        <v>#DIV/0!</v>
      </c>
      <c r="U66" s="720" t="e">
        <v>#DIV/0!</v>
      </c>
      <c r="V66" s="720" t="e">
        <v>#DIV/0!</v>
      </c>
      <c r="W66" s="807" t="e">
        <f t="shared" si="10"/>
        <v>#DIV/0!</v>
      </c>
      <c r="X66" s="724" t="e">
        <f t="shared" si="11"/>
        <v>#DIV/0!</v>
      </c>
      <c r="Y66" s="810" t="e">
        <v>#DIV/0!</v>
      </c>
      <c r="Z66" s="720">
        <f t="shared" si="35"/>
        <v>0</v>
      </c>
      <c r="AA66" s="808">
        <v>0</v>
      </c>
      <c r="AB66" s="720" t="e">
        <f t="shared" si="12"/>
        <v>#DIV/0!</v>
      </c>
      <c r="AC66" s="720" t="e">
        <v>#DIV/0!</v>
      </c>
      <c r="AD66" s="720" t="e">
        <v>#DIV/0!</v>
      </c>
      <c r="AE66" s="810" t="e">
        <v>#DIV/0!</v>
      </c>
      <c r="AF66" s="720" t="e">
        <v>#DIV/0!</v>
      </c>
      <c r="AG66" s="811" t="e">
        <f t="shared" si="40"/>
        <v>#DIV/0!</v>
      </c>
      <c r="AH66" s="724" t="e">
        <f t="shared" si="41"/>
        <v>#DIV/0!</v>
      </c>
      <c r="AI66" s="812" t="e">
        <v>#DIV/0!</v>
      </c>
      <c r="AJ66" s="720">
        <f t="shared" si="36"/>
        <v>0</v>
      </c>
      <c r="AK66" s="808">
        <v>0</v>
      </c>
      <c r="AL66" s="720" t="e">
        <f t="shared" si="42"/>
        <v>#DIV/0!</v>
      </c>
      <c r="AM66" s="720" t="e">
        <v>#DIV/0!</v>
      </c>
      <c r="AN66" s="720" t="e">
        <v>#DIV/0!</v>
      </c>
      <c r="AO66" s="720" t="e">
        <v>#DIV/0!</v>
      </c>
      <c r="AP66" s="810" t="e">
        <v>#DIV/0!</v>
      </c>
      <c r="AQ66" s="720" t="e">
        <f t="shared" si="13"/>
        <v>#DIV/0!</v>
      </c>
      <c r="AR66" s="720" t="e">
        <v>#DIV/0!</v>
      </c>
      <c r="AS66" s="720" t="e">
        <v>#DIV/0!</v>
      </c>
      <c r="AT66" s="720">
        <f t="shared" si="38"/>
        <v>0</v>
      </c>
      <c r="AU66" s="813">
        <v>0</v>
      </c>
      <c r="AV66" s="720" t="e">
        <f t="shared" si="39"/>
        <v>#DIV/0!</v>
      </c>
      <c r="AW66" s="720" t="e">
        <v>#DIV/0!</v>
      </c>
      <c r="AX66" s="720" t="e">
        <v>#DIV/0!</v>
      </c>
      <c r="AY66" s="809" t="e">
        <v>#DIV/0!</v>
      </c>
      <c r="AZ66" s="812" t="e">
        <v>#DIV/0!</v>
      </c>
      <c r="BD66" s="723"/>
      <c r="BE66" s="723"/>
      <c r="BF66" s="888">
        <f t="shared" si="16"/>
        <v>0</v>
      </c>
      <c r="BG66" s="814">
        <f t="shared" si="15"/>
        <v>0</v>
      </c>
    </row>
    <row r="67" spans="2:59">
      <c r="B67" s="723" t="s">
        <v>275</v>
      </c>
      <c r="C67" s="807"/>
      <c r="D67" s="805"/>
      <c r="E67" s="808" t="e">
        <v>#DIV/0!</v>
      </c>
      <c r="G67" s="808">
        <v>0</v>
      </c>
      <c r="H67" s="720" t="e">
        <f t="shared" si="5"/>
        <v>#DIV/0!</v>
      </c>
      <c r="I67" s="720" t="e">
        <v>#DIV/0!</v>
      </c>
      <c r="J67" s="720" t="e">
        <v>#DIV/0!</v>
      </c>
      <c r="K67" s="720" t="e">
        <v>#DIV/0!</v>
      </c>
      <c r="L67" s="809" t="e">
        <v>#DIV/0!</v>
      </c>
      <c r="M67" s="807"/>
      <c r="N67" s="805"/>
      <c r="O67" s="808">
        <v>0</v>
      </c>
      <c r="Q67" s="808">
        <v>0</v>
      </c>
      <c r="S67" s="809" t="e">
        <v>#VALUE!</v>
      </c>
      <c r="T67" s="720" t="e">
        <v>#VALUE!</v>
      </c>
      <c r="U67" s="720" t="e">
        <v>#VALUE!</v>
      </c>
      <c r="V67" s="720" t="e">
        <v>#VALUE!</v>
      </c>
      <c r="W67" s="807" t="s">
        <v>103</v>
      </c>
      <c r="X67" s="724" t="s">
        <v>103</v>
      </c>
      <c r="Y67" s="810" t="e">
        <v>#VALUE!</v>
      </c>
      <c r="Z67" s="720">
        <f t="shared" si="35"/>
        <v>0</v>
      </c>
      <c r="AA67" s="808">
        <v>0</v>
      </c>
      <c r="AB67" s="720" t="s">
        <v>103</v>
      </c>
      <c r="AC67" s="720" t="e">
        <v>#DIV/0!</v>
      </c>
      <c r="AD67" s="720" t="e">
        <v>#DIV/0!</v>
      </c>
      <c r="AE67" s="810" t="e">
        <v>#DIV/0!</v>
      </c>
      <c r="AF67" s="720" t="e">
        <v>#DIV/0!</v>
      </c>
      <c r="AG67" s="811"/>
      <c r="AH67" s="724"/>
      <c r="AI67" s="812" t="e">
        <v>#DIV/0!</v>
      </c>
      <c r="AJ67" s="720">
        <f t="shared" si="36"/>
        <v>0</v>
      </c>
      <c r="AK67" s="808">
        <v>0</v>
      </c>
      <c r="AL67" s="720" t="e">
        <f t="shared" si="42"/>
        <v>#DIV/0!</v>
      </c>
      <c r="AM67" s="720" t="e">
        <v>#DIV/0!</v>
      </c>
      <c r="AN67" s="720" t="e">
        <v>#DIV/0!</v>
      </c>
      <c r="AO67" s="720" t="e">
        <v>#DIV/0!</v>
      </c>
      <c r="AP67" s="810" t="e">
        <v>#DIV/0!</v>
      </c>
      <c r="AQ67" s="720" t="e">
        <f t="shared" si="13"/>
        <v>#DIV/0!</v>
      </c>
      <c r="AR67" s="720" t="e">
        <v>#DIV/0!</v>
      </c>
      <c r="AS67" s="720" t="e">
        <v>#DIV/0!</v>
      </c>
      <c r="AT67" s="720">
        <f t="shared" si="38"/>
        <v>0</v>
      </c>
      <c r="AU67" s="813">
        <v>0</v>
      </c>
      <c r="AV67" s="720" t="e">
        <f t="shared" si="39"/>
        <v>#DIV/0!</v>
      </c>
      <c r="AW67" s="720" t="e">
        <v>#DIV/0!</v>
      </c>
      <c r="AX67" s="720" t="e">
        <v>#DIV/0!</v>
      </c>
      <c r="AY67" s="809" t="e">
        <v>#DIV/0!</v>
      </c>
      <c r="AZ67" s="812" t="e">
        <v>#DIV/0!</v>
      </c>
      <c r="BD67" s="723"/>
      <c r="BE67" s="723"/>
      <c r="BF67" s="888">
        <f t="shared" si="16"/>
        <v>0</v>
      </c>
      <c r="BG67" s="814">
        <f t="shared" si="15"/>
        <v>0</v>
      </c>
    </row>
    <row r="68" spans="2:59">
      <c r="B68" s="728" t="s">
        <v>149</v>
      </c>
      <c r="C68" s="807">
        <f>D68*P68</f>
        <v>0.168849085269039</v>
      </c>
      <c r="D68" s="805">
        <f>((E68/O68)-1)*100</f>
        <v>8.5146620016041563</v>
      </c>
      <c r="E68" s="808">
        <v>67.916846799089669</v>
      </c>
      <c r="F68" s="720">
        <f t="shared" si="4"/>
        <v>2.1493838960524741E-2</v>
      </c>
      <c r="G68" s="808">
        <v>16626.25</v>
      </c>
      <c r="H68" s="720">
        <f t="shared" si="5"/>
        <v>0.1560314348781221</v>
      </c>
      <c r="I68" s="720">
        <v>7.9631967157644395E-3</v>
      </c>
      <c r="J68" s="720">
        <v>6.9458832076729309E-3</v>
      </c>
      <c r="K68" s="720">
        <v>6.784740228813849E-3</v>
      </c>
      <c r="L68" s="809">
        <v>7.4432240448195847E-3</v>
      </c>
      <c r="M68" s="807">
        <f t="shared" si="6"/>
        <v>0.48429508999811188</v>
      </c>
      <c r="N68" s="805">
        <f t="shared" si="7"/>
        <v>26.220157094753162</v>
      </c>
      <c r="O68" s="808">
        <v>62.587714458425594</v>
      </c>
      <c r="P68" s="720">
        <f>Q68/Q$112</f>
        <v>1.9830392003490915E-2</v>
      </c>
      <c r="Q68" s="808">
        <v>15671.777339999999</v>
      </c>
      <c r="R68" s="720">
        <f t="shared" si="9"/>
        <v>0.12689439068105129</v>
      </c>
      <c r="S68" s="809">
        <v>7.7077581373418969E-3</v>
      </c>
      <c r="T68" s="720">
        <v>8.0009842750462662E-3</v>
      </c>
      <c r="U68" s="720">
        <v>8.048399316335858E-3</v>
      </c>
      <c r="V68" s="720">
        <v>8.2785949409699723E-3</v>
      </c>
      <c r="W68" s="807">
        <f t="shared" si="10"/>
        <v>7.8076065226276359E-2</v>
      </c>
      <c r="X68" s="724">
        <f t="shared" si="11"/>
        <v>4.2271060307077279</v>
      </c>
      <c r="Y68" s="810">
        <v>49.586148440174377</v>
      </c>
      <c r="Z68" s="720">
        <f t="shared" si="35"/>
        <v>1.8470335179457134E-2</v>
      </c>
      <c r="AA68" s="808">
        <v>12431.053740000001</v>
      </c>
      <c r="AB68" s="720">
        <f t="shared" si="12"/>
        <v>9.4858654011357318E-2</v>
      </c>
      <c r="AC68" s="720">
        <v>8.574663865689473E-3</v>
      </c>
      <c r="AD68" s="720">
        <v>7.5828358100757795E-3</v>
      </c>
      <c r="AE68" s="810">
        <v>7.6880796059500423E-3</v>
      </c>
      <c r="AF68" s="720">
        <v>7.6447560209865519E-3</v>
      </c>
      <c r="AG68" s="811">
        <f t="shared" ref="AG68:AG75" si="44">AH68*AT68</f>
        <v>0.15391861711574542</v>
      </c>
      <c r="AH68" s="724">
        <f t="shared" ref="AH68:AH75" si="45">((AI68/AS68)-1)*100</f>
        <v>8.5120230488600068</v>
      </c>
      <c r="AI68" s="812">
        <v>47.575098579025251</v>
      </c>
      <c r="AJ68" s="720">
        <f t="shared" si="36"/>
        <v>1.8470335179457134E-2</v>
      </c>
      <c r="AK68" s="808">
        <v>12431.053740000001</v>
      </c>
      <c r="AL68" s="720">
        <f t="shared" si="42"/>
        <v>6.3368318708655474E-2</v>
      </c>
      <c r="AM68" s="720">
        <v>7.8444720388402642E-3</v>
      </c>
      <c r="AN68" s="720">
        <v>7.8037775451381504E-3</v>
      </c>
      <c r="AO68" s="720">
        <v>7.6746980488811402E-3</v>
      </c>
      <c r="AP68" s="810">
        <v>6.9831939578405174E-3</v>
      </c>
      <c r="AQ68" s="720">
        <f t="shared" si="13"/>
        <v>0.41024937686243634</v>
      </c>
      <c r="AR68" s="720">
        <v>25.58911142046987</v>
      </c>
      <c r="AS68" s="720">
        <v>43.843158796886023</v>
      </c>
      <c r="AT68" s="720">
        <f t="shared" si="38"/>
        <v>1.8082495340089492E-2</v>
      </c>
      <c r="AU68" s="813">
        <v>11696.464</v>
      </c>
      <c r="AV68" s="720">
        <f t="shared" si="39"/>
        <v>3.3062177117955401E-2</v>
      </c>
      <c r="AW68" s="720">
        <v>7.4912111089255259E-3</v>
      </c>
      <c r="AX68" s="720">
        <v>8.1774973918784348E-3</v>
      </c>
      <c r="AY68" s="809">
        <v>8.2854284161464186E-3</v>
      </c>
      <c r="AZ68" s="812">
        <v>9.1080402010050247E-3</v>
      </c>
      <c r="BD68" s="728">
        <v>274.10000000000002</v>
      </c>
      <c r="BE68" s="728">
        <v>34.909999999999997</v>
      </c>
      <c r="BF68" s="888">
        <f t="shared" si="16"/>
        <v>9568.8310000000001</v>
      </c>
      <c r="BG68" s="814">
        <f t="shared" si="15"/>
        <v>1.6032185335449343E-2</v>
      </c>
    </row>
    <row r="69" spans="2:59">
      <c r="B69" s="723" t="s">
        <v>150</v>
      </c>
      <c r="C69" s="807"/>
      <c r="D69" s="805"/>
      <c r="E69" s="808" t="e">
        <v>#DIV/0!</v>
      </c>
      <c r="F69" s="720">
        <f t="shared" si="4"/>
        <v>0</v>
      </c>
      <c r="G69" s="808">
        <v>0</v>
      </c>
      <c r="H69" s="720" t="e">
        <f t="shared" si="5"/>
        <v>#DIV/0!</v>
      </c>
      <c r="I69" s="720" t="e">
        <v>#DIV/0!</v>
      </c>
      <c r="J69" s="720" t="e">
        <v>#DIV/0!</v>
      </c>
      <c r="K69" s="720" t="e">
        <v>#DIV/0!</v>
      </c>
      <c r="L69" s="809" t="e">
        <v>#DIV/0!</v>
      </c>
      <c r="M69" s="807" t="e">
        <f t="shared" si="6"/>
        <v>#DIV/0!</v>
      </c>
      <c r="N69" s="805" t="e">
        <f t="shared" si="7"/>
        <v>#DIV/0!</v>
      </c>
      <c r="O69" s="808" t="e">
        <v>#DIV/0!</v>
      </c>
      <c r="Q69" s="808">
        <v>0</v>
      </c>
      <c r="R69" s="720" t="e">
        <f t="shared" si="9"/>
        <v>#DIV/0!</v>
      </c>
      <c r="S69" s="809" t="e">
        <v>#DIV/0!</v>
      </c>
      <c r="T69" s="720" t="e">
        <v>#DIV/0!</v>
      </c>
      <c r="U69" s="720" t="e">
        <v>#DIV/0!</v>
      </c>
      <c r="V69" s="720" t="e">
        <v>#DIV/0!</v>
      </c>
      <c r="W69" s="807" t="e">
        <f t="shared" si="10"/>
        <v>#DIV/0!</v>
      </c>
      <c r="X69" s="724" t="e">
        <f t="shared" si="11"/>
        <v>#DIV/0!</v>
      </c>
      <c r="Y69" s="810" t="e">
        <v>#DIV/0!</v>
      </c>
      <c r="Z69" s="720">
        <f t="shared" si="35"/>
        <v>0</v>
      </c>
      <c r="AA69" s="808">
        <v>0</v>
      </c>
      <c r="AB69" s="720" t="e">
        <f t="shared" si="12"/>
        <v>#DIV/0!</v>
      </c>
      <c r="AC69" s="720" t="e">
        <v>#DIV/0!</v>
      </c>
      <c r="AD69" s="720" t="e">
        <v>#DIV/0!</v>
      </c>
      <c r="AE69" s="810" t="e">
        <v>#DIV/0!</v>
      </c>
      <c r="AF69" s="720" t="e">
        <v>#DIV/0!</v>
      </c>
      <c r="AG69" s="811" t="e">
        <f t="shared" si="44"/>
        <v>#DIV/0!</v>
      </c>
      <c r="AH69" s="724" t="e">
        <f t="shared" si="45"/>
        <v>#DIV/0!</v>
      </c>
      <c r="AI69" s="812" t="e">
        <v>#DIV/0!</v>
      </c>
      <c r="AJ69" s="720">
        <f t="shared" si="36"/>
        <v>0</v>
      </c>
      <c r="AK69" s="808">
        <v>0</v>
      </c>
      <c r="AL69" s="720" t="e">
        <f t="shared" si="42"/>
        <v>#DIV/0!</v>
      </c>
      <c r="AM69" s="720" t="e">
        <v>#DIV/0!</v>
      </c>
      <c r="AN69" s="720" t="e">
        <v>#DIV/0!</v>
      </c>
      <c r="AO69" s="720" t="e">
        <v>#DIV/0!</v>
      </c>
      <c r="AP69" s="810" t="e">
        <v>#DIV/0!</v>
      </c>
      <c r="AQ69" s="720" t="e">
        <f t="shared" si="13"/>
        <v>#DIV/0!</v>
      </c>
      <c r="AR69" s="720" t="e">
        <v>#DIV/0!</v>
      </c>
      <c r="AS69" s="720" t="e">
        <v>#DIV/0!</v>
      </c>
      <c r="AT69" s="720">
        <f t="shared" si="38"/>
        <v>0</v>
      </c>
      <c r="AU69" s="813">
        <v>0</v>
      </c>
      <c r="AV69" s="720" t="e">
        <f t="shared" si="39"/>
        <v>#DIV/0!</v>
      </c>
      <c r="AW69" s="720" t="e">
        <v>#DIV/0!</v>
      </c>
      <c r="AX69" s="720" t="e">
        <v>#DIV/0!</v>
      </c>
      <c r="AY69" s="809" t="e">
        <v>#DIV/0!</v>
      </c>
      <c r="AZ69" s="812" t="e">
        <v>#DIV/0!</v>
      </c>
      <c r="BD69" s="723"/>
      <c r="BE69" s="723"/>
      <c r="BF69" s="888">
        <f t="shared" si="16"/>
        <v>0</v>
      </c>
      <c r="BG69" s="814">
        <f t="shared" si="15"/>
        <v>0</v>
      </c>
    </row>
    <row r="70" spans="2:59">
      <c r="B70" s="723" t="s">
        <v>276</v>
      </c>
      <c r="C70" s="807"/>
      <c r="D70" s="805"/>
      <c r="E70" s="808" t="e">
        <v>#VALUE!</v>
      </c>
      <c r="G70" s="808">
        <v>0</v>
      </c>
      <c r="H70" s="720" t="e">
        <f t="shared" si="5"/>
        <v>#VALUE!</v>
      </c>
      <c r="I70" s="720" t="e">
        <v>#VALUE!</v>
      </c>
      <c r="J70" s="720" t="e">
        <v>#VALUE!</v>
      </c>
      <c r="K70" s="720" t="e">
        <v>#VALUE!</v>
      </c>
      <c r="L70" s="809" t="e">
        <v>#VALUE!</v>
      </c>
      <c r="M70" s="807" t="s">
        <v>103</v>
      </c>
      <c r="N70" s="805" t="s">
        <v>103</v>
      </c>
      <c r="O70" s="808" t="e">
        <v>#VALUE!</v>
      </c>
      <c r="Q70" s="808">
        <v>0</v>
      </c>
      <c r="R70" s="720" t="s">
        <v>103</v>
      </c>
      <c r="S70" s="809" t="e">
        <v>#DIV/0!</v>
      </c>
      <c r="T70" s="720" t="e">
        <v>#DIV/0!</v>
      </c>
      <c r="U70" s="720" t="e">
        <v>#DIV/0!</v>
      </c>
      <c r="V70" s="720" t="e">
        <v>#DIV/0!</v>
      </c>
      <c r="W70" s="807" t="e">
        <f t="shared" si="10"/>
        <v>#DIV/0!</v>
      </c>
      <c r="X70" s="724" t="e">
        <f t="shared" si="11"/>
        <v>#DIV/0!</v>
      </c>
      <c r="Y70" s="810" t="e">
        <v>#DIV/0!</v>
      </c>
      <c r="Z70" s="720">
        <f t="shared" si="35"/>
        <v>0</v>
      </c>
      <c r="AA70" s="808">
        <v>0</v>
      </c>
      <c r="AB70" s="720" t="e">
        <f t="shared" si="12"/>
        <v>#DIV/0!</v>
      </c>
      <c r="AC70" s="720" t="e">
        <v>#DIV/0!</v>
      </c>
      <c r="AD70" s="720" t="e">
        <v>#DIV/0!</v>
      </c>
      <c r="AE70" s="810" t="e">
        <v>#DIV/0!</v>
      </c>
      <c r="AF70" s="720" t="e">
        <v>#DIV/0!</v>
      </c>
      <c r="AG70" s="811" t="e">
        <f t="shared" si="44"/>
        <v>#DIV/0!</v>
      </c>
      <c r="AH70" s="724" t="e">
        <f t="shared" si="45"/>
        <v>#DIV/0!</v>
      </c>
      <c r="AI70" s="812" t="e">
        <v>#DIV/0!</v>
      </c>
      <c r="AJ70" s="720">
        <f t="shared" si="36"/>
        <v>0</v>
      </c>
      <c r="AK70" s="808">
        <v>0</v>
      </c>
      <c r="AL70" s="720" t="e">
        <f t="shared" si="42"/>
        <v>#DIV/0!</v>
      </c>
      <c r="AM70" s="720" t="e">
        <v>#DIV/0!</v>
      </c>
      <c r="AN70" s="720" t="e">
        <v>#DIV/0!</v>
      </c>
      <c r="AO70" s="720" t="e">
        <v>#DIV/0!</v>
      </c>
      <c r="AP70" s="810" t="e">
        <v>#DIV/0!</v>
      </c>
      <c r="AQ70" s="720" t="e">
        <f t="shared" si="13"/>
        <v>#DIV/0!</v>
      </c>
      <c r="AR70" s="720" t="e">
        <v>#DIV/0!</v>
      </c>
      <c r="AS70" s="720" t="e">
        <v>#DIV/0!</v>
      </c>
      <c r="AT70" s="720">
        <f t="shared" si="38"/>
        <v>0</v>
      </c>
      <c r="AU70" s="813">
        <v>0</v>
      </c>
      <c r="AV70" s="720" t="e">
        <f t="shared" si="39"/>
        <v>#DIV/0!</v>
      </c>
      <c r="AW70" s="720" t="e">
        <v>#DIV/0!</v>
      </c>
      <c r="AX70" s="720" t="e">
        <v>#DIV/0!</v>
      </c>
      <c r="AY70" s="809" t="e">
        <v>#DIV/0!</v>
      </c>
      <c r="AZ70" s="812" t="e">
        <v>#DIV/0!</v>
      </c>
      <c r="BD70" s="723"/>
      <c r="BE70" s="723"/>
      <c r="BF70" s="888">
        <f t="shared" si="16"/>
        <v>0</v>
      </c>
      <c r="BG70" s="814">
        <f t="shared" si="15"/>
        <v>0</v>
      </c>
    </row>
    <row r="71" spans="2:59">
      <c r="B71" s="723" t="s">
        <v>277</v>
      </c>
      <c r="C71" s="807"/>
      <c r="D71" s="805"/>
      <c r="E71" s="808" t="e">
        <v>#DIV/0!</v>
      </c>
      <c r="F71" s="720">
        <f t="shared" si="4"/>
        <v>0</v>
      </c>
      <c r="G71" s="808">
        <v>0</v>
      </c>
      <c r="H71" s="720" t="e">
        <f t="shared" si="5"/>
        <v>#DIV/0!</v>
      </c>
      <c r="I71" s="720" t="e">
        <v>#DIV/0!</v>
      </c>
      <c r="J71" s="720" t="e">
        <v>#DIV/0!</v>
      </c>
      <c r="K71" s="720" t="e">
        <v>#DIV/0!</v>
      </c>
      <c r="L71" s="809" t="e">
        <v>#DIV/0!</v>
      </c>
      <c r="M71" s="807" t="e">
        <f t="shared" si="6"/>
        <v>#DIV/0!</v>
      </c>
      <c r="N71" s="805" t="e">
        <f t="shared" si="7"/>
        <v>#DIV/0!</v>
      </c>
      <c r="O71" s="808" t="e">
        <v>#DIV/0!</v>
      </c>
      <c r="Q71" s="808">
        <v>0</v>
      </c>
      <c r="R71" s="720" t="e">
        <f t="shared" si="9"/>
        <v>#DIV/0!</v>
      </c>
      <c r="S71" s="809" t="e">
        <v>#DIV/0!</v>
      </c>
      <c r="T71" s="720" t="e">
        <v>#DIV/0!</v>
      </c>
      <c r="U71" s="720" t="e">
        <v>#DIV/0!</v>
      </c>
      <c r="V71" s="720" t="e">
        <v>#DIV/0!</v>
      </c>
      <c r="W71" s="807" t="e">
        <f t="shared" si="10"/>
        <v>#DIV/0!</v>
      </c>
      <c r="X71" s="724" t="e">
        <f t="shared" si="11"/>
        <v>#DIV/0!</v>
      </c>
      <c r="Y71" s="810" t="e">
        <v>#DIV/0!</v>
      </c>
      <c r="Z71" s="720">
        <f t="shared" si="35"/>
        <v>0</v>
      </c>
      <c r="AA71" s="808">
        <v>0</v>
      </c>
      <c r="AB71" s="720" t="e">
        <f t="shared" si="12"/>
        <v>#DIV/0!</v>
      </c>
      <c r="AC71" s="720" t="e">
        <v>#DIV/0!</v>
      </c>
      <c r="AD71" s="720" t="e">
        <v>#DIV/0!</v>
      </c>
      <c r="AE71" s="810" t="e">
        <v>#DIV/0!</v>
      </c>
      <c r="AF71" s="720" t="e">
        <v>#DIV/0!</v>
      </c>
      <c r="AG71" s="811" t="e">
        <f t="shared" si="44"/>
        <v>#DIV/0!</v>
      </c>
      <c r="AH71" s="724" t="e">
        <f t="shared" si="45"/>
        <v>#DIV/0!</v>
      </c>
      <c r="AI71" s="812" t="e">
        <v>#DIV/0!</v>
      </c>
      <c r="AJ71" s="720">
        <f t="shared" si="36"/>
        <v>0</v>
      </c>
      <c r="AK71" s="808">
        <v>0</v>
      </c>
      <c r="AL71" s="720" t="e">
        <f t="shared" si="42"/>
        <v>#DIV/0!</v>
      </c>
      <c r="AM71" s="720" t="e">
        <v>#DIV/0!</v>
      </c>
      <c r="AN71" s="720" t="e">
        <v>#DIV/0!</v>
      </c>
      <c r="AO71" s="720" t="e">
        <v>#DIV/0!</v>
      </c>
      <c r="AP71" s="810" t="e">
        <v>#DIV/0!</v>
      </c>
      <c r="AQ71" s="720" t="e">
        <f t="shared" si="13"/>
        <v>#DIV/0!</v>
      </c>
      <c r="AR71" s="720" t="e">
        <v>#DIV/0!</v>
      </c>
      <c r="AS71" s="720" t="e">
        <v>#DIV/0!</v>
      </c>
      <c r="AT71" s="720">
        <f t="shared" si="38"/>
        <v>0</v>
      </c>
      <c r="AU71" s="813">
        <v>0</v>
      </c>
      <c r="AV71" s="720" t="e">
        <f t="shared" si="39"/>
        <v>#DIV/0!</v>
      </c>
      <c r="AW71" s="720" t="e">
        <v>#DIV/0!</v>
      </c>
      <c r="AX71" s="720" t="e">
        <v>#DIV/0!</v>
      </c>
      <c r="AY71" s="809" t="e">
        <v>#DIV/0!</v>
      </c>
      <c r="AZ71" s="812" t="e">
        <v>#DIV/0!</v>
      </c>
      <c r="BD71" s="723"/>
      <c r="BE71" s="723"/>
      <c r="BF71" s="888">
        <f t="shared" si="16"/>
        <v>0</v>
      </c>
      <c r="BG71" s="814">
        <f t="shared" si="15"/>
        <v>0</v>
      </c>
    </row>
    <row r="72" spans="2:59">
      <c r="B72" s="723" t="s">
        <v>278</v>
      </c>
      <c r="C72" s="807"/>
      <c r="D72" s="805"/>
      <c r="E72" s="808" t="e">
        <v>#DIV/0!</v>
      </c>
      <c r="F72" s="720" t="s">
        <v>103</v>
      </c>
      <c r="G72" s="808">
        <v>0</v>
      </c>
      <c r="H72" s="720" t="e">
        <f t="shared" ref="H72:H110" si="46">I72+J72+K72+L72+R72</f>
        <v>#DIV/0!</v>
      </c>
      <c r="I72" s="720" t="e">
        <v>#DIV/0!</v>
      </c>
      <c r="J72" s="720" t="e">
        <v>#DIV/0!</v>
      </c>
      <c r="K72" s="720" t="e">
        <v>#DIV/0!</v>
      </c>
      <c r="L72" s="809" t="e">
        <v>#DIV/0!</v>
      </c>
      <c r="M72" s="807" t="s">
        <v>103</v>
      </c>
      <c r="N72" s="805" t="s">
        <v>103</v>
      </c>
      <c r="O72" s="808">
        <v>0</v>
      </c>
      <c r="Q72" s="808">
        <v>0</v>
      </c>
      <c r="S72" s="809" t="e">
        <v>#DIV/0!</v>
      </c>
      <c r="T72" s="720" t="e">
        <v>#DIV/0!</v>
      </c>
      <c r="U72" s="720" t="e">
        <v>#DIV/0!</v>
      </c>
      <c r="V72" s="720" t="e">
        <v>#DIV/0!</v>
      </c>
      <c r="W72" s="807"/>
      <c r="X72" s="724" t="e">
        <f t="shared" ref="X72:X109" si="47">((Y72/AI72)-1)*100</f>
        <v>#DIV/0!</v>
      </c>
      <c r="Y72" s="810" t="e">
        <v>#DIV/0!</v>
      </c>
      <c r="Z72" s="720">
        <f t="shared" si="35"/>
        <v>0</v>
      </c>
      <c r="AA72" s="808">
        <v>0</v>
      </c>
      <c r="AB72" s="720" t="e">
        <f t="shared" ref="AB72:AB109" si="48">(AC72+AD72+AE72+AF72+AL72)</f>
        <v>#DIV/0!</v>
      </c>
      <c r="AC72" s="720" t="e">
        <v>#DIV/0!</v>
      </c>
      <c r="AD72" s="720" t="e">
        <v>#DIV/0!</v>
      </c>
      <c r="AE72" s="810" t="e">
        <v>#DIV/0!</v>
      </c>
      <c r="AF72" s="720" t="e">
        <v>#DIV/0!</v>
      </c>
      <c r="AG72" s="811" t="e">
        <f t="shared" si="44"/>
        <v>#DIV/0!</v>
      </c>
      <c r="AH72" s="724" t="e">
        <f t="shared" si="45"/>
        <v>#DIV/0!</v>
      </c>
      <c r="AI72" s="812" t="e">
        <v>#DIV/0!</v>
      </c>
      <c r="AJ72" s="720">
        <f t="shared" si="36"/>
        <v>0</v>
      </c>
      <c r="AK72" s="808">
        <v>0</v>
      </c>
      <c r="AL72" s="720" t="e">
        <f t="shared" si="42"/>
        <v>#DIV/0!</v>
      </c>
      <c r="AM72" s="720" t="e">
        <v>#DIV/0!</v>
      </c>
      <c r="AN72" s="720" t="e">
        <v>#DIV/0!</v>
      </c>
      <c r="AO72" s="720" t="e">
        <v>#DIV/0!</v>
      </c>
      <c r="AP72" s="810" t="e">
        <v>#DIV/0!</v>
      </c>
      <c r="AQ72" s="720" t="e">
        <f t="shared" ref="AQ72:AQ109" si="49">AR72*BG72</f>
        <v>#DIV/0!</v>
      </c>
      <c r="AR72" s="720" t="e">
        <v>#DIV/0!</v>
      </c>
      <c r="AS72" s="720" t="e">
        <v>#DIV/0!</v>
      </c>
      <c r="AT72" s="720">
        <f t="shared" si="38"/>
        <v>0</v>
      </c>
      <c r="AU72" s="813">
        <v>0</v>
      </c>
      <c r="AV72" s="720" t="e">
        <f t="shared" si="39"/>
        <v>#DIV/0!</v>
      </c>
      <c r="AW72" s="720" t="e">
        <v>#DIV/0!</v>
      </c>
      <c r="AX72" s="720" t="e">
        <v>#DIV/0!</v>
      </c>
      <c r="AY72" s="809" t="e">
        <v>#DIV/0!</v>
      </c>
      <c r="AZ72" s="812" t="e">
        <v>#DIV/0!</v>
      </c>
      <c r="BD72" s="723"/>
      <c r="BE72" s="723"/>
      <c r="BF72" s="888">
        <f t="shared" si="16"/>
        <v>0</v>
      </c>
      <c r="BG72" s="814">
        <f t="shared" ref="BG72:BG110" si="50">+BF72/$BF$112</f>
        <v>0</v>
      </c>
    </row>
    <row r="73" spans="2:59">
      <c r="B73" s="728" t="s">
        <v>151</v>
      </c>
      <c r="C73" s="807">
        <f>D73*P73</f>
        <v>-0.16183771363820862</v>
      </c>
      <c r="D73" s="805">
        <f>((E73/O73)-1)*100</f>
        <v>-4.8381889160095888</v>
      </c>
      <c r="E73" s="808">
        <v>93.334336713992116</v>
      </c>
      <c r="F73" s="720">
        <f t="shared" ref="F73:F109" si="51">G73/G$112</f>
        <v>3.3124525114534273E-2</v>
      </c>
      <c r="G73" s="808">
        <v>25623</v>
      </c>
      <c r="H73" s="720">
        <f t="shared" si="46"/>
        <v>0.19659406043579625</v>
      </c>
      <c r="I73" s="720">
        <v>1.1621842902728169E-2</v>
      </c>
      <c r="J73" s="720">
        <v>9.6138520005971968E-3</v>
      </c>
      <c r="K73" s="720">
        <v>9.1352293928581921E-3</v>
      </c>
      <c r="L73" s="809">
        <v>9.7602931547536003E-3</v>
      </c>
      <c r="M73" s="807">
        <f>N73*Z73</f>
        <v>0.44560579758495861</v>
      </c>
      <c r="N73" s="805">
        <f t="shared" ref="N73:N109" si="52">((O73/Y73)-1)*100</f>
        <v>12.855432294155268</v>
      </c>
      <c r="O73" s="808">
        <v>98.079613713545911</v>
      </c>
      <c r="P73" s="720">
        <f>Q73/Q$112</f>
        <v>3.3450060848737612E-2</v>
      </c>
      <c r="Q73" s="808">
        <v>26435.276999999998</v>
      </c>
      <c r="R73" s="720">
        <f t="shared" ref="R73:R109" si="53">(S73+T73+U73+V73+AB73)</f>
        <v>0.1564628429848591</v>
      </c>
      <c r="S73" s="809">
        <v>1.0003302206999366E-2</v>
      </c>
      <c r="T73" s="720">
        <v>1.062155583616676E-2</v>
      </c>
      <c r="U73" s="720">
        <v>1.0560095692520779E-2</v>
      </c>
      <c r="V73" s="720">
        <v>1.0223949308255391E-2</v>
      </c>
      <c r="W73" s="807">
        <f t="shared" ref="W73:W109" si="54">X73*AJ73</f>
        <v>0.13366908282142642</v>
      </c>
      <c r="X73" s="724">
        <f t="shared" si="47"/>
        <v>3.8562645579247823</v>
      </c>
      <c r="Y73" s="810">
        <v>86.907304078995054</v>
      </c>
      <c r="Z73" s="720">
        <f t="shared" si="35"/>
        <v>3.4662840376636236E-2</v>
      </c>
      <c r="AA73" s="808">
        <v>23329.063999999998</v>
      </c>
      <c r="AB73" s="720">
        <f t="shared" si="48"/>
        <v>0.11505393994091681</v>
      </c>
      <c r="AC73" s="720">
        <v>1.0136209612329229E-2</v>
      </c>
      <c r="AD73" s="720">
        <v>8.9023030584624626E-3</v>
      </c>
      <c r="AE73" s="810">
        <v>9.293973759572154E-3</v>
      </c>
      <c r="AF73" s="720">
        <v>9.1993350867658145E-3</v>
      </c>
      <c r="AG73" s="811">
        <f t="shared" si="44"/>
        <v>0.17259725734511164</v>
      </c>
      <c r="AH73" s="724">
        <f t="shared" si="45"/>
        <v>4.9730216381211223</v>
      </c>
      <c r="AI73" s="812">
        <v>83.680367716791295</v>
      </c>
      <c r="AJ73" s="720">
        <f t="shared" si="36"/>
        <v>3.4662840376636236E-2</v>
      </c>
      <c r="AK73" s="808">
        <v>23329.063999999998</v>
      </c>
      <c r="AL73" s="720">
        <f t="shared" si="42"/>
        <v>7.7522118423787145E-2</v>
      </c>
      <c r="AM73" s="720">
        <v>9.4893460333428624E-3</v>
      </c>
      <c r="AN73" s="720">
        <v>9.6245051446079057E-3</v>
      </c>
      <c r="AO73" s="720">
        <v>9.3343890885179762E-3</v>
      </c>
      <c r="AP73" s="810">
        <v>8.6657563600715509E-3</v>
      </c>
      <c r="AQ73" s="720">
        <f t="shared" si="49"/>
        <v>0.91847614194262683</v>
      </c>
      <c r="AR73" s="720">
        <v>30.682082446073888</v>
      </c>
      <c r="AS73" s="720">
        <v>79.716070292105073</v>
      </c>
      <c r="AT73" s="720">
        <f t="shared" si="38"/>
        <v>3.4706717546139881E-2</v>
      </c>
      <c r="AU73" s="813">
        <v>22449.66</v>
      </c>
      <c r="AV73" s="720">
        <f t="shared" si="39"/>
        <v>4.0408121797246857E-2</v>
      </c>
      <c r="AW73" s="720">
        <v>9.0189344236531951E-3</v>
      </c>
      <c r="AX73" s="720">
        <v>1.0326601537166297E-2</v>
      </c>
      <c r="AY73" s="809">
        <v>9.8324545302767106E-3</v>
      </c>
      <c r="AZ73" s="812">
        <v>1.1230131306150656E-2</v>
      </c>
      <c r="BD73" s="728">
        <v>292.89999999999998</v>
      </c>
      <c r="BE73" s="728">
        <v>61</v>
      </c>
      <c r="BF73" s="888">
        <f t="shared" ref="BF73:BF110" si="55">BD73*BE73</f>
        <v>17866.899999999998</v>
      </c>
      <c r="BG73" s="814">
        <f t="shared" si="50"/>
        <v>2.9935260866237455E-2</v>
      </c>
    </row>
    <row r="74" spans="2:59">
      <c r="B74" s="723" t="s">
        <v>279</v>
      </c>
      <c r="C74" s="807"/>
      <c r="D74" s="805"/>
      <c r="E74" s="808" t="e">
        <v>#DIV/0!</v>
      </c>
      <c r="F74" s="720">
        <f t="shared" si="51"/>
        <v>0</v>
      </c>
      <c r="G74" s="808">
        <v>0</v>
      </c>
      <c r="H74" s="720" t="e">
        <f t="shared" si="46"/>
        <v>#DIV/0!</v>
      </c>
      <c r="I74" s="720" t="e">
        <v>#DIV/0!</v>
      </c>
      <c r="J74" s="720" t="e">
        <v>#DIV/0!</v>
      </c>
      <c r="K74" s="720" t="e">
        <v>#DIV/0!</v>
      </c>
      <c r="L74" s="809" t="e">
        <v>#DIV/0!</v>
      </c>
      <c r="M74" s="807" t="e">
        <f>N74*Z74</f>
        <v>#DIV/0!</v>
      </c>
      <c r="N74" s="805" t="e">
        <f t="shared" si="52"/>
        <v>#DIV/0!</v>
      </c>
      <c r="O74" s="808" t="e">
        <v>#DIV/0!</v>
      </c>
      <c r="Q74" s="808">
        <v>0</v>
      </c>
      <c r="R74" s="720" t="e">
        <f t="shared" si="53"/>
        <v>#DIV/0!</v>
      </c>
      <c r="S74" s="809" t="e">
        <v>#DIV/0!</v>
      </c>
      <c r="T74" s="720" t="e">
        <v>#DIV/0!</v>
      </c>
      <c r="U74" s="720" t="e">
        <v>#DIV/0!</v>
      </c>
      <c r="V74" s="720" t="e">
        <v>#DIV/0!</v>
      </c>
      <c r="W74" s="807" t="e">
        <f t="shared" si="54"/>
        <v>#DIV/0!</v>
      </c>
      <c r="X74" s="724" t="e">
        <f t="shared" si="47"/>
        <v>#DIV/0!</v>
      </c>
      <c r="Y74" s="810" t="e">
        <v>#DIV/0!</v>
      </c>
      <c r="Z74" s="720">
        <f t="shared" si="35"/>
        <v>0</v>
      </c>
      <c r="AA74" s="808">
        <v>0</v>
      </c>
      <c r="AB74" s="720" t="e">
        <f t="shared" si="48"/>
        <v>#DIV/0!</v>
      </c>
      <c r="AC74" s="720" t="e">
        <v>#DIV/0!</v>
      </c>
      <c r="AD74" s="720" t="e">
        <v>#DIV/0!</v>
      </c>
      <c r="AE74" s="810" t="e">
        <v>#DIV/0!</v>
      </c>
      <c r="AF74" s="720" t="e">
        <v>#DIV/0!</v>
      </c>
      <c r="AG74" s="811" t="e">
        <f t="shared" si="44"/>
        <v>#DIV/0!</v>
      </c>
      <c r="AH74" s="724" t="e">
        <f t="shared" si="45"/>
        <v>#DIV/0!</v>
      </c>
      <c r="AI74" s="812" t="e">
        <v>#DIV/0!</v>
      </c>
      <c r="AJ74" s="720">
        <f t="shared" si="36"/>
        <v>0</v>
      </c>
      <c r="AK74" s="808">
        <v>0</v>
      </c>
      <c r="AL74" s="720" t="e">
        <f t="shared" si="42"/>
        <v>#DIV/0!</v>
      </c>
      <c r="AM74" s="720" t="e">
        <v>#DIV/0!</v>
      </c>
      <c r="AN74" s="720" t="e">
        <v>#DIV/0!</v>
      </c>
      <c r="AO74" s="720" t="e">
        <v>#DIV/0!</v>
      </c>
      <c r="AP74" s="810" t="e">
        <v>#DIV/0!</v>
      </c>
      <c r="AQ74" s="720" t="e">
        <f t="shared" si="49"/>
        <v>#DIV/0!</v>
      </c>
      <c r="AR74" s="720" t="e">
        <v>#DIV/0!</v>
      </c>
      <c r="AS74" s="720" t="e">
        <v>#DIV/0!</v>
      </c>
      <c r="AT74" s="720">
        <f t="shared" si="38"/>
        <v>0</v>
      </c>
      <c r="AU74" s="813">
        <v>0</v>
      </c>
      <c r="AV74" s="720" t="e">
        <f t="shared" si="39"/>
        <v>#DIV/0!</v>
      </c>
      <c r="AW74" s="720" t="e">
        <v>#DIV/0!</v>
      </c>
      <c r="AX74" s="720" t="e">
        <v>#DIV/0!</v>
      </c>
      <c r="AY74" s="809" t="e">
        <v>#DIV/0!</v>
      </c>
      <c r="AZ74" s="812" t="e">
        <v>#DIV/0!</v>
      </c>
      <c r="BD74" s="723"/>
      <c r="BE74" s="723"/>
      <c r="BF74" s="888">
        <f t="shared" si="55"/>
        <v>0</v>
      </c>
      <c r="BG74" s="814">
        <f t="shared" si="50"/>
        <v>0</v>
      </c>
    </row>
    <row r="75" spans="2:59">
      <c r="B75" s="723" t="s">
        <v>280</v>
      </c>
      <c r="C75" s="807"/>
      <c r="D75" s="805"/>
      <c r="E75" s="808" t="e">
        <v>#DIV/0!</v>
      </c>
      <c r="F75" s="720">
        <f t="shared" si="51"/>
        <v>0</v>
      </c>
      <c r="G75" s="808">
        <v>0</v>
      </c>
      <c r="H75" s="720" t="e">
        <f t="shared" si="46"/>
        <v>#DIV/0!</v>
      </c>
      <c r="I75" s="720" t="e">
        <v>#DIV/0!</v>
      </c>
      <c r="J75" s="720" t="e">
        <v>#DIV/0!</v>
      </c>
      <c r="K75" s="720" t="e">
        <v>#DIV/0!</v>
      </c>
      <c r="L75" s="809" t="e">
        <v>#DIV/0!</v>
      </c>
      <c r="M75" s="807" t="e">
        <f>N75*Z75</f>
        <v>#DIV/0!</v>
      </c>
      <c r="N75" s="805" t="e">
        <f t="shared" si="52"/>
        <v>#DIV/0!</v>
      </c>
      <c r="O75" s="808" t="e">
        <v>#DIV/0!</v>
      </c>
      <c r="Q75" s="808">
        <v>0</v>
      </c>
      <c r="R75" s="720" t="e">
        <f t="shared" si="53"/>
        <v>#DIV/0!</v>
      </c>
      <c r="S75" s="809" t="e">
        <v>#DIV/0!</v>
      </c>
      <c r="T75" s="720" t="e">
        <v>#DIV/0!</v>
      </c>
      <c r="U75" s="720" t="e">
        <v>#DIV/0!</v>
      </c>
      <c r="V75" s="720" t="e">
        <v>#DIV/0!</v>
      </c>
      <c r="W75" s="807" t="e">
        <f t="shared" si="54"/>
        <v>#DIV/0!</v>
      </c>
      <c r="X75" s="724" t="e">
        <f t="shared" si="47"/>
        <v>#DIV/0!</v>
      </c>
      <c r="Y75" s="810" t="e">
        <v>#DIV/0!</v>
      </c>
      <c r="Z75" s="720">
        <f t="shared" si="35"/>
        <v>0</v>
      </c>
      <c r="AA75" s="808">
        <v>0</v>
      </c>
      <c r="AB75" s="720" t="e">
        <f t="shared" si="48"/>
        <v>#DIV/0!</v>
      </c>
      <c r="AC75" s="720" t="e">
        <v>#DIV/0!</v>
      </c>
      <c r="AD75" s="720" t="e">
        <v>#DIV/0!</v>
      </c>
      <c r="AE75" s="810" t="e">
        <v>#DIV/0!</v>
      </c>
      <c r="AF75" s="720" t="e">
        <v>#DIV/0!</v>
      </c>
      <c r="AG75" s="811" t="e">
        <f t="shared" si="44"/>
        <v>#DIV/0!</v>
      </c>
      <c r="AH75" s="724" t="e">
        <f t="shared" si="45"/>
        <v>#DIV/0!</v>
      </c>
      <c r="AI75" s="812" t="e">
        <v>#DIV/0!</v>
      </c>
      <c r="AJ75" s="720">
        <f t="shared" si="36"/>
        <v>0</v>
      </c>
      <c r="AK75" s="808">
        <v>0</v>
      </c>
      <c r="AL75" s="720" t="e">
        <f t="shared" si="42"/>
        <v>#DIV/0!</v>
      </c>
      <c r="AM75" s="720" t="e">
        <v>#DIV/0!</v>
      </c>
      <c r="AN75" s="720" t="e">
        <v>#DIV/0!</v>
      </c>
      <c r="AO75" s="720" t="e">
        <v>#DIV/0!</v>
      </c>
      <c r="AP75" s="810" t="e">
        <v>#DIV/0!</v>
      </c>
      <c r="AQ75" s="720" t="e">
        <f t="shared" si="49"/>
        <v>#DIV/0!</v>
      </c>
      <c r="AR75" s="720" t="e">
        <v>#DIV/0!</v>
      </c>
      <c r="AS75" s="720" t="e">
        <v>#DIV/0!</v>
      </c>
      <c r="AT75" s="720">
        <f t="shared" si="38"/>
        <v>0</v>
      </c>
      <c r="AU75" s="813">
        <v>0</v>
      </c>
      <c r="AV75" s="720" t="e">
        <f t="shared" si="39"/>
        <v>#DIV/0!</v>
      </c>
      <c r="AW75" s="720" t="e">
        <v>#DIV/0!</v>
      </c>
      <c r="AX75" s="720" t="e">
        <v>#DIV/0!</v>
      </c>
      <c r="AY75" s="809" t="e">
        <v>#DIV/0!</v>
      </c>
      <c r="AZ75" s="812" t="e">
        <v>#DIV/0!</v>
      </c>
      <c r="BD75" s="723"/>
      <c r="BE75" s="723"/>
      <c r="BF75" s="888">
        <f t="shared" si="55"/>
        <v>0</v>
      </c>
      <c r="BG75" s="814">
        <f t="shared" si="50"/>
        <v>0</v>
      </c>
    </row>
    <row r="76" spans="2:59">
      <c r="B76" s="723" t="s">
        <v>281</v>
      </c>
      <c r="C76" s="807"/>
      <c r="D76" s="805"/>
      <c r="E76" s="808" t="e">
        <v>#DIV/0!</v>
      </c>
      <c r="G76" s="808">
        <v>0</v>
      </c>
      <c r="H76" s="720" t="e">
        <f t="shared" si="46"/>
        <v>#DIV/0!</v>
      </c>
      <c r="I76" s="720" t="e">
        <v>#DIV/0!</v>
      </c>
      <c r="J76" s="720" t="e">
        <v>#DIV/0!</v>
      </c>
      <c r="K76" s="720" t="e">
        <v>#DIV/0!</v>
      </c>
      <c r="L76" s="809" t="e">
        <v>#DIV/0!</v>
      </c>
      <c r="M76" s="807"/>
      <c r="N76" s="805"/>
      <c r="O76" s="808">
        <v>0</v>
      </c>
      <c r="Q76" s="808">
        <v>0</v>
      </c>
      <c r="S76" s="809" t="e">
        <v>#VALUE!</v>
      </c>
      <c r="T76" s="720" t="e">
        <v>#VALUE!</v>
      </c>
      <c r="U76" s="720" t="e">
        <v>#VALUE!</v>
      </c>
      <c r="V76" s="720" t="e">
        <v>#VALUE!</v>
      </c>
      <c r="W76" s="807" t="s">
        <v>103</v>
      </c>
      <c r="X76" s="724" t="s">
        <v>103</v>
      </c>
      <c r="Y76" s="810" t="e">
        <v>#VALUE!</v>
      </c>
      <c r="Z76" s="720">
        <f t="shared" si="35"/>
        <v>0</v>
      </c>
      <c r="AA76" s="808">
        <v>0</v>
      </c>
      <c r="AB76" s="720" t="s">
        <v>103</v>
      </c>
      <c r="AC76" s="720" t="e">
        <v>#DIV/0!</v>
      </c>
      <c r="AD76" s="720" t="e">
        <v>#DIV/0!</v>
      </c>
      <c r="AE76" s="810" t="e">
        <v>#DIV/0!</v>
      </c>
      <c r="AF76" s="720" t="e">
        <v>#DIV/0!</v>
      </c>
      <c r="AG76" s="811"/>
      <c r="AH76" s="724"/>
      <c r="AI76" s="812" t="e">
        <v>#DIV/0!</v>
      </c>
      <c r="AJ76" s="720">
        <f t="shared" si="36"/>
        <v>0</v>
      </c>
      <c r="AK76" s="808">
        <v>0</v>
      </c>
      <c r="AL76" s="720" t="e">
        <f t="shared" si="42"/>
        <v>#DIV/0!</v>
      </c>
      <c r="AM76" s="720" t="e">
        <v>#DIV/0!</v>
      </c>
      <c r="AN76" s="720" t="e">
        <v>#DIV/0!</v>
      </c>
      <c r="AO76" s="720" t="e">
        <v>#DIV/0!</v>
      </c>
      <c r="AP76" s="810" t="e">
        <v>#DIV/0!</v>
      </c>
      <c r="AQ76" s="720" t="e">
        <f t="shared" si="49"/>
        <v>#DIV/0!</v>
      </c>
      <c r="AR76" s="720" t="e">
        <v>#DIV/0!</v>
      </c>
      <c r="AS76" s="720" t="e">
        <v>#DIV/0!</v>
      </c>
      <c r="AT76" s="720">
        <f t="shared" si="38"/>
        <v>0</v>
      </c>
      <c r="AU76" s="813">
        <v>0</v>
      </c>
      <c r="AV76" s="720" t="e">
        <f t="shared" si="39"/>
        <v>#DIV/0!</v>
      </c>
      <c r="AW76" s="720" t="e">
        <v>#DIV/0!</v>
      </c>
      <c r="AX76" s="720" t="e">
        <v>#DIV/0!</v>
      </c>
      <c r="AY76" s="809" t="e">
        <v>#DIV/0!</v>
      </c>
      <c r="AZ76" s="812" t="e">
        <v>#DIV/0!</v>
      </c>
      <c r="BD76" s="723"/>
      <c r="BE76" s="723"/>
      <c r="BF76" s="888">
        <f t="shared" si="55"/>
        <v>0</v>
      </c>
      <c r="BG76" s="814">
        <f t="shared" si="50"/>
        <v>0</v>
      </c>
    </row>
    <row r="77" spans="2:59">
      <c r="B77" s="723" t="s">
        <v>282</v>
      </c>
      <c r="C77" s="807"/>
      <c r="D77" s="805"/>
      <c r="E77" s="808" t="e">
        <v>#DIV/0!</v>
      </c>
      <c r="G77" s="808">
        <v>0</v>
      </c>
      <c r="H77" s="720" t="e">
        <f t="shared" si="46"/>
        <v>#DIV/0!</v>
      </c>
      <c r="I77" s="720" t="e">
        <v>#DIV/0!</v>
      </c>
      <c r="J77" s="720" t="e">
        <v>#DIV/0!</v>
      </c>
      <c r="K77" s="720" t="e">
        <v>#DIV/0!</v>
      </c>
      <c r="L77" s="809" t="e">
        <v>#DIV/0!</v>
      </c>
      <c r="M77" s="807"/>
      <c r="N77" s="805"/>
      <c r="O77" s="808" t="e">
        <v>#DIV/0!</v>
      </c>
      <c r="Q77" s="808">
        <v>0</v>
      </c>
      <c r="R77" s="720" t="e">
        <f t="shared" si="53"/>
        <v>#DIV/0!</v>
      </c>
      <c r="S77" s="809" t="e">
        <v>#DIV/0!</v>
      </c>
      <c r="T77" s="720" t="e">
        <v>#DIV/0!</v>
      </c>
      <c r="U77" s="720" t="e">
        <v>#DIV/0!</v>
      </c>
      <c r="V77" s="720" t="e">
        <v>#DIV/0!</v>
      </c>
      <c r="W77" s="807" t="e">
        <f t="shared" si="54"/>
        <v>#DIV/0!</v>
      </c>
      <c r="X77" s="724" t="e">
        <f t="shared" si="47"/>
        <v>#DIV/0!</v>
      </c>
      <c r="Y77" s="810" t="e">
        <v>#DIV/0!</v>
      </c>
      <c r="Z77" s="720">
        <f t="shared" si="35"/>
        <v>0</v>
      </c>
      <c r="AA77" s="808">
        <v>0</v>
      </c>
      <c r="AB77" s="720" t="e">
        <f t="shared" si="48"/>
        <v>#DIV/0!</v>
      </c>
      <c r="AC77" s="720" t="e">
        <v>#DIV/0!</v>
      </c>
      <c r="AD77" s="720" t="e">
        <v>#DIV/0!</v>
      </c>
      <c r="AE77" s="810" t="e">
        <v>#DIV/0!</v>
      </c>
      <c r="AF77" s="720" t="e">
        <v>#DIV/0!</v>
      </c>
      <c r="AG77" s="811" t="e">
        <f>AH77*AT77</f>
        <v>#DIV/0!</v>
      </c>
      <c r="AH77" s="724" t="e">
        <f>((AI77/AS77)-1)*100</f>
        <v>#DIV/0!</v>
      </c>
      <c r="AI77" s="812" t="e">
        <v>#DIV/0!</v>
      </c>
      <c r="AJ77" s="720">
        <f t="shared" si="36"/>
        <v>0</v>
      </c>
      <c r="AK77" s="808">
        <v>0</v>
      </c>
      <c r="AL77" s="720" t="e">
        <f t="shared" si="42"/>
        <v>#DIV/0!</v>
      </c>
      <c r="AM77" s="720" t="e">
        <v>#DIV/0!</v>
      </c>
      <c r="AN77" s="720" t="e">
        <v>#DIV/0!</v>
      </c>
      <c r="AO77" s="720" t="e">
        <v>#DIV/0!</v>
      </c>
      <c r="AP77" s="810" t="e">
        <v>#DIV/0!</v>
      </c>
      <c r="AQ77" s="720" t="e">
        <f t="shared" si="49"/>
        <v>#DIV/0!</v>
      </c>
      <c r="AR77" s="720" t="e">
        <v>#DIV/0!</v>
      </c>
      <c r="AS77" s="720" t="e">
        <v>#DIV/0!</v>
      </c>
      <c r="AT77" s="720">
        <f t="shared" si="38"/>
        <v>0</v>
      </c>
      <c r="AU77" s="813">
        <v>0</v>
      </c>
      <c r="AV77" s="720" t="e">
        <f t="shared" si="39"/>
        <v>#DIV/0!</v>
      </c>
      <c r="AW77" s="720" t="e">
        <v>#DIV/0!</v>
      </c>
      <c r="AX77" s="720" t="e">
        <v>#DIV/0!</v>
      </c>
      <c r="AY77" s="809" t="e">
        <v>#DIV/0!</v>
      </c>
      <c r="AZ77" s="812" t="e">
        <v>#DIV/0!</v>
      </c>
      <c r="BD77" s="723"/>
      <c r="BE77" s="723"/>
      <c r="BF77" s="888">
        <f t="shared" si="55"/>
        <v>0</v>
      </c>
      <c r="BG77" s="814">
        <f t="shared" si="50"/>
        <v>0</v>
      </c>
    </row>
    <row r="78" spans="2:59">
      <c r="B78" s="723" t="s">
        <v>283</v>
      </c>
      <c r="C78" s="807"/>
      <c r="D78" s="805"/>
      <c r="E78" s="808" t="e">
        <v>#DIV/0!</v>
      </c>
      <c r="G78" s="808">
        <v>0</v>
      </c>
      <c r="H78" s="720" t="e">
        <f t="shared" si="46"/>
        <v>#DIV/0!</v>
      </c>
      <c r="I78" s="720" t="e">
        <v>#DIV/0!</v>
      </c>
      <c r="J78" s="720" t="e">
        <v>#DIV/0!</v>
      </c>
      <c r="K78" s="720" t="e">
        <v>#DIV/0!</v>
      </c>
      <c r="L78" s="809" t="e">
        <v>#DIV/0!</v>
      </c>
      <c r="M78" s="807"/>
      <c r="N78" s="805"/>
      <c r="O78" s="808">
        <v>0</v>
      </c>
      <c r="Q78" s="808">
        <v>0</v>
      </c>
      <c r="S78" s="809" t="e">
        <v>#VALUE!</v>
      </c>
      <c r="T78" s="720" t="e">
        <v>#VALUE!</v>
      </c>
      <c r="U78" s="720" t="e">
        <v>#VALUE!</v>
      </c>
      <c r="V78" s="720" t="e">
        <v>#VALUE!</v>
      </c>
      <c r="W78" s="807" t="s">
        <v>103</v>
      </c>
      <c r="X78" s="724" t="s">
        <v>103</v>
      </c>
      <c r="Y78" s="810" t="e">
        <v>#VALUE!</v>
      </c>
      <c r="Z78" s="720">
        <f t="shared" si="35"/>
        <v>0</v>
      </c>
      <c r="AA78" s="808">
        <v>0</v>
      </c>
      <c r="AB78" s="720" t="s">
        <v>103</v>
      </c>
      <c r="AC78" s="720" t="e">
        <v>#DIV/0!</v>
      </c>
      <c r="AD78" s="720" t="e">
        <v>#DIV/0!</v>
      </c>
      <c r="AE78" s="810" t="e">
        <v>#DIV/0!</v>
      </c>
      <c r="AF78" s="720" t="e">
        <v>#DIV/0!</v>
      </c>
      <c r="AG78" s="811"/>
      <c r="AH78" s="724"/>
      <c r="AI78" s="812" t="e">
        <v>#DIV/0!</v>
      </c>
      <c r="AJ78" s="720">
        <f t="shared" si="36"/>
        <v>0</v>
      </c>
      <c r="AK78" s="808">
        <v>0</v>
      </c>
      <c r="AL78" s="720" t="e">
        <f t="shared" si="42"/>
        <v>#DIV/0!</v>
      </c>
      <c r="AM78" s="720" t="e">
        <v>#DIV/0!</v>
      </c>
      <c r="AN78" s="720" t="e">
        <v>#DIV/0!</v>
      </c>
      <c r="AO78" s="720" t="e">
        <v>#DIV/0!</v>
      </c>
      <c r="AP78" s="810" t="e">
        <v>#DIV/0!</v>
      </c>
      <c r="AQ78" s="720" t="e">
        <f t="shared" si="49"/>
        <v>#DIV/0!</v>
      </c>
      <c r="AR78" s="720" t="e">
        <v>#DIV/0!</v>
      </c>
      <c r="AS78" s="720" t="e">
        <v>#DIV/0!</v>
      </c>
      <c r="AT78" s="720">
        <f t="shared" si="38"/>
        <v>0</v>
      </c>
      <c r="AU78" s="813">
        <v>0</v>
      </c>
      <c r="AV78" s="720" t="e">
        <f t="shared" si="39"/>
        <v>#DIV/0!</v>
      </c>
      <c r="AW78" s="720" t="e">
        <v>#DIV/0!</v>
      </c>
      <c r="AX78" s="720" t="e">
        <v>#DIV/0!</v>
      </c>
      <c r="AY78" s="809" t="e">
        <v>#DIV/0!</v>
      </c>
      <c r="AZ78" s="812" t="e">
        <v>#DIV/0!</v>
      </c>
      <c r="BD78" s="723"/>
      <c r="BE78" s="723"/>
      <c r="BF78" s="888">
        <f t="shared" si="55"/>
        <v>0</v>
      </c>
      <c r="BG78" s="814">
        <f t="shared" si="50"/>
        <v>0</v>
      </c>
    </row>
    <row r="79" spans="2:59">
      <c r="B79" s="723" t="s">
        <v>284</v>
      </c>
      <c r="C79" s="807"/>
      <c r="D79" s="805"/>
      <c r="E79" s="808" t="e">
        <v>#DIV/0!</v>
      </c>
      <c r="G79" s="808">
        <v>0</v>
      </c>
      <c r="H79" s="720" t="e">
        <f t="shared" si="46"/>
        <v>#DIV/0!</v>
      </c>
      <c r="I79" s="720" t="e">
        <v>#DIV/0!</v>
      </c>
      <c r="J79" s="720" t="e">
        <v>#DIV/0!</v>
      </c>
      <c r="K79" s="720" t="e">
        <v>#DIV/0!</v>
      </c>
      <c r="L79" s="809" t="e">
        <v>#DIV/0!</v>
      </c>
      <c r="M79" s="807"/>
      <c r="N79" s="805"/>
      <c r="O79" s="808">
        <v>0</v>
      </c>
      <c r="Q79" s="808">
        <v>0</v>
      </c>
      <c r="S79" s="809" t="e">
        <v>#DIV/0!</v>
      </c>
      <c r="T79" s="720" t="e">
        <v>#DIV/0!</v>
      </c>
      <c r="U79" s="720" t="e">
        <v>#DIV/0!</v>
      </c>
      <c r="V79" s="720" t="e">
        <v>#DIV/0!</v>
      </c>
      <c r="W79" s="807"/>
      <c r="X79" s="724"/>
      <c r="Y79" s="810">
        <v>0</v>
      </c>
      <c r="AA79" s="808">
        <v>0</v>
      </c>
      <c r="AC79" s="720" t="e">
        <v>#DIV/0!</v>
      </c>
      <c r="AD79" s="720" t="e">
        <v>#DIV/0!</v>
      </c>
      <c r="AE79" s="810" t="e">
        <v>#DIV/0!</v>
      </c>
      <c r="AF79" s="720" t="e">
        <v>#DIV/0!</v>
      </c>
      <c r="AG79" s="811">
        <f t="shared" ref="AG79:AG109" si="56">AH79*AT79</f>
        <v>0</v>
      </c>
      <c r="AH79" s="724"/>
      <c r="AI79" s="812">
        <v>0</v>
      </c>
      <c r="AK79" s="808">
        <v>0</v>
      </c>
      <c r="AM79" s="720" t="e">
        <v>#DIV/0!</v>
      </c>
      <c r="AN79" s="720" t="e">
        <v>#DIV/0!</v>
      </c>
      <c r="AO79" s="720" t="e">
        <v>#DIV/0!</v>
      </c>
      <c r="AP79" s="810" t="e">
        <v>#DIV/0!</v>
      </c>
      <c r="AQ79" s="720" t="e">
        <f t="shared" si="49"/>
        <v>#DIV/0!</v>
      </c>
      <c r="AR79" s="720" t="e">
        <v>#DIV/0!</v>
      </c>
      <c r="AS79" s="720">
        <v>0</v>
      </c>
      <c r="AU79" s="813">
        <v>0</v>
      </c>
      <c r="AW79" s="720" t="e">
        <v>#DIV/0!</v>
      </c>
      <c r="AX79" s="720" t="e">
        <v>#DIV/0!</v>
      </c>
      <c r="AY79" s="809" t="e">
        <v>#DIV/0!</v>
      </c>
      <c r="AZ79" s="812" t="e">
        <v>#DIV/0!</v>
      </c>
      <c r="BD79" s="723"/>
      <c r="BE79" s="723"/>
      <c r="BF79" s="888">
        <f t="shared" si="55"/>
        <v>0</v>
      </c>
      <c r="BG79" s="814">
        <f t="shared" si="50"/>
        <v>0</v>
      </c>
    </row>
    <row r="80" spans="2:59">
      <c r="B80" s="723" t="s">
        <v>285</v>
      </c>
      <c r="C80" s="807"/>
      <c r="D80" s="805"/>
      <c r="E80" s="808" t="e">
        <v>#DIV/0!</v>
      </c>
      <c r="G80" s="808">
        <v>0</v>
      </c>
      <c r="H80" s="720" t="e">
        <f t="shared" si="46"/>
        <v>#DIV/0!</v>
      </c>
      <c r="I80" s="720" t="e">
        <v>#DIV/0!</v>
      </c>
      <c r="J80" s="720" t="e">
        <v>#DIV/0!</v>
      </c>
      <c r="K80" s="720" t="e">
        <v>#DIV/0!</v>
      </c>
      <c r="L80" s="809" t="e">
        <v>#DIV/0!</v>
      </c>
      <c r="M80" s="807" t="e">
        <f>N80*Z80</f>
        <v>#DIV/0!</v>
      </c>
      <c r="N80" s="805" t="e">
        <f t="shared" si="52"/>
        <v>#DIV/0!</v>
      </c>
      <c r="O80" s="808" t="e">
        <v>#DIV/0!</v>
      </c>
      <c r="Q80" s="808">
        <v>0</v>
      </c>
      <c r="R80" s="720" t="e">
        <f t="shared" si="53"/>
        <v>#DIV/0!</v>
      </c>
      <c r="S80" s="809" t="e">
        <v>#DIV/0!</v>
      </c>
      <c r="T80" s="720" t="e">
        <v>#DIV/0!</v>
      </c>
      <c r="U80" s="720" t="e">
        <v>#DIV/0!</v>
      </c>
      <c r="V80" s="720" t="e">
        <v>#DIV/0!</v>
      </c>
      <c r="W80" s="807" t="e">
        <f t="shared" si="54"/>
        <v>#DIV/0!</v>
      </c>
      <c r="X80" s="724" t="e">
        <f t="shared" si="47"/>
        <v>#DIV/0!</v>
      </c>
      <c r="Y80" s="810" t="e">
        <v>#DIV/0!</v>
      </c>
      <c r="Z80" s="720">
        <f t="shared" si="35"/>
        <v>0</v>
      </c>
      <c r="AA80" s="808">
        <v>0</v>
      </c>
      <c r="AB80" s="720" t="e">
        <f t="shared" si="48"/>
        <v>#DIV/0!</v>
      </c>
      <c r="AC80" s="720" t="e">
        <v>#DIV/0!</v>
      </c>
      <c r="AD80" s="720" t="e">
        <v>#DIV/0!</v>
      </c>
      <c r="AE80" s="810" t="e">
        <v>#DIV/0!</v>
      </c>
      <c r="AF80" s="720" t="e">
        <v>#DIV/0!</v>
      </c>
      <c r="AG80" s="811" t="e">
        <f t="shared" si="56"/>
        <v>#DIV/0!</v>
      </c>
      <c r="AH80" s="724" t="e">
        <f t="shared" ref="AH80:AH109" si="57">((AI80/AS80)-1)*100</f>
        <v>#DIV/0!</v>
      </c>
      <c r="AI80" s="812" t="e">
        <v>#DIV/0!</v>
      </c>
      <c r="AJ80" s="720">
        <f t="shared" ref="AJ80:AJ109" si="58">AK80/$AK$112</f>
        <v>0</v>
      </c>
      <c r="AK80" s="808">
        <v>0</v>
      </c>
      <c r="AL80" s="720" t="e">
        <f t="shared" ref="AL80:AL109" si="59">AM80+AN80+AO80+AP80+AV80</f>
        <v>#DIV/0!</v>
      </c>
      <c r="AM80" s="720" t="e">
        <v>#DIV/0!</v>
      </c>
      <c r="AN80" s="720" t="e">
        <v>#DIV/0!</v>
      </c>
      <c r="AO80" s="720" t="e">
        <v>#DIV/0!</v>
      </c>
      <c r="AP80" s="810" t="e">
        <v>#DIV/0!</v>
      </c>
      <c r="AQ80" s="720" t="e">
        <f t="shared" si="49"/>
        <v>#DIV/0!</v>
      </c>
      <c r="AR80" s="720" t="e">
        <v>#DIV/0!</v>
      </c>
      <c r="AS80" s="720" t="e">
        <v>#DIV/0!</v>
      </c>
      <c r="AT80" s="720">
        <f t="shared" ref="AT80:AT109" si="60">AU80/$AU$112</f>
        <v>0</v>
      </c>
      <c r="AU80" s="813">
        <v>0</v>
      </c>
      <c r="AV80" s="720" t="e">
        <f t="shared" ref="AV80:AV109" si="61">AW80+AX80+AY80+AZ80</f>
        <v>#DIV/0!</v>
      </c>
      <c r="AW80" s="720" t="e">
        <v>#DIV/0!</v>
      </c>
      <c r="AX80" s="720" t="e">
        <v>#DIV/0!</v>
      </c>
      <c r="AY80" s="809" t="e">
        <v>#DIV/0!</v>
      </c>
      <c r="AZ80" s="812" t="e">
        <v>#DIV/0!</v>
      </c>
      <c r="BD80" s="723"/>
      <c r="BE80" s="723"/>
      <c r="BF80" s="888">
        <f t="shared" si="55"/>
        <v>0</v>
      </c>
      <c r="BG80" s="814">
        <f t="shared" si="50"/>
        <v>0</v>
      </c>
    </row>
    <row r="81" spans="2:59">
      <c r="B81" s="723" t="s">
        <v>286</v>
      </c>
      <c r="C81" s="807"/>
      <c r="D81" s="805"/>
      <c r="E81" s="808" t="e">
        <v>#DIV/0!</v>
      </c>
      <c r="F81" s="720">
        <f t="shared" si="51"/>
        <v>0</v>
      </c>
      <c r="G81" s="808">
        <v>0</v>
      </c>
      <c r="H81" s="720" t="e">
        <f t="shared" si="46"/>
        <v>#DIV/0!</v>
      </c>
      <c r="I81" s="720" t="e">
        <v>#DIV/0!</v>
      </c>
      <c r="J81" s="720" t="e">
        <v>#DIV/0!</v>
      </c>
      <c r="K81" s="720" t="e">
        <v>#DIV/0!</v>
      </c>
      <c r="L81" s="809" t="e">
        <v>#DIV/0!</v>
      </c>
      <c r="M81" s="807" t="e">
        <f>N81*Z81</f>
        <v>#DIV/0!</v>
      </c>
      <c r="N81" s="805" t="e">
        <f t="shared" si="52"/>
        <v>#DIV/0!</v>
      </c>
      <c r="O81" s="808" t="e">
        <v>#DIV/0!</v>
      </c>
      <c r="Q81" s="808">
        <v>0</v>
      </c>
      <c r="R81" s="720" t="e">
        <f t="shared" si="53"/>
        <v>#DIV/0!</v>
      </c>
      <c r="S81" s="809" t="e">
        <v>#DIV/0!</v>
      </c>
      <c r="T81" s="720" t="e">
        <v>#DIV/0!</v>
      </c>
      <c r="U81" s="720" t="e">
        <v>#DIV/0!</v>
      </c>
      <c r="V81" s="720" t="e">
        <v>#DIV/0!</v>
      </c>
      <c r="W81" s="807" t="e">
        <f t="shared" si="54"/>
        <v>#DIV/0!</v>
      </c>
      <c r="X81" s="724" t="e">
        <f t="shared" si="47"/>
        <v>#DIV/0!</v>
      </c>
      <c r="Y81" s="810" t="e">
        <v>#DIV/0!</v>
      </c>
      <c r="Z81" s="720">
        <f t="shared" si="35"/>
        <v>0</v>
      </c>
      <c r="AA81" s="808">
        <v>0</v>
      </c>
      <c r="AB81" s="720" t="e">
        <f t="shared" si="48"/>
        <v>#DIV/0!</v>
      </c>
      <c r="AC81" s="720" t="e">
        <v>#DIV/0!</v>
      </c>
      <c r="AD81" s="720" t="e">
        <v>#DIV/0!</v>
      </c>
      <c r="AE81" s="810" t="e">
        <v>#DIV/0!</v>
      </c>
      <c r="AF81" s="720" t="e">
        <v>#DIV/0!</v>
      </c>
      <c r="AG81" s="811" t="e">
        <f t="shared" si="56"/>
        <v>#DIV/0!</v>
      </c>
      <c r="AH81" s="724" t="e">
        <f t="shared" si="57"/>
        <v>#DIV/0!</v>
      </c>
      <c r="AI81" s="812" t="e">
        <v>#DIV/0!</v>
      </c>
      <c r="AJ81" s="720">
        <f t="shared" si="58"/>
        <v>0</v>
      </c>
      <c r="AK81" s="808">
        <v>0</v>
      </c>
      <c r="AL81" s="720" t="e">
        <f t="shared" si="59"/>
        <v>#DIV/0!</v>
      </c>
      <c r="AM81" s="720" t="e">
        <v>#DIV/0!</v>
      </c>
      <c r="AN81" s="720" t="e">
        <v>#DIV/0!</v>
      </c>
      <c r="AO81" s="720" t="e">
        <v>#DIV/0!</v>
      </c>
      <c r="AP81" s="810" t="e">
        <v>#DIV/0!</v>
      </c>
      <c r="AQ81" s="720" t="e">
        <f t="shared" si="49"/>
        <v>#DIV/0!</v>
      </c>
      <c r="AR81" s="720" t="e">
        <v>#DIV/0!</v>
      </c>
      <c r="AS81" s="720" t="e">
        <v>#DIV/0!</v>
      </c>
      <c r="AT81" s="720">
        <f t="shared" si="60"/>
        <v>0</v>
      </c>
      <c r="AU81" s="813">
        <v>0</v>
      </c>
      <c r="AV81" s="720" t="e">
        <f t="shared" si="61"/>
        <v>#DIV/0!</v>
      </c>
      <c r="AW81" s="720" t="e">
        <v>#DIV/0!</v>
      </c>
      <c r="AX81" s="720" t="e">
        <v>#DIV/0!</v>
      </c>
      <c r="AY81" s="809" t="e">
        <v>#DIV/0!</v>
      </c>
      <c r="AZ81" s="812" t="e">
        <v>#DIV/0!</v>
      </c>
      <c r="BD81" s="723"/>
      <c r="BE81" s="723"/>
      <c r="BF81" s="888">
        <f t="shared" si="55"/>
        <v>0</v>
      </c>
      <c r="BG81" s="814">
        <f t="shared" si="50"/>
        <v>0</v>
      </c>
    </row>
    <row r="82" spans="2:59">
      <c r="B82" s="728" t="s">
        <v>152</v>
      </c>
      <c r="C82" s="807">
        <f>D82*P82</f>
        <v>-5.5037596948057446E-3</v>
      </c>
      <c r="D82" s="805">
        <f>((E82/O82)-1)*100</f>
        <v>-1.8458668017744317</v>
      </c>
      <c r="E82" s="808">
        <v>72.847940621576626</v>
      </c>
      <c r="F82" s="720">
        <f t="shared" si="51"/>
        <v>2.9342074335881449E-3</v>
      </c>
      <c r="G82" s="808">
        <v>2269.71396</v>
      </c>
      <c r="H82" s="720">
        <f t="shared" si="46"/>
        <v>0.11269192945741005</v>
      </c>
      <c r="I82" s="720">
        <v>5.9588120343915382E-3</v>
      </c>
      <c r="J82" s="720">
        <v>4.9275117482915657E-3</v>
      </c>
      <c r="K82" s="720">
        <v>4.8413659010918524E-3</v>
      </c>
      <c r="L82" s="809">
        <v>5.0427409122293983E-3</v>
      </c>
      <c r="M82" s="807">
        <f>N82*Z82</f>
        <v>7.9427073620066679E-2</v>
      </c>
      <c r="N82" s="805">
        <f t="shared" si="52"/>
        <v>23.72245244225628</v>
      </c>
      <c r="O82" s="808">
        <v>74.217904277609748</v>
      </c>
      <c r="P82" s="720">
        <f>Q82/Q$112</f>
        <v>2.9816667646414036E-3</v>
      </c>
      <c r="Q82" s="808">
        <v>2356.3839600000001</v>
      </c>
      <c r="R82" s="720">
        <f t="shared" si="53"/>
        <v>9.1921498861405687E-2</v>
      </c>
      <c r="S82" s="809">
        <v>5.3950665134242133E-3</v>
      </c>
      <c r="T82" s="720">
        <v>6.0815567961763559E-3</v>
      </c>
      <c r="U82" s="720">
        <v>5.681014925004624E-3</v>
      </c>
      <c r="V82" s="720">
        <v>5.4694283017419736E-3</v>
      </c>
      <c r="W82" s="807">
        <f t="shared" si="54"/>
        <v>-3.9836476442630331E-2</v>
      </c>
      <c r="X82" s="724">
        <f t="shared" si="47"/>
        <v>-11.897944552228957</v>
      </c>
      <c r="Y82" s="810">
        <v>59.987417653435791</v>
      </c>
      <c r="Z82" s="720">
        <f t="shared" si="35"/>
        <v>3.3481813827387001E-3</v>
      </c>
      <c r="AA82" s="808">
        <v>2253.42</v>
      </c>
      <c r="AB82" s="720">
        <f t="shared" si="48"/>
        <v>6.9294432325058525E-2</v>
      </c>
      <c r="AC82" s="720">
        <v>6.1118783184869749E-3</v>
      </c>
      <c r="AD82" s="720">
        <v>5.4062260817079009E-3</v>
      </c>
      <c r="AE82" s="810">
        <v>5.2544628712044156E-3</v>
      </c>
      <c r="AF82" s="720">
        <v>5.0056137880988326E-3</v>
      </c>
      <c r="AG82" s="811">
        <f t="shared" si="56"/>
        <v>7.5390387478164317E-2</v>
      </c>
      <c r="AH82" s="724">
        <f t="shared" si="57"/>
        <v>26.921367673387287</v>
      </c>
      <c r="AI82" s="812">
        <v>68.088556332261433</v>
      </c>
      <c r="AJ82" s="720">
        <f t="shared" si="58"/>
        <v>3.3481813827387001E-3</v>
      </c>
      <c r="AK82" s="808">
        <v>2253.42</v>
      </c>
      <c r="AL82" s="720">
        <f t="shared" si="59"/>
        <v>4.7516251265560402E-2</v>
      </c>
      <c r="AM82" s="720">
        <v>4.9322244346232799E-3</v>
      </c>
      <c r="AN82" s="720">
        <v>4.8865539496324838E-3</v>
      </c>
      <c r="AO82" s="720">
        <v>5.6160861162670161E-3</v>
      </c>
      <c r="AP82" s="810">
        <v>5.3588666566168446E-3</v>
      </c>
      <c r="AQ82" s="720">
        <f t="shared" si="49"/>
        <v>5.417136254543254E-2</v>
      </c>
      <c r="AR82" s="720">
        <v>21.042986632818096</v>
      </c>
      <c r="AS82" s="720">
        <v>53.646251675664978</v>
      </c>
      <c r="AT82" s="720">
        <f t="shared" si="60"/>
        <v>2.8003921789118594E-3</v>
      </c>
      <c r="AU82" s="813">
        <v>1811.403</v>
      </c>
      <c r="AV82" s="720">
        <f t="shared" si="61"/>
        <v>2.6722520108420779E-2</v>
      </c>
      <c r="AW82" s="720">
        <v>5.7642619360925703E-3</v>
      </c>
      <c r="AX82" s="720">
        <v>6.4499986328479895E-3</v>
      </c>
      <c r="AY82" s="809">
        <v>7.2141722686307509E-3</v>
      </c>
      <c r="AZ82" s="812">
        <v>7.2940872708494708E-3</v>
      </c>
      <c r="BD82" s="728">
        <v>34.667999999999999</v>
      </c>
      <c r="BE82" s="728">
        <v>44.32</v>
      </c>
      <c r="BF82" s="888">
        <f t="shared" si="55"/>
        <v>1536.48576</v>
      </c>
      <c r="BG82" s="814">
        <f t="shared" si="50"/>
        <v>2.5743191064403516E-3</v>
      </c>
    </row>
    <row r="83" spans="2:59">
      <c r="B83" s="723" t="s">
        <v>287</v>
      </c>
      <c r="C83" s="807"/>
      <c r="D83" s="805"/>
      <c r="E83" s="808" t="e">
        <v>#VALUE!</v>
      </c>
      <c r="G83" s="808">
        <v>0</v>
      </c>
      <c r="H83" s="720" t="e">
        <f t="shared" si="46"/>
        <v>#VALUE!</v>
      </c>
      <c r="I83" s="720" t="e">
        <v>#VALUE!</v>
      </c>
      <c r="J83" s="720" t="e">
        <v>#VALUE!</v>
      </c>
      <c r="K83" s="720" t="e">
        <v>#VALUE!</v>
      </c>
      <c r="L83" s="809" t="e">
        <v>#VALUE!</v>
      </c>
      <c r="M83" s="807" t="s">
        <v>103</v>
      </c>
      <c r="N83" s="805" t="s">
        <v>103</v>
      </c>
      <c r="O83" s="808" t="e">
        <v>#VALUE!</v>
      </c>
      <c r="Q83" s="808">
        <v>0</v>
      </c>
      <c r="R83" s="720" t="s">
        <v>103</v>
      </c>
      <c r="S83" s="809" t="e">
        <v>#DIV/0!</v>
      </c>
      <c r="T83" s="720" t="e">
        <v>#DIV/0!</v>
      </c>
      <c r="U83" s="720" t="e">
        <v>#DIV/0!</v>
      </c>
      <c r="V83" s="720" t="e">
        <v>#DIV/0!</v>
      </c>
      <c r="W83" s="807"/>
      <c r="X83" s="724" t="e">
        <f t="shared" si="47"/>
        <v>#DIV/0!</v>
      </c>
      <c r="Y83" s="810" t="e">
        <v>#DIV/0!</v>
      </c>
      <c r="Z83" s="720">
        <f t="shared" si="35"/>
        <v>0</v>
      </c>
      <c r="AA83" s="808">
        <v>0</v>
      </c>
      <c r="AB83" s="720" t="e">
        <f t="shared" si="48"/>
        <v>#DIV/0!</v>
      </c>
      <c r="AC83" s="720" t="e">
        <v>#DIV/0!</v>
      </c>
      <c r="AD83" s="720" t="e">
        <v>#DIV/0!</v>
      </c>
      <c r="AE83" s="810" t="e">
        <v>#DIV/0!</v>
      </c>
      <c r="AF83" s="720" t="e">
        <v>#DIV/0!</v>
      </c>
      <c r="AG83" s="811" t="e">
        <f t="shared" si="56"/>
        <v>#DIV/0!</v>
      </c>
      <c r="AH83" s="724" t="e">
        <f t="shared" si="57"/>
        <v>#DIV/0!</v>
      </c>
      <c r="AI83" s="812" t="e">
        <v>#DIV/0!</v>
      </c>
      <c r="AJ83" s="720">
        <f t="shared" si="58"/>
        <v>0</v>
      </c>
      <c r="AK83" s="808">
        <v>0</v>
      </c>
      <c r="AL83" s="720" t="e">
        <f t="shared" si="59"/>
        <v>#DIV/0!</v>
      </c>
      <c r="AM83" s="720" t="e">
        <v>#DIV/0!</v>
      </c>
      <c r="AN83" s="720" t="e">
        <v>#DIV/0!</v>
      </c>
      <c r="AO83" s="720" t="e">
        <v>#DIV/0!</v>
      </c>
      <c r="AP83" s="810" t="e">
        <v>#DIV/0!</v>
      </c>
      <c r="AQ83" s="720" t="e">
        <f t="shared" si="49"/>
        <v>#DIV/0!</v>
      </c>
      <c r="AR83" s="720" t="e">
        <v>#DIV/0!</v>
      </c>
      <c r="AS83" s="720" t="e">
        <v>#DIV/0!</v>
      </c>
      <c r="AT83" s="720">
        <f t="shared" si="60"/>
        <v>0</v>
      </c>
      <c r="AU83" s="813">
        <v>0</v>
      </c>
      <c r="AV83" s="720" t="e">
        <f t="shared" si="61"/>
        <v>#DIV/0!</v>
      </c>
      <c r="AW83" s="720" t="e">
        <v>#DIV/0!</v>
      </c>
      <c r="AX83" s="720" t="e">
        <v>#DIV/0!</v>
      </c>
      <c r="AY83" s="809" t="e">
        <v>#DIV/0!</v>
      </c>
      <c r="AZ83" s="812" t="e">
        <v>#DIV/0!</v>
      </c>
      <c r="BD83" s="723"/>
      <c r="BE83" s="723"/>
      <c r="BF83" s="888">
        <f t="shared" si="55"/>
        <v>0</v>
      </c>
      <c r="BG83" s="814">
        <f t="shared" si="50"/>
        <v>0</v>
      </c>
    </row>
    <row r="84" spans="2:59">
      <c r="B84" s="728" t="s">
        <v>153</v>
      </c>
      <c r="C84" s="807">
        <f>D84*P84</f>
        <v>-0.12745636893295209</v>
      </c>
      <c r="D84" s="805">
        <f>((E84/O84)-1)*100</f>
        <v>-23.878159003702571</v>
      </c>
      <c r="E84" s="808">
        <v>71.345059287108825</v>
      </c>
      <c r="F84" s="720">
        <f t="shared" si="51"/>
        <v>4.0477618971945864E-3</v>
      </c>
      <c r="G84" s="808">
        <v>3131.0880000000002</v>
      </c>
      <c r="H84" s="720">
        <f t="shared" si="46"/>
        <v>0.17575905219361931</v>
      </c>
      <c r="I84" s="720">
        <v>1.1844385410980221E-2</v>
      </c>
      <c r="J84" s="720">
        <v>8.3637570465682105E-3</v>
      </c>
      <c r="K84" s="720">
        <v>7.714834619960133E-3</v>
      </c>
      <c r="L84" s="809">
        <v>8.0474201990598185E-3</v>
      </c>
      <c r="M84" s="807">
        <f t="shared" ref="M84:M90" si="62">N84*Z84</f>
        <v>8.5170569901143606E-2</v>
      </c>
      <c r="N84" s="805">
        <f t="shared" si="52"/>
        <v>17.172083338004619</v>
      </c>
      <c r="O84" s="808">
        <v>93.724821093829107</v>
      </c>
      <c r="P84" s="720">
        <f>Q84/Q$112</f>
        <v>5.3377803922483548E-3</v>
      </c>
      <c r="Q84" s="808">
        <v>4218.3990000000003</v>
      </c>
      <c r="R84" s="720">
        <f t="shared" si="53"/>
        <v>0.13978865491705095</v>
      </c>
      <c r="S84" s="809">
        <v>8.0855596312828498E-3</v>
      </c>
      <c r="T84" s="720">
        <v>8.2541512550147206E-3</v>
      </c>
      <c r="U84" s="720">
        <v>8.3251476598811946E-3</v>
      </c>
      <c r="V84" s="720">
        <v>8.0090974216710069E-3</v>
      </c>
      <c r="W84" s="807">
        <f t="shared" si="54"/>
        <v>4.8950708288570122E-2</v>
      </c>
      <c r="X84" s="724">
        <f t="shared" si="47"/>
        <v>9.8694378018291609</v>
      </c>
      <c r="Y84" s="810">
        <v>79.989036999079786</v>
      </c>
      <c r="Z84" s="720">
        <f t="shared" si="35"/>
        <v>4.9598274259854804E-3</v>
      </c>
      <c r="AA84" s="808">
        <v>3338.1029999999996</v>
      </c>
      <c r="AB84" s="720">
        <f t="shared" si="48"/>
        <v>0.10711469894920118</v>
      </c>
      <c r="AC84" s="720">
        <v>8.5150972587769904E-3</v>
      </c>
      <c r="AD84" s="720">
        <v>7.8476638881684619E-3</v>
      </c>
      <c r="AE84" s="810">
        <v>7.4982625984478871E-3</v>
      </c>
      <c r="AF84" s="720">
        <v>8.0252124383305007E-3</v>
      </c>
      <c r="AG84" s="811">
        <f t="shared" si="56"/>
        <v>0.10368983245343114</v>
      </c>
      <c r="AH84" s="724">
        <f t="shared" si="57"/>
        <v>24.765934072686569</v>
      </c>
      <c r="AI84" s="812">
        <v>72.803719213850471</v>
      </c>
      <c r="AJ84" s="720">
        <f t="shared" si="58"/>
        <v>4.9598274259854804E-3</v>
      </c>
      <c r="AK84" s="808">
        <v>3338.1029999999996</v>
      </c>
      <c r="AL84" s="720">
        <f t="shared" si="59"/>
        <v>7.5228462765477344E-2</v>
      </c>
      <c r="AM84" s="720">
        <v>8.4291483270500459E-3</v>
      </c>
      <c r="AN84" s="720">
        <v>8.5726416861069722E-3</v>
      </c>
      <c r="AO84" s="720">
        <v>9.1499479519655241E-3</v>
      </c>
      <c r="AP84" s="810">
        <v>8.3732908195884043E-3</v>
      </c>
      <c r="AQ84" s="720">
        <f t="shared" si="49"/>
        <v>4.2350466315049518E-2</v>
      </c>
      <c r="AR84" s="720">
        <v>10.599396405044681</v>
      </c>
      <c r="AS84" s="720">
        <v>58.352241543301574</v>
      </c>
      <c r="AT84" s="720">
        <f t="shared" si="60"/>
        <v>4.186792718946418E-3</v>
      </c>
      <c r="AU84" s="813">
        <v>2708.181</v>
      </c>
      <c r="AV84" s="720">
        <f t="shared" si="61"/>
        <v>4.0703433980766403E-2</v>
      </c>
      <c r="AW84" s="720">
        <v>9.5629225246509752E-3</v>
      </c>
      <c r="AX84" s="720">
        <v>1.0143682834037956E-2</v>
      </c>
      <c r="AY84" s="809">
        <v>1.0110861818887129E-2</v>
      </c>
      <c r="AZ84" s="812">
        <v>1.0885966803190343E-2</v>
      </c>
      <c r="BD84" s="728">
        <v>45.2</v>
      </c>
      <c r="BE84" s="728">
        <v>52.76</v>
      </c>
      <c r="BF84" s="888">
        <f t="shared" si="55"/>
        <v>2384.752</v>
      </c>
      <c r="BG84" s="814">
        <f t="shared" si="50"/>
        <v>3.9955545293969023E-3</v>
      </c>
    </row>
    <row r="85" spans="2:59">
      <c r="B85" s="723" t="s">
        <v>288</v>
      </c>
      <c r="C85" s="807"/>
      <c r="D85" s="805"/>
      <c r="E85" s="808" t="e">
        <v>#DIV/0!</v>
      </c>
      <c r="F85" s="720">
        <f t="shared" si="51"/>
        <v>0</v>
      </c>
      <c r="G85" s="808">
        <v>0</v>
      </c>
      <c r="H85" s="720" t="e">
        <f t="shared" si="46"/>
        <v>#DIV/0!</v>
      </c>
      <c r="I85" s="720" t="e">
        <v>#DIV/0!</v>
      </c>
      <c r="J85" s="720" t="e">
        <v>#DIV/0!</v>
      </c>
      <c r="K85" s="720" t="e">
        <v>#DIV/0!</v>
      </c>
      <c r="L85" s="809" t="e">
        <v>#DIV/0!</v>
      </c>
      <c r="M85" s="807" t="e">
        <f t="shared" si="62"/>
        <v>#DIV/0!</v>
      </c>
      <c r="N85" s="805" t="e">
        <f t="shared" si="52"/>
        <v>#DIV/0!</v>
      </c>
      <c r="O85" s="808" t="e">
        <v>#DIV/0!</v>
      </c>
      <c r="Q85" s="808">
        <v>0</v>
      </c>
      <c r="R85" s="720" t="e">
        <f t="shared" si="53"/>
        <v>#DIV/0!</v>
      </c>
      <c r="S85" s="809" t="e">
        <v>#DIV/0!</v>
      </c>
      <c r="T85" s="720" t="e">
        <v>#DIV/0!</v>
      </c>
      <c r="U85" s="720" t="e">
        <v>#DIV/0!</v>
      </c>
      <c r="V85" s="720" t="e">
        <v>#DIV/0!</v>
      </c>
      <c r="W85" s="807" t="e">
        <f t="shared" si="54"/>
        <v>#DIV/0!</v>
      </c>
      <c r="X85" s="724" t="e">
        <f t="shared" si="47"/>
        <v>#DIV/0!</v>
      </c>
      <c r="Y85" s="810" t="e">
        <v>#DIV/0!</v>
      </c>
      <c r="Z85" s="720">
        <f t="shared" si="35"/>
        <v>0</v>
      </c>
      <c r="AA85" s="808">
        <v>0</v>
      </c>
      <c r="AB85" s="720" t="e">
        <f t="shared" si="48"/>
        <v>#DIV/0!</v>
      </c>
      <c r="AC85" s="720" t="e">
        <v>#DIV/0!</v>
      </c>
      <c r="AD85" s="720" t="e">
        <v>#DIV/0!</v>
      </c>
      <c r="AE85" s="810" t="e">
        <v>#DIV/0!</v>
      </c>
      <c r="AF85" s="720" t="e">
        <v>#DIV/0!</v>
      </c>
      <c r="AG85" s="811" t="e">
        <f t="shared" si="56"/>
        <v>#DIV/0!</v>
      </c>
      <c r="AH85" s="724" t="e">
        <f t="shared" si="57"/>
        <v>#DIV/0!</v>
      </c>
      <c r="AI85" s="812" t="e">
        <v>#DIV/0!</v>
      </c>
      <c r="AJ85" s="720">
        <f t="shared" si="58"/>
        <v>0</v>
      </c>
      <c r="AK85" s="808">
        <v>0</v>
      </c>
      <c r="AL85" s="720" t="e">
        <f t="shared" si="59"/>
        <v>#DIV/0!</v>
      </c>
      <c r="AM85" s="720" t="e">
        <v>#DIV/0!</v>
      </c>
      <c r="AN85" s="720" t="e">
        <v>#DIV/0!</v>
      </c>
      <c r="AO85" s="720" t="e">
        <v>#DIV/0!</v>
      </c>
      <c r="AP85" s="810" t="e">
        <v>#DIV/0!</v>
      </c>
      <c r="AQ85" s="720" t="e">
        <f t="shared" si="49"/>
        <v>#DIV/0!</v>
      </c>
      <c r="AR85" s="720" t="e">
        <v>#DIV/0!</v>
      </c>
      <c r="AS85" s="720" t="e">
        <v>#DIV/0!</v>
      </c>
      <c r="AT85" s="720">
        <f t="shared" si="60"/>
        <v>0</v>
      </c>
      <c r="AU85" s="813">
        <v>0</v>
      </c>
      <c r="AV85" s="720" t="e">
        <f t="shared" si="61"/>
        <v>#DIV/0!</v>
      </c>
      <c r="AW85" s="720" t="e">
        <v>#DIV/0!</v>
      </c>
      <c r="AX85" s="720" t="e">
        <v>#DIV/0!</v>
      </c>
      <c r="AY85" s="809" t="e">
        <v>#DIV/0!</v>
      </c>
      <c r="AZ85" s="812" t="e">
        <v>#DIV/0!</v>
      </c>
      <c r="BD85" s="723"/>
      <c r="BE85" s="723"/>
      <c r="BF85" s="888">
        <f t="shared" si="55"/>
        <v>0</v>
      </c>
      <c r="BG85" s="814">
        <f t="shared" si="50"/>
        <v>0</v>
      </c>
    </row>
    <row r="86" spans="2:59">
      <c r="B86" s="728" t="s">
        <v>154</v>
      </c>
      <c r="C86" s="807">
        <f>D86*P86</f>
        <v>-0.13317772513260295</v>
      </c>
      <c r="D86" s="805">
        <f>((E86/O86)-1)*100</f>
        <v>-10.301081550361602</v>
      </c>
      <c r="E86" s="808">
        <v>28.831239847554322</v>
      </c>
      <c r="F86" s="720">
        <f t="shared" si="51"/>
        <v>1.2093832894430074E-2</v>
      </c>
      <c r="G86" s="808">
        <v>9355.0104999999985</v>
      </c>
      <c r="H86" s="720">
        <f t="shared" si="46"/>
        <v>0.15463515608948042</v>
      </c>
      <c r="I86" s="720">
        <v>9.6296021754881198E-3</v>
      </c>
      <c r="J86" s="720">
        <v>8.1669440364764076E-3</v>
      </c>
      <c r="K86" s="720">
        <v>7.5487291492530931E-3</v>
      </c>
      <c r="L86" s="809">
        <v>7.7882060739880195E-3</v>
      </c>
      <c r="M86" s="807">
        <f t="shared" si="62"/>
        <v>0.2672283817004496</v>
      </c>
      <c r="N86" s="805">
        <f t="shared" si="52"/>
        <v>23.492461258425546</v>
      </c>
      <c r="O86" s="808">
        <v>32.142237995591515</v>
      </c>
      <c r="P86" s="720">
        <f>Q86/Q$112</f>
        <v>1.2928518668792402E-2</v>
      </c>
      <c r="Q86" s="808">
        <v>10217.290000000001</v>
      </c>
      <c r="R86" s="720">
        <f t="shared" si="53"/>
        <v>0.12150167465427479</v>
      </c>
      <c r="S86" s="809">
        <v>7.7720143773685026E-3</v>
      </c>
      <c r="T86" s="720">
        <v>8.5017531318847817E-3</v>
      </c>
      <c r="U86" s="720">
        <v>8.5813036788086484E-3</v>
      </c>
      <c r="V86" s="720">
        <v>8.0772837649069514E-3</v>
      </c>
      <c r="W86" s="807">
        <f t="shared" si="54"/>
        <v>3.8917100250776826E-2</v>
      </c>
      <c r="X86" s="724">
        <f t="shared" si="47"/>
        <v>3.421262607339659</v>
      </c>
      <c r="Y86" s="810">
        <v>26.027692434058228</v>
      </c>
      <c r="Z86" s="720">
        <f t="shared" si="35"/>
        <v>1.1375069591935941E-2</v>
      </c>
      <c r="AA86" s="808">
        <v>7655.7409500000003</v>
      </c>
      <c r="AB86" s="720">
        <f t="shared" si="48"/>
        <v>8.856931970130591E-2</v>
      </c>
      <c r="AC86" s="720">
        <v>8.8060990392762762E-3</v>
      </c>
      <c r="AD86" s="720">
        <v>7.311223200458703E-3</v>
      </c>
      <c r="AE86" s="810">
        <v>7.2842654591800853E-3</v>
      </c>
      <c r="AF86" s="720">
        <v>7.2999550851935938E-3</v>
      </c>
      <c r="AG86" s="811">
        <f t="shared" si="56"/>
        <v>4.4214213319177895E-2</v>
      </c>
      <c r="AH86" s="724">
        <f t="shared" si="57"/>
        <v>3.8203464655166108</v>
      </c>
      <c r="AI86" s="812">
        <v>25.166674412860125</v>
      </c>
      <c r="AJ86" s="720">
        <f t="shared" si="58"/>
        <v>1.1375069591935941E-2</v>
      </c>
      <c r="AK86" s="808">
        <v>7655.7409500000003</v>
      </c>
      <c r="AL86" s="720">
        <f t="shared" si="59"/>
        <v>5.7867776917197258E-2</v>
      </c>
      <c r="AM86" s="720">
        <v>7.7248846634888181E-3</v>
      </c>
      <c r="AN86" s="720">
        <v>7.7683737826434399E-3</v>
      </c>
      <c r="AO86" s="720">
        <v>7.0851409082482286E-3</v>
      </c>
      <c r="AP86" s="810">
        <v>6.401452025402465E-3</v>
      </c>
      <c r="AQ86" s="720">
        <f t="shared" si="49"/>
        <v>-1.0539553898638692</v>
      </c>
      <c r="AR86" s="720">
        <v>-45.107338030657871</v>
      </c>
      <c r="AS86" s="720">
        <v>24.24059952566148</v>
      </c>
      <c r="AT86" s="720">
        <f t="shared" si="60"/>
        <v>1.1573351715156279E-2</v>
      </c>
      <c r="AU86" s="813">
        <v>7486.0957599999992</v>
      </c>
      <c r="AV86" s="720">
        <f t="shared" si="61"/>
        <v>2.8887925537414302E-2</v>
      </c>
      <c r="AW86" s="720">
        <v>6.7247576832510734E-3</v>
      </c>
      <c r="AX86" s="720">
        <v>8.0567145190640881E-3</v>
      </c>
      <c r="AY86" s="809">
        <v>8.4034482901331389E-3</v>
      </c>
      <c r="AZ86" s="812">
        <v>5.7030050449660011E-3</v>
      </c>
      <c r="BD86" s="728">
        <v>315.8</v>
      </c>
      <c r="BE86" s="728">
        <v>44.16</v>
      </c>
      <c r="BF86" s="888">
        <f t="shared" si="55"/>
        <v>13945.727999999999</v>
      </c>
      <c r="BG86" s="814">
        <f t="shared" si="50"/>
        <v>2.3365497408593092E-2</v>
      </c>
    </row>
    <row r="87" spans="2:59">
      <c r="B87" s="723" t="s">
        <v>289</v>
      </c>
      <c r="C87" s="807"/>
      <c r="D87" s="805"/>
      <c r="E87" s="808" t="e">
        <v>#DIV/0!</v>
      </c>
      <c r="G87" s="808">
        <v>0</v>
      </c>
      <c r="H87" s="720" t="e">
        <f t="shared" si="46"/>
        <v>#DIV/0!</v>
      </c>
      <c r="I87" s="720" t="e">
        <v>#DIV/0!</v>
      </c>
      <c r="J87" s="720" t="e">
        <v>#DIV/0!</v>
      </c>
      <c r="K87" s="720" t="e">
        <v>#DIV/0!</v>
      </c>
      <c r="L87" s="809" t="e">
        <v>#DIV/0!</v>
      </c>
      <c r="M87" s="807"/>
      <c r="N87" s="805"/>
      <c r="O87" s="808" t="e">
        <v>#DIV/0!</v>
      </c>
      <c r="Q87" s="808">
        <v>0</v>
      </c>
      <c r="R87" s="720" t="e">
        <f t="shared" si="53"/>
        <v>#DIV/0!</v>
      </c>
      <c r="S87" s="809" t="e">
        <v>#DIV/0!</v>
      </c>
      <c r="T87" s="720" t="e">
        <v>#DIV/0!</v>
      </c>
      <c r="U87" s="720" t="e">
        <v>#DIV/0!</v>
      </c>
      <c r="V87" s="720" t="e">
        <v>#DIV/0!</v>
      </c>
      <c r="W87" s="807" t="e">
        <f t="shared" si="54"/>
        <v>#DIV/0!</v>
      </c>
      <c r="X87" s="724" t="e">
        <f t="shared" si="47"/>
        <v>#DIV/0!</v>
      </c>
      <c r="Y87" s="810" t="e">
        <v>#DIV/0!</v>
      </c>
      <c r="Z87" s="720">
        <f t="shared" si="35"/>
        <v>0</v>
      </c>
      <c r="AA87" s="808">
        <v>0</v>
      </c>
      <c r="AB87" s="720" t="e">
        <f t="shared" si="48"/>
        <v>#DIV/0!</v>
      </c>
      <c r="AC87" s="720" t="e">
        <v>#DIV/0!</v>
      </c>
      <c r="AD87" s="720" t="e">
        <v>#DIV/0!</v>
      </c>
      <c r="AE87" s="810" t="e">
        <v>#DIV/0!</v>
      </c>
      <c r="AF87" s="720" t="e">
        <v>#DIV/0!</v>
      </c>
      <c r="AG87" s="811" t="e">
        <f t="shared" si="56"/>
        <v>#DIV/0!</v>
      </c>
      <c r="AH87" s="724" t="e">
        <f t="shared" si="57"/>
        <v>#DIV/0!</v>
      </c>
      <c r="AI87" s="812" t="e">
        <v>#DIV/0!</v>
      </c>
      <c r="AJ87" s="720">
        <f t="shared" si="58"/>
        <v>0</v>
      </c>
      <c r="AK87" s="808">
        <v>0</v>
      </c>
      <c r="AL87" s="720" t="e">
        <f t="shared" si="59"/>
        <v>#DIV/0!</v>
      </c>
      <c r="AM87" s="720" t="e">
        <v>#DIV/0!</v>
      </c>
      <c r="AN87" s="720" t="e">
        <v>#DIV/0!</v>
      </c>
      <c r="AO87" s="720" t="e">
        <v>#DIV/0!</v>
      </c>
      <c r="AP87" s="810" t="e">
        <v>#DIV/0!</v>
      </c>
      <c r="AQ87" s="720" t="e">
        <f t="shared" si="49"/>
        <v>#DIV/0!</v>
      </c>
      <c r="AR87" s="720" t="e">
        <v>#DIV/0!</v>
      </c>
      <c r="AS87" s="720" t="e">
        <v>#DIV/0!</v>
      </c>
      <c r="AT87" s="720">
        <f t="shared" si="60"/>
        <v>0</v>
      </c>
      <c r="AU87" s="813">
        <v>0</v>
      </c>
      <c r="AV87" s="720" t="e">
        <f t="shared" si="61"/>
        <v>#DIV/0!</v>
      </c>
      <c r="AW87" s="720" t="e">
        <v>#DIV/0!</v>
      </c>
      <c r="AX87" s="720" t="e">
        <v>#DIV/0!</v>
      </c>
      <c r="AY87" s="809" t="e">
        <v>#DIV/0!</v>
      </c>
      <c r="AZ87" s="812" t="e">
        <v>#DIV/0!</v>
      </c>
      <c r="BD87" s="723"/>
      <c r="BE87" s="723"/>
      <c r="BF87" s="888">
        <f t="shared" si="55"/>
        <v>0</v>
      </c>
      <c r="BG87" s="814">
        <f t="shared" si="50"/>
        <v>0</v>
      </c>
    </row>
    <row r="88" spans="2:59">
      <c r="B88" s="723" t="s">
        <v>290</v>
      </c>
      <c r="C88" s="807"/>
      <c r="D88" s="805"/>
      <c r="E88" s="808" t="e">
        <v>#DIV/0!</v>
      </c>
      <c r="F88" s="720">
        <f t="shared" si="51"/>
        <v>0</v>
      </c>
      <c r="G88" s="808">
        <v>0</v>
      </c>
      <c r="H88" s="720" t="e">
        <f t="shared" si="46"/>
        <v>#DIV/0!</v>
      </c>
      <c r="I88" s="720" t="e">
        <v>#DIV/0!</v>
      </c>
      <c r="J88" s="720" t="e">
        <v>#DIV/0!</v>
      </c>
      <c r="K88" s="720" t="e">
        <v>#DIV/0!</v>
      </c>
      <c r="L88" s="809" t="e">
        <v>#DIV/0!</v>
      </c>
      <c r="M88" s="807" t="e">
        <f t="shared" si="62"/>
        <v>#DIV/0!</v>
      </c>
      <c r="N88" s="805" t="e">
        <f t="shared" si="52"/>
        <v>#DIV/0!</v>
      </c>
      <c r="O88" s="808" t="e">
        <v>#DIV/0!</v>
      </c>
      <c r="Q88" s="808">
        <v>0</v>
      </c>
      <c r="R88" s="720" t="e">
        <f t="shared" si="53"/>
        <v>#DIV/0!</v>
      </c>
      <c r="S88" s="809" t="e">
        <v>#DIV/0!</v>
      </c>
      <c r="T88" s="720" t="e">
        <v>#DIV/0!</v>
      </c>
      <c r="U88" s="720" t="e">
        <v>#DIV/0!</v>
      </c>
      <c r="V88" s="720" t="e">
        <v>#DIV/0!</v>
      </c>
      <c r="W88" s="807" t="e">
        <f t="shared" si="54"/>
        <v>#DIV/0!</v>
      </c>
      <c r="X88" s="724" t="e">
        <f t="shared" si="47"/>
        <v>#DIV/0!</v>
      </c>
      <c r="Y88" s="810" t="e">
        <v>#DIV/0!</v>
      </c>
      <c r="Z88" s="720">
        <f t="shared" si="35"/>
        <v>0</v>
      </c>
      <c r="AA88" s="808">
        <v>0</v>
      </c>
      <c r="AB88" s="720" t="e">
        <f t="shared" si="48"/>
        <v>#DIV/0!</v>
      </c>
      <c r="AC88" s="720" t="e">
        <v>#DIV/0!</v>
      </c>
      <c r="AD88" s="720" t="e">
        <v>#DIV/0!</v>
      </c>
      <c r="AE88" s="810" t="e">
        <v>#DIV/0!</v>
      </c>
      <c r="AF88" s="720" t="e">
        <v>#DIV/0!</v>
      </c>
      <c r="AG88" s="811" t="e">
        <f t="shared" si="56"/>
        <v>#DIV/0!</v>
      </c>
      <c r="AH88" s="724" t="e">
        <f t="shared" si="57"/>
        <v>#DIV/0!</v>
      </c>
      <c r="AI88" s="812" t="e">
        <v>#DIV/0!</v>
      </c>
      <c r="AJ88" s="720">
        <f t="shared" si="58"/>
        <v>0</v>
      </c>
      <c r="AK88" s="808">
        <v>0</v>
      </c>
      <c r="AL88" s="720" t="e">
        <f t="shared" si="59"/>
        <v>#DIV/0!</v>
      </c>
      <c r="AM88" s="720" t="e">
        <v>#DIV/0!</v>
      </c>
      <c r="AN88" s="720" t="e">
        <v>#DIV/0!</v>
      </c>
      <c r="AO88" s="720" t="e">
        <v>#DIV/0!</v>
      </c>
      <c r="AP88" s="810" t="e">
        <v>#DIV/0!</v>
      </c>
      <c r="AQ88" s="720" t="e">
        <f t="shared" si="49"/>
        <v>#DIV/0!</v>
      </c>
      <c r="AR88" s="720" t="e">
        <v>#DIV/0!</v>
      </c>
      <c r="AS88" s="720" t="e">
        <v>#DIV/0!</v>
      </c>
      <c r="AT88" s="720">
        <f t="shared" si="60"/>
        <v>0</v>
      </c>
      <c r="AU88" s="813">
        <v>0</v>
      </c>
      <c r="AV88" s="720" t="e">
        <f t="shared" si="61"/>
        <v>#DIV/0!</v>
      </c>
      <c r="AW88" s="720" t="e">
        <v>#DIV/0!</v>
      </c>
      <c r="AX88" s="720" t="e">
        <v>#DIV/0!</v>
      </c>
      <c r="AY88" s="809" t="e">
        <v>#DIV/0!</v>
      </c>
      <c r="AZ88" s="812" t="e">
        <v>#DIV/0!</v>
      </c>
      <c r="BD88" s="723"/>
      <c r="BE88" s="723"/>
      <c r="BF88" s="888">
        <f t="shared" si="55"/>
        <v>0</v>
      </c>
      <c r="BG88" s="814">
        <f t="shared" si="50"/>
        <v>0</v>
      </c>
    </row>
    <row r="89" spans="2:59">
      <c r="B89" s="728" t="s">
        <v>155</v>
      </c>
      <c r="C89" s="807">
        <f>D89*P89</f>
        <v>0.36904700941118795</v>
      </c>
      <c r="D89" s="805">
        <f>((E89/O89)-1)*100</f>
        <v>10.153929840576904</v>
      </c>
      <c r="E89" s="808">
        <v>70.539832097025538</v>
      </c>
      <c r="F89" s="720">
        <f t="shared" si="51"/>
        <v>4.0457994794791015E-2</v>
      </c>
      <c r="G89" s="808">
        <v>31295.699999999997</v>
      </c>
      <c r="H89" s="720">
        <f t="shared" si="46"/>
        <v>0.1698147943121979</v>
      </c>
      <c r="I89" s="720">
        <v>8.2828974403794681E-3</v>
      </c>
      <c r="J89" s="720">
        <v>7.3623979690599656E-3</v>
      </c>
      <c r="K89" s="720">
        <v>7.1588735286869931E-3</v>
      </c>
      <c r="L89" s="809">
        <v>7.7558945367142331E-3</v>
      </c>
      <c r="M89" s="807">
        <f t="shared" si="62"/>
        <v>0.92425661712830876</v>
      </c>
      <c r="N89" s="805">
        <f t="shared" si="52"/>
        <v>27.505021536978049</v>
      </c>
      <c r="O89" s="808">
        <v>64.037508420367857</v>
      </c>
      <c r="P89" s="720">
        <f>Q89/Q$112</f>
        <v>3.6345239252728603E-2</v>
      </c>
      <c r="Q89" s="808">
        <v>28723.31</v>
      </c>
      <c r="R89" s="720">
        <f t="shared" si="53"/>
        <v>0.13925473083735723</v>
      </c>
      <c r="S89" s="809">
        <v>8.1497512318136466E-3</v>
      </c>
      <c r="T89" s="720">
        <v>8.6569968227614598E-3</v>
      </c>
      <c r="U89" s="720">
        <v>8.9626020898814288E-3</v>
      </c>
      <c r="V89" s="720">
        <v>9.1863752640751681E-3</v>
      </c>
      <c r="W89" s="807">
        <f t="shared" si="54"/>
        <v>0.18672345146940533</v>
      </c>
      <c r="X89" s="724">
        <f t="shared" si="47"/>
        <v>5.5567171053446662</v>
      </c>
      <c r="Y89" s="810">
        <v>50.223518766902984</v>
      </c>
      <c r="Z89" s="720">
        <f t="shared" si="35"/>
        <v>3.3603195543247553E-2</v>
      </c>
      <c r="AA89" s="808">
        <v>22615.8933</v>
      </c>
      <c r="AB89" s="720">
        <f t="shared" si="48"/>
        <v>0.10429900542882554</v>
      </c>
      <c r="AC89" s="720">
        <v>9.150318841320405E-3</v>
      </c>
      <c r="AD89" s="720">
        <v>8.1339700262327598E-3</v>
      </c>
      <c r="AE89" s="810">
        <v>8.2073258800767213E-3</v>
      </c>
      <c r="AF89" s="720">
        <v>8.3990194776217657E-3</v>
      </c>
      <c r="AG89" s="811">
        <f t="shared" si="56"/>
        <v>0.32056718787861616</v>
      </c>
      <c r="AH89" s="724">
        <f t="shared" si="57"/>
        <v>9.764858126572884</v>
      </c>
      <c r="AI89" s="812">
        <v>47.57965209999886</v>
      </c>
      <c r="AJ89" s="720">
        <f t="shared" si="58"/>
        <v>3.3603195543247553E-2</v>
      </c>
      <c r="AK89" s="808">
        <v>22615.8933</v>
      </c>
      <c r="AL89" s="720">
        <f t="shared" si="59"/>
        <v>7.0408371203573891E-2</v>
      </c>
      <c r="AM89" s="720">
        <v>8.5995762917493099E-3</v>
      </c>
      <c r="AN89" s="720">
        <v>8.7966615562870467E-3</v>
      </c>
      <c r="AO89" s="720">
        <v>8.6312469947175206E-3</v>
      </c>
      <c r="AP89" s="810">
        <v>7.8698914309104345E-3</v>
      </c>
      <c r="AQ89" s="720">
        <f t="shared" si="49"/>
        <v>0.72433028974178404</v>
      </c>
      <c r="AR89" s="720">
        <v>24.52424535469353</v>
      </c>
      <c r="AS89" s="720">
        <v>43.346889807968822</v>
      </c>
      <c r="AT89" s="720">
        <f t="shared" si="60"/>
        <v>3.2828658002338411E-2</v>
      </c>
      <c r="AU89" s="813">
        <v>21234.857759999999</v>
      </c>
      <c r="AV89" s="720">
        <f t="shared" si="61"/>
        <v>3.6510994929909578E-2</v>
      </c>
      <c r="AW89" s="720">
        <v>8.358959636531528E-3</v>
      </c>
      <c r="AX89" s="720">
        <v>9.0811109934827768E-3</v>
      </c>
      <c r="AY89" s="809">
        <v>9.1268596634751335E-3</v>
      </c>
      <c r="AZ89" s="812">
        <v>9.9440646364201378E-3</v>
      </c>
      <c r="BD89" s="728">
        <v>506.411</v>
      </c>
      <c r="BE89" s="728">
        <v>34.81</v>
      </c>
      <c r="BF89" s="888">
        <f t="shared" si="55"/>
        <v>17628.16691</v>
      </c>
      <c r="BG89" s="814">
        <f t="shared" si="50"/>
        <v>2.9535273329140761E-2</v>
      </c>
    </row>
    <row r="90" spans="2:59">
      <c r="B90" s="728" t="s">
        <v>156</v>
      </c>
      <c r="C90" s="807">
        <f>D90*P90</f>
        <v>-5.4009593770006019E-2</v>
      </c>
      <c r="D90" s="805">
        <f>((E90/O90)-1)*100</f>
        <v>-12.127956454344979</v>
      </c>
      <c r="E90" s="808">
        <v>71.358202269948208</v>
      </c>
      <c r="F90" s="720">
        <f t="shared" si="51"/>
        <v>3.9004548403860683E-3</v>
      </c>
      <c r="G90" s="808">
        <v>3017.1407447999995</v>
      </c>
      <c r="H90" s="720">
        <f t="shared" si="46"/>
        <v>0.19268263864195578</v>
      </c>
      <c r="I90" s="720">
        <v>1.1841959013489551E-2</v>
      </c>
      <c r="J90" s="720">
        <v>9.3983443945791136E-3</v>
      </c>
      <c r="K90" s="720">
        <v>8.9068342844229442E-3</v>
      </c>
      <c r="L90" s="809">
        <v>9.1915835413673673E-3</v>
      </c>
      <c r="M90" s="807">
        <f t="shared" si="62"/>
        <v>0.15040001737973333</v>
      </c>
      <c r="N90" s="805">
        <f t="shared" si="52"/>
        <v>35.703085390192889</v>
      </c>
      <c r="O90" s="808">
        <v>81.2069452247041</v>
      </c>
      <c r="P90" s="720">
        <f>Q90/Q$112</f>
        <v>4.4533136289961256E-3</v>
      </c>
      <c r="Q90" s="808">
        <v>3519.4130104199994</v>
      </c>
      <c r="R90" s="720">
        <f t="shared" si="53"/>
        <v>0.1533439174080968</v>
      </c>
      <c r="S90" s="809">
        <v>9.3424350568381449E-3</v>
      </c>
      <c r="T90" s="720">
        <v>1.0488428326274252E-2</v>
      </c>
      <c r="U90" s="720">
        <v>1.0529170405569018E-2</v>
      </c>
      <c r="V90" s="720">
        <v>1.0685832802606895E-2</v>
      </c>
      <c r="W90" s="807">
        <f t="shared" si="54"/>
        <v>-2.0742877035162036E-2</v>
      </c>
      <c r="X90" s="724">
        <f t="shared" si="47"/>
        <v>-4.9240998965765836</v>
      </c>
      <c r="Y90" s="810">
        <v>59.841635133944294</v>
      </c>
      <c r="Z90" s="720">
        <f t="shared" si="35"/>
        <v>4.2125215716243393E-3</v>
      </c>
      <c r="AA90" s="808">
        <v>2835.1451952000002</v>
      </c>
      <c r="AB90" s="720">
        <f t="shared" si="48"/>
        <v>0.11229805081680849</v>
      </c>
      <c r="AC90" s="720">
        <v>1.1256006034024744E-2</v>
      </c>
      <c r="AD90" s="720">
        <v>9.5981249233866566E-3</v>
      </c>
      <c r="AE90" s="810">
        <v>9.971427093468781E-3</v>
      </c>
      <c r="AF90" s="720">
        <v>9.2253320123830106E-3</v>
      </c>
      <c r="AG90" s="811">
        <f t="shared" si="56"/>
        <v>-7.3654282486258658E-3</v>
      </c>
      <c r="AH90" s="724">
        <f t="shared" si="57"/>
        <v>-1.6312152657694923</v>
      </c>
      <c r="AI90" s="812">
        <v>62.940908336233115</v>
      </c>
      <c r="AJ90" s="720">
        <f t="shared" si="58"/>
        <v>4.2125215716243393E-3</v>
      </c>
      <c r="AK90" s="808">
        <v>2835.1451952000002</v>
      </c>
      <c r="AL90" s="720">
        <f t="shared" si="59"/>
        <v>7.22471607535453E-2</v>
      </c>
      <c r="AM90" s="720">
        <v>9.5049347301918354E-3</v>
      </c>
      <c r="AN90" s="720">
        <v>9.2621773228460311E-3</v>
      </c>
      <c r="AO90" s="720">
        <v>9.0770295424824014E-3</v>
      </c>
      <c r="AP90" s="810">
        <v>8.2145903661949432E-3</v>
      </c>
      <c r="AQ90" s="720">
        <f t="shared" si="49"/>
        <v>7.4217328567147481E-2</v>
      </c>
      <c r="AR90" s="720">
        <v>18.952659375154312</v>
      </c>
      <c r="AS90" s="720">
        <v>63.984635477895509</v>
      </c>
      <c r="AT90" s="720">
        <f t="shared" si="60"/>
        <v>4.5153012010045014E-3</v>
      </c>
      <c r="AU90" s="813">
        <v>2920.6731125000001</v>
      </c>
      <c r="AV90" s="720">
        <f t="shared" si="61"/>
        <v>3.6188428791830089E-2</v>
      </c>
      <c r="AW90" s="720">
        <v>8.3227986248339773E-3</v>
      </c>
      <c r="AX90" s="720">
        <v>9.0147177504139985E-3</v>
      </c>
      <c r="AY90" s="809">
        <v>9.0047585704282705E-3</v>
      </c>
      <c r="AZ90" s="812">
        <v>9.8461538461538465E-3</v>
      </c>
      <c r="BD90" s="728">
        <v>43.451000000000001</v>
      </c>
      <c r="BE90" s="728">
        <v>53.79</v>
      </c>
      <c r="BF90" s="888">
        <f t="shared" si="55"/>
        <v>2337.2292899999998</v>
      </c>
      <c r="BG90" s="814">
        <f t="shared" si="50"/>
        <v>3.9159321706821529E-3</v>
      </c>
    </row>
    <row r="91" spans="2:59">
      <c r="B91" s="723" t="s">
        <v>291</v>
      </c>
      <c r="C91" s="807"/>
      <c r="D91" s="805"/>
      <c r="E91" s="808" t="e">
        <v>#DIV/0!</v>
      </c>
      <c r="F91" s="720" t="s">
        <v>103</v>
      </c>
      <c r="G91" s="808">
        <v>0</v>
      </c>
      <c r="H91" s="720" t="e">
        <f t="shared" si="46"/>
        <v>#DIV/0!</v>
      </c>
      <c r="I91" s="720" t="e">
        <v>#DIV/0!</v>
      </c>
      <c r="J91" s="720" t="e">
        <v>#DIV/0!</v>
      </c>
      <c r="K91" s="720" t="e">
        <v>#DIV/0!</v>
      </c>
      <c r="L91" s="809" t="e">
        <v>#DIV/0!</v>
      </c>
      <c r="M91" s="807"/>
      <c r="N91" s="805"/>
      <c r="O91" s="808" t="e">
        <v>#DIV/0!</v>
      </c>
      <c r="Q91" s="808">
        <v>0</v>
      </c>
      <c r="R91" s="720" t="e">
        <f t="shared" si="53"/>
        <v>#DIV/0!</v>
      </c>
      <c r="S91" s="809" t="e">
        <v>#DIV/0!</v>
      </c>
      <c r="T91" s="720" t="e">
        <v>#DIV/0!</v>
      </c>
      <c r="U91" s="720" t="e">
        <v>#DIV/0!</v>
      </c>
      <c r="V91" s="720" t="e">
        <v>#DIV/0!</v>
      </c>
      <c r="W91" s="807"/>
      <c r="X91" s="724" t="e">
        <f t="shared" si="47"/>
        <v>#DIV/0!</v>
      </c>
      <c r="Y91" s="810" t="e">
        <v>#DIV/0!</v>
      </c>
      <c r="Z91" s="720">
        <f t="shared" si="35"/>
        <v>0</v>
      </c>
      <c r="AA91" s="808">
        <v>0</v>
      </c>
      <c r="AB91" s="720" t="e">
        <f t="shared" si="48"/>
        <v>#DIV/0!</v>
      </c>
      <c r="AC91" s="720" t="e">
        <v>#DIV/0!</v>
      </c>
      <c r="AD91" s="720" t="e">
        <v>#DIV/0!</v>
      </c>
      <c r="AE91" s="810" t="e">
        <v>#DIV/0!</v>
      </c>
      <c r="AF91" s="720" t="e">
        <v>#DIV/0!</v>
      </c>
      <c r="AG91" s="811" t="e">
        <f t="shared" si="56"/>
        <v>#DIV/0!</v>
      </c>
      <c r="AH91" s="724" t="e">
        <f t="shared" si="57"/>
        <v>#DIV/0!</v>
      </c>
      <c r="AI91" s="812" t="e">
        <v>#DIV/0!</v>
      </c>
      <c r="AJ91" s="720">
        <f t="shared" si="58"/>
        <v>0</v>
      </c>
      <c r="AK91" s="808">
        <v>0</v>
      </c>
      <c r="AL91" s="720" t="e">
        <f t="shared" si="59"/>
        <v>#DIV/0!</v>
      </c>
      <c r="AM91" s="720" t="e">
        <v>#DIV/0!</v>
      </c>
      <c r="AN91" s="720" t="e">
        <v>#DIV/0!</v>
      </c>
      <c r="AO91" s="720" t="e">
        <v>#DIV/0!</v>
      </c>
      <c r="AP91" s="810" t="e">
        <v>#DIV/0!</v>
      </c>
      <c r="AQ91" s="720" t="e">
        <f t="shared" si="49"/>
        <v>#DIV/0!</v>
      </c>
      <c r="AR91" s="720" t="e">
        <v>#DIV/0!</v>
      </c>
      <c r="AS91" s="720" t="e">
        <v>#DIV/0!</v>
      </c>
      <c r="AT91" s="720">
        <f t="shared" si="60"/>
        <v>0</v>
      </c>
      <c r="AU91" s="813">
        <v>0</v>
      </c>
      <c r="AV91" s="720" t="e">
        <f t="shared" si="61"/>
        <v>#DIV/0!</v>
      </c>
      <c r="AW91" s="720" t="e">
        <v>#DIV/0!</v>
      </c>
      <c r="AX91" s="720" t="e">
        <v>#DIV/0!</v>
      </c>
      <c r="AY91" s="809" t="e">
        <v>#DIV/0!</v>
      </c>
      <c r="AZ91" s="812" t="e">
        <v>#DIV/0!</v>
      </c>
      <c r="BD91" s="723"/>
      <c r="BE91" s="723"/>
      <c r="BF91" s="888">
        <f t="shared" si="55"/>
        <v>0</v>
      </c>
      <c r="BG91" s="814">
        <f t="shared" si="50"/>
        <v>0</v>
      </c>
    </row>
    <row r="92" spans="2:59">
      <c r="B92" s="728" t="s">
        <v>157</v>
      </c>
      <c r="C92" s="807">
        <f>D92*P92</f>
        <v>-0.5763409766880998</v>
      </c>
      <c r="D92" s="805">
        <f>((E92/O92)-1)*100</f>
        <v>-49.494382022471903</v>
      </c>
      <c r="E92" s="808">
        <v>9.8600258962791933</v>
      </c>
      <c r="F92" s="720">
        <f t="shared" si="51"/>
        <v>6.1363948738111119E-3</v>
      </c>
      <c r="G92" s="808">
        <v>4746.72</v>
      </c>
      <c r="H92" s="720">
        <f t="shared" si="46"/>
        <v>9.6777074113369624E-2</v>
      </c>
      <c r="I92" s="720">
        <v>0</v>
      </c>
      <c r="J92" s="720">
        <v>0</v>
      </c>
      <c r="K92" s="720">
        <v>0</v>
      </c>
      <c r="L92" s="809">
        <v>0</v>
      </c>
      <c r="M92" s="807">
        <f>N92*Z92</f>
        <v>-2.9265231379154808</v>
      </c>
      <c r="N92" s="805">
        <f t="shared" si="52"/>
        <v>-59.480992488049168</v>
      </c>
      <c r="O92" s="808">
        <v>19.522631919217979</v>
      </c>
      <c r="P92" s="720">
        <f>Q92/Q$112</f>
        <v>1.1644573649316887E-2</v>
      </c>
      <c r="Q92" s="808">
        <v>9202.6</v>
      </c>
      <c r="R92" s="720">
        <f t="shared" si="53"/>
        <v>9.6777074113369624E-2</v>
      </c>
      <c r="S92" s="809">
        <v>0</v>
      </c>
      <c r="T92" s="720">
        <v>0</v>
      </c>
      <c r="U92" s="720">
        <v>0</v>
      </c>
      <c r="V92" s="720">
        <v>0</v>
      </c>
      <c r="W92" s="807">
        <f t="shared" si="54"/>
        <v>-1.5723360824839883</v>
      </c>
      <c r="X92" s="724">
        <f t="shared" si="47"/>
        <v>-31.957413730729844</v>
      </c>
      <c r="Y92" s="810">
        <v>48.181416865800323</v>
      </c>
      <c r="Z92" s="720">
        <f t="shared" si="35"/>
        <v>4.9200980271192907E-2</v>
      </c>
      <c r="AA92" s="808">
        <v>33113.64</v>
      </c>
      <c r="AB92" s="720">
        <f t="shared" si="48"/>
        <v>9.6777074113369624E-2</v>
      </c>
      <c r="AC92" s="720">
        <v>0</v>
      </c>
      <c r="AD92" s="720">
        <v>1.2815076042329936E-2</v>
      </c>
      <c r="AE92" s="810">
        <v>8.3721926403038625E-3</v>
      </c>
      <c r="AF92" s="720">
        <v>8.5211150504976071E-3</v>
      </c>
      <c r="AG92" s="811">
        <f t="shared" si="56"/>
        <v>0.65319389054742993</v>
      </c>
      <c r="AH92" s="724">
        <f t="shared" si="57"/>
        <v>14.617502606773325</v>
      </c>
      <c r="AI92" s="812">
        <v>70.810678293632606</v>
      </c>
      <c r="AJ92" s="720">
        <f t="shared" si="58"/>
        <v>4.9200980271192907E-2</v>
      </c>
      <c r="AK92" s="808">
        <v>33113.64</v>
      </c>
      <c r="AL92" s="720">
        <f t="shared" si="59"/>
        <v>6.7068690380238216E-2</v>
      </c>
      <c r="AM92" s="720">
        <v>7.8214458980750447E-3</v>
      </c>
      <c r="AN92" s="720">
        <v>8.472594675094024E-3</v>
      </c>
      <c r="AO92" s="720">
        <v>8.3503013040133606E-3</v>
      </c>
      <c r="AP92" s="810">
        <v>7.9302582016223776E-3</v>
      </c>
      <c r="AQ92" s="720">
        <f t="shared" si="49"/>
        <v>0.69171898017352396</v>
      </c>
      <c r="AR92" s="720">
        <v>16.412261301680054</v>
      </c>
      <c r="AS92" s="720">
        <v>61.779987072801603</v>
      </c>
      <c r="AT92" s="720">
        <f t="shared" si="60"/>
        <v>4.4685737921111017E-2</v>
      </c>
      <c r="AU92" s="813">
        <v>28904.48</v>
      </c>
      <c r="AV92" s="720">
        <f t="shared" si="61"/>
        <v>3.4494090301433404E-2</v>
      </c>
      <c r="AW92" s="720">
        <v>7.8220990625201877E-3</v>
      </c>
      <c r="AX92" s="720">
        <v>8.7079085844665033E-3</v>
      </c>
      <c r="AY92" s="809">
        <v>8.6972802104548549E-3</v>
      </c>
      <c r="AZ92" s="812">
        <v>9.266802443991853E-3</v>
      </c>
      <c r="BD92" s="728">
        <v>474</v>
      </c>
      <c r="BE92" s="728">
        <v>53.07</v>
      </c>
      <c r="BF92" s="888">
        <f t="shared" si="55"/>
        <v>25155.18</v>
      </c>
      <c r="BG92" s="814">
        <f t="shared" si="50"/>
        <v>4.2146476189890758E-2</v>
      </c>
    </row>
    <row r="93" spans="2:59">
      <c r="B93" s="723" t="s">
        <v>292</v>
      </c>
      <c r="C93" s="807"/>
      <c r="D93" s="805"/>
      <c r="E93" s="808" t="e">
        <v>#DIV/0!</v>
      </c>
      <c r="G93" s="808">
        <v>0</v>
      </c>
      <c r="H93" s="720" t="e">
        <f t="shared" si="46"/>
        <v>#DIV/0!</v>
      </c>
      <c r="I93" s="720" t="e">
        <v>#DIV/0!</v>
      </c>
      <c r="J93" s="720" t="e">
        <v>#DIV/0!</v>
      </c>
      <c r="K93" s="720" t="e">
        <v>#DIV/0!</v>
      </c>
      <c r="L93" s="809" t="e">
        <v>#DIV/0!</v>
      </c>
      <c r="M93" s="807"/>
      <c r="N93" s="805"/>
      <c r="O93" s="808" t="e">
        <v>#DIV/0!</v>
      </c>
      <c r="Q93" s="808">
        <v>0</v>
      </c>
      <c r="R93" s="720" t="e">
        <f t="shared" si="53"/>
        <v>#DIV/0!</v>
      </c>
      <c r="S93" s="809" t="e">
        <v>#DIV/0!</v>
      </c>
      <c r="T93" s="720" t="e">
        <v>#DIV/0!</v>
      </c>
      <c r="U93" s="720" t="e">
        <v>#DIV/0!</v>
      </c>
      <c r="V93" s="720" t="e">
        <v>#DIV/0!</v>
      </c>
      <c r="W93" s="807" t="e">
        <f t="shared" si="54"/>
        <v>#DIV/0!</v>
      </c>
      <c r="X93" s="724" t="e">
        <f t="shared" si="47"/>
        <v>#DIV/0!</v>
      </c>
      <c r="Y93" s="810" t="e">
        <v>#DIV/0!</v>
      </c>
      <c r="Z93" s="720">
        <f t="shared" si="35"/>
        <v>0</v>
      </c>
      <c r="AA93" s="808">
        <v>0</v>
      </c>
      <c r="AB93" s="720" t="e">
        <f t="shared" si="48"/>
        <v>#DIV/0!</v>
      </c>
      <c r="AC93" s="720" t="e">
        <v>#DIV/0!</v>
      </c>
      <c r="AD93" s="720" t="e">
        <v>#DIV/0!</v>
      </c>
      <c r="AE93" s="810" t="e">
        <v>#DIV/0!</v>
      </c>
      <c r="AF93" s="720" t="e">
        <v>#DIV/0!</v>
      </c>
      <c r="AG93" s="811" t="e">
        <f t="shared" si="56"/>
        <v>#DIV/0!</v>
      </c>
      <c r="AH93" s="724" t="e">
        <f t="shared" si="57"/>
        <v>#DIV/0!</v>
      </c>
      <c r="AI93" s="812" t="e">
        <v>#DIV/0!</v>
      </c>
      <c r="AJ93" s="720">
        <f t="shared" si="58"/>
        <v>0</v>
      </c>
      <c r="AK93" s="808">
        <v>0</v>
      </c>
      <c r="AL93" s="720" t="e">
        <f t="shared" si="59"/>
        <v>#DIV/0!</v>
      </c>
      <c r="AM93" s="720" t="e">
        <v>#DIV/0!</v>
      </c>
      <c r="AN93" s="720" t="e">
        <v>#DIV/0!</v>
      </c>
      <c r="AO93" s="720" t="e">
        <v>#DIV/0!</v>
      </c>
      <c r="AP93" s="810" t="e">
        <v>#DIV/0!</v>
      </c>
      <c r="AQ93" s="720" t="e">
        <f t="shared" si="49"/>
        <v>#DIV/0!</v>
      </c>
      <c r="AR93" s="720" t="e">
        <v>#DIV/0!</v>
      </c>
      <c r="AS93" s="720" t="e">
        <v>#DIV/0!</v>
      </c>
      <c r="AT93" s="720">
        <f t="shared" si="60"/>
        <v>0</v>
      </c>
      <c r="AU93" s="813">
        <v>0</v>
      </c>
      <c r="AV93" s="720" t="e">
        <f t="shared" si="61"/>
        <v>#DIV/0!</v>
      </c>
      <c r="AW93" s="720" t="e">
        <v>#DIV/0!</v>
      </c>
      <c r="AX93" s="720" t="e">
        <v>#DIV/0!</v>
      </c>
      <c r="AY93" s="809" t="e">
        <v>#DIV/0!</v>
      </c>
      <c r="AZ93" s="812" t="e">
        <v>#DIV/0!</v>
      </c>
      <c r="BD93" s="723"/>
      <c r="BE93" s="723"/>
      <c r="BF93" s="888">
        <f t="shared" si="55"/>
        <v>0</v>
      </c>
      <c r="BG93" s="814">
        <f t="shared" si="50"/>
        <v>0</v>
      </c>
    </row>
    <row r="94" spans="2:59">
      <c r="B94" s="728" t="s">
        <v>158</v>
      </c>
      <c r="C94" s="807">
        <f>D94*P94</f>
        <v>-1.4774822459070511</v>
      </c>
      <c r="D94" s="805">
        <f>((E94/O94)-1)*100</f>
        <v>-24.087129390440133</v>
      </c>
      <c r="E94" s="808">
        <v>43.845883636288008</v>
      </c>
      <c r="F94" s="720">
        <f t="shared" si="51"/>
        <v>4.6301849810343229E-2</v>
      </c>
      <c r="G94" s="808">
        <v>35816.130000000005</v>
      </c>
      <c r="H94" s="720">
        <f t="shared" si="46"/>
        <v>0.19114054974974215</v>
      </c>
      <c r="I94" s="720">
        <v>1.2250084298696682E-2</v>
      </c>
      <c r="J94" s="720">
        <v>9.2997724547305132E-3</v>
      </c>
      <c r="K94" s="720">
        <v>8.7108043805262554E-3</v>
      </c>
      <c r="L94" s="809">
        <v>8.7121569198949003E-3</v>
      </c>
      <c r="M94" s="807">
        <f>N94*Z94</f>
        <v>1.6063936729324451</v>
      </c>
      <c r="N94" s="805">
        <f t="shared" si="52"/>
        <v>32.520111203830851</v>
      </c>
      <c r="O94" s="808">
        <v>57.758168389915163</v>
      </c>
      <c r="P94" s="720">
        <f>Q94/Q$112</f>
        <v>6.133907540237836E-2</v>
      </c>
      <c r="Q94" s="808">
        <v>48475.71</v>
      </c>
      <c r="R94" s="720">
        <f t="shared" si="53"/>
        <v>0.15216773169589382</v>
      </c>
      <c r="S94" s="809">
        <v>8.2717394214935173E-3</v>
      </c>
      <c r="T94" s="720">
        <v>8.6839942201489273E-3</v>
      </c>
      <c r="U94" s="720">
        <v>8.900082702618264E-3</v>
      </c>
      <c r="V94" s="720">
        <v>9.0482619815185315E-3</v>
      </c>
      <c r="W94" s="807">
        <f t="shared" si="54"/>
        <v>0.60551241475520479</v>
      </c>
      <c r="X94" s="724">
        <f t="shared" si="47"/>
        <v>12.258097996111506</v>
      </c>
      <c r="Y94" s="810">
        <v>43.584455117968169</v>
      </c>
      <c r="Z94" s="720">
        <f t="shared" si="35"/>
        <v>4.9396930498294633E-2</v>
      </c>
      <c r="AA94" s="808">
        <v>33245.519999999997</v>
      </c>
      <c r="AB94" s="720">
        <f t="shared" si="48"/>
        <v>0.11726365337011457</v>
      </c>
      <c r="AC94" s="720">
        <v>9.79433262387726E-3</v>
      </c>
      <c r="AD94" s="720">
        <v>9.1273029894782705E-3</v>
      </c>
      <c r="AE94" s="810">
        <v>9.4665967712438594E-3</v>
      </c>
      <c r="AF94" s="720">
        <v>9.7975602822379625E-3</v>
      </c>
      <c r="AG94" s="811">
        <f t="shared" si="56"/>
        <v>0.19898632440498215</v>
      </c>
      <c r="AH94" s="724">
        <f t="shared" si="57"/>
        <v>4.0329158919863106</v>
      </c>
      <c r="AI94" s="812">
        <v>38.825221428103909</v>
      </c>
      <c r="AJ94" s="720">
        <f t="shared" si="58"/>
        <v>4.9396930498294633E-2</v>
      </c>
      <c r="AK94" s="808">
        <v>33245.519999999997</v>
      </c>
      <c r="AL94" s="720">
        <f t="shared" si="59"/>
        <v>7.9077860703277214E-2</v>
      </c>
      <c r="AM94" s="720">
        <v>9.7334710288596946E-3</v>
      </c>
      <c r="AN94" s="720">
        <v>9.4965235678190554E-3</v>
      </c>
      <c r="AO94" s="720">
        <v>1.0028315324384026E-2</v>
      </c>
      <c r="AP94" s="810">
        <v>9.1019853085976387E-3</v>
      </c>
      <c r="AQ94" s="720">
        <f t="shared" si="49"/>
        <v>0.53521261499158757</v>
      </c>
      <c r="AR94" s="720">
        <v>11.03877387052632</v>
      </c>
      <c r="AS94" s="720">
        <v>37.320131897883897</v>
      </c>
      <c r="AT94" s="720">
        <f t="shared" si="60"/>
        <v>4.9340558973813974E-2</v>
      </c>
      <c r="AU94" s="813">
        <v>31915.399999999998</v>
      </c>
      <c r="AV94" s="720">
        <f t="shared" si="61"/>
        <v>4.0717565473616803E-2</v>
      </c>
      <c r="AW94" s="720">
        <v>8.9196141912308881E-3</v>
      </c>
      <c r="AX94" s="720">
        <v>1.1390931798345428E-2</v>
      </c>
      <c r="AY94" s="809">
        <v>1.0540692303900452E-2</v>
      </c>
      <c r="AZ94" s="812">
        <v>9.8663271801400377E-3</v>
      </c>
      <c r="BD94" s="728">
        <v>861</v>
      </c>
      <c r="BE94" s="728">
        <v>33.61</v>
      </c>
      <c r="BF94" s="888">
        <f t="shared" si="55"/>
        <v>28938.21</v>
      </c>
      <c r="BG94" s="814">
        <f t="shared" si="50"/>
        <v>4.8484788371343734E-2</v>
      </c>
    </row>
    <row r="95" spans="2:59">
      <c r="B95" s="723" t="s">
        <v>293</v>
      </c>
      <c r="C95" s="807"/>
      <c r="D95" s="805"/>
      <c r="E95" s="808" t="e">
        <v>#DIV/0!</v>
      </c>
      <c r="G95" s="808">
        <v>0</v>
      </c>
      <c r="H95" s="720" t="e">
        <f t="shared" si="46"/>
        <v>#DIV/0!</v>
      </c>
      <c r="I95" s="720" t="e">
        <v>#DIV/0!</v>
      </c>
      <c r="J95" s="720" t="e">
        <v>#DIV/0!</v>
      </c>
      <c r="K95" s="720" t="e">
        <v>#DIV/0!</v>
      </c>
      <c r="L95" s="809" t="e">
        <v>#DIV/0!</v>
      </c>
      <c r="M95" s="807"/>
      <c r="N95" s="805"/>
      <c r="O95" s="808" t="e">
        <v>#DIV/0!</v>
      </c>
      <c r="Q95" s="808">
        <v>0</v>
      </c>
      <c r="R95" s="720" t="e">
        <f t="shared" si="53"/>
        <v>#DIV/0!</v>
      </c>
      <c r="S95" s="809" t="e">
        <v>#DIV/0!</v>
      </c>
      <c r="T95" s="720" t="e">
        <v>#DIV/0!</v>
      </c>
      <c r="U95" s="720" t="e">
        <v>#DIV/0!</v>
      </c>
      <c r="V95" s="720" t="e">
        <v>#DIV/0!</v>
      </c>
      <c r="W95" s="807" t="e">
        <f t="shared" si="54"/>
        <v>#DIV/0!</v>
      </c>
      <c r="X95" s="724" t="e">
        <f t="shared" si="47"/>
        <v>#DIV/0!</v>
      </c>
      <c r="Y95" s="810" t="e">
        <v>#DIV/0!</v>
      </c>
      <c r="Z95" s="720">
        <f t="shared" si="35"/>
        <v>0</v>
      </c>
      <c r="AA95" s="808">
        <v>0</v>
      </c>
      <c r="AB95" s="720" t="e">
        <f t="shared" si="48"/>
        <v>#DIV/0!</v>
      </c>
      <c r="AC95" s="720" t="e">
        <v>#DIV/0!</v>
      </c>
      <c r="AD95" s="720" t="e">
        <v>#DIV/0!</v>
      </c>
      <c r="AE95" s="810" t="e">
        <v>#DIV/0!</v>
      </c>
      <c r="AF95" s="720" t="e">
        <v>#DIV/0!</v>
      </c>
      <c r="AG95" s="811" t="e">
        <f t="shared" si="56"/>
        <v>#DIV/0!</v>
      </c>
      <c r="AH95" s="724" t="e">
        <f t="shared" si="57"/>
        <v>#DIV/0!</v>
      </c>
      <c r="AI95" s="812" t="e">
        <v>#DIV/0!</v>
      </c>
      <c r="AJ95" s="720">
        <f t="shared" si="58"/>
        <v>0</v>
      </c>
      <c r="AK95" s="808">
        <v>0</v>
      </c>
      <c r="AL95" s="720" t="e">
        <f t="shared" si="59"/>
        <v>#DIV/0!</v>
      </c>
      <c r="AM95" s="720" t="e">
        <v>#DIV/0!</v>
      </c>
      <c r="AN95" s="720" t="e">
        <v>#DIV/0!</v>
      </c>
      <c r="AO95" s="720" t="e">
        <v>#DIV/0!</v>
      </c>
      <c r="AP95" s="810" t="e">
        <v>#DIV/0!</v>
      </c>
      <c r="AQ95" s="720" t="e">
        <f t="shared" si="49"/>
        <v>#DIV/0!</v>
      </c>
      <c r="AR95" s="720" t="e">
        <v>#DIV/0!</v>
      </c>
      <c r="AS95" s="720" t="e">
        <v>#DIV/0!</v>
      </c>
      <c r="AT95" s="720">
        <f t="shared" si="60"/>
        <v>0</v>
      </c>
      <c r="AU95" s="813">
        <v>0</v>
      </c>
      <c r="AV95" s="720" t="e">
        <f t="shared" si="61"/>
        <v>#DIV/0!</v>
      </c>
      <c r="AW95" s="720" t="e">
        <v>#DIV/0!</v>
      </c>
      <c r="AX95" s="720" t="e">
        <v>#DIV/0!</v>
      </c>
      <c r="AY95" s="809" t="e">
        <v>#DIV/0!</v>
      </c>
      <c r="AZ95" s="812" t="e">
        <v>#DIV/0!</v>
      </c>
      <c r="BD95" s="723"/>
      <c r="BE95" s="723"/>
      <c r="BF95" s="888">
        <f t="shared" si="55"/>
        <v>0</v>
      </c>
      <c r="BG95" s="814">
        <f t="shared" si="50"/>
        <v>0</v>
      </c>
    </row>
    <row r="96" spans="2:59">
      <c r="B96" s="728" t="s">
        <v>159</v>
      </c>
      <c r="C96" s="807">
        <f>D96*P96</f>
        <v>-8.4559701196229464E-2</v>
      </c>
      <c r="D96" s="805">
        <f>((E96/O96)-1)*100</f>
        <v>-17.669722061800019</v>
      </c>
      <c r="E96" s="808">
        <v>43.384082837669943</v>
      </c>
      <c r="F96" s="720">
        <f t="shared" si="51"/>
        <v>3.9266168615436862E-3</v>
      </c>
      <c r="G96" s="808">
        <v>3037.3779999999997</v>
      </c>
      <c r="H96" s="720">
        <f t="shared" si="46"/>
        <v>0.14168639046499865</v>
      </c>
      <c r="I96" s="720">
        <v>9.1644864600401235E-3</v>
      </c>
      <c r="J96" s="720">
        <v>6.8260986030582579E-3</v>
      </c>
      <c r="K96" s="720">
        <v>6.2335647043450654E-3</v>
      </c>
      <c r="L96" s="809">
        <v>6.3407040977009957E-3</v>
      </c>
      <c r="M96" s="807">
        <f t="shared" ref="M96:M103" si="63">N96*Z96</f>
        <v>0.11884416909899516</v>
      </c>
      <c r="N96" s="805">
        <f t="shared" si="52"/>
        <v>27.10410472811542</v>
      </c>
      <c r="O96" s="808">
        <v>52.6951735426371</v>
      </c>
      <c r="P96" s="720">
        <f>Q96/Q$112</f>
        <v>4.7855705313576023E-3</v>
      </c>
      <c r="Q96" s="808">
        <v>3781.9926000000005</v>
      </c>
      <c r="R96" s="720">
        <f t="shared" si="53"/>
        <v>0.11312153659985422</v>
      </c>
      <c r="S96" s="809">
        <v>6.7773513670786826E-3</v>
      </c>
      <c r="T96" s="720">
        <v>7.7534996065129255E-3</v>
      </c>
      <c r="U96" s="720">
        <v>7.3303923376799593E-3</v>
      </c>
      <c r="V96" s="720">
        <v>7.3837349092678263E-3</v>
      </c>
      <c r="W96" s="807">
        <f t="shared" si="54"/>
        <v>2.6381496131704148E-2</v>
      </c>
      <c r="X96" s="724">
        <f t="shared" si="47"/>
        <v>6.0166757819010819</v>
      </c>
      <c r="Y96" s="810">
        <v>41.458278358008791</v>
      </c>
      <c r="Z96" s="720">
        <f t="shared" si="35"/>
        <v>4.3847295563212846E-3</v>
      </c>
      <c r="AA96" s="808">
        <v>2951.0459999999998</v>
      </c>
      <c r="AB96" s="720">
        <f t="shared" si="48"/>
        <v>8.387655837931482E-2</v>
      </c>
      <c r="AC96" s="720">
        <v>7.4575435017660242E-3</v>
      </c>
      <c r="AD96" s="720">
        <v>6.4147351749783265E-3</v>
      </c>
      <c r="AE96" s="810">
        <v>6.400099594940453E-3</v>
      </c>
      <c r="AF96" s="720">
        <v>6.7006303481483469E-3</v>
      </c>
      <c r="AG96" s="811">
        <f t="shared" si="56"/>
        <v>5.2680809206692943E-2</v>
      </c>
      <c r="AH96" s="724">
        <f t="shared" si="57"/>
        <v>12.670139535101899</v>
      </c>
      <c r="AI96" s="812">
        <v>39.105431341100818</v>
      </c>
      <c r="AJ96" s="720">
        <f t="shared" si="58"/>
        <v>4.3847295563212846E-3</v>
      </c>
      <c r="AK96" s="808">
        <v>2951.0459999999998</v>
      </c>
      <c r="AL96" s="720">
        <f t="shared" si="59"/>
        <v>5.690354975948167E-2</v>
      </c>
      <c r="AM96" s="720">
        <v>6.8818986592380834E-3</v>
      </c>
      <c r="AN96" s="720">
        <v>7.3715061269974411E-3</v>
      </c>
      <c r="AO96" s="720">
        <v>6.9636621704345534E-3</v>
      </c>
      <c r="AP96" s="810">
        <v>6.389540836136247E-3</v>
      </c>
      <c r="AQ96" s="720">
        <f t="shared" si="49"/>
        <v>7.3630356792566576E-2</v>
      </c>
      <c r="AR96" s="720">
        <v>18.862646859987287</v>
      </c>
      <c r="AS96" s="720">
        <v>34.707892883116287</v>
      </c>
      <c r="AT96" s="720">
        <f t="shared" si="60"/>
        <v>4.1578712736938502E-3</v>
      </c>
      <c r="AU96" s="813">
        <v>2689.4734800000001</v>
      </c>
      <c r="AV96" s="720">
        <f t="shared" si="61"/>
        <v>2.9296941966675344E-2</v>
      </c>
      <c r="AW96" s="720">
        <v>6.6719306786290102E-3</v>
      </c>
      <c r="AX96" s="720">
        <v>7.3068367159262806E-3</v>
      </c>
      <c r="AY96" s="809">
        <v>7.188093271307045E-3</v>
      </c>
      <c r="AZ96" s="812">
        <v>8.1300813008130073E-3</v>
      </c>
      <c r="BD96" s="728">
        <v>79.787999999999997</v>
      </c>
      <c r="BE96" s="728">
        <v>29.2</v>
      </c>
      <c r="BF96" s="888">
        <f t="shared" si="55"/>
        <v>2329.8096</v>
      </c>
      <c r="BG96" s="814">
        <f t="shared" si="50"/>
        <v>3.903500783273223E-3</v>
      </c>
    </row>
    <row r="97" spans="2:59">
      <c r="B97" s="728" t="s">
        <v>160</v>
      </c>
      <c r="C97" s="807">
        <f>D97*P97</f>
        <v>-0.82483798980705247</v>
      </c>
      <c r="D97" s="805">
        <f>((E97/O97)-1)*100</f>
        <v>-21.770355438480237</v>
      </c>
      <c r="E97" s="808">
        <v>53.723921065887595</v>
      </c>
      <c r="F97" s="720">
        <f t="shared" si="51"/>
        <v>2.9261277022145808E-2</v>
      </c>
      <c r="G97" s="808">
        <v>22634.639999999999</v>
      </c>
      <c r="H97" s="720">
        <f t="shared" si="46"/>
        <v>0.19625742743014035</v>
      </c>
      <c r="I97" s="720">
        <v>1.2911148445831914E-2</v>
      </c>
      <c r="J97" s="720">
        <v>9.3443002540763622E-3</v>
      </c>
      <c r="K97" s="720">
        <v>8.8214377298674526E-3</v>
      </c>
      <c r="L97" s="809">
        <v>9.2365467072047791E-3</v>
      </c>
      <c r="M97" s="807">
        <f t="shared" si="63"/>
        <v>0.74045527218975893</v>
      </c>
      <c r="N97" s="805">
        <f t="shared" si="52"/>
        <v>22.250869916991324</v>
      </c>
      <c r="O97" s="808">
        <v>68.674632700956636</v>
      </c>
      <c r="P97" s="720">
        <f>Q97/Q$112</f>
        <v>3.7888126913587658E-2</v>
      </c>
      <c r="Q97" s="808">
        <v>29942.639999999999</v>
      </c>
      <c r="R97" s="720">
        <f t="shared" si="53"/>
        <v>0.15594399429315986</v>
      </c>
      <c r="S97" s="809">
        <v>9.0730407033698234E-3</v>
      </c>
      <c r="T97" s="720">
        <v>9.8303224593410572E-3</v>
      </c>
      <c r="U97" s="720">
        <v>9.6105988731912482E-3</v>
      </c>
      <c r="V97" s="720">
        <v>9.2937079046668987E-3</v>
      </c>
      <c r="W97" s="807">
        <f t="shared" si="54"/>
        <v>0.58183002513965876</v>
      </c>
      <c r="X97" s="724">
        <f t="shared" si="47"/>
        <v>17.48414075693767</v>
      </c>
      <c r="Y97" s="810">
        <v>56.175168935474161</v>
      </c>
      <c r="Z97" s="720">
        <f t="shared" si="35"/>
        <v>3.3277587570827001E-2</v>
      </c>
      <c r="AA97" s="808">
        <v>22396.75</v>
      </c>
      <c r="AB97" s="720">
        <f t="shared" si="48"/>
        <v>0.11813632435259083</v>
      </c>
      <c r="AC97" s="720">
        <v>9.9262447417373407E-3</v>
      </c>
      <c r="AD97" s="720">
        <v>9.1763977321907744E-3</v>
      </c>
      <c r="AE97" s="810">
        <v>1.0123917806508674E-2</v>
      </c>
      <c r="AF97" s="720">
        <v>1.0778802913237252E-2</v>
      </c>
      <c r="AG97" s="811">
        <f t="shared" si="56"/>
        <v>-8.5685699288885461E-2</v>
      </c>
      <c r="AH97" s="724">
        <f t="shared" si="57"/>
        <v>-2.3282178561278011</v>
      </c>
      <c r="AI97" s="812">
        <v>47.815108127397956</v>
      </c>
      <c r="AJ97" s="720">
        <f t="shared" si="58"/>
        <v>3.3277587570827001E-2</v>
      </c>
      <c r="AK97" s="808">
        <v>22396.75</v>
      </c>
      <c r="AL97" s="720">
        <f t="shared" si="59"/>
        <v>7.8130961158916781E-2</v>
      </c>
      <c r="AM97" s="720">
        <v>1.0352753758337076E-2</v>
      </c>
      <c r="AN97" s="720">
        <v>9.884602958551314E-3</v>
      </c>
      <c r="AO97" s="720">
        <v>1.0258665511382018E-2</v>
      </c>
      <c r="AP97" s="810">
        <v>9.1350558264901103E-3</v>
      </c>
      <c r="AQ97" s="720">
        <f t="shared" si="49"/>
        <v>0.59640507191012804</v>
      </c>
      <c r="AR97" s="720">
        <v>16.78169009906949</v>
      </c>
      <c r="AS97" s="720">
        <v>48.954884489529931</v>
      </c>
      <c r="AT97" s="720">
        <f t="shared" si="60"/>
        <v>3.6803127792943952E-2</v>
      </c>
      <c r="AU97" s="813">
        <v>23805.7</v>
      </c>
      <c r="AV97" s="720">
        <f t="shared" si="61"/>
        <v>3.8499883104156266E-2</v>
      </c>
      <c r="AW97" s="720">
        <v>8.9544679720863097E-3</v>
      </c>
      <c r="AX97" s="720">
        <v>1.0274378503109194E-2</v>
      </c>
      <c r="AY97" s="809">
        <v>9.3423197246837782E-3</v>
      </c>
      <c r="AZ97" s="812">
        <v>9.9287169042769855E-3</v>
      </c>
      <c r="BD97" s="728">
        <v>506</v>
      </c>
      <c r="BE97" s="728">
        <v>41.92</v>
      </c>
      <c r="BF97" s="888">
        <f t="shared" si="55"/>
        <v>21211.52</v>
      </c>
      <c r="BG97" s="814">
        <f t="shared" si="50"/>
        <v>3.5539035007159228E-2</v>
      </c>
    </row>
    <row r="98" spans="2:59">
      <c r="B98" s="723" t="s">
        <v>294</v>
      </c>
      <c r="C98" s="807"/>
      <c r="D98" s="805"/>
      <c r="E98" s="808" t="e">
        <v>#DIV/0!</v>
      </c>
      <c r="F98" s="720">
        <f t="shared" si="51"/>
        <v>0</v>
      </c>
      <c r="G98" s="808">
        <v>0</v>
      </c>
      <c r="H98" s="720" t="e">
        <f t="shared" si="46"/>
        <v>#DIV/0!</v>
      </c>
      <c r="I98" s="720" t="e">
        <v>#DIV/0!</v>
      </c>
      <c r="J98" s="720" t="e">
        <v>#DIV/0!</v>
      </c>
      <c r="K98" s="720" t="e">
        <v>#DIV/0!</v>
      </c>
      <c r="L98" s="809" t="e">
        <v>#DIV/0!</v>
      </c>
      <c r="M98" s="807" t="e">
        <f t="shared" si="63"/>
        <v>#DIV/0!</v>
      </c>
      <c r="N98" s="805" t="e">
        <f t="shared" si="52"/>
        <v>#DIV/0!</v>
      </c>
      <c r="O98" s="808" t="e">
        <v>#DIV/0!</v>
      </c>
      <c r="Q98" s="808">
        <v>0</v>
      </c>
      <c r="R98" s="720" t="e">
        <f t="shared" si="53"/>
        <v>#DIV/0!</v>
      </c>
      <c r="S98" s="809" t="e">
        <v>#DIV/0!</v>
      </c>
      <c r="T98" s="720" t="e">
        <v>#DIV/0!</v>
      </c>
      <c r="U98" s="720" t="e">
        <v>#DIV/0!</v>
      </c>
      <c r="V98" s="720" t="e">
        <v>#DIV/0!</v>
      </c>
      <c r="W98" s="807" t="e">
        <f t="shared" si="54"/>
        <v>#DIV/0!</v>
      </c>
      <c r="X98" s="724" t="e">
        <f t="shared" si="47"/>
        <v>#DIV/0!</v>
      </c>
      <c r="Y98" s="810" t="e">
        <v>#DIV/0!</v>
      </c>
      <c r="Z98" s="720">
        <f t="shared" si="35"/>
        <v>0</v>
      </c>
      <c r="AA98" s="808">
        <v>0</v>
      </c>
      <c r="AB98" s="720" t="e">
        <f t="shared" si="48"/>
        <v>#DIV/0!</v>
      </c>
      <c r="AC98" s="720" t="e">
        <v>#DIV/0!</v>
      </c>
      <c r="AD98" s="720" t="e">
        <v>#DIV/0!</v>
      </c>
      <c r="AE98" s="810" t="e">
        <v>#DIV/0!</v>
      </c>
      <c r="AF98" s="720" t="e">
        <v>#DIV/0!</v>
      </c>
      <c r="AG98" s="811" t="e">
        <f t="shared" si="56"/>
        <v>#DIV/0!</v>
      </c>
      <c r="AH98" s="724" t="e">
        <f t="shared" si="57"/>
        <v>#DIV/0!</v>
      </c>
      <c r="AI98" s="812" t="e">
        <v>#DIV/0!</v>
      </c>
      <c r="AJ98" s="720">
        <f t="shared" si="58"/>
        <v>0</v>
      </c>
      <c r="AK98" s="808">
        <v>0</v>
      </c>
      <c r="AL98" s="720" t="e">
        <f t="shared" si="59"/>
        <v>#DIV/0!</v>
      </c>
      <c r="AM98" s="720" t="e">
        <v>#DIV/0!</v>
      </c>
      <c r="AN98" s="720" t="e">
        <v>#DIV/0!</v>
      </c>
      <c r="AO98" s="720" t="e">
        <v>#DIV/0!</v>
      </c>
      <c r="AP98" s="810" t="e">
        <v>#DIV/0!</v>
      </c>
      <c r="AQ98" s="720" t="e">
        <f t="shared" si="49"/>
        <v>#DIV/0!</v>
      </c>
      <c r="AR98" s="720" t="e">
        <v>#DIV/0!</v>
      </c>
      <c r="AS98" s="720" t="e">
        <v>#DIV/0!</v>
      </c>
      <c r="AT98" s="720">
        <f t="shared" si="60"/>
        <v>0</v>
      </c>
      <c r="AU98" s="813">
        <v>0</v>
      </c>
      <c r="AV98" s="720" t="e">
        <f t="shared" si="61"/>
        <v>#DIV/0!</v>
      </c>
      <c r="AW98" s="720" t="e">
        <v>#DIV/0!</v>
      </c>
      <c r="AX98" s="720" t="e">
        <v>#DIV/0!</v>
      </c>
      <c r="AY98" s="809" t="e">
        <v>#DIV/0!</v>
      </c>
      <c r="AZ98" s="812" t="e">
        <v>#DIV/0!</v>
      </c>
      <c r="BD98" s="723"/>
      <c r="BE98" s="723"/>
      <c r="BF98" s="888">
        <f t="shared" si="55"/>
        <v>0</v>
      </c>
      <c r="BG98" s="814">
        <f t="shared" si="50"/>
        <v>0</v>
      </c>
    </row>
    <row r="99" spans="2:59">
      <c r="B99" s="723" t="s">
        <v>295</v>
      </c>
      <c r="C99" s="807"/>
      <c r="D99" s="805"/>
      <c r="E99" s="808" t="e">
        <v>#DIV/0!</v>
      </c>
      <c r="G99" s="808">
        <v>0</v>
      </c>
      <c r="H99" s="720" t="e">
        <f t="shared" si="46"/>
        <v>#DIV/0!</v>
      </c>
      <c r="I99" s="720" t="e">
        <v>#DIV/0!</v>
      </c>
      <c r="J99" s="720" t="e">
        <v>#DIV/0!</v>
      </c>
      <c r="K99" s="720" t="e">
        <v>#DIV/0!</v>
      </c>
      <c r="L99" s="809" t="e">
        <v>#DIV/0!</v>
      </c>
      <c r="M99" s="807" t="e">
        <f t="shared" si="63"/>
        <v>#DIV/0!</v>
      </c>
      <c r="N99" s="805" t="e">
        <f t="shared" si="52"/>
        <v>#DIV/0!</v>
      </c>
      <c r="O99" s="808" t="e">
        <v>#DIV/0!</v>
      </c>
      <c r="Q99" s="808">
        <v>0</v>
      </c>
      <c r="R99" s="720" t="e">
        <f t="shared" si="53"/>
        <v>#DIV/0!</v>
      </c>
      <c r="S99" s="809" t="e">
        <v>#DIV/0!</v>
      </c>
      <c r="T99" s="720" t="e">
        <v>#DIV/0!</v>
      </c>
      <c r="U99" s="720" t="e">
        <v>#DIV/0!</v>
      </c>
      <c r="V99" s="720" t="e">
        <v>#DIV/0!</v>
      </c>
      <c r="W99" s="807" t="e">
        <f t="shared" si="54"/>
        <v>#DIV/0!</v>
      </c>
      <c r="X99" s="724" t="e">
        <f t="shared" si="47"/>
        <v>#DIV/0!</v>
      </c>
      <c r="Y99" s="810" t="e">
        <v>#DIV/0!</v>
      </c>
      <c r="Z99" s="720">
        <f t="shared" si="35"/>
        <v>0</v>
      </c>
      <c r="AA99" s="808">
        <v>0</v>
      </c>
      <c r="AB99" s="720" t="e">
        <f t="shared" si="48"/>
        <v>#DIV/0!</v>
      </c>
      <c r="AC99" s="720" t="e">
        <v>#DIV/0!</v>
      </c>
      <c r="AD99" s="720" t="e">
        <v>#DIV/0!</v>
      </c>
      <c r="AE99" s="810" t="e">
        <v>#DIV/0!</v>
      </c>
      <c r="AF99" s="720" t="e">
        <v>#DIV/0!</v>
      </c>
      <c r="AG99" s="811" t="e">
        <f t="shared" si="56"/>
        <v>#DIV/0!</v>
      </c>
      <c r="AH99" s="724" t="e">
        <f t="shared" si="57"/>
        <v>#DIV/0!</v>
      </c>
      <c r="AI99" s="812" t="e">
        <v>#DIV/0!</v>
      </c>
      <c r="AJ99" s="720">
        <f t="shared" si="58"/>
        <v>0</v>
      </c>
      <c r="AK99" s="808">
        <v>0</v>
      </c>
      <c r="AL99" s="720" t="e">
        <f t="shared" si="59"/>
        <v>#DIV/0!</v>
      </c>
      <c r="AM99" s="720" t="e">
        <v>#DIV/0!</v>
      </c>
      <c r="AN99" s="720" t="e">
        <v>#DIV/0!</v>
      </c>
      <c r="AO99" s="720" t="e">
        <v>#DIV/0!</v>
      </c>
      <c r="AP99" s="810" t="e">
        <v>#DIV/0!</v>
      </c>
      <c r="AQ99" s="720" t="e">
        <f t="shared" si="49"/>
        <v>#DIV/0!</v>
      </c>
      <c r="AR99" s="720" t="e">
        <v>#DIV/0!</v>
      </c>
      <c r="AS99" s="720" t="e">
        <v>#DIV/0!</v>
      </c>
      <c r="AT99" s="720">
        <f t="shared" si="60"/>
        <v>0</v>
      </c>
      <c r="AU99" s="813">
        <v>0</v>
      </c>
      <c r="AV99" s="720" t="e">
        <f t="shared" si="61"/>
        <v>#DIV/0!</v>
      </c>
      <c r="AW99" s="720" t="e">
        <v>#DIV/0!</v>
      </c>
      <c r="AX99" s="720" t="e">
        <v>#DIV/0!</v>
      </c>
      <c r="AY99" s="809" t="e">
        <v>#DIV/0!</v>
      </c>
      <c r="AZ99" s="812" t="e">
        <v>#DIV/0!</v>
      </c>
      <c r="BD99" s="723"/>
      <c r="BE99" s="723"/>
      <c r="BF99" s="888">
        <f t="shared" si="55"/>
        <v>0</v>
      </c>
      <c r="BG99" s="814">
        <f t="shared" si="50"/>
        <v>0</v>
      </c>
    </row>
    <row r="100" spans="2:59">
      <c r="B100" s="728" t="s">
        <v>161</v>
      </c>
      <c r="C100" s="807">
        <f>D100*P100</f>
        <v>-0.32359138161932938</v>
      </c>
      <c r="D100" s="805">
        <f>((E100/O100)-1)*100</f>
        <v>-7.5729283033753365</v>
      </c>
      <c r="E100" s="808">
        <v>131.02364536647971</v>
      </c>
      <c r="F100" s="720">
        <f t="shared" si="51"/>
        <v>4.0593312364643593E-2</v>
      </c>
      <c r="G100" s="808">
        <v>31400.372959999997</v>
      </c>
      <c r="H100" s="720">
        <f t="shared" si="46"/>
        <v>0.15960390624373583</v>
      </c>
      <c r="I100" s="720">
        <v>1.0626439970401228E-2</v>
      </c>
      <c r="J100" s="720">
        <v>7.2919247519273927E-3</v>
      </c>
      <c r="K100" s="720">
        <v>7.4343743933096285E-3</v>
      </c>
      <c r="L100" s="809">
        <v>7.9286744157392817E-3</v>
      </c>
      <c r="M100" s="807">
        <f t="shared" si="63"/>
        <v>0.68910942685969356</v>
      </c>
      <c r="N100" s="805">
        <f t="shared" si="52"/>
        <v>16.774217407598147</v>
      </c>
      <c r="O100" s="808">
        <v>141.7589489327774</v>
      </c>
      <c r="P100" s="720">
        <f>Q100/Q$112</f>
        <v>4.2730020496179952E-2</v>
      </c>
      <c r="Q100" s="808">
        <v>33769.144192</v>
      </c>
      <c r="R100" s="720">
        <f t="shared" si="53"/>
        <v>0.12632249271235829</v>
      </c>
      <c r="S100" s="809">
        <v>8.5921193092918062E-3</v>
      </c>
      <c r="T100" s="720">
        <v>9.1705430095406753E-3</v>
      </c>
      <c r="U100" s="720">
        <v>8.6542025225889111E-3</v>
      </c>
      <c r="V100" s="720">
        <v>8.4134484589931079E-3</v>
      </c>
      <c r="W100" s="807">
        <f t="shared" si="54"/>
        <v>0.15323781364927774</v>
      </c>
      <c r="X100" s="724">
        <f t="shared" si="47"/>
        <v>3.7300961226602869</v>
      </c>
      <c r="Y100" s="810">
        <v>121.3957601941964</v>
      </c>
      <c r="Z100" s="720">
        <f t="shared" si="35"/>
        <v>4.1081465091036114E-2</v>
      </c>
      <c r="AA100" s="808">
        <v>27648.978500000001</v>
      </c>
      <c r="AB100" s="720">
        <f t="shared" si="48"/>
        <v>9.1492179411943791E-2</v>
      </c>
      <c r="AC100" s="720">
        <v>8.713245333574364E-3</v>
      </c>
      <c r="AD100" s="720">
        <v>8.2658716224280945E-3</v>
      </c>
      <c r="AE100" s="810">
        <v>7.6882798883887845E-3</v>
      </c>
      <c r="AF100" s="720">
        <v>7.7260197993511805E-3</v>
      </c>
      <c r="AG100" s="811">
        <f t="shared" si="56"/>
        <v>0.37018373560997331</v>
      </c>
      <c r="AH100" s="724">
        <f t="shared" si="57"/>
        <v>9.2700903720124082</v>
      </c>
      <c r="AI100" s="812">
        <v>117.03041328588625</v>
      </c>
      <c r="AJ100" s="720">
        <f t="shared" si="58"/>
        <v>4.1081465091036114E-2</v>
      </c>
      <c r="AK100" s="808">
        <v>27648.978500000001</v>
      </c>
      <c r="AL100" s="720">
        <f t="shared" si="59"/>
        <v>5.9098762768201363E-2</v>
      </c>
      <c r="AM100" s="720">
        <v>7.8250913550885551E-3</v>
      </c>
      <c r="AN100" s="720">
        <v>7.827916780086791E-3</v>
      </c>
      <c r="AO100" s="720">
        <v>7.2981754110698471E-3</v>
      </c>
      <c r="AP100" s="810">
        <v>6.8158695039213842E-3</v>
      </c>
      <c r="AQ100" s="720">
        <f t="shared" si="49"/>
        <v>-7.9182864468727951E-2</v>
      </c>
      <c r="AR100" s="720">
        <v>-1.759342876388259</v>
      </c>
      <c r="AS100" s="720">
        <v>107.10196439616152</v>
      </c>
      <c r="AT100" s="720">
        <f t="shared" si="60"/>
        <v>3.9933131259173645E-2</v>
      </c>
      <c r="AU100" s="813">
        <v>25830.30845</v>
      </c>
      <c r="AV100" s="720">
        <f t="shared" si="61"/>
        <v>2.9331709718034785E-2</v>
      </c>
      <c r="AW100" s="720">
        <v>7.4151561551177546E-3</v>
      </c>
      <c r="AX100" s="720">
        <v>7.5529678755574051E-3</v>
      </c>
      <c r="AY100" s="809">
        <v>7.2885907409274446E-3</v>
      </c>
      <c r="AZ100" s="812">
        <v>7.0749949464321811E-3</v>
      </c>
      <c r="BD100" s="728">
        <v>246.4</v>
      </c>
      <c r="BE100" s="728">
        <v>109.02</v>
      </c>
      <c r="BF100" s="888">
        <f t="shared" si="55"/>
        <v>26862.527999999998</v>
      </c>
      <c r="BG100" s="814">
        <f t="shared" si="50"/>
        <v>4.5007067997616147E-2</v>
      </c>
    </row>
    <row r="101" spans="2:59">
      <c r="B101" s="723" t="s">
        <v>162</v>
      </c>
      <c r="C101" s="807"/>
      <c r="D101" s="805"/>
      <c r="E101" s="808" t="e">
        <v>#DIV/0!</v>
      </c>
      <c r="F101" s="720">
        <f t="shared" si="51"/>
        <v>0</v>
      </c>
      <c r="G101" s="808">
        <v>0</v>
      </c>
      <c r="H101" s="720" t="e">
        <f t="shared" si="46"/>
        <v>#DIV/0!</v>
      </c>
      <c r="I101" s="720" t="e">
        <v>#DIV/0!</v>
      </c>
      <c r="J101" s="720" t="e">
        <v>#DIV/0!</v>
      </c>
      <c r="K101" s="720" t="e">
        <v>#DIV/0!</v>
      </c>
      <c r="L101" s="809" t="e">
        <v>#DIV/0!</v>
      </c>
      <c r="M101" s="807" t="e">
        <f t="shared" si="63"/>
        <v>#DIV/0!</v>
      </c>
      <c r="N101" s="805" t="e">
        <f t="shared" si="52"/>
        <v>#DIV/0!</v>
      </c>
      <c r="O101" s="808" t="e">
        <v>#DIV/0!</v>
      </c>
      <c r="Q101" s="808">
        <v>0</v>
      </c>
      <c r="R101" s="720" t="e">
        <f t="shared" si="53"/>
        <v>#DIV/0!</v>
      </c>
      <c r="S101" s="809" t="e">
        <v>#DIV/0!</v>
      </c>
      <c r="T101" s="720">
        <v>2.9471863033929415E-3</v>
      </c>
      <c r="U101" s="720">
        <v>3.6094131440010764E-3</v>
      </c>
      <c r="V101" s="720">
        <v>3.6324181475946098E-3</v>
      </c>
      <c r="W101" s="807">
        <f t="shared" si="54"/>
        <v>-0.54677180396620273</v>
      </c>
      <c r="X101" s="724">
        <f t="shared" si="47"/>
        <v>-39.405918727948276</v>
      </c>
      <c r="Y101" s="810">
        <v>42.473921192826843</v>
      </c>
      <c r="Z101" s="720">
        <f t="shared" si="35"/>
        <v>1.387537257387708E-2</v>
      </c>
      <c r="AA101" s="808">
        <v>9338.5149999999994</v>
      </c>
      <c r="AB101" s="720">
        <f t="shared" si="48"/>
        <v>0.1311297255080387</v>
      </c>
      <c r="AC101" s="720">
        <v>1.8154391270846348E-2</v>
      </c>
      <c r="AD101" s="720">
        <v>1.6876830902278404E-2</v>
      </c>
      <c r="AE101" s="810">
        <v>1.367263038119515E-2</v>
      </c>
      <c r="AF101" s="720">
        <v>9.8042197077030987E-3</v>
      </c>
      <c r="AG101" s="811">
        <f t="shared" si="56"/>
        <v>-5.8156565442238677E-2</v>
      </c>
      <c r="AH101" s="724">
        <f t="shared" si="57"/>
        <v>-3.7526241824562878</v>
      </c>
      <c r="AI101" s="812">
        <v>70.09582503962713</v>
      </c>
      <c r="AJ101" s="720">
        <f t="shared" si="58"/>
        <v>1.387537257387708E-2</v>
      </c>
      <c r="AK101" s="808">
        <v>9338.5149999999994</v>
      </c>
      <c r="AL101" s="720">
        <f t="shared" si="59"/>
        <v>7.2621653246015702E-2</v>
      </c>
      <c r="AM101" s="720">
        <v>9.9599130204765553E-3</v>
      </c>
      <c r="AN101" s="720">
        <v>8.2733802806808591E-3</v>
      </c>
      <c r="AO101" s="720">
        <v>8.3113757895440874E-3</v>
      </c>
      <c r="AP101" s="810">
        <v>7.8900015201587934E-3</v>
      </c>
      <c r="AQ101" s="720">
        <f t="shared" si="49"/>
        <v>0.42620585557084389</v>
      </c>
      <c r="AR101" s="720">
        <v>32.440110623488195</v>
      </c>
      <c r="AS101" s="720">
        <v>72.828816831856159</v>
      </c>
      <c r="AT101" s="720">
        <f t="shared" si="60"/>
        <v>1.5497572529144707E-2</v>
      </c>
      <c r="AU101" s="813">
        <v>10024.435000000001</v>
      </c>
      <c r="AV101" s="720">
        <f t="shared" si="61"/>
        <v>3.8186982635155409E-2</v>
      </c>
      <c r="AW101" s="720">
        <v>8.4405445742695533E-3</v>
      </c>
      <c r="AX101" s="720">
        <v>9.1949178134379077E-3</v>
      </c>
      <c r="AY101" s="809">
        <v>9.7914017874282059E-3</v>
      </c>
      <c r="AZ101" s="812">
        <v>1.0760118460019744E-2</v>
      </c>
      <c r="BD101" s="728">
        <v>142.6</v>
      </c>
      <c r="BE101" s="728">
        <v>54.99</v>
      </c>
      <c r="BF101" s="888">
        <f t="shared" si="55"/>
        <v>7841.5739999999996</v>
      </c>
      <c r="BG101" s="814">
        <f t="shared" si="50"/>
        <v>1.3138236811752744E-2</v>
      </c>
    </row>
    <row r="102" spans="2:59">
      <c r="B102" s="723" t="s">
        <v>296</v>
      </c>
      <c r="C102" s="807"/>
      <c r="D102" s="805"/>
      <c r="E102" s="808" t="e">
        <v>#DIV/0!</v>
      </c>
      <c r="G102" s="808">
        <v>0</v>
      </c>
      <c r="H102" s="720" t="e">
        <f t="shared" si="46"/>
        <v>#DIV/0!</v>
      </c>
      <c r="I102" s="720" t="e">
        <v>#DIV/0!</v>
      </c>
      <c r="J102" s="720" t="e">
        <v>#DIV/0!</v>
      </c>
      <c r="K102" s="720" t="e">
        <v>#DIV/0!</v>
      </c>
      <c r="L102" s="809" t="e">
        <v>#DIV/0!</v>
      </c>
      <c r="M102" s="807"/>
      <c r="N102" s="805"/>
      <c r="O102" s="808">
        <v>0</v>
      </c>
      <c r="Q102" s="808">
        <v>0</v>
      </c>
      <c r="S102" s="809" t="e">
        <v>#DIV/0!</v>
      </c>
      <c r="T102" s="720" t="e">
        <v>#DIV/0!</v>
      </c>
      <c r="U102" s="720" t="e">
        <v>#DIV/0!</v>
      </c>
      <c r="V102" s="720" t="e">
        <v>#DIV/0!</v>
      </c>
      <c r="W102" s="807"/>
      <c r="X102" s="724" t="e">
        <f t="shared" si="47"/>
        <v>#DIV/0!</v>
      </c>
      <c r="Y102" s="810" t="e">
        <v>#DIV/0!</v>
      </c>
      <c r="Z102" s="720">
        <f t="shared" si="35"/>
        <v>0</v>
      </c>
      <c r="AA102" s="808">
        <v>0</v>
      </c>
      <c r="AB102" s="720" t="e">
        <f t="shared" si="48"/>
        <v>#DIV/0!</v>
      </c>
      <c r="AC102" s="720" t="e">
        <v>#DIV/0!</v>
      </c>
      <c r="AD102" s="720" t="e">
        <v>#DIV/0!</v>
      </c>
      <c r="AE102" s="810" t="e">
        <v>#DIV/0!</v>
      </c>
      <c r="AF102" s="720" t="e">
        <v>#DIV/0!</v>
      </c>
      <c r="AG102" s="811" t="e">
        <f t="shared" si="56"/>
        <v>#DIV/0!</v>
      </c>
      <c r="AH102" s="724" t="e">
        <f t="shared" si="57"/>
        <v>#DIV/0!</v>
      </c>
      <c r="AI102" s="812" t="e">
        <v>#DIV/0!</v>
      </c>
      <c r="AJ102" s="720">
        <f t="shared" si="58"/>
        <v>0</v>
      </c>
      <c r="AK102" s="808">
        <v>0</v>
      </c>
      <c r="AL102" s="720" t="e">
        <f t="shared" si="59"/>
        <v>#DIV/0!</v>
      </c>
      <c r="AM102" s="720" t="e">
        <v>#DIV/0!</v>
      </c>
      <c r="AN102" s="720" t="e">
        <v>#DIV/0!</v>
      </c>
      <c r="AO102" s="720" t="e">
        <v>#DIV/0!</v>
      </c>
      <c r="AP102" s="810" t="e">
        <v>#DIV/0!</v>
      </c>
      <c r="AQ102" s="720" t="e">
        <f t="shared" si="49"/>
        <v>#DIV/0!</v>
      </c>
      <c r="AR102" s="720" t="e">
        <v>#DIV/0!</v>
      </c>
      <c r="AS102" s="720" t="e">
        <v>#DIV/0!</v>
      </c>
      <c r="AT102" s="720">
        <f t="shared" si="60"/>
        <v>0</v>
      </c>
      <c r="AU102" s="813">
        <v>0</v>
      </c>
      <c r="AV102" s="720" t="e">
        <f t="shared" si="61"/>
        <v>#DIV/0!</v>
      </c>
      <c r="AW102" s="720" t="e">
        <v>#DIV/0!</v>
      </c>
      <c r="AX102" s="720" t="e">
        <v>#DIV/0!</v>
      </c>
      <c r="AY102" s="809" t="e">
        <v>#DIV/0!</v>
      </c>
      <c r="AZ102" s="812" t="e">
        <v>#DIV/0!</v>
      </c>
      <c r="BD102" s="723"/>
      <c r="BE102" s="723"/>
      <c r="BF102" s="888">
        <f t="shared" si="55"/>
        <v>0</v>
      </c>
      <c r="BG102" s="814">
        <f t="shared" si="50"/>
        <v>0</v>
      </c>
    </row>
    <row r="103" spans="2:59">
      <c r="B103" s="723" t="s">
        <v>163</v>
      </c>
      <c r="C103" s="807"/>
      <c r="D103" s="805"/>
      <c r="E103" s="808" t="e">
        <v>#DIV/0!</v>
      </c>
      <c r="F103" s="720">
        <f t="shared" si="51"/>
        <v>0</v>
      </c>
      <c r="G103" s="808">
        <v>0</v>
      </c>
      <c r="H103" s="720" t="e">
        <f t="shared" si="46"/>
        <v>#DIV/0!</v>
      </c>
      <c r="I103" s="720" t="e">
        <v>#DIV/0!</v>
      </c>
      <c r="J103" s="720" t="e">
        <v>#DIV/0!</v>
      </c>
      <c r="K103" s="720" t="e">
        <v>#DIV/0!</v>
      </c>
      <c r="L103" s="809" t="e">
        <v>#DIV/0!</v>
      </c>
      <c r="M103" s="807" t="e">
        <f t="shared" si="63"/>
        <v>#DIV/0!</v>
      </c>
      <c r="N103" s="805" t="e">
        <f t="shared" si="52"/>
        <v>#DIV/0!</v>
      </c>
      <c r="O103" s="808" t="e">
        <v>#DIV/0!</v>
      </c>
      <c r="Q103" s="808">
        <v>0</v>
      </c>
      <c r="R103" s="720" t="e">
        <f t="shared" si="53"/>
        <v>#DIV/0!</v>
      </c>
      <c r="S103" s="809" t="e">
        <v>#DIV/0!</v>
      </c>
      <c r="T103" s="720">
        <v>7.4197968187714155E-3</v>
      </c>
      <c r="U103" s="720">
        <v>6.9599272181918087E-3</v>
      </c>
      <c r="V103" s="720">
        <v>6.9202391770310468E-3</v>
      </c>
      <c r="W103" s="807">
        <f t="shared" si="54"/>
        <v>8.7203349551167236E-2</v>
      </c>
      <c r="X103" s="724">
        <f t="shared" si="47"/>
        <v>12.093841597373768</v>
      </c>
      <c r="Y103" s="810">
        <v>70.234030270203704</v>
      </c>
      <c r="Z103" s="720">
        <f t="shared" si="35"/>
        <v>7.2105582704261508E-3</v>
      </c>
      <c r="AA103" s="808">
        <v>4852.9079999999994</v>
      </c>
      <c r="AB103" s="720">
        <f t="shared" si="48"/>
        <v>9.8780198219707405E-2</v>
      </c>
      <c r="AC103" s="720">
        <v>7.6813902314567094E-3</v>
      </c>
      <c r="AD103" s="720">
        <v>7.4995335817124318E-3</v>
      </c>
      <c r="AE103" s="810">
        <v>6.8758376680880216E-3</v>
      </c>
      <c r="AF103" s="720">
        <v>7.6830418523640698E-3</v>
      </c>
      <c r="AG103" s="811">
        <f t="shared" si="56"/>
        <v>0.12625523251071738</v>
      </c>
      <c r="AH103" s="724">
        <f t="shared" si="57"/>
        <v>19.531384863120781</v>
      </c>
      <c r="AI103" s="812">
        <v>62.656457544273515</v>
      </c>
      <c r="AJ103" s="720">
        <f t="shared" si="58"/>
        <v>7.2105582704261508E-3</v>
      </c>
      <c r="AK103" s="808">
        <v>4852.9079999999994</v>
      </c>
      <c r="AL103" s="720">
        <f t="shared" si="59"/>
        <v>6.9040394886086168E-2</v>
      </c>
      <c r="AM103" s="720">
        <v>7.6062504803008002E-3</v>
      </c>
      <c r="AN103" s="720">
        <v>8.4801662668904289E-3</v>
      </c>
      <c r="AO103" s="720">
        <v>8.3237468627580628E-3</v>
      </c>
      <c r="AP103" s="810">
        <v>7.8736026476437671E-3</v>
      </c>
      <c r="AQ103" s="720">
        <f t="shared" si="49"/>
        <v>0.11456740841530734</v>
      </c>
      <c r="AR103" s="720">
        <v>18.754905173213899</v>
      </c>
      <c r="AS103" s="720">
        <v>52.418415143456613</v>
      </c>
      <c r="AT103" s="720">
        <f t="shared" si="60"/>
        <v>6.4642232691401666E-3</v>
      </c>
      <c r="AU103" s="813">
        <v>4181.3119999999999</v>
      </c>
      <c r="AV103" s="720">
        <f t="shared" si="61"/>
        <v>3.6756628628493111E-2</v>
      </c>
      <c r="AW103" s="720">
        <v>8.1378071320917841E-3</v>
      </c>
      <c r="AX103" s="720">
        <v>9.6087699345763795E-3</v>
      </c>
      <c r="AY103" s="809">
        <v>9.1347916865650736E-3</v>
      </c>
      <c r="AZ103" s="812">
        <v>9.8752598752598758E-3</v>
      </c>
      <c r="BD103" s="728">
        <v>82.6</v>
      </c>
      <c r="BE103" s="728">
        <v>44.14</v>
      </c>
      <c r="BF103" s="888">
        <f t="shared" si="55"/>
        <v>3645.9639999999999</v>
      </c>
      <c r="BG103" s="814">
        <f t="shared" si="50"/>
        <v>6.1086636992936988E-3</v>
      </c>
    </row>
    <row r="104" spans="2:59">
      <c r="B104" s="723" t="s">
        <v>297</v>
      </c>
      <c r="C104" s="807"/>
      <c r="D104" s="805"/>
      <c r="E104" s="808" t="e">
        <v>#DIV/0!</v>
      </c>
      <c r="G104" s="808">
        <v>0</v>
      </c>
      <c r="H104" s="720" t="e">
        <f t="shared" si="46"/>
        <v>#DIV/0!</v>
      </c>
      <c r="I104" s="720" t="e">
        <v>#DIV/0!</v>
      </c>
      <c r="J104" s="720" t="e">
        <v>#DIV/0!</v>
      </c>
      <c r="K104" s="720" t="e">
        <v>#DIV/0!</v>
      </c>
      <c r="L104" s="809" t="e">
        <v>#DIV/0!</v>
      </c>
      <c r="M104" s="807" t="e">
        <f>N104*Z104</f>
        <v>#DIV/0!</v>
      </c>
      <c r="N104" s="805" t="e">
        <f t="shared" si="52"/>
        <v>#DIV/0!</v>
      </c>
      <c r="O104" s="808" t="e">
        <v>#DIV/0!</v>
      </c>
      <c r="Q104" s="808">
        <v>0</v>
      </c>
      <c r="R104" s="720" t="e">
        <f t="shared" si="53"/>
        <v>#DIV/0!</v>
      </c>
      <c r="S104" s="809" t="e">
        <v>#DIV/0!</v>
      </c>
      <c r="T104" s="720" t="e">
        <v>#DIV/0!</v>
      </c>
      <c r="U104" s="720" t="e">
        <v>#DIV/0!</v>
      </c>
      <c r="V104" s="720" t="e">
        <v>#DIV/0!</v>
      </c>
      <c r="W104" s="807" t="e">
        <f t="shared" si="54"/>
        <v>#DIV/0!</v>
      </c>
      <c r="X104" s="724" t="e">
        <f t="shared" si="47"/>
        <v>#DIV/0!</v>
      </c>
      <c r="Y104" s="810" t="e">
        <v>#DIV/0!</v>
      </c>
      <c r="Z104" s="720">
        <f t="shared" si="35"/>
        <v>0</v>
      </c>
      <c r="AA104" s="808">
        <v>0</v>
      </c>
      <c r="AB104" s="720" t="e">
        <f t="shared" si="48"/>
        <v>#DIV/0!</v>
      </c>
      <c r="AC104" s="720" t="e">
        <v>#DIV/0!</v>
      </c>
      <c r="AD104" s="720" t="e">
        <v>#DIV/0!</v>
      </c>
      <c r="AE104" s="810" t="e">
        <v>#DIV/0!</v>
      </c>
      <c r="AF104" s="720" t="e">
        <v>#DIV/0!</v>
      </c>
      <c r="AG104" s="811" t="e">
        <f t="shared" si="56"/>
        <v>#DIV/0!</v>
      </c>
      <c r="AH104" s="724" t="e">
        <f t="shared" si="57"/>
        <v>#DIV/0!</v>
      </c>
      <c r="AI104" s="812" t="e">
        <v>#DIV/0!</v>
      </c>
      <c r="AJ104" s="720">
        <f t="shared" si="58"/>
        <v>0</v>
      </c>
      <c r="AK104" s="808">
        <v>0</v>
      </c>
      <c r="AL104" s="720" t="e">
        <f t="shared" si="59"/>
        <v>#DIV/0!</v>
      </c>
      <c r="AM104" s="720" t="e">
        <v>#DIV/0!</v>
      </c>
      <c r="AN104" s="720" t="e">
        <v>#DIV/0!</v>
      </c>
      <c r="AO104" s="720" t="e">
        <v>#DIV/0!</v>
      </c>
      <c r="AP104" s="810" t="e">
        <v>#DIV/0!</v>
      </c>
      <c r="AQ104" s="720" t="e">
        <f t="shared" si="49"/>
        <v>#DIV/0!</v>
      </c>
      <c r="AR104" s="720" t="e">
        <v>#DIV/0!</v>
      </c>
      <c r="AS104" s="720" t="e">
        <v>#DIV/0!</v>
      </c>
      <c r="AT104" s="720">
        <f t="shared" si="60"/>
        <v>0</v>
      </c>
      <c r="AU104" s="813">
        <v>0</v>
      </c>
      <c r="AV104" s="720" t="e">
        <f t="shared" si="61"/>
        <v>#DIV/0!</v>
      </c>
      <c r="AW104" s="720" t="e">
        <v>#DIV/0!</v>
      </c>
      <c r="AX104" s="720" t="e">
        <v>#DIV/0!</v>
      </c>
      <c r="AY104" s="809" t="e">
        <v>#DIV/0!</v>
      </c>
      <c r="AZ104" s="812" t="e">
        <v>#DIV/0!</v>
      </c>
      <c r="BD104" s="723"/>
      <c r="BE104" s="723"/>
      <c r="BF104" s="888">
        <f t="shared" si="55"/>
        <v>0</v>
      </c>
      <c r="BG104" s="814">
        <f t="shared" si="50"/>
        <v>0</v>
      </c>
    </row>
    <row r="105" spans="2:59">
      <c r="B105" s="728" t="s">
        <v>164</v>
      </c>
      <c r="C105" s="807">
        <f>D105*P105</f>
        <v>7.4927106896675824E-2</v>
      </c>
      <c r="D105" s="805">
        <f>((E105/O105)-1)*100</f>
        <v>5.3784314653441578</v>
      </c>
      <c r="E105" s="808">
        <v>56.455773226830559</v>
      </c>
      <c r="F105" s="720">
        <f t="shared" si="51"/>
        <v>1.4888991191146044E-2</v>
      </c>
      <c r="G105" s="808">
        <v>11517.164999999999</v>
      </c>
      <c r="H105" s="720">
        <f t="shared" si="46"/>
        <v>0.16909863795466074</v>
      </c>
      <c r="I105" s="720">
        <v>9.1279532036731281E-3</v>
      </c>
      <c r="J105" s="720">
        <v>7.4768877546364148E-3</v>
      </c>
      <c r="K105" s="720">
        <v>7.5368020251212059E-3</v>
      </c>
      <c r="L105" s="809">
        <v>8.2221044445187959E-3</v>
      </c>
      <c r="M105" s="807">
        <f>N105*Z105</f>
        <v>0.25383527634335895</v>
      </c>
      <c r="N105" s="805">
        <f t="shared" si="52"/>
        <v>18.991670553503436</v>
      </c>
      <c r="O105" s="808">
        <v>53.5743153905239</v>
      </c>
      <c r="P105" s="720">
        <f>Q105/Q$112</f>
        <v>1.3931033123591424E-2</v>
      </c>
      <c r="Q105" s="808">
        <v>11009.568000000001</v>
      </c>
      <c r="R105" s="720">
        <f t="shared" si="53"/>
        <v>0.1367348905267112</v>
      </c>
      <c r="S105" s="809">
        <v>8.4982812706535203E-3</v>
      </c>
      <c r="T105" s="720">
        <v>8.8754083386351854E-3</v>
      </c>
      <c r="U105" s="720">
        <v>8.7399138167424898E-3</v>
      </c>
      <c r="V105" s="720">
        <v>8.7224975074136155E-3</v>
      </c>
      <c r="W105" s="807">
        <f t="shared" si="54"/>
        <v>8.543386334072009E-2</v>
      </c>
      <c r="X105" s="724">
        <f t="shared" si="47"/>
        <v>6.3920657918532076</v>
      </c>
      <c r="Y105" s="810">
        <v>45.02358454278086</v>
      </c>
      <c r="Z105" s="720">
        <f t="shared" si="35"/>
        <v>1.3365610762268271E-2</v>
      </c>
      <c r="AA105" s="808">
        <v>8995.4310000000005</v>
      </c>
      <c r="AB105" s="720">
        <f t="shared" si="48"/>
        <v>0.1018987895932664</v>
      </c>
      <c r="AC105" s="720">
        <v>8.9607014082714979E-3</v>
      </c>
      <c r="AD105" s="720">
        <v>8.0203959878456261E-3</v>
      </c>
      <c r="AE105" s="810">
        <v>8.1592234222777147E-3</v>
      </c>
      <c r="AF105" s="720">
        <v>8.3778910130686557E-3</v>
      </c>
      <c r="AG105" s="811">
        <f t="shared" si="56"/>
        <v>0.12903689167086366</v>
      </c>
      <c r="AH105" s="724">
        <f t="shared" si="57"/>
        <v>9.9704396344910684</v>
      </c>
      <c r="AI105" s="812">
        <v>42.318554685145017</v>
      </c>
      <c r="AJ105" s="720">
        <f t="shared" si="58"/>
        <v>1.3365610762268271E-2</v>
      </c>
      <c r="AK105" s="808">
        <v>8995.4310000000005</v>
      </c>
      <c r="AL105" s="720">
        <f t="shared" si="59"/>
        <v>6.8380577761802896E-2</v>
      </c>
      <c r="AM105" s="720">
        <v>8.4293019911075243E-3</v>
      </c>
      <c r="AN105" s="720">
        <v>8.154272098933232E-3</v>
      </c>
      <c r="AO105" s="720">
        <v>8.0035066497057966E-3</v>
      </c>
      <c r="AP105" s="810">
        <v>7.6665563931921626E-3</v>
      </c>
      <c r="AQ105" s="720">
        <f t="shared" si="49"/>
        <v>0.25921980210549517</v>
      </c>
      <c r="AR105" s="720">
        <v>22.164300237955615</v>
      </c>
      <c r="AS105" s="720">
        <v>38.481754574956021</v>
      </c>
      <c r="AT105" s="720">
        <f t="shared" si="60"/>
        <v>1.2941946032598415E-2</v>
      </c>
      <c r="AU105" s="813">
        <v>8371.3559999999998</v>
      </c>
      <c r="AV105" s="720">
        <f t="shared" si="61"/>
        <v>3.6126940628864186E-2</v>
      </c>
      <c r="AW105" s="720">
        <v>8.1306919239918212E-3</v>
      </c>
      <c r="AX105" s="720">
        <v>8.9745704252012677E-3</v>
      </c>
      <c r="AY105" s="809">
        <v>9.4929187509115685E-3</v>
      </c>
      <c r="AZ105" s="812">
        <v>9.5287595287595304E-3</v>
      </c>
      <c r="BD105" s="728">
        <f>110.8*2</f>
        <v>221.6</v>
      </c>
      <c r="BE105" s="728">
        <f>63/2</f>
        <v>31.5</v>
      </c>
      <c r="BF105" s="888">
        <f t="shared" si="55"/>
        <v>6980.4</v>
      </c>
      <c r="BG105" s="814">
        <f t="shared" si="50"/>
        <v>1.1695374964357776E-2</v>
      </c>
    </row>
    <row r="106" spans="2:59">
      <c r="B106" s="728" t="s">
        <v>165</v>
      </c>
      <c r="C106" s="807">
        <f>D106*P106</f>
        <v>2.7798886949027737E-2</v>
      </c>
      <c r="D106" s="805">
        <f>((E106/O106)-1)*100</f>
        <v>8.2354547629904129</v>
      </c>
      <c r="E106" s="808">
        <v>50.254304420108106</v>
      </c>
      <c r="F106" s="720">
        <f t="shared" si="51"/>
        <v>3.6366139905349469E-3</v>
      </c>
      <c r="G106" s="808">
        <v>2813.0504500000002</v>
      </c>
      <c r="H106" s="720">
        <f t="shared" si="46"/>
        <v>0.18273251165234408</v>
      </c>
      <c r="I106" s="720">
        <v>1.1166958088802876E-2</v>
      </c>
      <c r="J106" s="720">
        <v>9.3647909237454946E-3</v>
      </c>
      <c r="K106" s="720">
        <v>9.2233433111038009E-3</v>
      </c>
      <c r="L106" s="809">
        <v>9.9311753262543625E-3</v>
      </c>
      <c r="M106" s="807">
        <f>(N106*Z106)</f>
        <v>-6.6746419350040456E-2</v>
      </c>
      <c r="N106" s="805">
        <f t="shared" si="52"/>
        <v>-18.11388748079229</v>
      </c>
      <c r="O106" s="808">
        <v>46.430538431379013</v>
      </c>
      <c r="P106" s="720">
        <f>Q106/Q$112</f>
        <v>3.3755132836081002E-3</v>
      </c>
      <c r="Q106" s="808">
        <v>2667.63726</v>
      </c>
      <c r="R106" s="720">
        <f t="shared" si="53"/>
        <v>0.14304624400243754</v>
      </c>
      <c r="S106" s="809">
        <v>1.0801205134449661E-2</v>
      </c>
      <c r="T106" s="720">
        <v>9.8421626971197818E-3</v>
      </c>
      <c r="U106" s="720">
        <v>8.2088071736837655E-3</v>
      </c>
      <c r="V106" s="720">
        <v>7.8260932579352505E-3</v>
      </c>
      <c r="W106" s="807">
        <f t="shared" si="54"/>
        <v>0.12956377142272932</v>
      </c>
      <c r="X106" s="724">
        <f t="shared" si="47"/>
        <v>35.161490309022668</v>
      </c>
      <c r="Y106" s="810">
        <v>56.701358756636516</v>
      </c>
      <c r="Z106" s="720">
        <f t="shared" si="35"/>
        <v>3.6848202474933896E-3</v>
      </c>
      <c r="AA106" s="808">
        <v>2479.9874</v>
      </c>
      <c r="AB106" s="720">
        <f t="shared" si="48"/>
        <v>0.10636797573924908</v>
      </c>
      <c r="AC106" s="720">
        <v>7.983380715053905E-3</v>
      </c>
      <c r="AD106" s="720">
        <v>7.5736051443396442E-3</v>
      </c>
      <c r="AE106" s="810">
        <v>7.480982761153868E-3</v>
      </c>
      <c r="AF106" s="720">
        <v>9.0451445681073352E-3</v>
      </c>
      <c r="AG106" s="811">
        <f t="shared" si="56"/>
        <v>-3.8806194238817184E-3</v>
      </c>
      <c r="AH106" s="724">
        <f t="shared" si="57"/>
        <v>-0.98799566874531175</v>
      </c>
      <c r="AI106" s="812">
        <v>41.950823882600702</v>
      </c>
      <c r="AJ106" s="720">
        <f t="shared" si="58"/>
        <v>3.6848202474933896E-3</v>
      </c>
      <c r="AK106" s="808">
        <v>2479.9874</v>
      </c>
      <c r="AL106" s="720">
        <f t="shared" si="59"/>
        <v>7.4284862550594327E-2</v>
      </c>
      <c r="AM106" s="720">
        <v>9.7457803301868283E-3</v>
      </c>
      <c r="AN106" s="720">
        <v>9.039971131481795E-3</v>
      </c>
      <c r="AO106" s="720">
        <v>8.5802752162334791E-3</v>
      </c>
      <c r="AP106" s="810">
        <v>7.9430625527251945E-3</v>
      </c>
      <c r="AQ106" s="720">
        <f t="shared" si="49"/>
        <v>8.5468474871212965E-2</v>
      </c>
      <c r="AR106" s="720">
        <v>23.95971923928688</v>
      </c>
      <c r="AS106" s="720">
        <v>42.369432035988254</v>
      </c>
      <c r="AT106" s="720">
        <f t="shared" si="60"/>
        <v>3.9277696721179405E-3</v>
      </c>
      <c r="AU106" s="813">
        <v>2540.6347800000003</v>
      </c>
      <c r="AV106" s="720">
        <f t="shared" si="61"/>
        <v>3.8975773319967037E-2</v>
      </c>
      <c r="AW106" s="720">
        <v>8.6533941847428703E-3</v>
      </c>
      <c r="AX106" s="720">
        <v>9.523988378560895E-3</v>
      </c>
      <c r="AY106" s="809">
        <v>1.0031669712617597E-2</v>
      </c>
      <c r="AZ106" s="812">
        <v>1.0766721044045678E-2</v>
      </c>
      <c r="BD106" s="728">
        <v>62.29</v>
      </c>
      <c r="BE106" s="728">
        <v>34.18</v>
      </c>
      <c r="BF106" s="888">
        <f t="shared" si="55"/>
        <v>2129.0722000000001</v>
      </c>
      <c r="BG106" s="814">
        <f t="shared" si="50"/>
        <v>3.567173472177831E-3</v>
      </c>
    </row>
    <row r="107" spans="2:59">
      <c r="B107" s="728" t="s">
        <v>652</v>
      </c>
      <c r="C107" s="807">
        <f>D107*P107</f>
        <v>0.45673278463991696</v>
      </c>
      <c r="D107" s="805">
        <f>((E107/O107)-1)*100</f>
        <v>14.467154379696856</v>
      </c>
      <c r="E107" s="808">
        <v>103.46905745250481</v>
      </c>
      <c r="F107" s="720">
        <f t="shared" si="51"/>
        <v>3.5933965235829826E-2</v>
      </c>
      <c r="G107" s="808">
        <v>27796.201999999997</v>
      </c>
      <c r="H107" s="720">
        <f t="shared" si="46"/>
        <v>0.17405035121417017</v>
      </c>
      <c r="I107" s="720">
        <v>8.3659974329583168E-3</v>
      </c>
      <c r="J107" s="720">
        <v>7.4095428650173987E-3</v>
      </c>
      <c r="K107" s="720">
        <v>7.1416254409087127E-3</v>
      </c>
      <c r="L107" s="809">
        <v>8.0891922276133694E-3</v>
      </c>
      <c r="M107" s="807">
        <f>N107*Z107</f>
        <v>0.85982618108294007</v>
      </c>
      <c r="N107" s="805">
        <f t="shared" si="52"/>
        <v>30.242610036182917</v>
      </c>
      <c r="O107" s="808">
        <v>90.391918986025928</v>
      </c>
      <c r="P107" s="720">
        <f>Q107/Q$112</f>
        <v>3.157032631661786E-2</v>
      </c>
      <c r="Q107" s="808">
        <v>24949.739999999998</v>
      </c>
      <c r="R107" s="720">
        <f t="shared" si="53"/>
        <v>0.14304399324767239</v>
      </c>
      <c r="S107" s="809">
        <v>8.4648670266866677E-3</v>
      </c>
      <c r="T107" s="720">
        <v>8.9791221806566832E-3</v>
      </c>
      <c r="U107" s="720">
        <v>9.2389081111573894E-3</v>
      </c>
      <c r="V107" s="720">
        <v>9.4595990261242633E-3</v>
      </c>
      <c r="W107" s="807">
        <f t="shared" si="54"/>
        <v>0.19648790043609987</v>
      </c>
      <c r="X107" s="724">
        <f t="shared" si="47"/>
        <v>6.9110560720924363</v>
      </c>
      <c r="Y107" s="810">
        <v>69.402723855821066</v>
      </c>
      <c r="Z107" s="720">
        <f t="shared" si="35"/>
        <v>2.8430951563182719E-2</v>
      </c>
      <c r="AA107" s="808">
        <v>19134.828000000001</v>
      </c>
      <c r="AB107" s="720">
        <f t="shared" si="48"/>
        <v>0.10690149690304739</v>
      </c>
      <c r="AC107" s="720">
        <v>9.6685992970860224E-3</v>
      </c>
      <c r="AD107" s="720">
        <v>8.5221972629589225E-3</v>
      </c>
      <c r="AE107" s="810">
        <v>8.9435950107166068E-3</v>
      </c>
      <c r="AF107" s="720">
        <v>9.0707414341322876E-3</v>
      </c>
      <c r="AG107" s="811">
        <f t="shared" si="56"/>
        <v>0.10912343285306056</v>
      </c>
      <c r="AH107" s="724">
        <f t="shared" si="57"/>
        <v>4.3343811287668288</v>
      </c>
      <c r="AI107" s="812">
        <v>64.916320543145048</v>
      </c>
      <c r="AJ107" s="720">
        <f t="shared" si="58"/>
        <v>2.8430951563182719E-2</v>
      </c>
      <c r="AK107" s="808">
        <v>19134.828000000001</v>
      </c>
      <c r="AL107" s="720">
        <f t="shared" si="59"/>
        <v>7.069636389815355E-2</v>
      </c>
      <c r="AM107" s="720">
        <v>9.1048586954544548E-3</v>
      </c>
      <c r="AN107" s="720">
        <v>9.3295180447085287E-3</v>
      </c>
      <c r="AO107" s="720">
        <v>8.6272411369474993E-3</v>
      </c>
      <c r="AP107" s="810">
        <v>7.8516482906059171E-3</v>
      </c>
      <c r="AQ107" s="720">
        <f t="shared" si="49"/>
        <v>0.48056275430199308</v>
      </c>
      <c r="AR107" s="720">
        <v>25.695940769024972</v>
      </c>
      <c r="AS107" s="720">
        <v>62.219490680667363</v>
      </c>
      <c r="AT107" s="720">
        <f t="shared" si="60"/>
        <v>2.5176243069355366E-2</v>
      </c>
      <c r="AU107" s="813">
        <v>16284.977000000001</v>
      </c>
      <c r="AV107" s="720">
        <f t="shared" si="61"/>
        <v>3.5783097730437155E-2</v>
      </c>
      <c r="AW107" s="720">
        <v>8.4654938227782788E-3</v>
      </c>
      <c r="AX107" s="720">
        <v>9.0790129673589404E-3</v>
      </c>
      <c r="AY107" s="809">
        <v>8.8433279427460112E-3</v>
      </c>
      <c r="AZ107" s="812">
        <v>9.3952629975539246E-3</v>
      </c>
      <c r="BD107" s="728">
        <v>225.5</v>
      </c>
      <c r="BE107" s="728">
        <v>49.5</v>
      </c>
      <c r="BF107" s="888">
        <f t="shared" si="55"/>
        <v>11162.25</v>
      </c>
      <c r="BG107" s="814">
        <f t="shared" si="50"/>
        <v>1.8701893759082943E-2</v>
      </c>
    </row>
    <row r="108" spans="2:59">
      <c r="B108" s="723" t="s">
        <v>166</v>
      </c>
      <c r="C108" s="807"/>
      <c r="D108" s="805"/>
      <c r="E108" s="808" t="e">
        <v>#DIV/0!</v>
      </c>
      <c r="F108" s="720">
        <f t="shared" si="51"/>
        <v>0</v>
      </c>
      <c r="G108" s="808">
        <v>0</v>
      </c>
      <c r="H108" s="720" t="e">
        <f t="shared" si="46"/>
        <v>#DIV/0!</v>
      </c>
      <c r="I108" s="720" t="e">
        <v>#DIV/0!</v>
      </c>
      <c r="J108" s="720" t="e">
        <v>#DIV/0!</v>
      </c>
      <c r="K108" s="720" t="e">
        <v>#DIV/0!</v>
      </c>
      <c r="L108" s="809" t="e">
        <v>#DIV/0!</v>
      </c>
      <c r="M108" s="807" t="e">
        <f>N108*Z108</f>
        <v>#DIV/0!</v>
      </c>
      <c r="N108" s="805" t="e">
        <f t="shared" si="52"/>
        <v>#DIV/0!</v>
      </c>
      <c r="O108" s="808" t="e">
        <v>#DIV/0!</v>
      </c>
      <c r="Q108" s="808">
        <v>0</v>
      </c>
      <c r="R108" s="720" t="e">
        <f t="shared" si="53"/>
        <v>#DIV/0!</v>
      </c>
      <c r="S108" s="809" t="e">
        <v>#DIV/0!</v>
      </c>
      <c r="T108" s="720" t="e">
        <v>#DIV/0!</v>
      </c>
      <c r="U108" s="720" t="e">
        <v>#DIV/0!</v>
      </c>
      <c r="V108" s="720" t="e">
        <v>#DIV/0!</v>
      </c>
      <c r="W108" s="807" t="e">
        <f t="shared" si="54"/>
        <v>#DIV/0!</v>
      </c>
      <c r="X108" s="724" t="e">
        <f t="shared" si="47"/>
        <v>#DIV/0!</v>
      </c>
      <c r="Y108" s="810" t="e">
        <v>#DIV/0!</v>
      </c>
      <c r="Z108" s="720">
        <f t="shared" si="35"/>
        <v>0</v>
      </c>
      <c r="AA108" s="808">
        <v>0</v>
      </c>
      <c r="AB108" s="720" t="e">
        <f t="shared" si="48"/>
        <v>#DIV/0!</v>
      </c>
      <c r="AC108" s="720" t="e">
        <v>#DIV/0!</v>
      </c>
      <c r="AD108" s="720" t="e">
        <v>#DIV/0!</v>
      </c>
      <c r="AE108" s="810" t="e">
        <v>#DIV/0!</v>
      </c>
      <c r="AF108" s="720" t="e">
        <v>#DIV/0!</v>
      </c>
      <c r="AG108" s="811" t="e">
        <f t="shared" si="56"/>
        <v>#DIV/0!</v>
      </c>
      <c r="AH108" s="724" t="e">
        <f t="shared" si="57"/>
        <v>#DIV/0!</v>
      </c>
      <c r="AI108" s="812" t="e">
        <v>#DIV/0!</v>
      </c>
      <c r="AJ108" s="720">
        <f t="shared" si="58"/>
        <v>0</v>
      </c>
      <c r="AK108" s="808">
        <v>0</v>
      </c>
      <c r="AL108" s="720" t="e">
        <f t="shared" si="59"/>
        <v>#DIV/0!</v>
      </c>
      <c r="AM108" s="720" t="e">
        <v>#DIV/0!</v>
      </c>
      <c r="AN108" s="720" t="e">
        <v>#DIV/0!</v>
      </c>
      <c r="AO108" s="720" t="e">
        <v>#DIV/0!</v>
      </c>
      <c r="AP108" s="810" t="e">
        <v>#DIV/0!</v>
      </c>
      <c r="AQ108" s="720" t="e">
        <f t="shared" si="49"/>
        <v>#DIV/0!</v>
      </c>
      <c r="AR108" s="720" t="e">
        <v>#DIV/0!</v>
      </c>
      <c r="AS108" s="720" t="e">
        <v>#DIV/0!</v>
      </c>
      <c r="AT108" s="720">
        <f t="shared" si="60"/>
        <v>0</v>
      </c>
      <c r="AU108" s="813">
        <v>0</v>
      </c>
      <c r="AV108" s="720" t="e">
        <f t="shared" si="61"/>
        <v>#DIV/0!</v>
      </c>
      <c r="AW108" s="720" t="e">
        <v>#DIV/0!</v>
      </c>
      <c r="AX108" s="720" t="e">
        <v>#DIV/0!</v>
      </c>
      <c r="AY108" s="809" t="e">
        <v>#DIV/0!</v>
      </c>
      <c r="AZ108" s="812" t="e">
        <v>#DIV/0!</v>
      </c>
      <c r="BD108" s="728">
        <v>80.2</v>
      </c>
      <c r="BE108" s="728">
        <v>72.02</v>
      </c>
      <c r="BF108" s="888">
        <f t="shared" si="55"/>
        <v>5776.0039999999999</v>
      </c>
      <c r="BG108" s="814">
        <f t="shared" si="50"/>
        <v>9.6774586808249345E-3</v>
      </c>
    </row>
    <row r="109" spans="2:59">
      <c r="B109" s="728" t="s">
        <v>167</v>
      </c>
      <c r="C109" s="807">
        <f>D109*P109</f>
        <v>-9.0173088702396723E-2</v>
      </c>
      <c r="D109" s="805">
        <f>((E109/O109)-1)*100</f>
        <v>-14.096272476830517</v>
      </c>
      <c r="E109" s="808">
        <v>25.224941713519097</v>
      </c>
      <c r="F109" s="720">
        <f t="shared" si="51"/>
        <v>5.5203120600253452E-3</v>
      </c>
      <c r="G109" s="808">
        <v>4270.1579999999994</v>
      </c>
      <c r="H109" s="720">
        <f t="shared" si="46"/>
        <v>0.17325310295437674</v>
      </c>
      <c r="I109" s="720">
        <v>1.1215018719937034E-2</v>
      </c>
      <c r="J109" s="720">
        <v>8.0595939660281172E-3</v>
      </c>
      <c r="K109" s="720">
        <v>8.2303652119169977E-3</v>
      </c>
      <c r="L109" s="809">
        <v>8.9227572473393017E-3</v>
      </c>
      <c r="M109" s="807">
        <f>N109*Z109</f>
        <v>-4.2936544277028872E-2</v>
      </c>
      <c r="N109" s="805">
        <f t="shared" si="52"/>
        <v>-5.4061169675404752</v>
      </c>
      <c r="O109" s="808">
        <v>29.364199250510481</v>
      </c>
      <c r="P109" s="720">
        <f>Q109/Q$112</f>
        <v>6.3969456358488139E-3</v>
      </c>
      <c r="Q109" s="808">
        <v>5055.4475999999995</v>
      </c>
      <c r="R109" s="720">
        <f t="shared" si="53"/>
        <v>0.1368253678091553</v>
      </c>
      <c r="S109" s="809">
        <v>8.8430668196044938E-3</v>
      </c>
      <c r="T109" s="720">
        <v>9.5005268150310518E-3</v>
      </c>
      <c r="U109" s="720">
        <v>8.5330816185212044E-3</v>
      </c>
      <c r="V109" s="720">
        <v>7.591199611455623E-3</v>
      </c>
      <c r="W109" s="807">
        <f t="shared" si="54"/>
        <v>4.6985885382966622E-2</v>
      </c>
      <c r="X109" s="724">
        <f t="shared" si="47"/>
        <v>5.9159673066577989</v>
      </c>
      <c r="Y109" s="810">
        <v>31.042387001318332</v>
      </c>
      <c r="Z109" s="720">
        <f t="shared" si="35"/>
        <v>7.9422151860252758E-3</v>
      </c>
      <c r="AA109" s="808">
        <v>5345.3336300000001</v>
      </c>
      <c r="AB109" s="720">
        <f t="shared" si="48"/>
        <v>0.10235749294454294</v>
      </c>
      <c r="AC109" s="720">
        <v>7.6775316884967722E-3</v>
      </c>
      <c r="AD109" s="720">
        <v>7.9844628325387908E-3</v>
      </c>
      <c r="AE109" s="810">
        <v>8.0018698841551189E-3</v>
      </c>
      <c r="AF109" s="720">
        <v>7.8677095195159742E-3</v>
      </c>
      <c r="AG109" s="811">
        <f t="shared" si="56"/>
        <v>0.26247374769832593</v>
      </c>
      <c r="AH109" s="724">
        <f t="shared" si="57"/>
        <v>44.757419181266521</v>
      </c>
      <c r="AI109" s="812">
        <v>29.308505403572923</v>
      </c>
      <c r="AJ109" s="720">
        <f t="shared" si="58"/>
        <v>7.9422151860252758E-3</v>
      </c>
      <c r="AK109" s="808">
        <v>5345.3336300000001</v>
      </c>
      <c r="AL109" s="720">
        <f t="shared" si="59"/>
        <v>7.0825919019836286E-2</v>
      </c>
      <c r="AM109" s="720">
        <v>7.4787841963290169E-3</v>
      </c>
      <c r="AN109" s="720">
        <v>7.0675640381018621E-3</v>
      </c>
      <c r="AO109" s="720">
        <v>7.7281209451668526E-3</v>
      </c>
      <c r="AP109" s="810">
        <v>8.1283058127150278E-3</v>
      </c>
      <c r="AQ109" s="720">
        <f t="shared" si="49"/>
        <v>-3.5563568330662168E-2</v>
      </c>
      <c r="AR109" s="720">
        <v>-5.1235502212951705</v>
      </c>
      <c r="AS109" s="720">
        <v>20.246634382775611</v>
      </c>
      <c r="AT109" s="720">
        <f t="shared" si="60"/>
        <v>5.8643628810524859E-3</v>
      </c>
      <c r="AU109" s="813">
        <v>3793.2988800000003</v>
      </c>
      <c r="AV109" s="720">
        <f t="shared" si="61"/>
        <v>4.0423144027523533E-2</v>
      </c>
      <c r="AW109" s="720">
        <v>9.9289649830849036E-3</v>
      </c>
      <c r="AX109" s="720">
        <v>1.0439965342203551E-2</v>
      </c>
      <c r="AY109" s="809">
        <v>1.070961564795961E-2</v>
      </c>
      <c r="AZ109" s="812">
        <v>9.3445980542754721E-3</v>
      </c>
      <c r="BD109" s="728">
        <v>194.136</v>
      </c>
      <c r="BE109" s="728">
        <v>21.34</v>
      </c>
      <c r="BF109" s="888">
        <f t="shared" si="55"/>
        <v>4142.8622399999995</v>
      </c>
      <c r="BG109" s="814">
        <f t="shared" si="50"/>
        <v>6.9411963959771887E-3</v>
      </c>
    </row>
    <row r="110" spans="2:59">
      <c r="B110" s="728" t="s">
        <v>168</v>
      </c>
      <c r="C110" s="807">
        <f>D110*P110</f>
        <v>-2.8233420184821119E-2</v>
      </c>
      <c r="D110" s="805">
        <f>((E110/O110)-1)*100</f>
        <v>-4.824447361433104</v>
      </c>
      <c r="E110" s="808">
        <v>55.849567904446076</v>
      </c>
      <c r="F110" s="720">
        <f>G110/G$112</f>
        <v>5.5376672013924023E-3</v>
      </c>
      <c r="G110" s="808">
        <v>4283.5828199999996</v>
      </c>
      <c r="H110" s="720">
        <f t="shared" si="46"/>
        <v>0.16498890080196243</v>
      </c>
      <c r="I110" s="720">
        <v>9.2813394062856817E-3</v>
      </c>
      <c r="J110" s="720">
        <v>7.9207371809049496E-3</v>
      </c>
      <c r="K110" s="720">
        <v>7.7860616214022928E-3</v>
      </c>
      <c r="L110" s="809">
        <v>8.0450974905773489E-3</v>
      </c>
      <c r="M110" s="807">
        <f>N110*Z110</f>
        <v>0.18789082446025571</v>
      </c>
      <c r="N110" s="805">
        <f>((O110/Y110)-1)*100</f>
        <v>32.024176115333923</v>
      </c>
      <c r="O110" s="808">
        <v>58.680581678928753</v>
      </c>
      <c r="P110" s="720">
        <f>Q110/Q$112</f>
        <v>5.8521563341162397E-3</v>
      </c>
      <c r="Q110" s="808">
        <v>4624.9056</v>
      </c>
      <c r="R110" s="720">
        <f>(S110+T110+U110+V110+AB110)</f>
        <v>0.13195566510279216</v>
      </c>
      <c r="S110" s="809">
        <v>7.8604267726595876E-3</v>
      </c>
      <c r="T110" s="720">
        <v>8.8176256184944127E-3</v>
      </c>
      <c r="U110" s="720">
        <v>8.7941298517150209E-3</v>
      </c>
      <c r="V110" s="720">
        <v>9.3014148654814114E-3</v>
      </c>
      <c r="W110" s="807">
        <f>X110*AJ110</f>
        <v>-3.5004336060661098E-2</v>
      </c>
      <c r="X110" s="724">
        <f>((Y110/AI110)-1)*100</f>
        <v>-5.9661509604161944</v>
      </c>
      <c r="Y110" s="810">
        <v>44.446845574454834</v>
      </c>
      <c r="Z110" s="720">
        <f>AA110/$AA$112</f>
        <v>5.8671556071754546E-3</v>
      </c>
      <c r="AA110" s="808">
        <v>3948.7603200000003</v>
      </c>
      <c r="AB110" s="720">
        <f>(AC110+AD110+AE110+AF110+AL110)</f>
        <v>9.7182067994441748E-2</v>
      </c>
      <c r="AC110" s="720">
        <v>9.1319927323894792E-3</v>
      </c>
      <c r="AD110" s="720">
        <v>8.0561198952329664E-3</v>
      </c>
      <c r="AE110" s="810">
        <v>7.9860362075841376E-3</v>
      </c>
      <c r="AF110" s="720">
        <v>7.9183726377175748E-3</v>
      </c>
      <c r="AG110" s="811">
        <f>AH110*AT110</f>
        <v>8.1317020258833056E-2</v>
      </c>
      <c r="AH110" s="724">
        <f>((AI110/AS110)-1)*100</f>
        <v>15.822737662989471</v>
      </c>
      <c r="AI110" s="812">
        <v>47.266857656485818</v>
      </c>
      <c r="AJ110" s="720">
        <f>AK110/$AK$112</f>
        <v>5.8671556071754546E-3</v>
      </c>
      <c r="AK110" s="808">
        <v>3948.7603200000003</v>
      </c>
      <c r="AL110" s="720">
        <f>AM110+AN110+AO110+AP110+AV110</f>
        <v>6.408954652151759E-2</v>
      </c>
      <c r="AM110" s="720">
        <v>7.610832697516441E-3</v>
      </c>
      <c r="AN110" s="720">
        <v>7.745090227346629E-3</v>
      </c>
      <c r="AO110" s="720">
        <v>7.8208986145637226E-3</v>
      </c>
      <c r="AP110" s="810">
        <v>7.4953211519862518E-3</v>
      </c>
      <c r="AQ110" s="720">
        <f>AR110*BG110</f>
        <v>4.8741465831749917E-2</v>
      </c>
      <c r="AR110" s="720">
        <v>10.028722775008969</v>
      </c>
      <c r="AS110" s="720">
        <v>40.809653277250831</v>
      </c>
      <c r="AT110" s="720">
        <f>AU110/$AU$112</f>
        <v>5.1392509937796321E-3</v>
      </c>
      <c r="AU110" s="813">
        <v>3324.2682000000004</v>
      </c>
      <c r="AV110" s="720">
        <f>AW110+AX110+AY110+AZ110</f>
        <v>3.3417403830104546E-2</v>
      </c>
      <c r="AW110" s="720">
        <v>7.791536093215163E-3</v>
      </c>
      <c r="AX110" s="720">
        <v>8.3907215795218665E-3</v>
      </c>
      <c r="AY110" s="809">
        <v>8.1881015252806624E-3</v>
      </c>
      <c r="AZ110" s="812">
        <v>9.0470446320868522E-3</v>
      </c>
      <c r="BD110" s="728">
        <v>78.209999999999994</v>
      </c>
      <c r="BE110" s="728">
        <v>37.090000000000003</v>
      </c>
      <c r="BF110" s="888">
        <f t="shared" si="55"/>
        <v>2900.8089</v>
      </c>
      <c r="BG110" s="814">
        <f t="shared" si="50"/>
        <v>4.8601867780422641E-3</v>
      </c>
    </row>
    <row r="111" spans="2:59" ht="13.8" thickBot="1">
      <c r="B111" s="728" t="s">
        <v>645</v>
      </c>
      <c r="C111" s="807">
        <f>D111*P111</f>
        <v>-0.18837507299442494</v>
      </c>
      <c r="D111" s="805">
        <v>-9.553128103277075</v>
      </c>
      <c r="E111" s="808">
        <v>45.367763503616565</v>
      </c>
      <c r="F111" s="720">
        <f>G111/G$112</f>
        <v>1.7516348643211711E-2</v>
      </c>
      <c r="G111" s="808">
        <v>13549.519569960001</v>
      </c>
      <c r="H111" s="720">
        <f>I111+J111+K111+L111+R111</f>
        <v>3.626686851568215E-2</v>
      </c>
      <c r="I111" s="720">
        <v>1.0311113119559024E-2</v>
      </c>
      <c r="J111" s="720">
        <v>8.7484599297343833E-3</v>
      </c>
      <c r="K111" s="720">
        <v>8.4944241792600308E-3</v>
      </c>
      <c r="L111" s="809">
        <v>8.7128712871287137E-3</v>
      </c>
      <c r="M111" s="807" t="e">
        <f>N111*Z111</f>
        <v>#DIV/0!</v>
      </c>
      <c r="N111" s="805" t="e">
        <f>((O111/Y111)-1)*100</f>
        <v>#DIV/0!</v>
      </c>
      <c r="O111" s="808">
        <v>50.35</v>
      </c>
      <c r="P111" s="720">
        <f>Q111/Q$112</f>
        <v>1.9718679678314515E-2</v>
      </c>
      <c r="Q111" s="808">
        <v>15583.492111649999</v>
      </c>
      <c r="U111" s="724"/>
      <c r="BD111" s="728"/>
      <c r="BE111" s="728"/>
      <c r="BF111" s="728"/>
    </row>
    <row r="112" spans="2:59" ht="13.8" thickBot="1">
      <c r="B112" s="816" t="s">
        <v>298</v>
      </c>
      <c r="C112" s="894">
        <f>SUM(C7:C111)</f>
        <v>-2.1758545808596854</v>
      </c>
      <c r="D112" s="817" t="s">
        <v>103</v>
      </c>
      <c r="F112" s="818">
        <f>SUM(F7:F110)</f>
        <v>0.98248365135678817</v>
      </c>
      <c r="G112" s="631">
        <f>SUM(G7:G111)</f>
        <v>773535.61783613986</v>
      </c>
      <c r="H112" s="632" t="e">
        <f>SUM(H7:H110)</f>
        <v>#DIV/0!</v>
      </c>
      <c r="I112" s="632"/>
      <c r="J112" s="632"/>
      <c r="K112" s="632"/>
      <c r="M112" s="819" t="e">
        <f>SUM(M7:M110)</f>
        <v>#DIV/0!</v>
      </c>
      <c r="N112" s="632" t="e">
        <f>SUM(N7:N110)</f>
        <v>#DIV/0!</v>
      </c>
      <c r="Q112" s="808">
        <f>SUM(Q7:Q111)</f>
        <v>790290.84938114998</v>
      </c>
      <c r="T112" s="724" t="e">
        <f>SUM(T7:T110)</f>
        <v>#DIV/0!</v>
      </c>
      <c r="U112" s="724"/>
      <c r="W112" s="819" t="e">
        <f>SUM(W7:W110)</f>
        <v>#DIV/0!</v>
      </c>
      <c r="X112" s="632" t="e">
        <f>SUM(X7:X110)</f>
        <v>#DIV/0!</v>
      </c>
      <c r="AA112" s="720">
        <f>SUM(AA7:AA109)</f>
        <v>673028.0538615199</v>
      </c>
      <c r="AD112" s="820" t="e">
        <f>SUM(AD7:AD108)</f>
        <v>#DIV/0!</v>
      </c>
      <c r="AE112" s="813" t="e">
        <f>SUM(AE7:AE109)</f>
        <v>#DIV/0!</v>
      </c>
      <c r="AG112" s="819" t="e">
        <f>SUM(AG7:AG109)</f>
        <v>#DIV/0!</v>
      </c>
      <c r="AH112" s="632" t="e">
        <f>SUM(AH7:AH109)</f>
        <v>#DIV/0!</v>
      </c>
      <c r="AK112" s="720">
        <f>SUM(AK7:AK109)</f>
        <v>673028.0538615199</v>
      </c>
      <c r="AN112" s="820" t="e">
        <f>SUM(AN7:AN109)</f>
        <v>#DIV/0!</v>
      </c>
      <c r="AQ112" s="819" t="e">
        <f>SUM(AQ7:AQ109)</f>
        <v>#DIV/0!</v>
      </c>
      <c r="AR112" s="631" t="e">
        <f>SUM(AR7:AR109)</f>
        <v>#DIV/0!</v>
      </c>
      <c r="AU112" s="813">
        <f>SUM(AU7:AU109)</f>
        <v>646839.04405984015</v>
      </c>
      <c r="BD112" s="740"/>
      <c r="BE112" s="740"/>
      <c r="BF112" s="632">
        <f>SUM(BF8:BF110)</f>
        <v>596851.32125076011</v>
      </c>
      <c r="BG112" s="807">
        <f>SUM(BG8:BG110)</f>
        <v>0.99999999999999989</v>
      </c>
    </row>
    <row r="113" spans="2:40">
      <c r="U113" s="724"/>
      <c r="AI113" s="720" t="s">
        <v>299</v>
      </c>
    </row>
    <row r="114" spans="2:40">
      <c r="C114" s="720" t="s">
        <v>103</v>
      </c>
      <c r="P114" s="807">
        <f>SUM(P7:P111)</f>
        <v>0.99999999999999989</v>
      </c>
      <c r="T114" s="720" t="s">
        <v>103</v>
      </c>
      <c r="U114" s="724"/>
      <c r="AD114" s="720" t="s">
        <v>103</v>
      </c>
      <c r="AH114" s="821">
        <v>32508</v>
      </c>
      <c r="AN114" s="720" t="s">
        <v>103</v>
      </c>
    </row>
    <row r="115" spans="2:40">
      <c r="U115" s="724"/>
    </row>
    <row r="116" spans="2:40">
      <c r="F116" s="822" t="s">
        <v>300</v>
      </c>
      <c r="G116" s="822"/>
      <c r="U116" s="724"/>
    </row>
    <row r="117" spans="2:40">
      <c r="F117" s="823" t="s">
        <v>301</v>
      </c>
      <c r="G117" s="823"/>
      <c r="U117" s="724"/>
    </row>
    <row r="118" spans="2:40">
      <c r="F118" s="824" t="s">
        <v>302</v>
      </c>
      <c r="G118" s="824"/>
      <c r="U118" s="724"/>
    </row>
    <row r="119" spans="2:40">
      <c r="U119" s="724"/>
    </row>
    <row r="120" spans="2:40">
      <c r="U120" s="724"/>
    </row>
    <row r="121" spans="2:40">
      <c r="O121" s="825"/>
      <c r="P121" s="813"/>
      <c r="Q121" s="813"/>
      <c r="R121" s="813"/>
      <c r="S121" s="813"/>
      <c r="U121" s="724"/>
    </row>
    <row r="122" spans="2:40">
      <c r="O122" s="825"/>
      <c r="P122" s="813"/>
      <c r="Q122" s="813"/>
      <c r="R122" s="813"/>
      <c r="S122" s="813"/>
      <c r="U122" s="724"/>
    </row>
    <row r="123" spans="2:40">
      <c r="O123" s="825"/>
      <c r="P123" s="813"/>
      <c r="Q123" s="813"/>
      <c r="R123" s="813"/>
      <c r="S123" s="813"/>
      <c r="U123" s="724"/>
    </row>
    <row r="124" spans="2:40">
      <c r="B124" s="720" t="s">
        <v>303</v>
      </c>
      <c r="O124" s="825"/>
      <c r="P124" s="813"/>
      <c r="Q124" s="813"/>
      <c r="R124" s="813"/>
      <c r="S124" s="813"/>
      <c r="U124" s="724"/>
    </row>
    <row r="125" spans="2:40">
      <c r="B125" s="720" t="s">
        <v>304</v>
      </c>
      <c r="O125" s="825"/>
      <c r="P125" s="813"/>
      <c r="Q125" s="813"/>
      <c r="R125" s="813"/>
      <c r="S125" s="813"/>
      <c r="U125" s="724"/>
    </row>
    <row r="126" spans="2:40">
      <c r="B126" s="720" t="s">
        <v>305</v>
      </c>
      <c r="O126" s="825"/>
      <c r="P126" s="813"/>
      <c r="Q126" s="813"/>
      <c r="R126" s="813"/>
      <c r="S126" s="813"/>
      <c r="U126" s="724"/>
    </row>
    <row r="127" spans="2:40">
      <c r="O127" s="825"/>
      <c r="P127" s="813"/>
      <c r="Q127" s="813"/>
      <c r="R127" s="813"/>
      <c r="S127" s="813"/>
      <c r="U127" s="724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1281E-9EF7-40BD-828C-F78303EAB574}">
  <dimension ref="B1:BD23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3.2"/>
  <cols>
    <col min="1" max="1" width="3.77734375" style="720" customWidth="1"/>
    <col min="2" max="2" width="42.44140625" style="720" customWidth="1"/>
    <col min="3" max="3" width="12.21875" style="720" customWidth="1"/>
    <col min="4" max="4" width="9.6640625" style="720" bestFit="1" customWidth="1"/>
    <col min="5" max="6" width="8.88671875" style="720"/>
    <col min="7" max="7" width="11.5546875" style="720" customWidth="1"/>
    <col min="8" max="9" width="11" style="720" customWidth="1"/>
    <col min="10" max="13" width="8.88671875" style="720"/>
    <col min="14" max="14" width="11" style="720" customWidth="1"/>
    <col min="15" max="21" width="8.88671875" style="720"/>
    <col min="22" max="22" width="11.21875" style="720" bestFit="1" customWidth="1"/>
    <col min="23" max="23" width="8.88671875" style="720"/>
    <col min="24" max="24" width="10" style="720" customWidth="1"/>
    <col min="25" max="25" width="8.88671875" style="720"/>
    <col min="26" max="26" width="9.77734375" style="720" bestFit="1" customWidth="1"/>
    <col min="27" max="31" width="8.88671875" style="720"/>
    <col min="32" max="32" width="9.5546875" style="720" bestFit="1" customWidth="1"/>
    <col min="33" max="33" width="8.88671875" style="720"/>
    <col min="34" max="34" width="10.5546875" style="720" customWidth="1"/>
    <col min="35" max="54" width="8.88671875" style="720"/>
    <col min="55" max="55" width="11.77734375" style="720" customWidth="1"/>
    <col min="56" max="56" width="10.21875" style="720" customWidth="1"/>
    <col min="57" max="16384" width="8.88671875" style="720"/>
  </cols>
  <sheetData>
    <row r="1" spans="2:56">
      <c r="AF1" s="723"/>
      <c r="AG1" s="723"/>
      <c r="AH1" s="723"/>
      <c r="AI1" s="723"/>
      <c r="AK1" s="892"/>
      <c r="AP1" s="893"/>
      <c r="AQ1" s="723"/>
      <c r="AR1" s="893"/>
      <c r="AS1" s="893"/>
      <c r="AT1" s="893"/>
      <c r="AU1" s="723"/>
    </row>
    <row r="3" spans="2:56">
      <c r="C3" s="802">
        <v>2020.1</v>
      </c>
      <c r="D3" s="802">
        <v>2020.1</v>
      </c>
      <c r="E3" s="802">
        <v>2020.1</v>
      </c>
      <c r="F3" s="802">
        <v>2020.1</v>
      </c>
      <c r="H3" s="720" t="s">
        <v>240</v>
      </c>
      <c r="I3" s="723" t="s">
        <v>708</v>
      </c>
      <c r="J3" s="803">
        <v>2019.4</v>
      </c>
      <c r="K3" s="803">
        <v>2019.4</v>
      </c>
      <c r="L3" s="803">
        <v>2019.4</v>
      </c>
      <c r="O3" s="720" t="s">
        <v>240</v>
      </c>
      <c r="P3" s="723" t="s">
        <v>699</v>
      </c>
      <c r="Q3" s="723" t="s">
        <v>697</v>
      </c>
      <c r="R3" s="723" t="s">
        <v>695</v>
      </c>
      <c r="S3" s="723" t="s">
        <v>692</v>
      </c>
      <c r="T3" s="803">
        <v>2018.4</v>
      </c>
      <c r="U3" s="803">
        <v>2018.4</v>
      </c>
      <c r="V3" s="803">
        <v>2018.4</v>
      </c>
      <c r="Y3" s="720" t="s">
        <v>241</v>
      </c>
      <c r="Z3" s="723" t="s">
        <v>686</v>
      </c>
      <c r="AA3" s="723" t="s">
        <v>684</v>
      </c>
      <c r="AB3" s="723" t="s">
        <v>677</v>
      </c>
      <c r="AC3" s="723" t="s">
        <v>675</v>
      </c>
      <c r="AD3" s="720">
        <v>2017.4</v>
      </c>
      <c r="AE3" s="720">
        <v>2017.4</v>
      </c>
      <c r="AF3" s="720">
        <v>2017.4</v>
      </c>
      <c r="AI3" s="720" t="s">
        <v>241</v>
      </c>
      <c r="AJ3" s="723" t="s">
        <v>673</v>
      </c>
      <c r="AK3" s="723" t="s">
        <v>670</v>
      </c>
      <c r="AL3" s="723" t="s">
        <v>668</v>
      </c>
      <c r="AM3" s="723" t="s">
        <v>661</v>
      </c>
      <c r="AN3" s="804">
        <v>2016.4</v>
      </c>
      <c r="AO3" s="804">
        <v>2016.4</v>
      </c>
      <c r="AP3" s="804">
        <v>2016.4</v>
      </c>
      <c r="AS3" s="720" t="s">
        <v>241</v>
      </c>
      <c r="AT3" s="723" t="s">
        <v>655</v>
      </c>
      <c r="AU3" s="723" t="s">
        <v>653</v>
      </c>
      <c r="AV3" s="723" t="s">
        <v>649</v>
      </c>
      <c r="AW3" s="723" t="s">
        <v>646</v>
      </c>
      <c r="BA3" s="806">
        <v>2014.4</v>
      </c>
      <c r="BB3" s="806">
        <v>2014.4</v>
      </c>
      <c r="BC3" s="806">
        <v>2014.4</v>
      </c>
      <c r="BD3" s="806" t="s">
        <v>693</v>
      </c>
    </row>
    <row r="4" spans="2:56">
      <c r="B4" s="720" t="s">
        <v>206</v>
      </c>
      <c r="C4" s="720" t="s">
        <v>111</v>
      </c>
      <c r="D4" s="805"/>
      <c r="E4" s="720" t="s">
        <v>112</v>
      </c>
      <c r="F4" s="804" t="s">
        <v>113</v>
      </c>
      <c r="G4" s="802">
        <v>2020.1</v>
      </c>
      <c r="H4" s="720" t="s">
        <v>242</v>
      </c>
      <c r="I4" s="720" t="s">
        <v>243</v>
      </c>
      <c r="J4" s="720" t="s">
        <v>111</v>
      </c>
      <c r="K4" s="805"/>
      <c r="L4" s="720" t="s">
        <v>112</v>
      </c>
      <c r="M4" s="803">
        <v>2019.4</v>
      </c>
      <c r="N4" s="803">
        <v>2019.4</v>
      </c>
      <c r="O4" s="720" t="s">
        <v>242</v>
      </c>
      <c r="P4" s="720" t="s">
        <v>243</v>
      </c>
      <c r="Q4" s="720" t="s">
        <v>243</v>
      </c>
      <c r="R4" s="720" t="s">
        <v>243</v>
      </c>
      <c r="S4" s="720" t="s">
        <v>243</v>
      </c>
      <c r="T4" s="720" t="s">
        <v>111</v>
      </c>
      <c r="V4" s="720" t="s">
        <v>112</v>
      </c>
      <c r="W4" s="803">
        <v>2018.4</v>
      </c>
      <c r="X4" s="803">
        <v>2018.4</v>
      </c>
      <c r="Y4" s="720" t="s">
        <v>242</v>
      </c>
      <c r="Z4" s="720" t="s">
        <v>243</v>
      </c>
      <c r="AA4" s="720" t="s">
        <v>243</v>
      </c>
      <c r="AB4" s="720" t="s">
        <v>243</v>
      </c>
      <c r="AC4" s="720" t="s">
        <v>243</v>
      </c>
      <c r="AD4" s="720" t="s">
        <v>111</v>
      </c>
      <c r="AF4" s="720" t="s">
        <v>112</v>
      </c>
      <c r="AG4" s="720">
        <v>2017.4</v>
      </c>
      <c r="AH4" s="720">
        <v>2017.4</v>
      </c>
      <c r="AI4" s="720" t="s">
        <v>242</v>
      </c>
      <c r="AJ4" s="720" t="s">
        <v>243</v>
      </c>
      <c r="AK4" s="720" t="s">
        <v>243</v>
      </c>
      <c r="AL4" s="720" t="s">
        <v>243</v>
      </c>
      <c r="AM4" s="720" t="s">
        <v>243</v>
      </c>
      <c r="AN4" s="720" t="s">
        <v>111</v>
      </c>
      <c r="AP4" s="720" t="s">
        <v>112</v>
      </c>
      <c r="AQ4" s="804">
        <v>2016.4</v>
      </c>
      <c r="AR4" s="804">
        <v>2016.4</v>
      </c>
      <c r="AS4" s="720" t="s">
        <v>242</v>
      </c>
      <c r="AT4" s="720" t="s">
        <v>243</v>
      </c>
      <c r="AU4" s="720" t="s">
        <v>243</v>
      </c>
      <c r="AV4" s="720" t="s">
        <v>243</v>
      </c>
      <c r="AW4" s="720" t="s">
        <v>243</v>
      </c>
      <c r="BA4" s="806" t="s">
        <v>244</v>
      </c>
      <c r="BB4" s="806" t="s">
        <v>245</v>
      </c>
      <c r="BC4" s="806" t="s">
        <v>54</v>
      </c>
      <c r="BD4" s="806" t="s">
        <v>612</v>
      </c>
    </row>
    <row r="5" spans="2:56">
      <c r="C5" s="720" t="s">
        <v>76</v>
      </c>
      <c r="D5" s="805" t="s">
        <v>76</v>
      </c>
      <c r="E5" s="720" t="s">
        <v>114</v>
      </c>
      <c r="F5" s="804" t="s">
        <v>115</v>
      </c>
      <c r="G5" s="720" t="s">
        <v>116</v>
      </c>
      <c r="H5" s="720" t="s">
        <v>246</v>
      </c>
      <c r="I5" s="720" t="s">
        <v>242</v>
      </c>
      <c r="J5" s="720" t="s">
        <v>76</v>
      </c>
      <c r="K5" s="805" t="s">
        <v>76</v>
      </c>
      <c r="L5" s="720" t="s">
        <v>114</v>
      </c>
      <c r="M5" s="720" t="s">
        <v>111</v>
      </c>
      <c r="N5" s="720" t="s">
        <v>116</v>
      </c>
      <c r="O5" s="720" t="s">
        <v>246</v>
      </c>
      <c r="P5" s="720" t="s">
        <v>247</v>
      </c>
      <c r="Q5" s="720" t="s">
        <v>247</v>
      </c>
      <c r="R5" s="720" t="s">
        <v>247</v>
      </c>
      <c r="S5" s="720" t="s">
        <v>242</v>
      </c>
      <c r="T5" s="720" t="s">
        <v>76</v>
      </c>
      <c r="U5" s="720" t="s">
        <v>76</v>
      </c>
      <c r="V5" s="720" t="s">
        <v>114</v>
      </c>
      <c r="W5" s="720" t="s">
        <v>111</v>
      </c>
      <c r="X5" s="720" t="s">
        <v>116</v>
      </c>
      <c r="Y5" s="720" t="s">
        <v>246</v>
      </c>
      <c r="Z5" s="720" t="s">
        <v>242</v>
      </c>
      <c r="AA5" s="720" t="s">
        <v>242</v>
      </c>
      <c r="AB5" s="720" t="s">
        <v>242</v>
      </c>
      <c r="AC5" s="720" t="s">
        <v>242</v>
      </c>
      <c r="AD5" s="720" t="s">
        <v>76</v>
      </c>
      <c r="AE5" s="720" t="s">
        <v>76</v>
      </c>
      <c r="AF5" s="720" t="s">
        <v>114</v>
      </c>
      <c r="AG5" s="720" t="s">
        <v>111</v>
      </c>
      <c r="AH5" s="720" t="s">
        <v>116</v>
      </c>
      <c r="AI5" s="720" t="s">
        <v>246</v>
      </c>
      <c r="AJ5" s="720" t="s">
        <v>242</v>
      </c>
      <c r="AK5" s="720" t="s">
        <v>242</v>
      </c>
      <c r="AL5" s="720" t="s">
        <v>242</v>
      </c>
      <c r="AM5" s="720" t="s">
        <v>242</v>
      </c>
      <c r="AN5" s="720" t="s">
        <v>76</v>
      </c>
      <c r="AO5" s="720" t="s">
        <v>76</v>
      </c>
      <c r="AP5" s="720" t="s">
        <v>114</v>
      </c>
      <c r="AQ5" s="720" t="s">
        <v>111</v>
      </c>
      <c r="AR5" s="804" t="s">
        <v>116</v>
      </c>
      <c r="AS5" s="720" t="s">
        <v>246</v>
      </c>
      <c r="AT5" s="720" t="s">
        <v>242</v>
      </c>
      <c r="AU5" s="720" t="s">
        <v>242</v>
      </c>
      <c r="AV5" s="720" t="s">
        <v>242</v>
      </c>
      <c r="AW5" s="720" t="s">
        <v>242</v>
      </c>
      <c r="BA5" s="804"/>
      <c r="BB5" s="804"/>
      <c r="BC5" s="806"/>
      <c r="BD5" s="806" t="s">
        <v>613</v>
      </c>
    </row>
    <row r="6" spans="2:56">
      <c r="C6" s="720" t="s">
        <v>117</v>
      </c>
      <c r="D6" s="805" t="s">
        <v>117</v>
      </c>
      <c r="E6" s="720" t="s">
        <v>118</v>
      </c>
      <c r="F6" s="804" t="s">
        <v>119</v>
      </c>
      <c r="G6" s="720" t="s">
        <v>115</v>
      </c>
      <c r="J6" s="720" t="s">
        <v>117</v>
      </c>
      <c r="K6" s="805" t="s">
        <v>117</v>
      </c>
      <c r="L6" s="720" t="s">
        <v>118</v>
      </c>
      <c r="M6" s="720" t="s">
        <v>248</v>
      </c>
      <c r="N6" s="720" t="s">
        <v>115</v>
      </c>
      <c r="T6" s="720" t="s">
        <v>117</v>
      </c>
      <c r="U6" s="720" t="s">
        <v>117</v>
      </c>
      <c r="V6" s="720" t="s">
        <v>118</v>
      </c>
      <c r="W6" s="720" t="s">
        <v>248</v>
      </c>
      <c r="X6" s="720" t="s">
        <v>115</v>
      </c>
      <c r="AD6" s="720" t="s">
        <v>117</v>
      </c>
      <c r="AE6" s="720" t="s">
        <v>117</v>
      </c>
      <c r="AF6" s="720" t="s">
        <v>118</v>
      </c>
      <c r="AG6" s="720" t="s">
        <v>248</v>
      </c>
      <c r="AH6" s="720" t="s">
        <v>115</v>
      </c>
      <c r="AN6" s="720" t="s">
        <v>117</v>
      </c>
      <c r="AO6" s="720" t="s">
        <v>117</v>
      </c>
      <c r="AP6" s="720" t="s">
        <v>118</v>
      </c>
      <c r="AQ6" s="720" t="s">
        <v>248</v>
      </c>
      <c r="AR6" s="804" t="s">
        <v>115</v>
      </c>
      <c r="BA6" s="804"/>
      <c r="BB6" s="804"/>
      <c r="BC6" s="806"/>
      <c r="BD6" s="806"/>
    </row>
    <row r="7" spans="2:56">
      <c r="B7" s="723" t="s">
        <v>249</v>
      </c>
      <c r="C7" s="807"/>
      <c r="D7" s="805"/>
      <c r="E7" s="808" t="e">
        <v>#DIV/0!</v>
      </c>
      <c r="F7" s="720">
        <f>G7/G$112</f>
        <v>0</v>
      </c>
      <c r="G7" s="808">
        <v>0</v>
      </c>
      <c r="H7" s="720" t="e">
        <f>I7+O7</f>
        <v>#DIV/0!</v>
      </c>
      <c r="I7" s="809" t="e">
        <v>#DIV/0!</v>
      </c>
      <c r="J7" s="807" t="e">
        <f>K7*W7</f>
        <v>#DIV/0!</v>
      </c>
      <c r="K7" s="805" t="e">
        <f>((L7/V7)-1)*100</f>
        <v>#DIV/0!</v>
      </c>
      <c r="L7" s="808" t="e">
        <v>#DIV/0!</v>
      </c>
      <c r="N7" s="808">
        <v>0</v>
      </c>
      <c r="O7" s="720" t="e">
        <f>(P7+Q7+R7+S7+Y7)</f>
        <v>#DIV/0!</v>
      </c>
      <c r="P7" s="809" t="e">
        <v>#DIV/0!</v>
      </c>
      <c r="Q7" s="720" t="e">
        <v>#DIV/0!</v>
      </c>
      <c r="R7" s="720" t="e">
        <v>#DIV/0!</v>
      </c>
      <c r="S7" s="720" t="e">
        <v>#DIV/0!</v>
      </c>
      <c r="T7" s="807" t="e">
        <f>U7*AG7</f>
        <v>#DIV/0!</v>
      </c>
      <c r="U7" s="724" t="e">
        <f>((V7/AF7)-1)*100</f>
        <v>#DIV/0!</v>
      </c>
      <c r="V7" s="810" t="e">
        <v>#DIV/0!</v>
      </c>
      <c r="W7" s="720">
        <f t="shared" ref="W7:W13" si="0">X7/$X$112</f>
        <v>0</v>
      </c>
      <c r="X7" s="808">
        <v>0</v>
      </c>
      <c r="Y7" s="720" t="e">
        <f>(Z7+AA7+AB7+AC7+AI7)</f>
        <v>#DIV/0!</v>
      </c>
      <c r="Z7" s="720" t="e">
        <v>#DIV/0!</v>
      </c>
      <c r="AA7" s="720" t="e">
        <v>#DIV/0!</v>
      </c>
      <c r="AB7" s="808" t="e">
        <v>#DIV/0!</v>
      </c>
      <c r="AC7" s="720" t="e">
        <v>#DIV/0!</v>
      </c>
      <c r="AD7" s="811" t="e">
        <f>AE7*AQ7</f>
        <v>#DIV/0!</v>
      </c>
      <c r="AE7" s="724" t="e">
        <f>((AF7/AP7)-1)*100</f>
        <v>#DIV/0!</v>
      </c>
      <c r="AF7" s="812" t="e">
        <v>#DIV/0!</v>
      </c>
      <c r="AG7" s="720">
        <f t="shared" ref="AG7:AG32" si="1">AH7/$AH$112</f>
        <v>0</v>
      </c>
      <c r="AH7" s="808">
        <v>0</v>
      </c>
      <c r="AI7" s="720" t="e">
        <f t="shared" ref="AI7:AI13" si="2">AJ7+AK7+AL7+AM7+AS7</f>
        <v>#DIV/0!</v>
      </c>
      <c r="AJ7" s="720" t="e">
        <v>#DIV/0!</v>
      </c>
      <c r="AK7" s="720" t="e">
        <v>#DIV/0!</v>
      </c>
      <c r="AL7" s="720" t="e">
        <v>#DIV/0!</v>
      </c>
      <c r="AM7" s="808" t="e">
        <v>#DIV/0!</v>
      </c>
      <c r="AN7" s="720" t="e">
        <f>AO7*BD7</f>
        <v>#DIV/0!</v>
      </c>
      <c r="AO7" s="720" t="e">
        <v>#DIV/0!</v>
      </c>
      <c r="AP7" s="720" t="e">
        <v>#DIV/0!</v>
      </c>
      <c r="AQ7" s="720">
        <f t="shared" ref="AQ7:AQ32" si="3">AR7/$AR$112</f>
        <v>0</v>
      </c>
      <c r="AR7" s="813">
        <v>0</v>
      </c>
      <c r="AS7" s="720" t="e">
        <f>AT7+AU7+AV7+AW7</f>
        <v>#DIV/0!</v>
      </c>
      <c r="AT7" s="720" t="e">
        <v>#DIV/0!</v>
      </c>
      <c r="AU7" s="720" t="e">
        <v>#DIV/0!</v>
      </c>
      <c r="AV7" s="808" t="e">
        <v>#DIV/0!</v>
      </c>
      <c r="AW7" s="720" t="e">
        <v>#DIV/0!</v>
      </c>
      <c r="BA7" s="723"/>
      <c r="BB7" s="723"/>
      <c r="BC7" s="632">
        <f>BA7*BB7</f>
        <v>0</v>
      </c>
      <c r="BD7" s="814"/>
    </row>
    <row r="8" spans="2:56">
      <c r="B8" s="728" t="s">
        <v>120</v>
      </c>
      <c r="C8" s="807">
        <f>D8*M8</f>
        <v>-0.75466607813179398</v>
      </c>
      <c r="D8" s="805">
        <f>((E8/L8)-1)*100</f>
        <v>-14.633372129933331</v>
      </c>
      <c r="E8" s="808">
        <v>92.242867943976705</v>
      </c>
      <c r="F8" s="720">
        <f t="shared" ref="F8:F71" si="4">G8/G$112</f>
        <v>5.1045708565503133E-2</v>
      </c>
      <c r="G8" s="808">
        <v>39485.673713100005</v>
      </c>
      <c r="H8" s="720">
        <f t="shared" ref="H8:H71" si="5">I8+O8</f>
        <v>0.15332418034479481</v>
      </c>
      <c r="I8" s="809">
        <v>1.0006531063973183E-2</v>
      </c>
      <c r="J8" s="807">
        <f t="shared" ref="J8:J71" si="6">K8*W8</f>
        <v>1.5691582371382033</v>
      </c>
      <c r="K8" s="805">
        <f t="shared" ref="K8:K71" si="7">((L8/V8)-1)*100</f>
        <v>30.31018473533824</v>
      </c>
      <c r="L8" s="808">
        <v>108.05495103353046</v>
      </c>
      <c r="M8" s="720">
        <f t="shared" ref="M8:M22" si="8">N8/N$112</f>
        <v>5.1571577038493056E-2</v>
      </c>
      <c r="N8" s="808">
        <v>46672.727103340003</v>
      </c>
      <c r="O8" s="720">
        <f t="shared" ref="O8:O71" si="9">(P8+Q8+R8+S8+Y8)</f>
        <v>0.14331764928082164</v>
      </c>
      <c r="P8" s="809">
        <v>8.4058644522274455E-3</v>
      </c>
      <c r="Q8" s="720">
        <v>8.0584028808304165E-3</v>
      </c>
      <c r="R8" s="720">
        <v>8.5136644779544614E-3</v>
      </c>
      <c r="S8" s="720">
        <v>8.875712043411187E-3</v>
      </c>
      <c r="T8" s="807">
        <f t="shared" ref="T8:T71" si="10">U8*AG8</f>
        <v>0.26928176375645513</v>
      </c>
      <c r="U8" s="724">
        <f t="shared" ref="U8:U71" si="11">((V8/AF8)-1)*100</f>
        <v>5.2663415350295173</v>
      </c>
      <c r="V8" s="810">
        <v>82.921339765569002</v>
      </c>
      <c r="W8" s="720">
        <f t="shared" si="0"/>
        <v>5.1769999122068783E-2</v>
      </c>
      <c r="X8" s="808">
        <v>36845.679542339996</v>
      </c>
      <c r="Y8" s="720">
        <f t="shared" ref="Y8:Y71" si="12">(Z8+AA8+AB8+AC8+AI8)</f>
        <v>0.10946400542639813</v>
      </c>
      <c r="Z8" s="720">
        <v>9.8573250714187356E-3</v>
      </c>
      <c r="AA8" s="720">
        <v>9.5350509345466742E-3</v>
      </c>
      <c r="AB8" s="808">
        <v>9.6728840738610038E-3</v>
      </c>
      <c r="AC8" s="720">
        <v>9.6784745284622803E-3</v>
      </c>
      <c r="AD8" s="811">
        <f>AE8*AQ8</f>
        <v>1.0411901693936045</v>
      </c>
      <c r="AE8" s="724">
        <f>((AF8/AP8)-1)*100</f>
        <v>20.888928155807164</v>
      </c>
      <c r="AF8" s="812">
        <v>78.772890324088294</v>
      </c>
      <c r="AG8" s="720">
        <f t="shared" si="1"/>
        <v>5.1132605427373946E-2</v>
      </c>
      <c r="AH8" s="808">
        <v>36184.721917540002</v>
      </c>
      <c r="AI8" s="720">
        <f t="shared" si="2"/>
        <v>7.0720270818109429E-2</v>
      </c>
      <c r="AJ8" s="720">
        <v>8.9479251638661262E-3</v>
      </c>
      <c r="AK8" s="720">
        <v>8.8443552722858049E-3</v>
      </c>
      <c r="AL8" s="720">
        <v>8.8670784231423758E-3</v>
      </c>
      <c r="AM8" s="808">
        <v>9.0962188135809349E-3</v>
      </c>
      <c r="AN8" s="720">
        <f t="shared" ref="AN8:AN71" si="13">AO8*BD8</f>
        <v>0.34348249663465841</v>
      </c>
      <c r="AO8" s="720">
        <v>7.3145208834386466</v>
      </c>
      <c r="AP8" s="720">
        <v>65.161377080423946</v>
      </c>
      <c r="AQ8" s="720">
        <f t="shared" si="3"/>
        <v>4.9844116539993537E-2</v>
      </c>
      <c r="AR8" s="813">
        <v>28590.113092830001</v>
      </c>
      <c r="AS8" s="720">
        <f t="shared" ref="AS8:AS32" si="14">AT8+AU8+AV8+AW8</f>
        <v>3.4964693145234191E-2</v>
      </c>
      <c r="AT8" s="720">
        <v>9.6086415256599212E-3</v>
      </c>
      <c r="AU8" s="720">
        <v>8.8652059426734854E-3</v>
      </c>
      <c r="AV8" s="808">
        <v>8.057110737141748E-3</v>
      </c>
      <c r="AW8" s="720">
        <v>8.4337349397590362E-3</v>
      </c>
      <c r="BA8" s="723">
        <v>488.912892</v>
      </c>
      <c r="BB8" s="723">
        <v>60.72</v>
      </c>
      <c r="BC8" s="895">
        <f>BA8*BB8</f>
        <v>29686.790802240001</v>
      </c>
      <c r="BD8" s="814">
        <f>+BC8/$BC$112</f>
        <v>4.6958987759863097E-2</v>
      </c>
    </row>
    <row r="9" spans="2:56">
      <c r="B9" s="723" t="s">
        <v>250</v>
      </c>
      <c r="C9" s="807"/>
      <c r="D9" s="805"/>
      <c r="E9" s="808" t="e">
        <v>#DIV/0!</v>
      </c>
      <c r="G9" s="808">
        <v>0</v>
      </c>
      <c r="H9" s="720" t="e">
        <f t="shared" si="5"/>
        <v>#DIV/0!</v>
      </c>
      <c r="I9" s="809" t="e">
        <v>#DIV/0!</v>
      </c>
      <c r="L9" s="808">
        <v>0</v>
      </c>
      <c r="N9" s="808">
        <v>0</v>
      </c>
      <c r="P9" s="809" t="e">
        <v>#VALUE!</v>
      </c>
      <c r="Q9" s="720" t="e">
        <v>#VALUE!</v>
      </c>
      <c r="R9" s="720" t="e">
        <v>#VALUE!</v>
      </c>
      <c r="S9" s="720" t="e">
        <v>#VALUE!</v>
      </c>
      <c r="T9" s="807" t="s">
        <v>103</v>
      </c>
      <c r="U9" s="724" t="s">
        <v>103</v>
      </c>
      <c r="V9" s="810" t="e">
        <v>#VALUE!</v>
      </c>
      <c r="W9" s="720">
        <f t="shared" si="0"/>
        <v>0</v>
      </c>
      <c r="X9" s="808">
        <v>0</v>
      </c>
      <c r="Y9" s="720" t="s">
        <v>103</v>
      </c>
      <c r="Z9" s="720" t="e">
        <v>#DIV/0!</v>
      </c>
      <c r="AA9" s="720" t="e">
        <v>#DIV/0!</v>
      </c>
      <c r="AB9" s="808" t="e">
        <v>#DIV/0!</v>
      </c>
      <c r="AC9" s="720" t="e">
        <v>#DIV/0!</v>
      </c>
      <c r="AD9" s="811"/>
      <c r="AE9" s="724"/>
      <c r="AF9" s="812" t="e">
        <v>#DIV/0!</v>
      </c>
      <c r="AG9" s="720">
        <f t="shared" si="1"/>
        <v>0</v>
      </c>
      <c r="AH9" s="808">
        <v>0</v>
      </c>
      <c r="AI9" s="720" t="e">
        <f t="shared" si="2"/>
        <v>#DIV/0!</v>
      </c>
      <c r="AJ9" s="720" t="e">
        <v>#DIV/0!</v>
      </c>
      <c r="AK9" s="720" t="e">
        <v>#DIV/0!</v>
      </c>
      <c r="AL9" s="720" t="e">
        <v>#DIV/0!</v>
      </c>
      <c r="AM9" s="808" t="e">
        <v>#DIV/0!</v>
      </c>
      <c r="AN9" s="720" t="e">
        <f t="shared" si="13"/>
        <v>#DIV/0!</v>
      </c>
      <c r="AO9" s="720" t="e">
        <v>#DIV/0!</v>
      </c>
      <c r="AP9" s="720" t="e">
        <v>#DIV/0!</v>
      </c>
      <c r="AQ9" s="720">
        <f t="shared" si="3"/>
        <v>0</v>
      </c>
      <c r="AR9" s="813">
        <v>0</v>
      </c>
      <c r="AS9" s="720" t="e">
        <f t="shared" si="14"/>
        <v>#DIV/0!</v>
      </c>
      <c r="AT9" s="720" t="e">
        <v>#DIV/0!</v>
      </c>
      <c r="AU9" s="720" t="e">
        <v>#DIV/0!</v>
      </c>
      <c r="AV9" s="808" t="e">
        <v>#DIV/0!</v>
      </c>
      <c r="AW9" s="720" t="e">
        <v>#DIV/0!</v>
      </c>
      <c r="BA9" s="723"/>
      <c r="BB9" s="723"/>
      <c r="BC9" s="895">
        <f t="shared" ref="BC9:BC72" si="15">BA9*BB9</f>
        <v>0</v>
      </c>
      <c r="BD9" s="814"/>
    </row>
    <row r="10" spans="2:56">
      <c r="B10" s="723" t="s">
        <v>251</v>
      </c>
      <c r="C10" s="807"/>
      <c r="D10" s="805"/>
      <c r="E10" s="808" t="e">
        <v>#DIV/0!</v>
      </c>
      <c r="F10" s="720">
        <f t="shared" si="4"/>
        <v>0</v>
      </c>
      <c r="G10" s="808">
        <v>0</v>
      </c>
      <c r="H10" s="720" t="e">
        <f t="shared" si="5"/>
        <v>#DIV/0!</v>
      </c>
      <c r="I10" s="809" t="e">
        <v>#DIV/0!</v>
      </c>
      <c r="J10" s="807" t="e">
        <f t="shared" si="6"/>
        <v>#DIV/0!</v>
      </c>
      <c r="K10" s="805" t="e">
        <f t="shared" si="7"/>
        <v>#DIV/0!</v>
      </c>
      <c r="L10" s="808" t="e">
        <v>#DIV/0!</v>
      </c>
      <c r="N10" s="808">
        <v>0</v>
      </c>
      <c r="O10" s="720" t="e">
        <f t="shared" si="9"/>
        <v>#DIV/0!</v>
      </c>
      <c r="P10" s="809" t="e">
        <v>#DIV/0!</v>
      </c>
      <c r="Q10" s="720" t="e">
        <v>#DIV/0!</v>
      </c>
      <c r="R10" s="720" t="e">
        <v>#DIV/0!</v>
      </c>
      <c r="S10" s="720" t="e">
        <v>#DIV/0!</v>
      </c>
      <c r="T10" s="807" t="e">
        <f t="shared" si="10"/>
        <v>#DIV/0!</v>
      </c>
      <c r="U10" s="724" t="e">
        <f t="shared" si="11"/>
        <v>#DIV/0!</v>
      </c>
      <c r="V10" s="810" t="e">
        <v>#DIV/0!</v>
      </c>
      <c r="W10" s="720">
        <f t="shared" si="0"/>
        <v>0</v>
      </c>
      <c r="X10" s="808">
        <v>0</v>
      </c>
      <c r="Y10" s="720" t="e">
        <f t="shared" si="12"/>
        <v>#DIV/0!</v>
      </c>
      <c r="Z10" s="720" t="e">
        <v>#DIV/0!</v>
      </c>
      <c r="AA10" s="720" t="e">
        <v>#DIV/0!</v>
      </c>
      <c r="AB10" s="808" t="e">
        <v>#DIV/0!</v>
      </c>
      <c r="AC10" s="720" t="e">
        <v>#DIV/0!</v>
      </c>
      <c r="AD10" s="811" t="e">
        <f>AE10*AQ10</f>
        <v>#DIV/0!</v>
      </c>
      <c r="AE10" s="724" t="e">
        <f>((AF10/AP10)-1)*100</f>
        <v>#DIV/0!</v>
      </c>
      <c r="AF10" s="812" t="e">
        <v>#DIV/0!</v>
      </c>
      <c r="AG10" s="720">
        <f t="shared" si="1"/>
        <v>0</v>
      </c>
      <c r="AH10" s="808">
        <v>0</v>
      </c>
      <c r="AI10" s="720" t="e">
        <f t="shared" si="2"/>
        <v>#DIV/0!</v>
      </c>
      <c r="AJ10" s="720" t="e">
        <v>#DIV/0!</v>
      </c>
      <c r="AK10" s="720" t="e">
        <v>#DIV/0!</v>
      </c>
      <c r="AL10" s="720" t="e">
        <v>#DIV/0!</v>
      </c>
      <c r="AM10" s="808" t="e">
        <v>#DIV/0!</v>
      </c>
      <c r="AN10" s="720" t="e">
        <f t="shared" si="13"/>
        <v>#DIV/0!</v>
      </c>
      <c r="AO10" s="720" t="e">
        <v>#DIV/0!</v>
      </c>
      <c r="AP10" s="720" t="e">
        <v>#DIV/0!</v>
      </c>
      <c r="AQ10" s="720">
        <f t="shared" si="3"/>
        <v>0</v>
      </c>
      <c r="AR10" s="813">
        <v>0</v>
      </c>
      <c r="AS10" s="720" t="e">
        <f t="shared" si="14"/>
        <v>#DIV/0!</v>
      </c>
      <c r="AT10" s="720" t="e">
        <v>#DIV/0!</v>
      </c>
      <c r="AU10" s="720" t="e">
        <v>#DIV/0!</v>
      </c>
      <c r="AV10" s="808" t="e">
        <v>#DIV/0!</v>
      </c>
      <c r="AW10" s="720" t="e">
        <v>#DIV/0!</v>
      </c>
      <c r="BA10" s="723"/>
      <c r="BB10" s="723"/>
      <c r="BC10" s="895">
        <f t="shared" si="15"/>
        <v>0</v>
      </c>
      <c r="BD10" s="814"/>
    </row>
    <row r="11" spans="2:56">
      <c r="B11" s="728" t="s">
        <v>121</v>
      </c>
      <c r="C11" s="807">
        <f>D11*M11</f>
        <v>-9.4158164213648032E-2</v>
      </c>
      <c r="D11" s="805">
        <f>((E11/L11)-1)*100</f>
        <v>-17.793481028775162</v>
      </c>
      <c r="E11" s="808">
        <v>72.361225560712526</v>
      </c>
      <c r="F11" s="720">
        <f t="shared" si="4"/>
        <v>5.0213432587183048E-3</v>
      </c>
      <c r="G11" s="808">
        <v>3884.18786</v>
      </c>
      <c r="H11" s="720">
        <f t="shared" si="5"/>
        <v>0.13011440825726253</v>
      </c>
      <c r="I11" s="809">
        <v>9.3643802124624108E-3</v>
      </c>
      <c r="J11" s="807">
        <f t="shared" si="6"/>
        <v>0.13403120827444526</v>
      </c>
      <c r="K11" s="805">
        <f t="shared" si="7"/>
        <v>28.473749425064998</v>
      </c>
      <c r="L11" s="808">
        <v>88.023707202638619</v>
      </c>
      <c r="M11" s="720">
        <f t="shared" si="8"/>
        <v>5.2917225168800791E-3</v>
      </c>
      <c r="N11" s="808">
        <v>4789.0550400000002</v>
      </c>
      <c r="O11" s="720">
        <f t="shared" si="9"/>
        <v>0.12075002804480013</v>
      </c>
      <c r="P11" s="809">
        <v>7.5826906734614997E-3</v>
      </c>
      <c r="Q11" s="720">
        <v>7.278429538065981E-3</v>
      </c>
      <c r="R11" s="720">
        <v>7.0984925129431537E-3</v>
      </c>
      <c r="S11" s="720">
        <v>7.4406860172546632E-3</v>
      </c>
      <c r="T11" s="807">
        <f t="shared" si="10"/>
        <v>3.5738283672886152E-2</v>
      </c>
      <c r="U11" s="724">
        <f t="shared" si="11"/>
        <v>7.9022681505529047</v>
      </c>
      <c r="V11" s="810">
        <v>68.514936005647044</v>
      </c>
      <c r="W11" s="720">
        <f t="shared" si="0"/>
        <v>4.7071850732963065E-3</v>
      </c>
      <c r="X11" s="808">
        <v>3350.1919199999998</v>
      </c>
      <c r="Y11" s="720">
        <f t="shared" si="12"/>
        <v>9.1349729303074834E-2</v>
      </c>
      <c r="Z11" s="720">
        <v>8.7087242363601599E-3</v>
      </c>
      <c r="AA11" s="720">
        <v>8.7809182516296325E-3</v>
      </c>
      <c r="AB11" s="808">
        <v>8.2691665921563653E-3</v>
      </c>
      <c r="AC11" s="720">
        <v>9.2406332652832691E-3</v>
      </c>
      <c r="AD11" s="811">
        <f>AE11*AQ11</f>
        <v>2.6479490496033689E-3</v>
      </c>
      <c r="AE11" s="724">
        <f>((AF11/AP11)-1)*100</f>
        <v>0.73288759724137176</v>
      </c>
      <c r="AF11" s="812">
        <v>63.497215749024058</v>
      </c>
      <c r="AG11" s="720">
        <f t="shared" si="1"/>
        <v>4.5225349218737439E-3</v>
      </c>
      <c r="AH11" s="808">
        <v>3200.4367299999999</v>
      </c>
      <c r="AI11" s="720">
        <f t="shared" si="2"/>
        <v>5.63502869576454E-2</v>
      </c>
      <c r="AJ11" s="720">
        <v>8.282023377154106E-3</v>
      </c>
      <c r="AK11" s="720">
        <v>6.7285634753418248E-3</v>
      </c>
      <c r="AL11" s="720">
        <v>6.8231784811424792E-3</v>
      </c>
      <c r="AM11" s="808">
        <v>6.8797706362203259E-3</v>
      </c>
      <c r="AN11" s="720">
        <f t="shared" si="13"/>
        <v>7.0222824572833978E-2</v>
      </c>
      <c r="AO11" s="720">
        <v>18.844717770721786</v>
      </c>
      <c r="AP11" s="720">
        <v>63.035238305590838</v>
      </c>
      <c r="AQ11" s="720">
        <f t="shared" si="3"/>
        <v>3.6130356954741645E-3</v>
      </c>
      <c r="AR11" s="813">
        <v>2072.4030499999999</v>
      </c>
      <c r="AS11" s="720">
        <f t="shared" si="14"/>
        <v>2.7636750987786663E-2</v>
      </c>
      <c r="AT11" s="720">
        <v>6.9884623609920713E-3</v>
      </c>
      <c r="AU11" s="720">
        <v>6.9544497278269581E-3</v>
      </c>
      <c r="AV11" s="808">
        <v>6.7089727755683323E-3</v>
      </c>
      <c r="AW11" s="720">
        <v>6.9848661233993014E-3</v>
      </c>
      <c r="BA11" s="723">
        <v>44.414999999999999</v>
      </c>
      <c r="BB11" s="723">
        <v>53.04</v>
      </c>
      <c r="BC11" s="895">
        <f t="shared" si="15"/>
        <v>2355.7716</v>
      </c>
      <c r="BD11" s="814">
        <f>+BC11/$BC$112</f>
        <v>3.726393009819235E-3</v>
      </c>
    </row>
    <row r="12" spans="2:56">
      <c r="B12" s="723" t="s">
        <v>73</v>
      </c>
      <c r="C12" s="807"/>
      <c r="D12" s="805"/>
      <c r="E12" s="808" t="e">
        <v>#DIV/0!</v>
      </c>
      <c r="F12" s="720">
        <f t="shared" si="4"/>
        <v>0</v>
      </c>
      <c r="G12" s="808">
        <v>0</v>
      </c>
      <c r="H12" s="720" t="e">
        <f t="shared" si="5"/>
        <v>#DIV/0!</v>
      </c>
      <c r="I12" s="809" t="e">
        <v>#DIV/0!</v>
      </c>
      <c r="J12" s="807" t="e">
        <f t="shared" si="6"/>
        <v>#DIV/0!</v>
      </c>
      <c r="K12" s="805" t="e">
        <f t="shared" si="7"/>
        <v>#DIV/0!</v>
      </c>
      <c r="L12" s="808" t="e">
        <v>#DIV/0!</v>
      </c>
      <c r="M12" s="720">
        <f t="shared" si="8"/>
        <v>0</v>
      </c>
      <c r="N12" s="808">
        <v>0</v>
      </c>
      <c r="O12" s="720" t="e">
        <f t="shared" si="9"/>
        <v>#DIV/0!</v>
      </c>
      <c r="P12" s="809" t="e">
        <v>#DIV/0!</v>
      </c>
      <c r="Q12" s="720" t="e">
        <v>#DIV/0!</v>
      </c>
      <c r="R12" s="720" t="e">
        <v>#DIV/0!</v>
      </c>
      <c r="S12" s="720" t="e">
        <v>#DIV/0!</v>
      </c>
      <c r="T12" s="807" t="e">
        <f t="shared" si="10"/>
        <v>#DIV/0!</v>
      </c>
      <c r="U12" s="724" t="e">
        <f t="shared" si="11"/>
        <v>#DIV/0!</v>
      </c>
      <c r="V12" s="810" t="e">
        <v>#DIV/0!</v>
      </c>
      <c r="W12" s="720">
        <f t="shared" si="0"/>
        <v>0</v>
      </c>
      <c r="X12" s="808">
        <v>0</v>
      </c>
      <c r="Y12" s="720" t="e">
        <f t="shared" si="12"/>
        <v>#DIV/0!</v>
      </c>
      <c r="Z12" s="720" t="e">
        <v>#DIV/0!</v>
      </c>
      <c r="AA12" s="720" t="e">
        <v>#DIV/0!</v>
      </c>
      <c r="AB12" s="808" t="e">
        <v>#DIV/0!</v>
      </c>
      <c r="AC12" s="720" t="e">
        <v>#DIV/0!</v>
      </c>
      <c r="AD12" s="811" t="e">
        <f>AE12*AQ12</f>
        <v>#DIV/0!</v>
      </c>
      <c r="AE12" s="724" t="e">
        <f>((AF12/AP12)-1)*100</f>
        <v>#DIV/0!</v>
      </c>
      <c r="AF12" s="812" t="e">
        <v>#DIV/0!</v>
      </c>
      <c r="AG12" s="720">
        <f t="shared" si="1"/>
        <v>0</v>
      </c>
      <c r="AH12" s="808">
        <v>0</v>
      </c>
      <c r="AI12" s="720" t="e">
        <f t="shared" si="2"/>
        <v>#DIV/0!</v>
      </c>
      <c r="AJ12" s="720" t="e">
        <v>#DIV/0!</v>
      </c>
      <c r="AK12" s="720" t="e">
        <v>#DIV/0!</v>
      </c>
      <c r="AL12" s="720" t="e">
        <v>#DIV/0!</v>
      </c>
      <c r="AM12" s="808" t="e">
        <v>#DIV/0!</v>
      </c>
      <c r="AN12" s="720" t="e">
        <f t="shared" si="13"/>
        <v>#DIV/0!</v>
      </c>
      <c r="AO12" s="720" t="e">
        <v>#DIV/0!</v>
      </c>
      <c r="AP12" s="720" t="e">
        <v>#DIV/0!</v>
      </c>
      <c r="AQ12" s="720">
        <f t="shared" si="3"/>
        <v>0</v>
      </c>
      <c r="AR12" s="813">
        <v>0</v>
      </c>
      <c r="AS12" s="720" t="e">
        <f t="shared" si="14"/>
        <v>#DIV/0!</v>
      </c>
      <c r="AT12" s="720" t="e">
        <v>#DIV/0!</v>
      </c>
      <c r="AU12" s="720" t="e">
        <v>#DIV/0!</v>
      </c>
      <c r="AV12" s="808" t="e">
        <v>#DIV/0!</v>
      </c>
      <c r="AW12" s="720" t="e">
        <v>#DIV/0!</v>
      </c>
      <c r="BA12" s="723"/>
      <c r="BB12" s="723"/>
      <c r="BC12" s="895">
        <f t="shared" si="15"/>
        <v>0</v>
      </c>
      <c r="BD12" s="814"/>
    </row>
    <row r="13" spans="2:56">
      <c r="B13" s="723" t="s">
        <v>122</v>
      </c>
      <c r="C13" s="807"/>
      <c r="D13" s="805"/>
      <c r="E13" s="808" t="e">
        <v>#DIV/0!</v>
      </c>
      <c r="F13" s="720">
        <f t="shared" si="4"/>
        <v>0</v>
      </c>
      <c r="G13" s="808">
        <v>0</v>
      </c>
      <c r="H13" s="720" t="e">
        <f t="shared" si="5"/>
        <v>#DIV/0!</v>
      </c>
      <c r="I13" s="809" t="e">
        <v>#DIV/0!</v>
      </c>
      <c r="J13" s="807" t="e">
        <f t="shared" si="6"/>
        <v>#DIV/0!</v>
      </c>
      <c r="K13" s="805" t="e">
        <f t="shared" si="7"/>
        <v>#DIV/0!</v>
      </c>
      <c r="L13" s="808" t="e">
        <v>#DIV/0!</v>
      </c>
      <c r="M13" s="720">
        <f t="shared" si="8"/>
        <v>0</v>
      </c>
      <c r="N13" s="808">
        <v>0</v>
      </c>
      <c r="O13" s="720" t="e">
        <f t="shared" si="9"/>
        <v>#DIV/0!</v>
      </c>
      <c r="P13" s="809" t="e">
        <v>#DIV/0!</v>
      </c>
      <c r="Q13" s="720" t="e">
        <v>#DIV/0!</v>
      </c>
      <c r="R13" s="720" t="e">
        <v>#DIV/0!</v>
      </c>
      <c r="S13" s="720" t="e">
        <v>#DIV/0!</v>
      </c>
      <c r="T13" s="807" t="e">
        <f t="shared" si="10"/>
        <v>#DIV/0!</v>
      </c>
      <c r="U13" s="724" t="e">
        <f t="shared" si="11"/>
        <v>#DIV/0!</v>
      </c>
      <c r="V13" s="810" t="e">
        <v>#DIV/0!</v>
      </c>
      <c r="W13" s="720">
        <f t="shared" si="0"/>
        <v>0</v>
      </c>
      <c r="X13" s="808">
        <v>0</v>
      </c>
      <c r="Y13" s="720" t="e">
        <f t="shared" si="12"/>
        <v>#DIV/0!</v>
      </c>
      <c r="Z13" s="720" t="e">
        <v>#DIV/0!</v>
      </c>
      <c r="AA13" s="720" t="e">
        <v>#DIV/0!</v>
      </c>
      <c r="AB13" s="808" t="e">
        <v>#DIV/0!</v>
      </c>
      <c r="AC13" s="720" t="e">
        <v>#DIV/0!</v>
      </c>
      <c r="AD13" s="811" t="e">
        <f>AE13*AQ13</f>
        <v>#DIV/0!</v>
      </c>
      <c r="AE13" s="724" t="e">
        <f>((AF13/AP13)-1)*100</f>
        <v>#DIV/0!</v>
      </c>
      <c r="AF13" s="812" t="e">
        <v>#DIV/0!</v>
      </c>
      <c r="AG13" s="720">
        <f t="shared" si="1"/>
        <v>0</v>
      </c>
      <c r="AH13" s="808">
        <v>0</v>
      </c>
      <c r="AI13" s="720" t="e">
        <f t="shared" si="2"/>
        <v>#DIV/0!</v>
      </c>
      <c r="AJ13" s="720" t="e">
        <v>#DIV/0!</v>
      </c>
      <c r="AK13" s="720" t="e">
        <v>#DIV/0!</v>
      </c>
      <c r="AL13" s="720" t="e">
        <v>#DIV/0!</v>
      </c>
      <c r="AM13" s="808" t="e">
        <v>#DIV/0!</v>
      </c>
      <c r="AN13" s="720" t="e">
        <f t="shared" si="13"/>
        <v>#DIV/0!</v>
      </c>
      <c r="AO13" s="720" t="e">
        <v>#DIV/0!</v>
      </c>
      <c r="AP13" s="720" t="e">
        <v>#DIV/0!</v>
      </c>
      <c r="AQ13" s="720">
        <f t="shared" si="3"/>
        <v>0</v>
      </c>
      <c r="AR13" s="813">
        <v>0</v>
      </c>
      <c r="AS13" s="720" t="e">
        <f t="shared" si="14"/>
        <v>#DIV/0!</v>
      </c>
      <c r="AT13" s="720" t="e">
        <v>#DIV/0!</v>
      </c>
      <c r="AU13" s="720" t="e">
        <v>#DIV/0!</v>
      </c>
      <c r="AV13" s="808" t="e">
        <v>#DIV/0!</v>
      </c>
      <c r="AW13" s="720" t="e">
        <v>#DIV/0!</v>
      </c>
      <c r="BA13" s="723"/>
      <c r="BB13" s="723"/>
      <c r="BC13" s="895">
        <f t="shared" si="15"/>
        <v>0</v>
      </c>
      <c r="BD13" s="814"/>
    </row>
    <row r="14" spans="2:56">
      <c r="B14" s="723" t="s">
        <v>252</v>
      </c>
      <c r="C14" s="807"/>
      <c r="D14" s="805"/>
      <c r="E14" s="808" t="e">
        <v>#DIV/0!</v>
      </c>
      <c r="G14" s="808">
        <v>0</v>
      </c>
      <c r="H14" s="720" t="e">
        <f t="shared" si="5"/>
        <v>#DIV/0!</v>
      </c>
      <c r="I14" s="809" t="e">
        <v>#DIV/0!</v>
      </c>
      <c r="K14" s="805"/>
      <c r="L14" s="808">
        <v>0</v>
      </c>
      <c r="N14" s="808">
        <v>0</v>
      </c>
      <c r="P14" s="809" t="e">
        <v>#DIV/0!</v>
      </c>
      <c r="Q14" s="720" t="e">
        <v>#DIV/0!</v>
      </c>
      <c r="R14" s="720" t="e">
        <v>#DIV/0!</v>
      </c>
      <c r="S14" s="720" t="e">
        <v>#DIV/0!</v>
      </c>
      <c r="T14" s="807"/>
      <c r="U14" s="724"/>
      <c r="V14" s="810">
        <v>0</v>
      </c>
      <c r="X14" s="808">
        <v>0</v>
      </c>
      <c r="Z14" s="720" t="e">
        <v>#VALUE!</v>
      </c>
      <c r="AA14" s="720" t="e">
        <v>#VALUE!</v>
      </c>
      <c r="AB14" s="808" t="e">
        <v>#VALUE!</v>
      </c>
      <c r="AC14" s="720" t="e">
        <v>#VALUE!</v>
      </c>
      <c r="AD14" s="811" t="s">
        <v>103</v>
      </c>
      <c r="AE14" s="724" t="s">
        <v>103</v>
      </c>
      <c r="AF14" s="812" t="e">
        <v>#VALUE!</v>
      </c>
      <c r="AG14" s="720">
        <f t="shared" si="1"/>
        <v>0</v>
      </c>
      <c r="AH14" s="808">
        <v>0</v>
      </c>
      <c r="AI14" s="720" t="s">
        <v>103</v>
      </c>
      <c r="AJ14" s="720" t="e">
        <v>#DIV/0!</v>
      </c>
      <c r="AK14" s="720" t="e">
        <v>#DIV/0!</v>
      </c>
      <c r="AL14" s="720" t="e">
        <v>#DIV/0!</v>
      </c>
      <c r="AM14" s="808" t="e">
        <v>#DIV/0!</v>
      </c>
      <c r="AN14" s="720" t="e">
        <f t="shared" si="13"/>
        <v>#DIV/0!</v>
      </c>
      <c r="AO14" s="720" t="e">
        <v>#DIV/0!</v>
      </c>
      <c r="AP14" s="720" t="e">
        <v>#DIV/0!</v>
      </c>
      <c r="AQ14" s="720">
        <f t="shared" si="3"/>
        <v>0</v>
      </c>
      <c r="AR14" s="813">
        <v>0</v>
      </c>
      <c r="AS14" s="720" t="e">
        <f t="shared" si="14"/>
        <v>#DIV/0!</v>
      </c>
      <c r="AT14" s="720" t="e">
        <v>#DIV/0!</v>
      </c>
      <c r="AU14" s="720" t="e">
        <v>#DIV/0!</v>
      </c>
      <c r="AV14" s="808" t="e">
        <v>#DIV/0!</v>
      </c>
      <c r="AW14" s="720" t="e">
        <v>#DIV/0!</v>
      </c>
      <c r="BA14" s="723"/>
      <c r="BB14" s="723"/>
      <c r="BC14" s="895">
        <f t="shared" si="15"/>
        <v>0</v>
      </c>
      <c r="BD14" s="814"/>
    </row>
    <row r="15" spans="2:56">
      <c r="B15" s="723" t="s">
        <v>253</v>
      </c>
      <c r="C15" s="807"/>
      <c r="D15" s="805"/>
      <c r="E15" s="808" t="e">
        <v>#DIV/0!</v>
      </c>
      <c r="G15" s="808">
        <v>0</v>
      </c>
      <c r="H15" s="720" t="e">
        <f t="shared" si="5"/>
        <v>#DIV/0!</v>
      </c>
      <c r="I15" s="809" t="e">
        <v>#DIV/0!</v>
      </c>
      <c r="J15" s="807"/>
      <c r="K15" s="805"/>
      <c r="L15" s="808" t="e">
        <v>#DIV/0!</v>
      </c>
      <c r="N15" s="808">
        <v>0</v>
      </c>
      <c r="O15" s="720" t="e">
        <f t="shared" si="9"/>
        <v>#DIV/0!</v>
      </c>
      <c r="P15" s="809" t="e">
        <v>#DIV/0!</v>
      </c>
      <c r="Q15" s="720" t="e">
        <v>#DIV/0!</v>
      </c>
      <c r="R15" s="720" t="e">
        <v>#DIV/0!</v>
      </c>
      <c r="S15" s="720" t="e">
        <v>#DIV/0!</v>
      </c>
      <c r="T15" s="807" t="e">
        <f t="shared" si="10"/>
        <v>#DIV/0!</v>
      </c>
      <c r="U15" s="724" t="e">
        <f t="shared" si="11"/>
        <v>#DIV/0!</v>
      </c>
      <c r="V15" s="810" t="e">
        <v>#DIV/0!</v>
      </c>
      <c r="W15" s="720">
        <f t="shared" ref="W15:W32" si="16">X15/$X$112</f>
        <v>0</v>
      </c>
      <c r="X15" s="808">
        <v>0</v>
      </c>
      <c r="Y15" s="720" t="e">
        <f t="shared" si="12"/>
        <v>#DIV/0!</v>
      </c>
      <c r="Z15" s="720" t="e">
        <v>#DIV/0!</v>
      </c>
      <c r="AA15" s="720" t="e">
        <v>#DIV/0!</v>
      </c>
      <c r="AB15" s="808" t="e">
        <v>#DIV/0!</v>
      </c>
      <c r="AC15" s="720" t="e">
        <v>#DIV/0!</v>
      </c>
      <c r="AD15" s="811" t="e">
        <f t="shared" ref="AD15:AD23" si="17">AE15*AQ15</f>
        <v>#DIV/0!</v>
      </c>
      <c r="AE15" s="724" t="e">
        <f t="shared" ref="AE15:AE23" si="18">((AF15/AP15)-1)*100</f>
        <v>#DIV/0!</v>
      </c>
      <c r="AF15" s="812" t="e">
        <v>#DIV/0!</v>
      </c>
      <c r="AG15" s="720">
        <f t="shared" si="1"/>
        <v>0</v>
      </c>
      <c r="AH15" s="808">
        <v>0</v>
      </c>
      <c r="AI15" s="720" t="e">
        <f t="shared" ref="AI15:AI32" si="19">AJ15+AK15+AL15+AM15+AS15</f>
        <v>#DIV/0!</v>
      </c>
      <c r="AJ15" s="720" t="e">
        <v>#DIV/0!</v>
      </c>
      <c r="AK15" s="720" t="e">
        <v>#DIV/0!</v>
      </c>
      <c r="AL15" s="720" t="e">
        <v>#DIV/0!</v>
      </c>
      <c r="AM15" s="808" t="e">
        <v>#DIV/0!</v>
      </c>
      <c r="AN15" s="720" t="e">
        <f t="shared" si="13"/>
        <v>#DIV/0!</v>
      </c>
      <c r="AO15" s="720" t="e">
        <v>#DIV/0!</v>
      </c>
      <c r="AP15" s="720" t="e">
        <v>#DIV/0!</v>
      </c>
      <c r="AQ15" s="720">
        <f t="shared" si="3"/>
        <v>0</v>
      </c>
      <c r="AR15" s="813">
        <v>0</v>
      </c>
      <c r="AS15" s="720" t="e">
        <f t="shared" si="14"/>
        <v>#DIV/0!</v>
      </c>
      <c r="AT15" s="720" t="e">
        <v>#DIV/0!</v>
      </c>
      <c r="AU15" s="720" t="e">
        <v>#DIV/0!</v>
      </c>
      <c r="AV15" s="808" t="e">
        <v>#DIV/0!</v>
      </c>
      <c r="AW15" s="720" t="e">
        <v>#DIV/0!</v>
      </c>
      <c r="BA15" s="723"/>
      <c r="BB15" s="723"/>
      <c r="BC15" s="895">
        <f t="shared" si="15"/>
        <v>0</v>
      </c>
      <c r="BD15" s="814"/>
    </row>
    <row r="16" spans="2:56">
      <c r="B16" s="723" t="s">
        <v>123</v>
      </c>
      <c r="C16" s="807"/>
      <c r="D16" s="805"/>
      <c r="E16" s="808" t="e">
        <v>#DIV/0!</v>
      </c>
      <c r="F16" s="720">
        <f t="shared" si="4"/>
        <v>0</v>
      </c>
      <c r="G16" s="808">
        <v>0</v>
      </c>
      <c r="H16" s="720" t="e">
        <f t="shared" si="5"/>
        <v>#DIV/0!</v>
      </c>
      <c r="I16" s="809" t="e">
        <v>#DIV/0!</v>
      </c>
      <c r="J16" s="807" t="e">
        <f t="shared" si="6"/>
        <v>#DIV/0!</v>
      </c>
      <c r="K16" s="805" t="e">
        <f t="shared" si="7"/>
        <v>#DIV/0!</v>
      </c>
      <c r="L16" s="808" t="e">
        <v>#DIV/0!</v>
      </c>
      <c r="M16" s="720">
        <f t="shared" si="8"/>
        <v>0</v>
      </c>
      <c r="N16" s="808">
        <v>0</v>
      </c>
      <c r="O16" s="720" t="e">
        <f t="shared" si="9"/>
        <v>#DIV/0!</v>
      </c>
      <c r="P16" s="809" t="e">
        <v>#DIV/0!</v>
      </c>
      <c r="Q16" s="720" t="e">
        <v>#DIV/0!</v>
      </c>
      <c r="R16" s="720" t="e">
        <v>#DIV/0!</v>
      </c>
      <c r="S16" s="720" t="e">
        <v>#DIV/0!</v>
      </c>
      <c r="T16" s="807" t="e">
        <f t="shared" si="10"/>
        <v>#DIV/0!</v>
      </c>
      <c r="U16" s="724" t="e">
        <f t="shared" si="11"/>
        <v>#DIV/0!</v>
      </c>
      <c r="V16" s="810" t="e">
        <v>#DIV/0!</v>
      </c>
      <c r="W16" s="720">
        <f t="shared" si="16"/>
        <v>0</v>
      </c>
      <c r="X16" s="808">
        <v>0</v>
      </c>
      <c r="Y16" s="720" t="e">
        <f t="shared" si="12"/>
        <v>#DIV/0!</v>
      </c>
      <c r="Z16" s="720" t="e">
        <v>#DIV/0!</v>
      </c>
      <c r="AA16" s="720" t="e">
        <v>#DIV/0!</v>
      </c>
      <c r="AB16" s="808" t="e">
        <v>#DIV/0!</v>
      </c>
      <c r="AC16" s="720" t="e">
        <v>#DIV/0!</v>
      </c>
      <c r="AD16" s="811" t="e">
        <f t="shared" si="17"/>
        <v>#DIV/0!</v>
      </c>
      <c r="AE16" s="724" t="e">
        <f t="shared" si="18"/>
        <v>#DIV/0!</v>
      </c>
      <c r="AF16" s="812" t="e">
        <v>#DIV/0!</v>
      </c>
      <c r="AG16" s="720">
        <f t="shared" si="1"/>
        <v>0</v>
      </c>
      <c r="AH16" s="808">
        <v>0</v>
      </c>
      <c r="AI16" s="720" t="e">
        <f t="shared" si="19"/>
        <v>#DIV/0!</v>
      </c>
      <c r="AJ16" s="720" t="e">
        <v>#DIV/0!</v>
      </c>
      <c r="AK16" s="720" t="e">
        <v>#DIV/0!</v>
      </c>
      <c r="AL16" s="720" t="e">
        <v>#DIV/0!</v>
      </c>
      <c r="AM16" s="808" t="e">
        <v>#DIV/0!</v>
      </c>
      <c r="AN16" s="720" t="e">
        <f t="shared" si="13"/>
        <v>#DIV/0!</v>
      </c>
      <c r="AO16" s="720" t="e">
        <v>#DIV/0!</v>
      </c>
      <c r="AP16" s="720" t="e">
        <v>#DIV/0!</v>
      </c>
      <c r="AQ16" s="720">
        <f t="shared" si="3"/>
        <v>5.5052225410321919E-3</v>
      </c>
      <c r="AR16" s="813">
        <v>3157.7435006400001</v>
      </c>
      <c r="AS16" s="720" t="e">
        <f t="shared" si="14"/>
        <v>#DIV/0!</v>
      </c>
      <c r="AT16" s="720" t="e">
        <v>#DIV/0!</v>
      </c>
      <c r="AU16" s="720" t="e">
        <v>#DIV/0!</v>
      </c>
      <c r="AV16" s="808" t="e">
        <v>#DIV/0!</v>
      </c>
      <c r="AW16" s="720">
        <v>7.2450642999456619E-3</v>
      </c>
      <c r="BA16" s="723">
        <v>60.372568999999999</v>
      </c>
      <c r="BB16" s="723">
        <v>54.54</v>
      </c>
      <c r="BC16" s="895">
        <f t="shared" si="15"/>
        <v>3292.7199132599999</v>
      </c>
      <c r="BD16" s="814">
        <f>+BC16/$BC$112</f>
        <v>5.2084711726997053E-3</v>
      </c>
    </row>
    <row r="17" spans="2:56">
      <c r="B17" s="723" t="s">
        <v>254</v>
      </c>
      <c r="C17" s="807"/>
      <c r="D17" s="805"/>
      <c r="E17" s="808" t="e">
        <v>#DIV/0!</v>
      </c>
      <c r="G17" s="808">
        <v>0</v>
      </c>
      <c r="H17" s="720" t="e">
        <f t="shared" si="5"/>
        <v>#DIV/0!</v>
      </c>
      <c r="I17" s="809" t="e">
        <v>#DIV/0!</v>
      </c>
      <c r="J17" s="807"/>
      <c r="K17" s="805"/>
      <c r="L17" s="808" t="e">
        <v>#DIV/0!</v>
      </c>
      <c r="N17" s="808">
        <v>0</v>
      </c>
      <c r="O17" s="720" t="e">
        <f t="shared" si="9"/>
        <v>#DIV/0!</v>
      </c>
      <c r="P17" s="809" t="e">
        <v>#DIV/0!</v>
      </c>
      <c r="Q17" s="720" t="e">
        <v>#DIV/0!</v>
      </c>
      <c r="R17" s="720" t="e">
        <v>#DIV/0!</v>
      </c>
      <c r="S17" s="720" t="e">
        <v>#DIV/0!</v>
      </c>
      <c r="T17" s="807" t="e">
        <f t="shared" si="10"/>
        <v>#DIV/0!</v>
      </c>
      <c r="U17" s="724" t="e">
        <f t="shared" si="11"/>
        <v>#DIV/0!</v>
      </c>
      <c r="V17" s="810" t="e">
        <v>#DIV/0!</v>
      </c>
      <c r="W17" s="720">
        <f t="shared" si="16"/>
        <v>0</v>
      </c>
      <c r="X17" s="808">
        <v>0</v>
      </c>
      <c r="Y17" s="720" t="e">
        <f t="shared" si="12"/>
        <v>#DIV/0!</v>
      </c>
      <c r="Z17" s="720" t="e">
        <v>#DIV/0!</v>
      </c>
      <c r="AA17" s="720" t="e">
        <v>#DIV/0!</v>
      </c>
      <c r="AB17" s="808" t="e">
        <v>#DIV/0!</v>
      </c>
      <c r="AC17" s="720" t="e">
        <v>#DIV/0!</v>
      </c>
      <c r="AD17" s="811" t="e">
        <f t="shared" si="17"/>
        <v>#DIV/0!</v>
      </c>
      <c r="AE17" s="724" t="e">
        <f t="shared" si="18"/>
        <v>#DIV/0!</v>
      </c>
      <c r="AF17" s="812" t="e">
        <v>#DIV/0!</v>
      </c>
      <c r="AG17" s="720">
        <f t="shared" si="1"/>
        <v>0</v>
      </c>
      <c r="AH17" s="808">
        <v>0</v>
      </c>
      <c r="AI17" s="720" t="e">
        <f t="shared" si="19"/>
        <v>#DIV/0!</v>
      </c>
      <c r="AJ17" s="720" t="e">
        <v>#DIV/0!</v>
      </c>
      <c r="AK17" s="720" t="e">
        <v>#DIV/0!</v>
      </c>
      <c r="AL17" s="720" t="e">
        <v>#DIV/0!</v>
      </c>
      <c r="AM17" s="808" t="e">
        <v>#DIV/0!</v>
      </c>
      <c r="AN17" s="720" t="e">
        <f t="shared" si="13"/>
        <v>#DIV/0!</v>
      </c>
      <c r="AO17" s="720" t="e">
        <v>#DIV/0!</v>
      </c>
      <c r="AP17" s="720" t="e">
        <v>#DIV/0!</v>
      </c>
      <c r="AQ17" s="720">
        <f t="shared" si="3"/>
        <v>0</v>
      </c>
      <c r="AR17" s="813">
        <v>0</v>
      </c>
      <c r="AS17" s="720" t="e">
        <f t="shared" si="14"/>
        <v>#DIV/0!</v>
      </c>
      <c r="AT17" s="720" t="e">
        <v>#DIV/0!</v>
      </c>
      <c r="AU17" s="720" t="e">
        <v>#DIV/0!</v>
      </c>
      <c r="AV17" s="808" t="e">
        <v>#DIV/0!</v>
      </c>
      <c r="AW17" s="720" t="e">
        <v>#DIV/0!</v>
      </c>
      <c r="BA17" s="723"/>
      <c r="BB17" s="723"/>
      <c r="BC17" s="895">
        <f t="shared" si="15"/>
        <v>0</v>
      </c>
      <c r="BD17" s="814"/>
    </row>
    <row r="18" spans="2:56">
      <c r="B18" s="723" t="s">
        <v>124</v>
      </c>
      <c r="C18" s="807"/>
      <c r="D18" s="805"/>
      <c r="E18" s="808" t="e">
        <v>#DIV/0!</v>
      </c>
      <c r="F18" s="720">
        <f t="shared" si="4"/>
        <v>0</v>
      </c>
      <c r="G18" s="808">
        <v>0</v>
      </c>
      <c r="H18" s="720" t="e">
        <f t="shared" si="5"/>
        <v>#DIV/0!</v>
      </c>
      <c r="I18" s="809" t="e">
        <v>#DIV/0!</v>
      </c>
      <c r="J18" s="807" t="e">
        <f t="shared" si="6"/>
        <v>#DIV/0!</v>
      </c>
      <c r="K18" s="805" t="e">
        <f t="shared" si="7"/>
        <v>#DIV/0!</v>
      </c>
      <c r="L18" s="808" t="e">
        <v>#DIV/0!</v>
      </c>
      <c r="M18" s="720">
        <f t="shared" si="8"/>
        <v>0</v>
      </c>
      <c r="N18" s="808">
        <v>0</v>
      </c>
      <c r="O18" s="720" t="e">
        <f t="shared" si="9"/>
        <v>#DIV/0!</v>
      </c>
      <c r="P18" s="809" t="e">
        <v>#DIV/0!</v>
      </c>
      <c r="Q18" s="720" t="e">
        <v>#DIV/0!</v>
      </c>
      <c r="R18" s="720" t="e">
        <v>#DIV/0!</v>
      </c>
      <c r="S18" s="720" t="e">
        <v>#DIV/0!</v>
      </c>
      <c r="T18" s="807" t="e">
        <f t="shared" si="10"/>
        <v>#DIV/0!</v>
      </c>
      <c r="U18" s="724" t="e">
        <f t="shared" si="11"/>
        <v>#DIV/0!</v>
      </c>
      <c r="V18" s="810" t="e">
        <v>#DIV/0!</v>
      </c>
      <c r="W18" s="720">
        <f t="shared" si="16"/>
        <v>0</v>
      </c>
      <c r="X18" s="808">
        <v>0</v>
      </c>
      <c r="Y18" s="720" t="e">
        <f t="shared" si="12"/>
        <v>#DIV/0!</v>
      </c>
      <c r="Z18" s="720" t="e">
        <v>#DIV/0!</v>
      </c>
      <c r="AA18" s="720" t="e">
        <v>#DIV/0!</v>
      </c>
      <c r="AB18" s="808" t="e">
        <v>#DIV/0!</v>
      </c>
      <c r="AC18" s="720" t="e">
        <v>#DIV/0!</v>
      </c>
      <c r="AD18" s="811" t="e">
        <f t="shared" si="17"/>
        <v>#DIV/0!</v>
      </c>
      <c r="AE18" s="724" t="e">
        <f t="shared" si="18"/>
        <v>#DIV/0!</v>
      </c>
      <c r="AF18" s="812" t="e">
        <v>#DIV/0!</v>
      </c>
      <c r="AG18" s="720">
        <f t="shared" si="1"/>
        <v>0</v>
      </c>
      <c r="AH18" s="808">
        <v>0</v>
      </c>
      <c r="AI18" s="720" t="e">
        <f t="shared" si="19"/>
        <v>#DIV/0!</v>
      </c>
      <c r="AJ18" s="720" t="e">
        <v>#DIV/0!</v>
      </c>
      <c r="AK18" s="720" t="e">
        <v>#DIV/0!</v>
      </c>
      <c r="AL18" s="720" t="e">
        <v>#DIV/0!</v>
      </c>
      <c r="AM18" s="808" t="e">
        <v>#DIV/0!</v>
      </c>
      <c r="AN18" s="720" t="e">
        <f t="shared" si="13"/>
        <v>#DIV/0!</v>
      </c>
      <c r="AO18" s="720" t="e">
        <v>#DIV/0!</v>
      </c>
      <c r="AP18" s="720" t="e">
        <v>#DIV/0!</v>
      </c>
      <c r="AQ18" s="720">
        <f t="shared" si="3"/>
        <v>0</v>
      </c>
      <c r="AR18" s="813">
        <v>0</v>
      </c>
      <c r="AS18" s="720" t="e">
        <f t="shared" si="14"/>
        <v>#DIV/0!</v>
      </c>
      <c r="AT18" s="720" t="e">
        <v>#DIV/0!</v>
      </c>
      <c r="AU18" s="720" t="e">
        <v>#DIV/0!</v>
      </c>
      <c r="AV18" s="808" t="e">
        <v>#DIV/0!</v>
      </c>
      <c r="AW18" s="720" t="e">
        <v>#DIV/0!</v>
      </c>
      <c r="BA18" s="723"/>
      <c r="BB18" s="723"/>
      <c r="BC18" s="895">
        <f t="shared" si="15"/>
        <v>0</v>
      </c>
      <c r="BD18" s="814"/>
    </row>
    <row r="19" spans="2:56">
      <c r="B19" s="723" t="s">
        <v>255</v>
      </c>
      <c r="C19" s="807"/>
      <c r="D19" s="805"/>
      <c r="E19" s="808" t="e">
        <v>#DIV/0!</v>
      </c>
      <c r="G19" s="808">
        <v>0</v>
      </c>
      <c r="H19" s="720" t="e">
        <f t="shared" si="5"/>
        <v>#DIV/0!</v>
      </c>
      <c r="I19" s="809" t="e">
        <v>#DIV/0!</v>
      </c>
      <c r="J19" s="807"/>
      <c r="K19" s="805"/>
      <c r="L19" s="808" t="e">
        <v>#DIV/0!</v>
      </c>
      <c r="N19" s="808">
        <v>0</v>
      </c>
      <c r="O19" s="720" t="e">
        <f t="shared" si="9"/>
        <v>#DIV/0!</v>
      </c>
      <c r="P19" s="809" t="e">
        <v>#DIV/0!</v>
      </c>
      <c r="Q19" s="720" t="e">
        <v>#DIV/0!</v>
      </c>
      <c r="R19" s="720" t="e">
        <v>#DIV/0!</v>
      </c>
      <c r="S19" s="720" t="e">
        <v>#DIV/0!</v>
      </c>
      <c r="T19" s="807" t="e">
        <f t="shared" si="10"/>
        <v>#DIV/0!</v>
      </c>
      <c r="U19" s="724" t="e">
        <f t="shared" si="11"/>
        <v>#DIV/0!</v>
      </c>
      <c r="V19" s="810" t="e">
        <v>#DIV/0!</v>
      </c>
      <c r="W19" s="720">
        <f t="shared" si="16"/>
        <v>0</v>
      </c>
      <c r="X19" s="808">
        <v>0</v>
      </c>
      <c r="Y19" s="720" t="e">
        <f t="shared" si="12"/>
        <v>#DIV/0!</v>
      </c>
      <c r="Z19" s="720" t="e">
        <v>#DIV/0!</v>
      </c>
      <c r="AA19" s="720" t="e">
        <v>#DIV/0!</v>
      </c>
      <c r="AB19" s="808" t="e">
        <v>#DIV/0!</v>
      </c>
      <c r="AC19" s="720" t="e">
        <v>#DIV/0!</v>
      </c>
      <c r="AD19" s="811" t="e">
        <f t="shared" si="17"/>
        <v>#DIV/0!</v>
      </c>
      <c r="AE19" s="724" t="e">
        <f t="shared" si="18"/>
        <v>#DIV/0!</v>
      </c>
      <c r="AF19" s="812" t="e">
        <v>#DIV/0!</v>
      </c>
      <c r="AG19" s="720">
        <f t="shared" si="1"/>
        <v>0</v>
      </c>
      <c r="AH19" s="808">
        <v>0</v>
      </c>
      <c r="AI19" s="720" t="e">
        <f t="shared" si="19"/>
        <v>#DIV/0!</v>
      </c>
      <c r="AJ19" s="720" t="e">
        <v>#DIV/0!</v>
      </c>
      <c r="AK19" s="720" t="e">
        <v>#DIV/0!</v>
      </c>
      <c r="AL19" s="720" t="e">
        <v>#DIV/0!</v>
      </c>
      <c r="AM19" s="808" t="e">
        <v>#DIV/0!</v>
      </c>
      <c r="AN19" s="720" t="e">
        <f t="shared" si="13"/>
        <v>#DIV/0!</v>
      </c>
      <c r="AO19" s="720" t="e">
        <v>#DIV/0!</v>
      </c>
      <c r="AP19" s="720" t="e">
        <v>#DIV/0!</v>
      </c>
      <c r="AQ19" s="720">
        <f t="shared" si="3"/>
        <v>0</v>
      </c>
      <c r="AR19" s="813">
        <v>0</v>
      </c>
      <c r="AS19" s="720" t="e">
        <f t="shared" si="14"/>
        <v>#DIV/0!</v>
      </c>
      <c r="AT19" s="720" t="e">
        <v>#DIV/0!</v>
      </c>
      <c r="AU19" s="720" t="e">
        <v>#DIV/0!</v>
      </c>
      <c r="AV19" s="808" t="e">
        <v>#DIV/0!</v>
      </c>
      <c r="AW19" s="720" t="e">
        <v>#DIV/0!</v>
      </c>
      <c r="BA19" s="723"/>
      <c r="BB19" s="723"/>
      <c r="BC19" s="895">
        <f t="shared" si="15"/>
        <v>0</v>
      </c>
      <c r="BD19" s="814"/>
    </row>
    <row r="20" spans="2:56">
      <c r="B20" s="723" t="s">
        <v>256</v>
      </c>
      <c r="C20" s="807"/>
      <c r="D20" s="805"/>
      <c r="E20" s="808" t="e">
        <v>#DIV/0!</v>
      </c>
      <c r="F20" s="720">
        <f t="shared" si="4"/>
        <v>0</v>
      </c>
      <c r="G20" s="808">
        <v>0</v>
      </c>
      <c r="H20" s="720" t="e">
        <f t="shared" si="5"/>
        <v>#DIV/0!</v>
      </c>
      <c r="I20" s="809" t="e">
        <v>#DIV/0!</v>
      </c>
      <c r="J20" s="807" t="e">
        <f t="shared" si="6"/>
        <v>#DIV/0!</v>
      </c>
      <c r="K20" s="805" t="e">
        <f t="shared" si="7"/>
        <v>#DIV/0!</v>
      </c>
      <c r="L20" s="808" t="e">
        <v>#DIV/0!</v>
      </c>
      <c r="N20" s="808">
        <v>0</v>
      </c>
      <c r="O20" s="720" t="e">
        <f t="shared" si="9"/>
        <v>#DIV/0!</v>
      </c>
      <c r="P20" s="809" t="e">
        <v>#DIV/0!</v>
      </c>
      <c r="Q20" s="720" t="e">
        <v>#DIV/0!</v>
      </c>
      <c r="R20" s="720" t="e">
        <v>#DIV/0!</v>
      </c>
      <c r="S20" s="720" t="e">
        <v>#DIV/0!</v>
      </c>
      <c r="T20" s="807" t="e">
        <f t="shared" si="10"/>
        <v>#DIV/0!</v>
      </c>
      <c r="U20" s="724" t="e">
        <f t="shared" si="11"/>
        <v>#DIV/0!</v>
      </c>
      <c r="V20" s="810" t="e">
        <v>#DIV/0!</v>
      </c>
      <c r="W20" s="720">
        <f t="shared" si="16"/>
        <v>0</v>
      </c>
      <c r="X20" s="808">
        <v>0</v>
      </c>
      <c r="Y20" s="720" t="e">
        <f t="shared" si="12"/>
        <v>#DIV/0!</v>
      </c>
      <c r="Z20" s="720" t="e">
        <v>#DIV/0!</v>
      </c>
      <c r="AA20" s="720" t="e">
        <v>#DIV/0!</v>
      </c>
      <c r="AB20" s="808" t="e">
        <v>#DIV/0!</v>
      </c>
      <c r="AC20" s="720" t="e">
        <v>#DIV/0!</v>
      </c>
      <c r="AD20" s="811" t="e">
        <f t="shared" si="17"/>
        <v>#DIV/0!</v>
      </c>
      <c r="AE20" s="724" t="e">
        <f t="shared" si="18"/>
        <v>#DIV/0!</v>
      </c>
      <c r="AF20" s="812" t="e">
        <v>#DIV/0!</v>
      </c>
      <c r="AG20" s="720">
        <f t="shared" si="1"/>
        <v>0</v>
      </c>
      <c r="AH20" s="808">
        <v>0</v>
      </c>
      <c r="AI20" s="720" t="e">
        <f t="shared" si="19"/>
        <v>#DIV/0!</v>
      </c>
      <c r="AJ20" s="720" t="e">
        <v>#DIV/0!</v>
      </c>
      <c r="AK20" s="720" t="e">
        <v>#DIV/0!</v>
      </c>
      <c r="AL20" s="720" t="e">
        <v>#DIV/0!</v>
      </c>
      <c r="AM20" s="808" t="e">
        <v>#DIV/0!</v>
      </c>
      <c r="AN20" s="720" t="e">
        <f t="shared" si="13"/>
        <v>#DIV/0!</v>
      </c>
      <c r="AO20" s="720" t="e">
        <v>#DIV/0!</v>
      </c>
      <c r="AP20" s="720" t="e">
        <v>#DIV/0!</v>
      </c>
      <c r="AQ20" s="720">
        <f t="shared" si="3"/>
        <v>0</v>
      </c>
      <c r="AR20" s="813">
        <v>0</v>
      </c>
      <c r="AS20" s="720" t="e">
        <f t="shared" si="14"/>
        <v>#DIV/0!</v>
      </c>
      <c r="AT20" s="720" t="e">
        <v>#DIV/0!</v>
      </c>
      <c r="AU20" s="720" t="e">
        <v>#DIV/0!</v>
      </c>
      <c r="AV20" s="808" t="e">
        <v>#DIV/0!</v>
      </c>
      <c r="AW20" s="720" t="e">
        <v>#DIV/0!</v>
      </c>
      <c r="BA20" s="723"/>
      <c r="BB20" s="723"/>
      <c r="BC20" s="895">
        <f t="shared" si="15"/>
        <v>0</v>
      </c>
      <c r="BD20" s="814"/>
    </row>
    <row r="21" spans="2:56">
      <c r="B21" s="728" t="s">
        <v>125</v>
      </c>
      <c r="C21" s="807">
        <f>D21*M21</f>
        <v>-0.68523234518331189</v>
      </c>
      <c r="D21" s="805">
        <f>((E21/L21)-1)*100</f>
        <v>-26.093401093401102</v>
      </c>
      <c r="E21" s="808">
        <v>108.98297060652961</v>
      </c>
      <c r="F21" s="720">
        <f t="shared" si="4"/>
        <v>2.2713175185323897E-2</v>
      </c>
      <c r="G21" s="808">
        <v>17569.45</v>
      </c>
      <c r="H21" s="720">
        <f t="shared" si="5"/>
        <v>0.14755154897893663</v>
      </c>
      <c r="I21" s="809">
        <v>1.2105289436524089E-2</v>
      </c>
      <c r="J21" s="807">
        <f t="shared" si="6"/>
        <v>0.60075439757490046</v>
      </c>
      <c r="K21" s="805">
        <f t="shared" si="7"/>
        <v>21.298963589080788</v>
      </c>
      <c r="L21" s="808">
        <v>147.46040572677313</v>
      </c>
      <c r="M21" s="720">
        <f t="shared" si="8"/>
        <v>2.6260752392167224E-2</v>
      </c>
      <c r="N21" s="808">
        <v>23766.21</v>
      </c>
      <c r="O21" s="720">
        <f t="shared" si="9"/>
        <v>0.13544625954241254</v>
      </c>
      <c r="P21" s="809">
        <v>8.7837513631439847E-3</v>
      </c>
      <c r="Q21" s="720">
        <v>7.9511300566028793E-3</v>
      </c>
      <c r="R21" s="720">
        <v>8.2063438954078707E-3</v>
      </c>
      <c r="S21" s="720">
        <v>8.349661911483142E-3</v>
      </c>
      <c r="T21" s="807">
        <f t="shared" si="10"/>
        <v>0.11624459166351937</v>
      </c>
      <c r="U21" s="724">
        <f t="shared" si="11"/>
        <v>4.1984752599847575</v>
      </c>
      <c r="V21" s="810">
        <v>121.56773756642994</v>
      </c>
      <c r="W21" s="720">
        <f t="shared" si="16"/>
        <v>2.820580424311752E-2</v>
      </c>
      <c r="X21" s="808">
        <v>20074.599999999999</v>
      </c>
      <c r="Y21" s="720">
        <f t="shared" si="12"/>
        <v>0.10215537231577468</v>
      </c>
      <c r="Z21" s="720">
        <v>9.3625495693146418E-3</v>
      </c>
      <c r="AA21" s="720">
        <v>8.7661826253721264E-3</v>
      </c>
      <c r="AB21" s="808">
        <v>9.1534841278015575E-3</v>
      </c>
      <c r="AC21" s="720">
        <v>9.009812268554367E-3</v>
      </c>
      <c r="AD21" s="811">
        <f t="shared" si="17"/>
        <v>0.36715217595076105</v>
      </c>
      <c r="AE21" s="724">
        <f t="shared" si="18"/>
        <v>14.671510625345574</v>
      </c>
      <c r="AF21" s="812">
        <v>116.66940160410915</v>
      </c>
      <c r="AG21" s="720">
        <f t="shared" si="1"/>
        <v>2.7687335155082322E-2</v>
      </c>
      <c r="AH21" s="808">
        <v>19593.34</v>
      </c>
      <c r="AI21" s="720">
        <f t="shared" si="19"/>
        <v>6.5863343724731988E-2</v>
      </c>
      <c r="AJ21" s="720">
        <v>8.5245884481235795E-3</v>
      </c>
      <c r="AK21" s="720">
        <v>8.0630815094809988E-3</v>
      </c>
      <c r="AL21" s="720">
        <v>8.1194243854793412E-3</v>
      </c>
      <c r="AM21" s="808">
        <v>8.3446243332186299E-3</v>
      </c>
      <c r="AN21" s="720">
        <f t="shared" si="13"/>
        <v>0.43039462087454999</v>
      </c>
      <c r="AO21" s="720">
        <v>17.798162768925295</v>
      </c>
      <c r="AP21" s="720">
        <v>101.74227318352078</v>
      </c>
      <c r="AQ21" s="720">
        <f t="shared" si="3"/>
        <v>2.502483795475649E-2</v>
      </c>
      <c r="AR21" s="813">
        <v>14354.01</v>
      </c>
      <c r="AS21" s="720">
        <f t="shared" si="14"/>
        <v>3.2811625048429438E-2</v>
      </c>
      <c r="AT21" s="720">
        <v>8.5777378634414279E-3</v>
      </c>
      <c r="AU21" s="720">
        <v>8.3509116172431272E-3</v>
      </c>
      <c r="AV21" s="808">
        <v>7.8309129160793224E-3</v>
      </c>
      <c r="AW21" s="720">
        <v>8.052062651665564E-3</v>
      </c>
      <c r="BA21" s="723">
        <v>177</v>
      </c>
      <c r="BB21" s="723">
        <v>86.37</v>
      </c>
      <c r="BC21" s="895">
        <f t="shared" si="15"/>
        <v>15287.490000000002</v>
      </c>
      <c r="BD21" s="814">
        <f>+BC21/$BC$112</f>
        <v>2.4181969030308993E-2</v>
      </c>
    </row>
    <row r="22" spans="2:56">
      <c r="B22" s="728" t="s">
        <v>678</v>
      </c>
      <c r="C22" s="807">
        <f>D22*M22</f>
        <v>-0.87048553186613098</v>
      </c>
      <c r="D22" s="805">
        <f>((E22/L22)-1)*100</f>
        <v>-11.700072446269017</v>
      </c>
      <c r="E22" s="808">
        <v>86.718196712099598</v>
      </c>
      <c r="F22" s="720">
        <f t="shared" si="4"/>
        <v>7.548103882188438E-2</v>
      </c>
      <c r="G22" s="808">
        <v>58387.271999999997</v>
      </c>
      <c r="H22" s="720">
        <f t="shared" si="5"/>
        <v>0.20124943499237558</v>
      </c>
      <c r="I22" s="809">
        <v>1.544064636801358E-2</v>
      </c>
      <c r="J22" s="807">
        <f t="shared" si="6"/>
        <v>1.4016649727610946</v>
      </c>
      <c r="K22" s="805">
        <f t="shared" si="7"/>
        <v>21.349036725834946</v>
      </c>
      <c r="L22" s="808">
        <v>98.20868387386966</v>
      </c>
      <c r="M22" s="720">
        <f t="shared" si="8"/>
        <v>7.4400012125028864E-2</v>
      </c>
      <c r="N22" s="808">
        <v>67332.659999999989</v>
      </c>
      <c r="O22" s="720">
        <f t="shared" si="9"/>
        <v>0.18580878862436201</v>
      </c>
      <c r="P22" s="809">
        <v>1.2992739973880903E-2</v>
      </c>
      <c r="Q22" s="720">
        <v>1.31294722830347E-2</v>
      </c>
      <c r="R22" s="720">
        <v>1.3599775476173602E-2</v>
      </c>
      <c r="S22" s="720">
        <v>1.3554634266607494E-2</v>
      </c>
      <c r="T22" s="807">
        <f t="shared" si="10"/>
        <v>-0.54544159761734334</v>
      </c>
      <c r="U22" s="724">
        <f t="shared" si="11"/>
        <v>-7.4113247128560928</v>
      </c>
      <c r="V22" s="810">
        <v>80.930748626998579</v>
      </c>
      <c r="W22" s="720">
        <f t="shared" si="16"/>
        <v>6.5654717388954065E-2</v>
      </c>
      <c r="X22" s="808">
        <v>46727.693999999996</v>
      </c>
      <c r="Y22" s="720">
        <f t="shared" si="12"/>
        <v>0.1325321666246653</v>
      </c>
      <c r="Z22" s="720">
        <v>1.4356647616705886E-2</v>
      </c>
      <c r="AA22" s="720">
        <v>1.3129108603974491E-2</v>
      </c>
      <c r="AB22" s="808">
        <v>1.3369756613595988E-2</v>
      </c>
      <c r="AC22" s="720">
        <v>1.3353109293414994E-2</v>
      </c>
      <c r="AD22" s="811">
        <f t="shared" si="17"/>
        <v>0.70213084242921098</v>
      </c>
      <c r="AE22" s="724">
        <f t="shared" si="18"/>
        <v>10.013629470796804</v>
      </c>
      <c r="AF22" s="812">
        <v>87.408906516924702</v>
      </c>
      <c r="AG22" s="720">
        <f t="shared" si="1"/>
        <v>7.359569560772182E-2</v>
      </c>
      <c r="AH22" s="808">
        <v>52081.05</v>
      </c>
      <c r="AI22" s="720">
        <f t="shared" si="19"/>
        <v>7.8323544496973929E-2</v>
      </c>
      <c r="AJ22" s="720">
        <v>1.0146757048303433E-2</v>
      </c>
      <c r="AK22" s="720">
        <v>1.0381328113841102E-2</v>
      </c>
      <c r="AL22" s="720">
        <v>1.0320289097341813E-2</v>
      </c>
      <c r="AM22" s="808">
        <v>1.0096951848443067E-2</v>
      </c>
      <c r="AN22" s="720">
        <f t="shared" si="13"/>
        <v>0.23545879867490246</v>
      </c>
      <c r="AO22" s="720">
        <v>3.3196329602300567</v>
      </c>
      <c r="AP22" s="720">
        <v>79.45279774641692</v>
      </c>
      <c r="AQ22" s="720">
        <f t="shared" si="3"/>
        <v>7.0117517776832727E-2</v>
      </c>
      <c r="AR22" s="813">
        <v>40218.743999999999</v>
      </c>
      <c r="AS22" s="720">
        <f t="shared" si="14"/>
        <v>3.7378218389044517E-2</v>
      </c>
      <c r="AT22" s="720">
        <v>9.3953260819295004E-3</v>
      </c>
      <c r="AU22" s="720">
        <v>9.5983463333997668E-3</v>
      </c>
      <c r="AV22" s="808">
        <v>9.0661221185501795E-3</v>
      </c>
      <c r="AW22" s="720">
        <v>9.3184238551650683E-3</v>
      </c>
      <c r="BA22" s="723">
        <v>583.1</v>
      </c>
      <c r="BB22" s="723">
        <v>76.900000000000006</v>
      </c>
      <c r="BC22" s="895">
        <f t="shared" si="15"/>
        <v>44840.390000000007</v>
      </c>
      <c r="BD22" s="814">
        <f>+BC22/$BC$112</f>
        <v>7.0929166415610215E-2</v>
      </c>
    </row>
    <row r="23" spans="2:56">
      <c r="B23" s="728" t="s">
        <v>127</v>
      </c>
      <c r="C23" s="807">
        <f>D23*M23</f>
        <v>-0.75597779585031277</v>
      </c>
      <c r="D23" s="805">
        <f>((E23/L23)-1)*100</f>
        <v>-10.289441947154909</v>
      </c>
      <c r="E23" s="808">
        <v>96.852179045634259</v>
      </c>
      <c r="F23" s="720">
        <f t="shared" si="4"/>
        <v>7.6223406706127886E-2</v>
      </c>
      <c r="G23" s="808">
        <v>58961.52</v>
      </c>
      <c r="H23" s="720">
        <f t="shared" si="5"/>
        <v>0.19747995852663525</v>
      </c>
      <c r="I23" s="809">
        <v>1.3829741042562425E-2</v>
      </c>
      <c r="J23" s="807">
        <f t="shared" si="6"/>
        <v>0.8726508707311923</v>
      </c>
      <c r="K23" s="805">
        <f t="shared" si="7"/>
        <v>10.093658654922887</v>
      </c>
      <c r="L23" s="808">
        <v>107.96073633672228</v>
      </c>
      <c r="M23" s="720">
        <f>N23/N$112</f>
        <v>7.3471214448062955E-2</v>
      </c>
      <c r="N23" s="808">
        <v>66492.09</v>
      </c>
      <c r="O23" s="720">
        <f t="shared" si="9"/>
        <v>0.18365021748407281</v>
      </c>
      <c r="P23" s="809">
        <v>1.2137696875074046E-2</v>
      </c>
      <c r="Q23" s="720">
        <v>1.1436179246686677E-2</v>
      </c>
      <c r="R23" s="720">
        <v>1.2066849542866454E-2</v>
      </c>
      <c r="S23" s="720">
        <v>1.1710195525693939E-2</v>
      </c>
      <c r="T23" s="807">
        <f t="shared" si="10"/>
        <v>0.60801642246432586</v>
      </c>
      <c r="U23" s="724">
        <f t="shared" si="11"/>
        <v>7.3079733275709158</v>
      </c>
      <c r="V23" s="810">
        <v>98.062629270150765</v>
      </c>
      <c r="W23" s="720">
        <f t="shared" si="16"/>
        <v>8.6455357820683018E-2</v>
      </c>
      <c r="X23" s="808">
        <v>61531.9</v>
      </c>
      <c r="Y23" s="720">
        <f t="shared" si="12"/>
        <v>0.1362992962937517</v>
      </c>
      <c r="Z23" s="720">
        <v>1.2082400588260062E-2</v>
      </c>
      <c r="AA23" s="720">
        <v>1.2881326424742498E-2</v>
      </c>
      <c r="AB23" s="808">
        <v>1.2368246300611063E-2</v>
      </c>
      <c r="AC23" s="720">
        <v>1.2481890217615147E-2</v>
      </c>
      <c r="AD23" s="811">
        <f t="shared" si="17"/>
        <v>1.1103414225932913</v>
      </c>
      <c r="AE23" s="724">
        <f t="shared" si="18"/>
        <v>12.966796416224513</v>
      </c>
      <c r="AF23" s="812">
        <v>91.384289749655792</v>
      </c>
      <c r="AG23" s="720">
        <f t="shared" si="1"/>
        <v>8.3199047835937207E-2</v>
      </c>
      <c r="AH23" s="808">
        <v>58877</v>
      </c>
      <c r="AI23" s="720">
        <f t="shared" si="19"/>
        <v>8.6485432762522935E-2</v>
      </c>
      <c r="AJ23" s="720">
        <v>1.137614159010171E-2</v>
      </c>
      <c r="AK23" s="720">
        <v>1.1282245833550936E-2</v>
      </c>
      <c r="AL23" s="720">
        <v>1.0771177971043093E-2</v>
      </c>
      <c r="AM23" s="808">
        <v>1.0865416841845074E-2</v>
      </c>
      <c r="AN23" s="720">
        <f t="shared" si="13"/>
        <v>-0.29582145178069208</v>
      </c>
      <c r="AO23" s="720">
        <v>-3.1663601031521105</v>
      </c>
      <c r="AP23" s="720">
        <v>80.894822769826732</v>
      </c>
      <c r="AQ23" s="720">
        <f t="shared" si="3"/>
        <v>8.5629587058526871E-2</v>
      </c>
      <c r="AR23" s="813">
        <v>49116.32</v>
      </c>
      <c r="AS23" s="720">
        <f t="shared" si="14"/>
        <v>4.2190450525982116E-2</v>
      </c>
      <c r="AT23" s="720">
        <v>1.1354862506527107E-2</v>
      </c>
      <c r="AU23" s="720">
        <v>1.0895165680902824E-2</v>
      </c>
      <c r="AV23" s="808">
        <v>9.7148397902130732E-3</v>
      </c>
      <c r="AW23" s="720">
        <v>1.0225582548339116E-2</v>
      </c>
      <c r="BA23" s="723">
        <v>707</v>
      </c>
      <c r="BB23" s="723">
        <v>83.54</v>
      </c>
      <c r="BC23" s="895">
        <f t="shared" si="15"/>
        <v>59062.780000000006</v>
      </c>
      <c r="BD23" s="814">
        <f>+BC23/$BC$112</f>
        <v>9.3426345122970045E-2</v>
      </c>
    </row>
    <row r="24" spans="2:56">
      <c r="B24" s="723" t="s">
        <v>257</v>
      </c>
      <c r="C24" s="807"/>
      <c r="D24" s="805"/>
      <c r="E24" s="808" t="e">
        <v>#DIV/0!</v>
      </c>
      <c r="G24" s="808">
        <v>0</v>
      </c>
      <c r="H24" s="720" t="e">
        <f t="shared" si="5"/>
        <v>#DIV/0!</v>
      </c>
      <c r="I24" s="809" t="e">
        <v>#DIV/0!</v>
      </c>
      <c r="L24" s="808">
        <v>0</v>
      </c>
      <c r="N24" s="808">
        <v>0</v>
      </c>
      <c r="P24" s="809" t="e">
        <v>#VALUE!</v>
      </c>
      <c r="Q24" s="720" t="e">
        <v>#VALUE!</v>
      </c>
      <c r="R24" s="720" t="e">
        <v>#VALUE!</v>
      </c>
      <c r="S24" s="720" t="e">
        <v>#VALUE!</v>
      </c>
      <c r="T24" s="807" t="s">
        <v>103</v>
      </c>
      <c r="U24" s="724" t="s">
        <v>103</v>
      </c>
      <c r="V24" s="810" t="e">
        <v>#VALUE!</v>
      </c>
      <c r="W24" s="720">
        <f t="shared" si="16"/>
        <v>0</v>
      </c>
      <c r="X24" s="808">
        <v>0</v>
      </c>
      <c r="Y24" s="720" t="s">
        <v>103</v>
      </c>
      <c r="Z24" s="720" t="e">
        <v>#DIV/0!</v>
      </c>
      <c r="AA24" s="720" t="e">
        <v>#DIV/0!</v>
      </c>
      <c r="AB24" s="808" t="e">
        <v>#DIV/0!</v>
      </c>
      <c r="AC24" s="720" t="e">
        <v>#DIV/0!</v>
      </c>
      <c r="AD24" s="811"/>
      <c r="AE24" s="724"/>
      <c r="AF24" s="812" t="e">
        <v>#DIV/0!</v>
      </c>
      <c r="AG24" s="720">
        <f t="shared" si="1"/>
        <v>0</v>
      </c>
      <c r="AH24" s="808">
        <v>0</v>
      </c>
      <c r="AI24" s="720" t="e">
        <f t="shared" si="19"/>
        <v>#DIV/0!</v>
      </c>
      <c r="AJ24" s="720" t="e">
        <v>#DIV/0!</v>
      </c>
      <c r="AK24" s="720" t="e">
        <v>#DIV/0!</v>
      </c>
      <c r="AL24" s="720" t="e">
        <v>#DIV/0!</v>
      </c>
      <c r="AM24" s="808" t="e">
        <v>#DIV/0!</v>
      </c>
      <c r="AN24" s="720" t="e">
        <f t="shared" si="13"/>
        <v>#DIV/0!</v>
      </c>
      <c r="AO24" s="720" t="e">
        <v>#DIV/0!</v>
      </c>
      <c r="AP24" s="720" t="e">
        <v>#DIV/0!</v>
      </c>
      <c r="AQ24" s="720">
        <f t="shared" si="3"/>
        <v>0</v>
      </c>
      <c r="AR24" s="813">
        <v>0</v>
      </c>
      <c r="AS24" s="720" t="e">
        <f t="shared" si="14"/>
        <v>#DIV/0!</v>
      </c>
      <c r="AT24" s="720" t="e">
        <v>#DIV/0!</v>
      </c>
      <c r="AU24" s="720" t="e">
        <v>#DIV/0!</v>
      </c>
      <c r="AV24" s="808" t="e">
        <v>#DIV/0!</v>
      </c>
      <c r="AW24" s="720" t="e">
        <v>#DIV/0!</v>
      </c>
      <c r="BA24" s="723"/>
      <c r="BB24" s="723"/>
      <c r="BC24" s="895">
        <f t="shared" si="15"/>
        <v>0</v>
      </c>
      <c r="BD24" s="814"/>
    </row>
    <row r="25" spans="2:56">
      <c r="B25" s="723" t="s">
        <v>258</v>
      </c>
      <c r="C25" s="807"/>
      <c r="D25" s="805"/>
      <c r="E25" s="808" t="e">
        <v>#DIV/0!</v>
      </c>
      <c r="G25" s="808">
        <v>0</v>
      </c>
      <c r="H25" s="720" t="e">
        <f t="shared" si="5"/>
        <v>#DIV/0!</v>
      </c>
      <c r="I25" s="809" t="e">
        <v>#DIV/0!</v>
      </c>
      <c r="J25" s="807"/>
      <c r="K25" s="805"/>
      <c r="L25" s="808" t="e">
        <v>#DIV/0!</v>
      </c>
      <c r="N25" s="808">
        <v>0</v>
      </c>
      <c r="O25" s="720" t="e">
        <f t="shared" si="9"/>
        <v>#DIV/0!</v>
      </c>
      <c r="P25" s="809" t="e">
        <v>#DIV/0!</v>
      </c>
      <c r="Q25" s="720" t="e">
        <v>#DIV/0!</v>
      </c>
      <c r="R25" s="720" t="e">
        <v>#DIV/0!</v>
      </c>
      <c r="S25" s="720" t="e">
        <v>#DIV/0!</v>
      </c>
      <c r="T25" s="807" t="e">
        <f t="shared" si="10"/>
        <v>#DIV/0!</v>
      </c>
      <c r="U25" s="724" t="e">
        <f t="shared" si="11"/>
        <v>#DIV/0!</v>
      </c>
      <c r="V25" s="810" t="e">
        <v>#DIV/0!</v>
      </c>
      <c r="W25" s="720">
        <f t="shared" si="16"/>
        <v>0</v>
      </c>
      <c r="X25" s="808">
        <v>0</v>
      </c>
      <c r="Y25" s="720" t="e">
        <f t="shared" si="12"/>
        <v>#DIV/0!</v>
      </c>
      <c r="Z25" s="720" t="e">
        <v>#DIV/0!</v>
      </c>
      <c r="AA25" s="720" t="e">
        <v>#DIV/0!</v>
      </c>
      <c r="AB25" s="808" t="e">
        <v>#DIV/0!</v>
      </c>
      <c r="AC25" s="720" t="e">
        <v>#DIV/0!</v>
      </c>
      <c r="AD25" s="811" t="e">
        <f t="shared" ref="AD25:AD37" si="20">AE25*AQ25</f>
        <v>#DIV/0!</v>
      </c>
      <c r="AE25" s="724" t="e">
        <f t="shared" ref="AE25:AE32" si="21">((AF25/AP25)-1)*100</f>
        <v>#DIV/0!</v>
      </c>
      <c r="AF25" s="812" t="e">
        <v>#DIV/0!</v>
      </c>
      <c r="AG25" s="720">
        <f t="shared" si="1"/>
        <v>0</v>
      </c>
      <c r="AH25" s="808">
        <v>0</v>
      </c>
      <c r="AI25" s="720" t="e">
        <f t="shared" si="19"/>
        <v>#DIV/0!</v>
      </c>
      <c r="AJ25" s="720" t="e">
        <v>#DIV/0!</v>
      </c>
      <c r="AK25" s="720" t="e">
        <v>#DIV/0!</v>
      </c>
      <c r="AL25" s="720" t="e">
        <v>#DIV/0!</v>
      </c>
      <c r="AM25" s="808" t="e">
        <v>#DIV/0!</v>
      </c>
      <c r="AN25" s="720" t="e">
        <f t="shared" si="13"/>
        <v>#DIV/0!</v>
      </c>
      <c r="AO25" s="720" t="e">
        <v>#DIV/0!</v>
      </c>
      <c r="AP25" s="720" t="e">
        <v>#DIV/0!</v>
      </c>
      <c r="AQ25" s="720">
        <f t="shared" si="3"/>
        <v>0</v>
      </c>
      <c r="AR25" s="813">
        <v>0</v>
      </c>
      <c r="AS25" s="720" t="e">
        <f t="shared" si="14"/>
        <v>#DIV/0!</v>
      </c>
      <c r="AT25" s="720" t="e">
        <v>#DIV/0!</v>
      </c>
      <c r="AU25" s="720" t="e">
        <v>#DIV/0!</v>
      </c>
      <c r="AV25" s="808" t="e">
        <v>#DIV/0!</v>
      </c>
      <c r="AW25" s="720" t="e">
        <v>#DIV/0!</v>
      </c>
      <c r="BA25" s="723"/>
      <c r="BB25" s="723"/>
      <c r="BC25" s="895">
        <f t="shared" si="15"/>
        <v>0</v>
      </c>
      <c r="BD25" s="814"/>
    </row>
    <row r="26" spans="2:56">
      <c r="B26" s="728" t="s">
        <v>128</v>
      </c>
      <c r="C26" s="807">
        <f>D26*M26</f>
        <v>2.0420269529540349E-3</v>
      </c>
      <c r="D26" s="805">
        <f>((E26/L26)-1)*100</f>
        <v>0.67020179702461657</v>
      </c>
      <c r="E26" s="808">
        <v>75.552056243521974</v>
      </c>
      <c r="F26" s="720">
        <f t="shared" si="4"/>
        <v>3.5674587032456006E-3</v>
      </c>
      <c r="G26" s="808">
        <v>2759.5563721200001</v>
      </c>
      <c r="H26" s="720">
        <f t="shared" si="5"/>
        <v>0.11171359981639151</v>
      </c>
      <c r="I26" s="809">
        <v>6.2624879059084166E-3</v>
      </c>
      <c r="J26" s="807">
        <f t="shared" si="6"/>
        <v>0.11028546456317141</v>
      </c>
      <c r="K26" s="805">
        <f t="shared" si="7"/>
        <v>38.627230290484668</v>
      </c>
      <c r="L26" s="808">
        <v>75.049075987602691</v>
      </c>
      <c r="M26" s="720">
        <f>N26/N$112</f>
        <v>3.0468837326603454E-3</v>
      </c>
      <c r="N26" s="808">
        <v>2757.45635748</v>
      </c>
      <c r="O26" s="720">
        <f t="shared" si="9"/>
        <v>0.10545111191048309</v>
      </c>
      <c r="P26" s="809">
        <v>6.2335946991656684E-3</v>
      </c>
      <c r="Q26" s="720">
        <v>6.2728636200453164E-3</v>
      </c>
      <c r="R26" s="720">
        <v>6.3963470644165044E-3</v>
      </c>
      <c r="S26" s="720">
        <v>6.6096213306804331E-3</v>
      </c>
      <c r="T26" s="807">
        <f t="shared" si="10"/>
        <v>-2.2262696467115206E-2</v>
      </c>
      <c r="U26" s="724">
        <f t="shared" si="11"/>
        <v>-7.0405990863579131</v>
      </c>
      <c r="V26" s="810">
        <v>54.137326288884267</v>
      </c>
      <c r="W26" s="720">
        <f t="shared" si="16"/>
        <v>2.8551222475389037E-3</v>
      </c>
      <c r="X26" s="808">
        <v>2032.0440635699999</v>
      </c>
      <c r="Y26" s="720">
        <f t="shared" si="12"/>
        <v>7.9938685196175169E-2</v>
      </c>
      <c r="Z26" s="720">
        <v>7.7000975771563283E-3</v>
      </c>
      <c r="AA26" s="720">
        <v>6.706148219993862E-3</v>
      </c>
      <c r="AB26" s="808">
        <v>6.4512559398528253E-3</v>
      </c>
      <c r="AC26" s="720">
        <v>6.911311901408838E-3</v>
      </c>
      <c r="AD26" s="811">
        <f t="shared" si="20"/>
        <v>5.9503628853712763E-2</v>
      </c>
      <c r="AE26" s="724">
        <f t="shared" si="21"/>
        <v>22.003820696501975</v>
      </c>
      <c r="AF26" s="812">
        <v>58.237602390722209</v>
      </c>
      <c r="AG26" s="720">
        <f t="shared" si="1"/>
        <v>3.1620457569089696E-3</v>
      </c>
      <c r="AH26" s="808">
        <v>2237.6670511500001</v>
      </c>
      <c r="AI26" s="720">
        <f t="shared" si="19"/>
        <v>5.2169871557763314E-2</v>
      </c>
      <c r="AJ26" s="720">
        <v>6.3298358080605315E-3</v>
      </c>
      <c r="AK26" s="720">
        <v>6.3030747859341629E-3</v>
      </c>
      <c r="AL26" s="720">
        <v>6.6925123844116937E-3</v>
      </c>
      <c r="AM26" s="808">
        <v>6.3015504636803913E-3</v>
      </c>
      <c r="AN26" s="720">
        <f t="shared" si="13"/>
        <v>4.8816382996327984E-2</v>
      </c>
      <c r="AO26" s="720">
        <v>19.156876591060801</v>
      </c>
      <c r="AP26" s="720">
        <v>47.734244762378957</v>
      </c>
      <c r="AQ26" s="720">
        <f t="shared" si="3"/>
        <v>2.70424076229508E-3</v>
      </c>
      <c r="AR26" s="813">
        <v>1551.1268849999999</v>
      </c>
      <c r="AS26" s="720">
        <f t="shared" si="14"/>
        <v>2.654289811567653E-2</v>
      </c>
      <c r="AT26" s="720">
        <v>6.7982973385144127E-3</v>
      </c>
      <c r="AU26" s="720">
        <v>6.7145460119141928E-3</v>
      </c>
      <c r="AV26" s="808">
        <v>6.6002378515600422E-3</v>
      </c>
      <c r="AW26" s="720">
        <v>6.4298169136878811E-3</v>
      </c>
      <c r="BA26" s="723">
        <v>40.213740999999999</v>
      </c>
      <c r="BB26" s="723">
        <v>40.06</v>
      </c>
      <c r="BC26" s="895">
        <f t="shared" si="15"/>
        <v>1610.9624644600001</v>
      </c>
      <c r="BD26" s="814">
        <f>+BC26/$BC$112</f>
        <v>2.5482433299751609E-3</v>
      </c>
    </row>
    <row r="27" spans="2:56">
      <c r="B27" s="723" t="s">
        <v>129</v>
      </c>
      <c r="C27" s="807"/>
      <c r="D27" s="805"/>
      <c r="E27" s="808" t="e">
        <v>#DIV/0!</v>
      </c>
      <c r="F27" s="720">
        <f t="shared" si="4"/>
        <v>0</v>
      </c>
      <c r="G27" s="808">
        <v>0</v>
      </c>
      <c r="H27" s="720" t="e">
        <f t="shared" si="5"/>
        <v>#DIV/0!</v>
      </c>
      <c r="I27" s="809" t="e">
        <v>#DIV/0!</v>
      </c>
      <c r="J27" s="807" t="e">
        <f t="shared" si="6"/>
        <v>#DIV/0!</v>
      </c>
      <c r="K27" s="805" t="e">
        <f t="shared" si="7"/>
        <v>#DIV/0!</v>
      </c>
      <c r="L27" s="808" t="e">
        <v>#DIV/0!</v>
      </c>
      <c r="N27" s="808">
        <v>0</v>
      </c>
      <c r="O27" s="720" t="e">
        <f t="shared" si="9"/>
        <v>#DIV/0!</v>
      </c>
      <c r="P27" s="809" t="e">
        <v>#DIV/0!</v>
      </c>
      <c r="Q27" s="720" t="e">
        <v>#DIV/0!</v>
      </c>
      <c r="R27" s="720" t="e">
        <v>#DIV/0!</v>
      </c>
      <c r="S27" s="720" t="e">
        <v>#DIV/0!</v>
      </c>
      <c r="T27" s="807" t="e">
        <f t="shared" si="10"/>
        <v>#DIV/0!</v>
      </c>
      <c r="U27" s="724" t="e">
        <f t="shared" si="11"/>
        <v>#DIV/0!</v>
      </c>
      <c r="V27" s="810" t="e">
        <v>#DIV/0!</v>
      </c>
      <c r="W27" s="720">
        <f t="shared" si="16"/>
        <v>0</v>
      </c>
      <c r="X27" s="808">
        <v>0</v>
      </c>
      <c r="Y27" s="720" t="e">
        <f t="shared" si="12"/>
        <v>#DIV/0!</v>
      </c>
      <c r="Z27" s="720" t="e">
        <v>#DIV/0!</v>
      </c>
      <c r="AA27" s="720" t="e">
        <v>#DIV/0!</v>
      </c>
      <c r="AB27" s="808" t="e">
        <v>#DIV/0!</v>
      </c>
      <c r="AC27" s="720" t="e">
        <v>#DIV/0!</v>
      </c>
      <c r="AD27" s="811" t="e">
        <f t="shared" si="20"/>
        <v>#DIV/0!</v>
      </c>
      <c r="AE27" s="724" t="e">
        <f t="shared" si="21"/>
        <v>#DIV/0!</v>
      </c>
      <c r="AF27" s="812" t="e">
        <v>#DIV/0!</v>
      </c>
      <c r="AG27" s="720">
        <f t="shared" si="1"/>
        <v>0</v>
      </c>
      <c r="AH27" s="808">
        <v>0</v>
      </c>
      <c r="AI27" s="720" t="e">
        <f t="shared" si="19"/>
        <v>#DIV/0!</v>
      </c>
      <c r="AJ27" s="720" t="e">
        <v>#DIV/0!</v>
      </c>
      <c r="AK27" s="720" t="e">
        <v>#DIV/0!</v>
      </c>
      <c r="AL27" s="720" t="e">
        <v>#DIV/0!</v>
      </c>
      <c r="AM27" s="808" t="e">
        <v>#DIV/0!</v>
      </c>
      <c r="AN27" s="720">
        <f t="shared" si="13"/>
        <v>3.7117837671244797E-2</v>
      </c>
      <c r="AO27" s="720">
        <v>18.193943816816915</v>
      </c>
      <c r="AP27" s="720">
        <v>35.150878891121351</v>
      </c>
      <c r="AQ27" s="720">
        <f t="shared" si="3"/>
        <v>2.1399324106909888E-3</v>
      </c>
      <c r="AR27" s="813">
        <v>1227.44496</v>
      </c>
      <c r="AS27" s="720">
        <f t="shared" si="14"/>
        <v>3.1119944004733037E-2</v>
      </c>
      <c r="AT27" s="720">
        <v>7.8046924437039488E-3</v>
      </c>
      <c r="AU27" s="720">
        <v>7.734359459472896E-3</v>
      </c>
      <c r="AV27" s="808">
        <v>7.7140237203156487E-3</v>
      </c>
      <c r="AW27" s="720">
        <v>7.8668683812405452E-3</v>
      </c>
      <c r="BA27" s="723">
        <v>43.366999999999997</v>
      </c>
      <c r="BB27" s="723">
        <v>29.74</v>
      </c>
      <c r="BC27" s="895">
        <f t="shared" si="15"/>
        <v>1289.7345799999998</v>
      </c>
      <c r="BD27" s="814">
        <f>+BC27/$BC$112</f>
        <v>2.0401204953120864E-3</v>
      </c>
    </row>
    <row r="28" spans="2:56">
      <c r="B28" s="728" t="s">
        <v>130</v>
      </c>
      <c r="C28" s="807">
        <f>D28*M28</f>
        <v>-0.54733355688166363</v>
      </c>
      <c r="D28" s="805">
        <f>((E28/L28)-1)*100</f>
        <v>-20.784641068447407</v>
      </c>
      <c r="E28" s="808">
        <v>112.04277478038246</v>
      </c>
      <c r="F28" s="720">
        <f t="shared" si="4"/>
        <v>2.3712618208287278E-2</v>
      </c>
      <c r="G28" s="808">
        <v>18342.55477626</v>
      </c>
      <c r="H28" s="720">
        <f t="shared" si="5"/>
        <v>0.19232494179400295</v>
      </c>
      <c r="I28" s="809">
        <v>1.1684533149298447E-2</v>
      </c>
      <c r="J28" s="807">
        <f t="shared" si="6"/>
        <v>0.96233027003214489</v>
      </c>
      <c r="K28" s="805">
        <f t="shared" si="7"/>
        <v>43.963945015367713</v>
      </c>
      <c r="L28" s="808">
        <v>141.44072095563558</v>
      </c>
      <c r="M28" s="720">
        <f>N28/N$112</f>
        <v>2.633355827888487E-2</v>
      </c>
      <c r="N28" s="808">
        <v>23832.099962600001</v>
      </c>
      <c r="O28" s="720">
        <f t="shared" si="9"/>
        <v>0.18064040864470449</v>
      </c>
      <c r="P28" s="809">
        <v>9.0946374558069695E-3</v>
      </c>
      <c r="Q28" s="720">
        <v>9.0141764757072518E-3</v>
      </c>
      <c r="R28" s="720">
        <v>1.0187825030710741E-2</v>
      </c>
      <c r="S28" s="720">
        <v>1.0862159005708066E-2</v>
      </c>
      <c r="T28" s="807">
        <f t="shared" si="10"/>
        <v>0.21611767006157545</v>
      </c>
      <c r="U28" s="724">
        <f t="shared" si="11"/>
        <v>10.464722389309067</v>
      </c>
      <c r="V28" s="810">
        <v>98.24732223094972</v>
      </c>
      <c r="W28" s="720">
        <f t="shared" si="16"/>
        <v>2.1889079100971483E-2</v>
      </c>
      <c r="X28" s="808">
        <v>15578.86821921</v>
      </c>
      <c r="Y28" s="720">
        <f t="shared" si="12"/>
        <v>0.14148161067677145</v>
      </c>
      <c r="Z28" s="720">
        <v>1.1942380612966914E-2</v>
      </c>
      <c r="AA28" s="720">
        <v>1.2256643681501903E-2</v>
      </c>
      <c r="AB28" s="808">
        <v>1.217411241283361E-2</v>
      </c>
      <c r="AC28" s="720">
        <v>1.2345255953719436E-2</v>
      </c>
      <c r="AD28" s="811">
        <f t="shared" si="20"/>
        <v>0.33869022308683105</v>
      </c>
      <c r="AE28" s="724">
        <f t="shared" si="21"/>
        <v>15.862853851427715</v>
      </c>
      <c r="AF28" s="812">
        <v>88.93999831430186</v>
      </c>
      <c r="AG28" s="720">
        <f t="shared" si="1"/>
        <v>2.0652021336214788E-2</v>
      </c>
      <c r="AH28" s="808">
        <v>14614.69922841</v>
      </c>
      <c r="AI28" s="720">
        <f t="shared" si="19"/>
        <v>9.2763218015749577E-2</v>
      </c>
      <c r="AJ28" s="720">
        <v>1.1820117453014308E-2</v>
      </c>
      <c r="AK28" s="720">
        <v>1.2176880713318397E-2</v>
      </c>
      <c r="AL28" s="720">
        <v>1.1976128429533653E-2</v>
      </c>
      <c r="AM28" s="808">
        <v>1.196677573259532E-2</v>
      </c>
      <c r="AN28" s="720">
        <f t="shared" si="13"/>
        <v>-0.30447562563017966</v>
      </c>
      <c r="AO28" s="720">
        <v>-12.250606991832369</v>
      </c>
      <c r="AP28" s="720">
        <v>76.763169003545045</v>
      </c>
      <c r="AQ28" s="720">
        <f t="shared" si="3"/>
        <v>2.1351153219907382E-2</v>
      </c>
      <c r="AR28" s="813">
        <v>12246.819235520001</v>
      </c>
      <c r="AS28" s="720">
        <f t="shared" si="14"/>
        <v>4.4823315687287896E-2</v>
      </c>
      <c r="AT28" s="720">
        <v>1.2227552927736625E-2</v>
      </c>
      <c r="AU28" s="720">
        <v>1.1313565330569974E-2</v>
      </c>
      <c r="AV28" s="808">
        <v>1.0560703988012581E-2</v>
      </c>
      <c r="AW28" s="720">
        <v>1.0721493440968718E-2</v>
      </c>
      <c r="BA28" s="723">
        <v>179.61006699999999</v>
      </c>
      <c r="BB28" s="723">
        <v>87.48</v>
      </c>
      <c r="BC28" s="895">
        <f t="shared" si="15"/>
        <v>15712.288661159999</v>
      </c>
      <c r="BD28" s="814">
        <f>+BC28/$BC$112</f>
        <v>2.4853921592062934E-2</v>
      </c>
    </row>
    <row r="29" spans="2:56">
      <c r="B29" s="728" t="s">
        <v>207</v>
      </c>
      <c r="C29" s="807">
        <f>D29*M29</f>
        <v>-7.4547347721380013E-3</v>
      </c>
      <c r="D29" s="805">
        <f>((E29/L29)-1)*100</f>
        <v>-5.7813016187624466E-2</v>
      </c>
      <c r="E29" s="808">
        <v>268.88757281240873</v>
      </c>
      <c r="F29" s="720">
        <f t="shared" si="4"/>
        <v>0.14993341912869501</v>
      </c>
      <c r="G29" s="808">
        <v>115978.84</v>
      </c>
      <c r="H29" s="720">
        <f t="shared" si="5"/>
        <v>0.11747806837506733</v>
      </c>
      <c r="I29" s="809">
        <v>6.4642149232505336E-3</v>
      </c>
      <c r="J29" s="807">
        <f t="shared" si="6"/>
        <v>4.9177354039022152</v>
      </c>
      <c r="K29" s="805">
        <f t="shared" si="7"/>
        <v>42.561887298259514</v>
      </c>
      <c r="L29" s="808">
        <v>269.04311475189195</v>
      </c>
      <c r="M29" s="720">
        <f>N29/N$112</f>
        <v>0.12894561231582607</v>
      </c>
      <c r="N29" s="808">
        <v>116696.90399999999</v>
      </c>
      <c r="O29" s="720">
        <f t="shared" si="9"/>
        <v>0.1110138534518168</v>
      </c>
      <c r="P29" s="809">
        <v>5.7054653334487953E-3</v>
      </c>
      <c r="Q29" s="720">
        <v>5.8983755342723711E-3</v>
      </c>
      <c r="R29" s="720">
        <v>6.6676168828786542E-3</v>
      </c>
      <c r="S29" s="720">
        <v>7.0202394748754759E-3</v>
      </c>
      <c r="T29" s="807">
        <f t="shared" si="10"/>
        <v>1.4774145970950967</v>
      </c>
      <c r="U29" s="724">
        <f t="shared" si="11"/>
        <v>14.260455322910248</v>
      </c>
      <c r="V29" s="810">
        <v>188.72022519526269</v>
      </c>
      <c r="W29" s="720">
        <f t="shared" si="16"/>
        <v>0.11554317057042995</v>
      </c>
      <c r="X29" s="808">
        <v>82234.241999999998</v>
      </c>
      <c r="Y29" s="720">
        <f t="shared" si="12"/>
        <v>8.5722156226341509E-2</v>
      </c>
      <c r="Z29" s="720">
        <v>6.8893362682858226E-3</v>
      </c>
      <c r="AA29" s="720">
        <v>7.0980050391407853E-3</v>
      </c>
      <c r="AB29" s="808">
        <v>7.0752090196264748E-3</v>
      </c>
      <c r="AC29" s="720">
        <v>7.1866465735113717E-3</v>
      </c>
      <c r="AD29" s="811">
        <f t="shared" si="20"/>
        <v>2.8293765365249803</v>
      </c>
      <c r="AE29" s="724">
        <f t="shared" si="21"/>
        <v>34.400715063024222</v>
      </c>
      <c r="AF29" s="812">
        <v>165.16670151709312</v>
      </c>
      <c r="AG29" s="720">
        <f t="shared" si="1"/>
        <v>0.10360220369131865</v>
      </c>
      <c r="AH29" s="808">
        <v>73315.585999999996</v>
      </c>
      <c r="AI29" s="720">
        <f t="shared" si="19"/>
        <v>5.7472959325777048E-2</v>
      </c>
      <c r="AJ29" s="720">
        <v>6.6103623886976147E-3</v>
      </c>
      <c r="AK29" s="720">
        <v>6.998271577385866E-3</v>
      </c>
      <c r="AL29" s="720">
        <v>7.2679365730597845E-3</v>
      </c>
      <c r="AM29" s="808">
        <v>7.8734926034121303E-3</v>
      </c>
      <c r="AN29" s="720">
        <f t="shared" si="13"/>
        <v>1.1410001716157812</v>
      </c>
      <c r="AO29" s="720">
        <v>15.61881379061778</v>
      </c>
      <c r="AP29" s="720">
        <v>122.89123717804765</v>
      </c>
      <c r="AQ29" s="720">
        <f t="shared" si="3"/>
        <v>8.2247608264577901E-2</v>
      </c>
      <c r="AR29" s="813">
        <v>47176.449000000001</v>
      </c>
      <c r="AS29" s="720">
        <f t="shared" si="14"/>
        <v>2.8722896183221654E-2</v>
      </c>
      <c r="AT29" s="720">
        <v>7.4377870828505185E-3</v>
      </c>
      <c r="AU29" s="720">
        <v>7.2125825547310896E-3</v>
      </c>
      <c r="AV29" s="808">
        <v>6.7208280497806578E-3</v>
      </c>
      <c r="AW29" s="720">
        <v>7.3516984958593877E-3</v>
      </c>
      <c r="BA29" s="723">
        <v>434.5</v>
      </c>
      <c r="BB29" s="723">
        <v>106.29</v>
      </c>
      <c r="BC29" s="895">
        <f t="shared" si="15"/>
        <v>46183.005000000005</v>
      </c>
      <c r="BD29" s="814">
        <f>+BC29/$BC$112</f>
        <v>7.305293391110021E-2</v>
      </c>
    </row>
    <row r="30" spans="2:56">
      <c r="B30" s="723" t="s">
        <v>259</v>
      </c>
      <c r="C30" s="807"/>
      <c r="D30" s="805"/>
      <c r="E30" s="808" t="e">
        <v>#DIV/0!</v>
      </c>
      <c r="G30" s="808">
        <v>0</v>
      </c>
      <c r="H30" s="720" t="e">
        <f t="shared" si="5"/>
        <v>#DIV/0!</v>
      </c>
      <c r="I30" s="809" t="e">
        <v>#DIV/0!</v>
      </c>
      <c r="J30" s="807"/>
      <c r="K30" s="805"/>
      <c r="L30" s="808" t="e">
        <v>#DIV/0!</v>
      </c>
      <c r="N30" s="808">
        <v>0</v>
      </c>
      <c r="O30" s="720" t="e">
        <f t="shared" si="9"/>
        <v>#DIV/0!</v>
      </c>
      <c r="P30" s="809" t="e">
        <v>#DIV/0!</v>
      </c>
      <c r="Q30" s="720" t="e">
        <v>#DIV/0!</v>
      </c>
      <c r="R30" s="720" t="e">
        <v>#DIV/0!</v>
      </c>
      <c r="S30" s="720" t="e">
        <v>#DIV/0!</v>
      </c>
      <c r="T30" s="807" t="e">
        <f t="shared" si="10"/>
        <v>#DIV/0!</v>
      </c>
      <c r="U30" s="724" t="e">
        <f t="shared" si="11"/>
        <v>#DIV/0!</v>
      </c>
      <c r="V30" s="810" t="e">
        <v>#DIV/0!</v>
      </c>
      <c r="W30" s="720">
        <f t="shared" si="16"/>
        <v>0</v>
      </c>
      <c r="X30" s="808">
        <v>0</v>
      </c>
      <c r="Y30" s="720" t="e">
        <f t="shared" si="12"/>
        <v>#DIV/0!</v>
      </c>
      <c r="Z30" s="720" t="e">
        <v>#DIV/0!</v>
      </c>
      <c r="AA30" s="720" t="e">
        <v>#DIV/0!</v>
      </c>
      <c r="AB30" s="808" t="e">
        <v>#DIV/0!</v>
      </c>
      <c r="AC30" s="720" t="e">
        <v>#DIV/0!</v>
      </c>
      <c r="AD30" s="811" t="e">
        <f t="shared" si="20"/>
        <v>#DIV/0!</v>
      </c>
      <c r="AE30" s="724" t="e">
        <f t="shared" si="21"/>
        <v>#DIV/0!</v>
      </c>
      <c r="AF30" s="812" t="e">
        <v>#DIV/0!</v>
      </c>
      <c r="AG30" s="720">
        <f t="shared" si="1"/>
        <v>0</v>
      </c>
      <c r="AH30" s="808">
        <v>0</v>
      </c>
      <c r="AI30" s="720" t="e">
        <f t="shared" si="19"/>
        <v>#DIV/0!</v>
      </c>
      <c r="AJ30" s="720" t="e">
        <v>#DIV/0!</v>
      </c>
      <c r="AK30" s="720" t="e">
        <v>#DIV/0!</v>
      </c>
      <c r="AL30" s="720" t="e">
        <v>#DIV/0!</v>
      </c>
      <c r="AM30" s="808" t="e">
        <v>#DIV/0!</v>
      </c>
      <c r="AN30" s="720" t="e">
        <f t="shared" si="13"/>
        <v>#DIV/0!</v>
      </c>
      <c r="AO30" s="720" t="e">
        <v>#DIV/0!</v>
      </c>
      <c r="AP30" s="720" t="e">
        <v>#DIV/0!</v>
      </c>
      <c r="AQ30" s="720">
        <f t="shared" si="3"/>
        <v>0</v>
      </c>
      <c r="AR30" s="813">
        <v>0</v>
      </c>
      <c r="AS30" s="720" t="e">
        <f t="shared" si="14"/>
        <v>#DIV/0!</v>
      </c>
      <c r="AT30" s="720" t="e">
        <v>#DIV/0!</v>
      </c>
      <c r="AU30" s="720" t="e">
        <v>#DIV/0!</v>
      </c>
      <c r="AV30" s="808" t="e">
        <v>#DIV/0!</v>
      </c>
      <c r="AW30" s="720" t="e">
        <v>#DIV/0!</v>
      </c>
      <c r="BA30" s="723"/>
      <c r="BB30" s="723"/>
      <c r="BC30" s="895">
        <f t="shared" si="15"/>
        <v>0</v>
      </c>
      <c r="BD30" s="814"/>
    </row>
    <row r="31" spans="2:56">
      <c r="B31" s="723" t="s">
        <v>260</v>
      </c>
      <c r="C31" s="807"/>
      <c r="D31" s="805"/>
      <c r="E31" s="808" t="e">
        <v>#DIV/0!</v>
      </c>
      <c r="F31" s="720">
        <f t="shared" si="4"/>
        <v>0</v>
      </c>
      <c r="G31" s="808">
        <v>0</v>
      </c>
      <c r="H31" s="720" t="e">
        <f t="shared" si="5"/>
        <v>#DIV/0!</v>
      </c>
      <c r="I31" s="809" t="e">
        <v>#DIV/0!</v>
      </c>
      <c r="J31" s="807" t="e">
        <f t="shared" si="6"/>
        <v>#DIV/0!</v>
      </c>
      <c r="K31" s="805" t="e">
        <f t="shared" si="7"/>
        <v>#DIV/0!</v>
      </c>
      <c r="L31" s="808" t="e">
        <v>#DIV/0!</v>
      </c>
      <c r="N31" s="808">
        <v>0</v>
      </c>
      <c r="O31" s="720" t="e">
        <f t="shared" si="9"/>
        <v>#DIV/0!</v>
      </c>
      <c r="P31" s="809" t="e">
        <v>#DIV/0!</v>
      </c>
      <c r="Q31" s="720" t="e">
        <v>#DIV/0!</v>
      </c>
      <c r="R31" s="720" t="e">
        <v>#DIV/0!</v>
      </c>
      <c r="S31" s="720" t="e">
        <v>#DIV/0!</v>
      </c>
      <c r="T31" s="807" t="e">
        <f t="shared" si="10"/>
        <v>#DIV/0!</v>
      </c>
      <c r="U31" s="724" t="e">
        <f t="shared" si="11"/>
        <v>#DIV/0!</v>
      </c>
      <c r="V31" s="810" t="e">
        <v>#DIV/0!</v>
      </c>
      <c r="W31" s="720">
        <f t="shared" si="16"/>
        <v>0</v>
      </c>
      <c r="X31" s="808">
        <v>0</v>
      </c>
      <c r="Y31" s="720" t="e">
        <f t="shared" si="12"/>
        <v>#DIV/0!</v>
      </c>
      <c r="Z31" s="720" t="e">
        <v>#DIV/0!</v>
      </c>
      <c r="AA31" s="720" t="e">
        <v>#DIV/0!</v>
      </c>
      <c r="AB31" s="808" t="e">
        <v>#DIV/0!</v>
      </c>
      <c r="AC31" s="720" t="e">
        <v>#DIV/0!</v>
      </c>
      <c r="AD31" s="811" t="e">
        <f t="shared" si="20"/>
        <v>#DIV/0!</v>
      </c>
      <c r="AE31" s="724" t="e">
        <f t="shared" si="21"/>
        <v>#DIV/0!</v>
      </c>
      <c r="AF31" s="812" t="e">
        <v>#DIV/0!</v>
      </c>
      <c r="AG31" s="720">
        <f t="shared" si="1"/>
        <v>0</v>
      </c>
      <c r="AH31" s="808">
        <v>0</v>
      </c>
      <c r="AI31" s="720" t="e">
        <f t="shared" si="19"/>
        <v>#DIV/0!</v>
      </c>
      <c r="AJ31" s="720" t="e">
        <v>#DIV/0!</v>
      </c>
      <c r="AK31" s="720" t="e">
        <v>#DIV/0!</v>
      </c>
      <c r="AL31" s="720" t="e">
        <v>#DIV/0!</v>
      </c>
      <c r="AM31" s="808" t="e">
        <v>#DIV/0!</v>
      </c>
      <c r="AN31" s="720" t="e">
        <f t="shared" si="13"/>
        <v>#DIV/0!</v>
      </c>
      <c r="AO31" s="720" t="e">
        <v>#DIV/0!</v>
      </c>
      <c r="AP31" s="720" t="e">
        <v>#DIV/0!</v>
      </c>
      <c r="AQ31" s="720">
        <f t="shared" si="3"/>
        <v>0</v>
      </c>
      <c r="AR31" s="813">
        <v>0</v>
      </c>
      <c r="AS31" s="720" t="e">
        <f t="shared" si="14"/>
        <v>#DIV/0!</v>
      </c>
      <c r="AT31" s="720" t="e">
        <v>#DIV/0!</v>
      </c>
      <c r="AU31" s="720" t="e">
        <v>#DIV/0!</v>
      </c>
      <c r="AV31" s="808" t="e">
        <v>#DIV/0!</v>
      </c>
      <c r="AW31" s="720" t="e">
        <v>#DIV/0!</v>
      </c>
      <c r="BA31" s="723"/>
      <c r="BB31" s="723"/>
      <c r="BC31" s="895">
        <f t="shared" si="15"/>
        <v>0</v>
      </c>
      <c r="BD31" s="814"/>
    </row>
    <row r="32" spans="2:56">
      <c r="B32" s="723" t="s">
        <v>261</v>
      </c>
      <c r="C32" s="807"/>
      <c r="D32" s="805"/>
      <c r="E32" s="808" t="e">
        <v>#DIV/0!</v>
      </c>
      <c r="F32" s="720">
        <f t="shared" si="4"/>
        <v>0</v>
      </c>
      <c r="G32" s="808">
        <v>0</v>
      </c>
      <c r="H32" s="720" t="e">
        <f t="shared" si="5"/>
        <v>#DIV/0!</v>
      </c>
      <c r="I32" s="809" t="e">
        <v>#DIV/0!</v>
      </c>
      <c r="J32" s="807" t="e">
        <f t="shared" si="6"/>
        <v>#DIV/0!</v>
      </c>
      <c r="K32" s="805" t="e">
        <f t="shared" si="7"/>
        <v>#DIV/0!</v>
      </c>
      <c r="L32" s="808" t="e">
        <v>#DIV/0!</v>
      </c>
      <c r="N32" s="808">
        <v>0</v>
      </c>
      <c r="O32" s="720" t="e">
        <f t="shared" si="9"/>
        <v>#DIV/0!</v>
      </c>
      <c r="P32" s="809" t="e">
        <v>#DIV/0!</v>
      </c>
      <c r="Q32" s="720" t="e">
        <v>#DIV/0!</v>
      </c>
      <c r="R32" s="720" t="e">
        <v>#DIV/0!</v>
      </c>
      <c r="S32" s="720" t="e">
        <v>#DIV/0!</v>
      </c>
      <c r="T32" s="807" t="e">
        <f t="shared" si="10"/>
        <v>#DIV/0!</v>
      </c>
      <c r="U32" s="724" t="e">
        <f t="shared" si="11"/>
        <v>#DIV/0!</v>
      </c>
      <c r="V32" s="810" t="e">
        <v>#DIV/0!</v>
      </c>
      <c r="W32" s="720">
        <f t="shared" si="16"/>
        <v>0</v>
      </c>
      <c r="X32" s="808">
        <v>0</v>
      </c>
      <c r="Y32" s="720" t="e">
        <f t="shared" si="12"/>
        <v>#DIV/0!</v>
      </c>
      <c r="Z32" s="720" t="e">
        <v>#DIV/0!</v>
      </c>
      <c r="AA32" s="720" t="e">
        <v>#DIV/0!</v>
      </c>
      <c r="AB32" s="808" t="e">
        <v>#DIV/0!</v>
      </c>
      <c r="AC32" s="720" t="e">
        <v>#DIV/0!</v>
      </c>
      <c r="AD32" s="811" t="e">
        <f t="shared" si="20"/>
        <v>#DIV/0!</v>
      </c>
      <c r="AE32" s="724" t="e">
        <f t="shared" si="21"/>
        <v>#DIV/0!</v>
      </c>
      <c r="AF32" s="812" t="e">
        <v>#DIV/0!</v>
      </c>
      <c r="AG32" s="720">
        <f t="shared" si="1"/>
        <v>0</v>
      </c>
      <c r="AH32" s="808">
        <v>0</v>
      </c>
      <c r="AI32" s="720" t="e">
        <f t="shared" si="19"/>
        <v>#DIV/0!</v>
      </c>
      <c r="AJ32" s="720" t="e">
        <v>#DIV/0!</v>
      </c>
      <c r="AK32" s="720" t="e">
        <v>#DIV/0!</v>
      </c>
      <c r="AL32" s="720" t="e">
        <v>#DIV/0!</v>
      </c>
      <c r="AM32" s="808" t="e">
        <v>#DIV/0!</v>
      </c>
      <c r="AN32" s="720" t="e">
        <f t="shared" si="13"/>
        <v>#DIV/0!</v>
      </c>
      <c r="AO32" s="720" t="e">
        <v>#DIV/0!</v>
      </c>
      <c r="AP32" s="720" t="e">
        <v>#DIV/0!</v>
      </c>
      <c r="AQ32" s="720">
        <f t="shared" si="3"/>
        <v>0</v>
      </c>
      <c r="AR32" s="813">
        <v>0</v>
      </c>
      <c r="AS32" s="720" t="e">
        <f t="shared" si="14"/>
        <v>#DIV/0!</v>
      </c>
      <c r="AT32" s="720" t="e">
        <v>#DIV/0!</v>
      </c>
      <c r="AU32" s="720" t="e">
        <v>#DIV/0!</v>
      </c>
      <c r="AV32" s="808" t="e">
        <v>#DIV/0!</v>
      </c>
      <c r="AW32" s="720" t="e">
        <v>#DIV/0!</v>
      </c>
      <c r="BA32" s="723"/>
      <c r="BB32" s="723"/>
      <c r="BC32" s="895">
        <f t="shared" si="15"/>
        <v>0</v>
      </c>
      <c r="BD32" s="814"/>
    </row>
    <row r="33" spans="2:56">
      <c r="B33" s="723" t="s">
        <v>262</v>
      </c>
      <c r="C33" s="807"/>
      <c r="D33" s="805"/>
      <c r="E33" s="808" t="e">
        <v>#DIV/0!</v>
      </c>
      <c r="G33" s="808">
        <v>0</v>
      </c>
      <c r="H33" s="720" t="e">
        <f t="shared" si="5"/>
        <v>#DIV/0!</v>
      </c>
      <c r="I33" s="809" t="e">
        <v>#DIV/0!</v>
      </c>
      <c r="K33" s="805"/>
      <c r="L33" s="808">
        <v>0</v>
      </c>
      <c r="N33" s="808">
        <v>0</v>
      </c>
      <c r="P33" s="809" t="e">
        <v>#DIV/0!</v>
      </c>
      <c r="Q33" s="720" t="e">
        <v>#DIV/0!</v>
      </c>
      <c r="R33" s="720" t="e">
        <v>#DIV/0!</v>
      </c>
      <c r="S33" s="720" t="e">
        <v>#DIV/0!</v>
      </c>
      <c r="T33" s="807"/>
      <c r="U33" s="724"/>
      <c r="V33" s="810">
        <v>0</v>
      </c>
      <c r="X33" s="808">
        <v>0</v>
      </c>
      <c r="Z33" s="720" t="e">
        <v>#DIV/0!</v>
      </c>
      <c r="AA33" s="720" t="e">
        <v>#DIV/0!</v>
      </c>
      <c r="AB33" s="808" t="e">
        <v>#DIV/0!</v>
      </c>
      <c r="AC33" s="720" t="e">
        <v>#DIV/0!</v>
      </c>
      <c r="AD33" s="811">
        <f t="shared" si="20"/>
        <v>0</v>
      </c>
      <c r="AE33" s="724"/>
      <c r="AF33" s="812">
        <v>0</v>
      </c>
      <c r="AH33" s="808">
        <v>0</v>
      </c>
      <c r="AJ33" s="720" t="e">
        <v>#DIV/0!</v>
      </c>
      <c r="AK33" s="720" t="e">
        <v>#DIV/0!</v>
      </c>
      <c r="AL33" s="720" t="e">
        <v>#DIV/0!</v>
      </c>
      <c r="AM33" s="808" t="e">
        <v>#DIV/0!</v>
      </c>
      <c r="AN33" s="720" t="e">
        <f t="shared" si="13"/>
        <v>#DIV/0!</v>
      </c>
      <c r="AO33" s="720" t="e">
        <v>#DIV/0!</v>
      </c>
      <c r="AP33" s="720">
        <v>0</v>
      </c>
      <c r="AR33" s="813">
        <v>0</v>
      </c>
      <c r="AT33" s="720" t="e">
        <v>#DIV/0!</v>
      </c>
      <c r="AU33" s="720" t="e">
        <v>#DIV/0!</v>
      </c>
      <c r="AV33" s="808" t="e">
        <v>#DIV/0!</v>
      </c>
      <c r="AW33" s="720" t="e">
        <v>#DIV/0!</v>
      </c>
      <c r="BA33" s="723"/>
      <c r="BB33" s="723"/>
      <c r="BC33" s="895">
        <f t="shared" si="15"/>
        <v>0</v>
      </c>
      <c r="BD33" s="814"/>
    </row>
    <row r="34" spans="2:56">
      <c r="B34" s="728" t="s">
        <v>131</v>
      </c>
      <c r="C34" s="807">
        <f>D34*M34</f>
        <v>-4.190302592252669E-2</v>
      </c>
      <c r="D34" s="805">
        <f>((E34/L34)-1)*100</f>
        <v>-7.4263764404609685</v>
      </c>
      <c r="E34" s="808">
        <v>49.858183842256317</v>
      </c>
      <c r="F34" s="720">
        <f t="shared" si="4"/>
        <v>6.0633981704945206E-3</v>
      </c>
      <c r="G34" s="808">
        <v>4690.2544499999995</v>
      </c>
      <c r="H34" s="720">
        <f t="shared" si="5"/>
        <v>0.15814596613835827</v>
      </c>
      <c r="I34" s="809">
        <v>8.8102390231825332E-3</v>
      </c>
      <c r="J34" s="807">
        <f t="shared" si="6"/>
        <v>0.17769847884360582</v>
      </c>
      <c r="K34" s="805">
        <f t="shared" si="7"/>
        <v>31.719742984360622</v>
      </c>
      <c r="L34" s="808">
        <v>53.857872172617142</v>
      </c>
      <c r="M34" s="720">
        <f>N34/N$112</f>
        <v>5.6424591802574572E-3</v>
      </c>
      <c r="N34" s="808">
        <v>5106.4747799999996</v>
      </c>
      <c r="O34" s="720">
        <f t="shared" si="9"/>
        <v>0.14933572711517573</v>
      </c>
      <c r="P34" s="809">
        <v>7.7954097642402758E-3</v>
      </c>
      <c r="Q34" s="720">
        <v>7.9532528097604905E-3</v>
      </c>
      <c r="R34" s="720">
        <v>8.2686998097373145E-3</v>
      </c>
      <c r="S34" s="720">
        <v>8.7637351354115343E-3</v>
      </c>
      <c r="T34" s="807">
        <f t="shared" si="10"/>
        <v>2.7321280888869186E-2</v>
      </c>
      <c r="U34" s="724">
        <f t="shared" si="11"/>
        <v>4.9163983390559274</v>
      </c>
      <c r="V34" s="810">
        <v>40.888230535806471</v>
      </c>
      <c r="W34" s="720">
        <f t="shared" ref="W34:W40" si="22">X34/$X$112</f>
        <v>5.6021411942467451E-3</v>
      </c>
      <c r="X34" s="808">
        <v>3987.1489799999999</v>
      </c>
      <c r="Y34" s="720">
        <f t="shared" si="12"/>
        <v>0.11655462959602611</v>
      </c>
      <c r="Z34" s="720">
        <v>9.3726492059238581E-3</v>
      </c>
      <c r="AA34" s="720">
        <v>9.560624343201438E-3</v>
      </c>
      <c r="AB34" s="808">
        <v>9.8313383523414982E-3</v>
      </c>
      <c r="AC34" s="720">
        <v>9.720810189833189E-3</v>
      </c>
      <c r="AD34" s="811">
        <f t="shared" si="20"/>
        <v>7.2599339218297101E-2</v>
      </c>
      <c r="AE34" s="724">
        <f>((AF34/AP34)-1)*100</f>
        <v>13.386016581019945</v>
      </c>
      <c r="AF34" s="812">
        <v>38.972201851295843</v>
      </c>
      <c r="AG34" s="720">
        <f t="shared" ref="AG34:AG40" si="23">AH34/$AH$112</f>
        <v>5.5571739726271979E-3</v>
      </c>
      <c r="AH34" s="808">
        <v>3932.6138999999998</v>
      </c>
      <c r="AI34" s="720">
        <f t="shared" ref="AI34:AI40" si="24">AJ34+AK34+AL34+AM34+AS34</f>
        <v>7.8069207504726124E-2</v>
      </c>
      <c r="AJ34" s="720">
        <v>9.1662494329803924E-3</v>
      </c>
      <c r="AK34" s="720">
        <v>9.8384773456722443E-3</v>
      </c>
      <c r="AL34" s="720">
        <v>1.0043132120681638E-2</v>
      </c>
      <c r="AM34" s="808">
        <v>9.6727132084375809E-3</v>
      </c>
      <c r="AN34" s="720">
        <f t="shared" si="13"/>
        <v>1.4438676779365986E-2</v>
      </c>
      <c r="AO34" s="720">
        <v>2.6620650315928307</v>
      </c>
      <c r="AP34" s="720">
        <v>34.371259372577278</v>
      </c>
      <c r="AQ34" s="720">
        <f t="shared" ref="AQ34:AQ40" si="25">AR34/$AR$112</f>
        <v>5.423520789690028E-3</v>
      </c>
      <c r="AR34" s="813">
        <v>3110.88015</v>
      </c>
      <c r="AS34" s="720">
        <f t="shared" ref="AS34:AS40" si="26">AT34+AU34+AV34+AW34</f>
        <v>3.9348635396954275E-2</v>
      </c>
      <c r="AT34" s="720">
        <v>9.6524289087194654E-3</v>
      </c>
      <c r="AU34" s="720">
        <v>1.0583747480482518E-2</v>
      </c>
      <c r="AV34" s="808">
        <v>9.5445577731843867E-3</v>
      </c>
      <c r="AW34" s="720">
        <v>9.5679012345679017E-3</v>
      </c>
      <c r="BA34" s="723">
        <v>102.416</v>
      </c>
      <c r="BB34" s="723">
        <v>33.479999999999997</v>
      </c>
      <c r="BC34" s="895">
        <f t="shared" si="15"/>
        <v>3428.8876799999994</v>
      </c>
      <c r="BD34" s="814">
        <f>+BC34/$BC$112</f>
        <v>5.4238632820801866E-3</v>
      </c>
    </row>
    <row r="35" spans="2:56">
      <c r="B35" s="728" t="s">
        <v>132</v>
      </c>
      <c r="C35" s="807">
        <f>D35*M35</f>
        <v>-0.63984895280873988</v>
      </c>
      <c r="D35" s="805">
        <f>((E35/L35)-1)*100</f>
        <v>-42.280894756142274</v>
      </c>
      <c r="E35" s="808">
        <v>18.501567716791278</v>
      </c>
      <c r="F35" s="720">
        <f t="shared" si="4"/>
        <v>1.0027557000798788E-2</v>
      </c>
      <c r="G35" s="808">
        <v>7756.6724999999997</v>
      </c>
      <c r="H35" s="720">
        <f t="shared" si="5"/>
        <v>0.19751247357872348</v>
      </c>
      <c r="I35" s="809">
        <v>2.2063444557676608E-2</v>
      </c>
      <c r="J35" s="807">
        <f t="shared" si="6"/>
        <v>8.0359897350246751E-3</v>
      </c>
      <c r="K35" s="805">
        <f t="shared" si="7"/>
        <v>0.46946342383313855</v>
      </c>
      <c r="L35" s="808">
        <v>32.054495021403945</v>
      </c>
      <c r="M35" s="720">
        <f>N35/N$112</f>
        <v>1.5133287895138197E-2</v>
      </c>
      <c r="N35" s="808">
        <v>13695.75756</v>
      </c>
      <c r="O35" s="720">
        <f t="shared" si="9"/>
        <v>0.17544902902104687</v>
      </c>
      <c r="P35" s="809">
        <v>1.2263144183744933E-2</v>
      </c>
      <c r="Q35" s="720">
        <v>1.0976153011921697E-2</v>
      </c>
      <c r="R35" s="720">
        <v>1.1455357409865889E-2</v>
      </c>
      <c r="S35" s="720">
        <v>1.0583844538748218E-2</v>
      </c>
      <c r="T35" s="807">
        <f t="shared" si="10"/>
        <v>6.2540410799988705E-2</v>
      </c>
      <c r="U35" s="724">
        <f t="shared" si="11"/>
        <v>3.6205816993825524</v>
      </c>
      <c r="V35" s="810">
        <v>31.90471405842111</v>
      </c>
      <c r="W35" s="720">
        <f t="shared" si="22"/>
        <v>1.7117392595596345E-2</v>
      </c>
      <c r="X35" s="808">
        <v>12182.769419999999</v>
      </c>
      <c r="Y35" s="720">
        <f t="shared" si="12"/>
        <v>0.13017052987676611</v>
      </c>
      <c r="Z35" s="720">
        <v>1.1393846842800742E-2</v>
      </c>
      <c r="AA35" s="720">
        <v>1.1116660264682674E-2</v>
      </c>
      <c r="AB35" s="808">
        <v>1.0982604960017005E-2</v>
      </c>
      <c r="AC35" s="720">
        <v>1.0995501163113404E-2</v>
      </c>
      <c r="AD35" s="811">
        <f t="shared" si="20"/>
        <v>0.26912587679699046</v>
      </c>
      <c r="AE35" s="724">
        <f>((AF35/AP35)-1)*100</f>
        <v>19.541223851515422</v>
      </c>
      <c r="AF35" s="812">
        <v>30.789939156084877</v>
      </c>
      <c r="AG35" s="720">
        <f t="shared" si="23"/>
        <v>1.7273580875320185E-2</v>
      </c>
      <c r="AH35" s="808">
        <v>12223.897360000001</v>
      </c>
      <c r="AI35" s="720">
        <f t="shared" si="24"/>
        <v>8.5681916646152281E-2</v>
      </c>
      <c r="AJ35" s="720">
        <v>1.0144787798544962E-2</v>
      </c>
      <c r="AK35" s="720">
        <v>9.7601961484771425E-3</v>
      </c>
      <c r="AL35" s="720">
        <v>1.0311794176580791E-2</v>
      </c>
      <c r="AM35" s="808">
        <v>1.0142323288901014E-2</v>
      </c>
      <c r="AN35" s="720">
        <f t="shared" si="13"/>
        <v>0.15818610930585569</v>
      </c>
      <c r="AO35" s="720">
        <v>9.930662259313273</v>
      </c>
      <c r="AP35" s="720">
        <v>25.756754167357098</v>
      </c>
      <c r="AQ35" s="720">
        <f t="shared" si="25"/>
        <v>1.3772211957754108E-2</v>
      </c>
      <c r="AR35" s="813">
        <v>7899.6103199999998</v>
      </c>
      <c r="AS35" s="720">
        <f t="shared" si="26"/>
        <v>4.5322815233648374E-2</v>
      </c>
      <c r="AT35" s="720">
        <v>1.0811150714837413E-2</v>
      </c>
      <c r="AU35" s="720">
        <v>1.134163932362294E-2</v>
      </c>
      <c r="AV35" s="808">
        <v>1.0861229784098153E-2</v>
      </c>
      <c r="AW35" s="720">
        <v>1.2308795411089866E-2</v>
      </c>
      <c r="BA35" s="723">
        <v>429.79599999999999</v>
      </c>
      <c r="BB35" s="723">
        <v>23.43</v>
      </c>
      <c r="BC35" s="895">
        <f t="shared" si="15"/>
        <v>10070.120279999999</v>
      </c>
      <c r="BD35" s="814">
        <f>+BC35/$BC$112</f>
        <v>1.5929059429798251E-2</v>
      </c>
    </row>
    <row r="36" spans="2:56">
      <c r="B36" s="728" t="s">
        <v>133</v>
      </c>
      <c r="C36" s="807">
        <f>D36*M36</f>
        <v>-0.10233621356057458</v>
      </c>
      <c r="D36" s="805">
        <f>((E36/L36)-1)*100</f>
        <v>-17.172284644194747</v>
      </c>
      <c r="E36" s="808">
        <v>98.064994660049877</v>
      </c>
      <c r="F36" s="720">
        <f t="shared" si="4"/>
        <v>5.7315661719654337E-3</v>
      </c>
      <c r="G36" s="808">
        <v>4433.5705800000005</v>
      </c>
      <c r="H36" s="720">
        <f t="shared" si="5"/>
        <v>0.11704060439742414</v>
      </c>
      <c r="I36" s="809">
        <v>8.4605155431412404E-3</v>
      </c>
      <c r="J36" s="807">
        <f t="shared" si="6"/>
        <v>0.11605211261008644</v>
      </c>
      <c r="K36" s="805">
        <f t="shared" si="7"/>
        <v>17.598473617153211</v>
      </c>
      <c r="L36" s="808">
        <v>118.39635348963742</v>
      </c>
      <c r="M36" s="720">
        <f>N36/N$112</f>
        <v>5.9593825563082721E-3</v>
      </c>
      <c r="N36" s="808">
        <v>5393.2932000000001</v>
      </c>
      <c r="O36" s="720">
        <f t="shared" si="9"/>
        <v>0.1085800888542829</v>
      </c>
      <c r="P36" s="809">
        <v>6.9112185682736532E-3</v>
      </c>
      <c r="Q36" s="720">
        <v>6.1257845391013742E-3</v>
      </c>
      <c r="R36" s="720">
        <v>6.829528438754718E-3</v>
      </c>
      <c r="S36" s="720">
        <v>6.8472550774097678E-3</v>
      </c>
      <c r="T36" s="807">
        <f t="shared" si="10"/>
        <v>2.9620503416004237E-2</v>
      </c>
      <c r="U36" s="724">
        <f t="shared" si="11"/>
        <v>4.5557584842112586</v>
      </c>
      <c r="V36" s="810">
        <v>100.67847808559297</v>
      </c>
      <c r="W36" s="720">
        <f t="shared" si="22"/>
        <v>6.5944419462021179E-3</v>
      </c>
      <c r="X36" s="808">
        <v>4693.3880399999998</v>
      </c>
      <c r="Y36" s="720">
        <f t="shared" si="12"/>
        <v>8.1866302230743385E-2</v>
      </c>
      <c r="Z36" s="720">
        <v>7.2747974213402521E-3</v>
      </c>
      <c r="AA36" s="720">
        <v>6.7794176650302811E-3</v>
      </c>
      <c r="AB36" s="808">
        <v>6.7866975268251637E-3</v>
      </c>
      <c r="AC36" s="720">
        <v>7.0448455984059534E-3</v>
      </c>
      <c r="AD36" s="811">
        <f t="shared" si="20"/>
        <v>9.7479447565243349E-2</v>
      </c>
      <c r="AE36" s="724">
        <f>((AF36/AP36)-1)*100</f>
        <v>16.373369271237515</v>
      </c>
      <c r="AF36" s="812">
        <v>96.291662501588775</v>
      </c>
      <c r="AG36" s="720">
        <f t="shared" si="23"/>
        <v>6.501772101980172E-3</v>
      </c>
      <c r="AH36" s="808">
        <v>4601.0723200000002</v>
      </c>
      <c r="AI36" s="720">
        <f t="shared" si="24"/>
        <v>5.3980544019141735E-2</v>
      </c>
      <c r="AJ36" s="720">
        <v>6.7628985423740465E-3</v>
      </c>
      <c r="AK36" s="720">
        <v>6.5096033568289137E-3</v>
      </c>
      <c r="AL36" s="720">
        <v>6.6634391521067111E-3</v>
      </c>
      <c r="AM36" s="808">
        <v>6.8102566355203896E-3</v>
      </c>
      <c r="AN36" s="720">
        <f t="shared" si="13"/>
        <v>0.13126238587975278</v>
      </c>
      <c r="AO36" s="720">
        <v>25.00940715677249</v>
      </c>
      <c r="AP36" s="720">
        <v>82.743726597067706</v>
      </c>
      <c r="AQ36" s="720">
        <f t="shared" si="25"/>
        <v>5.953536254537534E-3</v>
      </c>
      <c r="AR36" s="813">
        <v>3414.8920000000003</v>
      </c>
      <c r="AS36" s="720">
        <f t="shared" si="26"/>
        <v>2.7234346332311671E-2</v>
      </c>
      <c r="AT36" s="720">
        <v>6.9664474782092653E-3</v>
      </c>
      <c r="AU36" s="720">
        <v>7.1184491230465094E-3</v>
      </c>
      <c r="AV36" s="808">
        <v>6.3120720664895987E-3</v>
      </c>
      <c r="AW36" s="720">
        <v>6.8373776645662956E-3</v>
      </c>
      <c r="BA36" s="723">
        <v>50.128999999999998</v>
      </c>
      <c r="BB36" s="723">
        <v>66.19</v>
      </c>
      <c r="BC36" s="895">
        <f t="shared" si="15"/>
        <v>3318.0385099999999</v>
      </c>
      <c r="BD36" s="814">
        <f>+BC36/$BC$112</f>
        <v>5.2485204889875696E-3</v>
      </c>
    </row>
    <row r="37" spans="2:56">
      <c r="B37" s="723" t="s">
        <v>263</v>
      </c>
      <c r="C37" s="807"/>
      <c r="D37" s="805"/>
      <c r="E37" s="808" t="e">
        <v>#DIV/0!</v>
      </c>
      <c r="F37" s="720">
        <f t="shared" si="4"/>
        <v>0</v>
      </c>
      <c r="G37" s="808">
        <v>0</v>
      </c>
      <c r="H37" s="720" t="e">
        <f t="shared" si="5"/>
        <v>#DIV/0!</v>
      </c>
      <c r="I37" s="809" t="e">
        <v>#DIV/0!</v>
      </c>
      <c r="J37" s="807" t="e">
        <f t="shared" si="6"/>
        <v>#DIV/0!</v>
      </c>
      <c r="K37" s="805" t="e">
        <f t="shared" si="7"/>
        <v>#DIV/0!</v>
      </c>
      <c r="L37" s="808" t="e">
        <v>#DIV/0!</v>
      </c>
      <c r="N37" s="808">
        <v>0</v>
      </c>
      <c r="O37" s="720" t="e">
        <f t="shared" si="9"/>
        <v>#DIV/0!</v>
      </c>
      <c r="P37" s="809" t="e">
        <v>#DIV/0!</v>
      </c>
      <c r="Q37" s="720" t="e">
        <v>#DIV/0!</v>
      </c>
      <c r="R37" s="720" t="e">
        <v>#DIV/0!</v>
      </c>
      <c r="S37" s="720" t="e">
        <v>#DIV/0!</v>
      </c>
      <c r="T37" s="807" t="e">
        <f t="shared" si="10"/>
        <v>#DIV/0!</v>
      </c>
      <c r="U37" s="724" t="e">
        <f t="shared" si="11"/>
        <v>#DIV/0!</v>
      </c>
      <c r="V37" s="810" t="e">
        <v>#DIV/0!</v>
      </c>
      <c r="W37" s="720">
        <f t="shared" si="22"/>
        <v>0</v>
      </c>
      <c r="X37" s="808">
        <v>0</v>
      </c>
      <c r="Y37" s="720" t="e">
        <f t="shared" si="12"/>
        <v>#DIV/0!</v>
      </c>
      <c r="Z37" s="720" t="e">
        <v>#DIV/0!</v>
      </c>
      <c r="AA37" s="720" t="e">
        <v>#DIV/0!</v>
      </c>
      <c r="AB37" s="808" t="e">
        <v>#DIV/0!</v>
      </c>
      <c r="AC37" s="720" t="e">
        <v>#DIV/0!</v>
      </c>
      <c r="AD37" s="811" t="e">
        <f t="shared" si="20"/>
        <v>#DIV/0!</v>
      </c>
      <c r="AE37" s="724" t="e">
        <f>((AF37/AP37)-1)*100</f>
        <v>#DIV/0!</v>
      </c>
      <c r="AF37" s="812" t="e">
        <v>#DIV/0!</v>
      </c>
      <c r="AG37" s="720">
        <f t="shared" si="23"/>
        <v>0</v>
      </c>
      <c r="AH37" s="808">
        <v>0</v>
      </c>
      <c r="AI37" s="720" t="e">
        <f t="shared" si="24"/>
        <v>#DIV/0!</v>
      </c>
      <c r="AJ37" s="720" t="e">
        <v>#DIV/0!</v>
      </c>
      <c r="AK37" s="720" t="e">
        <v>#DIV/0!</v>
      </c>
      <c r="AL37" s="720" t="e">
        <v>#DIV/0!</v>
      </c>
      <c r="AM37" s="808" t="e">
        <v>#DIV/0!</v>
      </c>
      <c r="AN37" s="720" t="e">
        <f t="shared" si="13"/>
        <v>#DIV/0!</v>
      </c>
      <c r="AO37" s="720" t="e">
        <v>#DIV/0!</v>
      </c>
      <c r="AP37" s="720" t="e">
        <v>#DIV/0!</v>
      </c>
      <c r="AQ37" s="720">
        <f t="shared" si="25"/>
        <v>0</v>
      </c>
      <c r="AR37" s="813">
        <v>0</v>
      </c>
      <c r="AS37" s="720" t="e">
        <f t="shared" si="26"/>
        <v>#DIV/0!</v>
      </c>
      <c r="AT37" s="720" t="e">
        <v>#DIV/0!</v>
      </c>
      <c r="AU37" s="720" t="e">
        <v>#DIV/0!</v>
      </c>
      <c r="AV37" s="808" t="e">
        <v>#DIV/0!</v>
      </c>
      <c r="AW37" s="720" t="e">
        <v>#DIV/0!</v>
      </c>
      <c r="BA37" s="723"/>
      <c r="BB37" s="723"/>
      <c r="BC37" s="895">
        <f t="shared" si="15"/>
        <v>0</v>
      </c>
      <c r="BD37" s="814"/>
    </row>
    <row r="38" spans="2:56">
      <c r="B38" s="723" t="s">
        <v>264</v>
      </c>
      <c r="C38" s="807"/>
      <c r="D38" s="805"/>
      <c r="E38" s="808" t="e">
        <v>#DIV/0!</v>
      </c>
      <c r="G38" s="808">
        <v>0</v>
      </c>
      <c r="H38" s="720" t="e">
        <f t="shared" si="5"/>
        <v>#DIV/0!</v>
      </c>
      <c r="I38" s="809" t="e">
        <v>#DIV/0!</v>
      </c>
      <c r="K38" s="805"/>
      <c r="L38" s="808">
        <v>0</v>
      </c>
      <c r="N38" s="808">
        <v>0</v>
      </c>
      <c r="P38" s="809" t="e">
        <v>#VALUE!</v>
      </c>
      <c r="Q38" s="720" t="e">
        <v>#VALUE!</v>
      </c>
      <c r="R38" s="720" t="e">
        <v>#VALUE!</v>
      </c>
      <c r="S38" s="720" t="e">
        <v>#VALUE!</v>
      </c>
      <c r="T38" s="807" t="s">
        <v>103</v>
      </c>
      <c r="U38" s="724" t="s">
        <v>103</v>
      </c>
      <c r="V38" s="810" t="e">
        <v>#VALUE!</v>
      </c>
      <c r="W38" s="720">
        <f t="shared" si="22"/>
        <v>0</v>
      </c>
      <c r="X38" s="808">
        <v>0</v>
      </c>
      <c r="Y38" s="720" t="s">
        <v>103</v>
      </c>
      <c r="Z38" s="720" t="e">
        <v>#DIV/0!</v>
      </c>
      <c r="AA38" s="720" t="e">
        <v>#DIV/0!</v>
      </c>
      <c r="AB38" s="808" t="e">
        <v>#DIV/0!</v>
      </c>
      <c r="AC38" s="720" t="e">
        <v>#DIV/0!</v>
      </c>
      <c r="AD38" s="811"/>
      <c r="AE38" s="724"/>
      <c r="AF38" s="812" t="e">
        <v>#DIV/0!</v>
      </c>
      <c r="AG38" s="720">
        <f t="shared" si="23"/>
        <v>0</v>
      </c>
      <c r="AH38" s="808">
        <v>0</v>
      </c>
      <c r="AI38" s="720" t="e">
        <f t="shared" si="24"/>
        <v>#DIV/0!</v>
      </c>
      <c r="AJ38" s="720" t="e">
        <v>#DIV/0!</v>
      </c>
      <c r="AK38" s="720" t="e">
        <v>#DIV/0!</v>
      </c>
      <c r="AL38" s="720" t="e">
        <v>#DIV/0!</v>
      </c>
      <c r="AM38" s="808" t="e">
        <v>#DIV/0!</v>
      </c>
      <c r="AN38" s="720" t="e">
        <f t="shared" si="13"/>
        <v>#DIV/0!</v>
      </c>
      <c r="AO38" s="720" t="e">
        <v>#DIV/0!</v>
      </c>
      <c r="AP38" s="720" t="e">
        <v>#DIV/0!</v>
      </c>
      <c r="AQ38" s="720">
        <f t="shared" si="25"/>
        <v>0</v>
      </c>
      <c r="AR38" s="813">
        <v>0</v>
      </c>
      <c r="AS38" s="720" t="e">
        <f t="shared" si="26"/>
        <v>#DIV/0!</v>
      </c>
      <c r="AT38" s="720" t="e">
        <v>#DIV/0!</v>
      </c>
      <c r="AU38" s="720" t="e">
        <v>#DIV/0!</v>
      </c>
      <c r="AV38" s="808" t="e">
        <v>#DIV/0!</v>
      </c>
      <c r="AW38" s="720" t="e">
        <v>#DIV/0!</v>
      </c>
      <c r="BA38" s="723"/>
      <c r="BB38" s="723"/>
      <c r="BC38" s="895">
        <f t="shared" si="15"/>
        <v>0</v>
      </c>
      <c r="BD38" s="814"/>
    </row>
    <row r="39" spans="2:56">
      <c r="B39" s="728" t="s">
        <v>679</v>
      </c>
      <c r="C39" s="807">
        <f>D39*M39</f>
        <v>-0.24717010366530975</v>
      </c>
      <c r="D39" s="831">
        <f>((E39/L39)-1)*100</f>
        <v>-14.648947611000162</v>
      </c>
      <c r="E39" s="808">
        <v>62.66439486824882</v>
      </c>
      <c r="F39" s="720">
        <f t="shared" si="4"/>
        <v>1.7044431692598415E-2</v>
      </c>
      <c r="G39" s="808">
        <v>13184.474999999999</v>
      </c>
      <c r="H39" s="720">
        <f t="shared" si="5"/>
        <v>0.13831779960488313</v>
      </c>
      <c r="I39" s="809">
        <v>1.0347412272531114E-2</v>
      </c>
      <c r="J39" s="807">
        <f t="shared" si="6"/>
        <v>0.39096915730596976</v>
      </c>
      <c r="K39" s="805">
        <f t="shared" si="7"/>
        <v>18.248451121625699</v>
      </c>
      <c r="L39" s="808">
        <v>73.41959251146281</v>
      </c>
      <c r="M39" s="720">
        <f>N39/N$112</f>
        <v>1.6872891502438387E-2</v>
      </c>
      <c r="N39" s="808">
        <v>15270.114</v>
      </c>
      <c r="O39" s="720">
        <f t="shared" si="9"/>
        <v>0.12797038733235203</v>
      </c>
      <c r="P39" s="809">
        <v>8.6839705099906652E-3</v>
      </c>
      <c r="Q39" s="720">
        <v>7.9310964121820197E-3</v>
      </c>
      <c r="R39" s="720">
        <v>8.7075262217704789E-3</v>
      </c>
      <c r="S39" s="720">
        <v>8.9492986286116051E-3</v>
      </c>
      <c r="T39" s="807">
        <f t="shared" si="10"/>
        <v>0.22381060674570261</v>
      </c>
      <c r="U39" s="724">
        <f t="shared" si="11"/>
        <v>10.942936637163614</v>
      </c>
      <c r="V39" s="810">
        <v>62.089263592929697</v>
      </c>
      <c r="W39" s="720">
        <f t="shared" si="22"/>
        <v>2.1424785846215946E-2</v>
      </c>
      <c r="X39" s="808">
        <v>15248.422000000002</v>
      </c>
      <c r="Y39" s="720">
        <f t="shared" si="12"/>
        <v>9.3698495559797257E-2</v>
      </c>
      <c r="Z39" s="720">
        <v>9.0751469192227006E-3</v>
      </c>
      <c r="AA39" s="720">
        <v>9.0091502415071186E-3</v>
      </c>
      <c r="AB39" s="808">
        <v>7.6082348251039255E-3</v>
      </c>
      <c r="AC39" s="720">
        <v>8.0619434880087829E-3</v>
      </c>
      <c r="AD39" s="811">
        <f t="shared" ref="AD39:AD51" si="27">AE39*AQ39</f>
        <v>-3.5643466155961111E-2</v>
      </c>
      <c r="AE39" s="724">
        <f>((AF39/AP39)-1)*100</f>
        <v>-3.403931155421791</v>
      </c>
      <c r="AF39" s="812">
        <v>55.965044260538406</v>
      </c>
      <c r="AG39" s="720">
        <f t="shared" si="23"/>
        <v>2.0452517835624958E-2</v>
      </c>
      <c r="AH39" s="808">
        <v>14473.517713599998</v>
      </c>
      <c r="AI39" s="720">
        <f t="shared" si="24"/>
        <v>5.994402008595473E-2</v>
      </c>
      <c r="AJ39" s="720">
        <v>7.9695039104207121E-3</v>
      </c>
      <c r="AK39" s="720">
        <v>8.4157961294042717E-3</v>
      </c>
      <c r="AL39" s="720">
        <v>7.8139926622697847E-3</v>
      </c>
      <c r="AM39" s="808">
        <v>7.5781578736700932E-3</v>
      </c>
      <c r="AN39" s="720">
        <f t="shared" si="13"/>
        <v>0.34387218655545687</v>
      </c>
      <c r="AO39" s="720">
        <v>40.487842366389891</v>
      </c>
      <c r="AP39" s="720">
        <v>57.937186191899194</v>
      </c>
      <c r="AQ39" s="720">
        <f t="shared" si="25"/>
        <v>1.0471265289601435E-2</v>
      </c>
      <c r="AR39" s="813">
        <v>6006.2185797699995</v>
      </c>
      <c r="AS39" s="720">
        <f t="shared" si="26"/>
        <v>2.8166569510189868E-2</v>
      </c>
      <c r="AT39" s="720">
        <v>6.8870667444715684E-3</v>
      </c>
      <c r="AU39" s="720">
        <v>6.7930371267455438E-3</v>
      </c>
      <c r="AV39" s="808">
        <v>6.826719620024963E-3</v>
      </c>
      <c r="AW39" s="720">
        <v>7.6597460189477933E-3</v>
      </c>
      <c r="BA39" s="723">
        <v>130.19619299999999</v>
      </c>
      <c r="BB39" s="723">
        <v>41.24</v>
      </c>
      <c r="BC39" s="895">
        <f t="shared" si="15"/>
        <v>5369.2909993200001</v>
      </c>
      <c r="BD39" s="814">
        <f>+BC39/$BC$112</f>
        <v>8.4932208400641997E-3</v>
      </c>
    </row>
    <row r="40" spans="2:56">
      <c r="B40" s="723" t="s">
        <v>134</v>
      </c>
      <c r="C40" s="807"/>
      <c r="D40" s="805"/>
      <c r="E40" s="808" t="e">
        <v>#DIV/0!</v>
      </c>
      <c r="F40" s="720">
        <f t="shared" si="4"/>
        <v>0</v>
      </c>
      <c r="G40" s="808">
        <v>0</v>
      </c>
      <c r="H40" s="720" t="e">
        <f t="shared" si="5"/>
        <v>#DIV/0!</v>
      </c>
      <c r="I40" s="809" t="e">
        <v>#DIV/0!</v>
      </c>
      <c r="J40" s="807" t="e">
        <f t="shared" si="6"/>
        <v>#DIV/0!</v>
      </c>
      <c r="K40" s="805" t="e">
        <f t="shared" si="7"/>
        <v>#DIV/0!</v>
      </c>
      <c r="L40" s="808" t="e">
        <v>#DIV/0!</v>
      </c>
      <c r="N40" s="808">
        <v>0</v>
      </c>
      <c r="O40" s="720" t="e">
        <f t="shared" si="9"/>
        <v>#DIV/0!</v>
      </c>
      <c r="P40" s="809" t="e">
        <v>#DIV/0!</v>
      </c>
      <c r="Q40" s="720" t="e">
        <v>#DIV/0!</v>
      </c>
      <c r="R40" s="720" t="e">
        <v>#DIV/0!</v>
      </c>
      <c r="S40" s="720" t="e">
        <v>#DIV/0!</v>
      </c>
      <c r="T40" s="807" t="e">
        <f t="shared" si="10"/>
        <v>#DIV/0!</v>
      </c>
      <c r="U40" s="724" t="e">
        <f t="shared" si="11"/>
        <v>#DIV/0!</v>
      </c>
      <c r="V40" s="810" t="e">
        <v>#DIV/0!</v>
      </c>
      <c r="W40" s="720">
        <f t="shared" si="22"/>
        <v>0</v>
      </c>
      <c r="X40" s="808">
        <v>0</v>
      </c>
      <c r="Y40" s="720" t="e">
        <f t="shared" si="12"/>
        <v>#DIV/0!</v>
      </c>
      <c r="Z40" s="720" t="e">
        <v>#DIV/0!</v>
      </c>
      <c r="AA40" s="720" t="e">
        <v>#DIV/0!</v>
      </c>
      <c r="AB40" s="808" t="e">
        <v>#DIV/0!</v>
      </c>
      <c r="AC40" s="720">
        <v>9.3012188651361589E-3</v>
      </c>
      <c r="AD40" s="811">
        <f t="shared" si="27"/>
        <v>0.16320989992024706</v>
      </c>
      <c r="AE40" s="724">
        <f>((AF40/AP40)-1)*100</f>
        <v>22.230150101669132</v>
      </c>
      <c r="AF40" s="812">
        <v>34.665121842106011</v>
      </c>
      <c r="AG40" s="720">
        <f t="shared" si="23"/>
        <v>9.8223741420405374E-3</v>
      </c>
      <c r="AH40" s="808">
        <v>6950.9440000000004</v>
      </c>
      <c r="AI40" s="720">
        <f t="shared" si="24"/>
        <v>7.5220900809739796E-2</v>
      </c>
      <c r="AJ40" s="720">
        <v>9.093825856456357E-3</v>
      </c>
      <c r="AK40" s="720">
        <v>9.589041557224955E-3</v>
      </c>
      <c r="AL40" s="720">
        <v>9.830754836200847E-3</v>
      </c>
      <c r="AM40" s="808">
        <v>9.7590948162048115E-3</v>
      </c>
      <c r="AN40" s="720">
        <f t="shared" si="13"/>
        <v>-1.2042348746507561E-3</v>
      </c>
      <c r="AO40" s="720">
        <v>-0.17411888282679033</v>
      </c>
      <c r="AP40" s="720">
        <v>28.360532825388908</v>
      </c>
      <c r="AQ40" s="720">
        <f t="shared" si="25"/>
        <v>7.3418262663009449E-3</v>
      </c>
      <c r="AR40" s="813">
        <v>4211.2019999999993</v>
      </c>
      <c r="AS40" s="720">
        <f t="shared" si="26"/>
        <v>3.6948183743652829E-2</v>
      </c>
      <c r="AT40" s="720">
        <v>1.0322561105140435E-2</v>
      </c>
      <c r="AU40" s="720">
        <v>9.7809355210093304E-3</v>
      </c>
      <c r="AV40" s="808">
        <v>8.7051522337821315E-3</v>
      </c>
      <c r="AW40" s="720">
        <v>8.1395348837209301E-3</v>
      </c>
      <c r="BA40" s="723">
        <v>153.9</v>
      </c>
      <c r="BB40" s="723">
        <v>28.41</v>
      </c>
      <c r="BC40" s="895">
        <f t="shared" si="15"/>
        <v>4372.299</v>
      </c>
      <c r="BD40" s="814">
        <f>+BC40/$BC$112</f>
        <v>6.9161647209091204E-3</v>
      </c>
    </row>
    <row r="41" spans="2:56">
      <c r="B41" s="723" t="s">
        <v>265</v>
      </c>
      <c r="C41" s="807"/>
      <c r="D41" s="805"/>
      <c r="E41" s="808" t="e">
        <v>#DIV/0!</v>
      </c>
      <c r="G41" s="808">
        <v>0</v>
      </c>
      <c r="H41" s="720" t="e">
        <f t="shared" si="5"/>
        <v>#DIV/0!</v>
      </c>
      <c r="I41" s="809" t="e">
        <v>#DIV/0!</v>
      </c>
      <c r="J41" s="807"/>
      <c r="K41" s="805"/>
      <c r="L41" s="808">
        <v>0</v>
      </c>
      <c r="N41" s="808">
        <v>0</v>
      </c>
      <c r="P41" s="809" t="e">
        <v>#DIV/0!</v>
      </c>
      <c r="Q41" s="720" t="e">
        <v>#DIV/0!</v>
      </c>
      <c r="R41" s="720" t="e">
        <v>#DIV/0!</v>
      </c>
      <c r="S41" s="720" t="e">
        <v>#DIV/0!</v>
      </c>
      <c r="T41" s="807"/>
      <c r="U41" s="724"/>
      <c r="V41" s="810">
        <v>0</v>
      </c>
      <c r="X41" s="808">
        <v>0</v>
      </c>
      <c r="Z41" s="720" t="e">
        <v>#DIV/0!</v>
      </c>
      <c r="AA41" s="720" t="e">
        <v>#DIV/0!</v>
      </c>
      <c r="AB41" s="808" t="e">
        <v>#DIV/0!</v>
      </c>
      <c r="AC41" s="720" t="e">
        <v>#DIV/0!</v>
      </c>
      <c r="AD41" s="811">
        <f t="shared" si="27"/>
        <v>0</v>
      </c>
      <c r="AE41" s="724"/>
      <c r="AF41" s="812">
        <v>0</v>
      </c>
      <c r="AH41" s="808">
        <v>0</v>
      </c>
      <c r="AJ41" s="720" t="e">
        <v>#DIV/0!</v>
      </c>
      <c r="AK41" s="720" t="e">
        <v>#DIV/0!</v>
      </c>
      <c r="AL41" s="720" t="e">
        <v>#DIV/0!</v>
      </c>
      <c r="AM41" s="808" t="e">
        <v>#DIV/0!</v>
      </c>
      <c r="AN41" s="720" t="e">
        <f t="shared" si="13"/>
        <v>#DIV/0!</v>
      </c>
      <c r="AO41" s="720" t="e">
        <v>#DIV/0!</v>
      </c>
      <c r="AP41" s="720">
        <v>0</v>
      </c>
      <c r="AR41" s="813">
        <v>0</v>
      </c>
      <c r="AT41" s="720" t="e">
        <v>#DIV/0!</v>
      </c>
      <c r="AU41" s="720" t="e">
        <v>#DIV/0!</v>
      </c>
      <c r="AV41" s="808" t="e">
        <v>#DIV/0!</v>
      </c>
      <c r="AW41" s="720" t="e">
        <v>#DIV/0!</v>
      </c>
      <c r="BA41" s="723"/>
      <c r="BB41" s="723"/>
      <c r="BC41" s="895">
        <f t="shared" si="15"/>
        <v>0</v>
      </c>
      <c r="BD41" s="814"/>
    </row>
    <row r="42" spans="2:56">
      <c r="B42" s="723" t="s">
        <v>266</v>
      </c>
      <c r="C42" s="807"/>
      <c r="D42" s="805"/>
      <c r="E42" s="808" t="e">
        <v>#DIV/0!</v>
      </c>
      <c r="F42" s="720">
        <f t="shared" si="4"/>
        <v>0</v>
      </c>
      <c r="G42" s="808">
        <v>0</v>
      </c>
      <c r="H42" s="720" t="e">
        <f t="shared" si="5"/>
        <v>#DIV/0!</v>
      </c>
      <c r="I42" s="809" t="e">
        <v>#DIV/0!</v>
      </c>
      <c r="J42" s="807" t="e">
        <f t="shared" si="6"/>
        <v>#DIV/0!</v>
      </c>
      <c r="K42" s="805" t="e">
        <f t="shared" si="7"/>
        <v>#DIV/0!</v>
      </c>
      <c r="L42" s="808" t="e">
        <v>#DIV/0!</v>
      </c>
      <c r="N42" s="808">
        <v>0</v>
      </c>
      <c r="O42" s="720" t="e">
        <f t="shared" si="9"/>
        <v>#DIV/0!</v>
      </c>
      <c r="P42" s="809" t="e">
        <v>#DIV/0!</v>
      </c>
      <c r="Q42" s="720" t="e">
        <v>#DIV/0!</v>
      </c>
      <c r="R42" s="720" t="e">
        <v>#DIV/0!</v>
      </c>
      <c r="S42" s="720" t="e">
        <v>#DIV/0!</v>
      </c>
      <c r="T42" s="807" t="e">
        <f t="shared" si="10"/>
        <v>#DIV/0!</v>
      </c>
      <c r="U42" s="724" t="e">
        <f t="shared" si="11"/>
        <v>#DIV/0!</v>
      </c>
      <c r="V42" s="810" t="e">
        <v>#DIV/0!</v>
      </c>
      <c r="W42" s="720">
        <f>X42/$X$112</f>
        <v>0</v>
      </c>
      <c r="X42" s="808">
        <v>0</v>
      </c>
      <c r="Y42" s="720" t="e">
        <f t="shared" si="12"/>
        <v>#DIV/0!</v>
      </c>
      <c r="Z42" s="720" t="e">
        <v>#DIV/0!</v>
      </c>
      <c r="AA42" s="720" t="e">
        <v>#DIV/0!</v>
      </c>
      <c r="AB42" s="808" t="e">
        <v>#DIV/0!</v>
      </c>
      <c r="AC42" s="720" t="e">
        <v>#DIV/0!</v>
      </c>
      <c r="AD42" s="811" t="e">
        <f t="shared" si="27"/>
        <v>#DIV/0!</v>
      </c>
      <c r="AE42" s="724" t="e">
        <f t="shared" ref="AE42:AE48" si="28">((AF42/AP42)-1)*100</f>
        <v>#DIV/0!</v>
      </c>
      <c r="AF42" s="812" t="e">
        <v>#DIV/0!</v>
      </c>
      <c r="AG42" s="720">
        <f t="shared" ref="AG42:AG48" si="29">AH42/$AH$112</f>
        <v>0</v>
      </c>
      <c r="AH42" s="808">
        <v>0</v>
      </c>
      <c r="AI42" s="720" t="e">
        <f t="shared" ref="AI42:AI48" si="30">AJ42+AK42+AL42+AM42+AS42</f>
        <v>#DIV/0!</v>
      </c>
      <c r="AJ42" s="720" t="e">
        <v>#DIV/0!</v>
      </c>
      <c r="AK42" s="720" t="e">
        <v>#DIV/0!</v>
      </c>
      <c r="AL42" s="720" t="e">
        <v>#DIV/0!</v>
      </c>
      <c r="AM42" s="808" t="e">
        <v>#DIV/0!</v>
      </c>
      <c r="AN42" s="720" t="e">
        <f t="shared" si="13"/>
        <v>#DIV/0!</v>
      </c>
      <c r="AO42" s="720" t="e">
        <v>#DIV/0!</v>
      </c>
      <c r="AP42" s="720" t="e">
        <v>#DIV/0!</v>
      </c>
      <c r="AQ42" s="720">
        <f t="shared" ref="AQ42:AQ48" si="31">AR42/$AR$112</f>
        <v>0</v>
      </c>
      <c r="AR42" s="813">
        <v>0</v>
      </c>
      <c r="AS42" s="720" t="e">
        <f t="shared" ref="AS42:AS48" si="32">AT42+AU42+AV42+AW42</f>
        <v>#DIV/0!</v>
      </c>
      <c r="AT42" s="720" t="e">
        <v>#DIV/0!</v>
      </c>
      <c r="AU42" s="720" t="e">
        <v>#DIV/0!</v>
      </c>
      <c r="AV42" s="808" t="e">
        <v>#DIV/0!</v>
      </c>
      <c r="AW42" s="720" t="e">
        <v>#DIV/0!</v>
      </c>
      <c r="BA42" s="723"/>
      <c r="BB42" s="723"/>
      <c r="BC42" s="895">
        <f t="shared" si="15"/>
        <v>0</v>
      </c>
      <c r="BD42" s="814"/>
    </row>
    <row r="43" spans="2:56">
      <c r="B43" s="723" t="s">
        <v>135</v>
      </c>
      <c r="C43" s="807"/>
      <c r="D43" s="805"/>
      <c r="E43" s="808" t="e">
        <v>#DIV/0!</v>
      </c>
      <c r="F43" s="720">
        <f t="shared" si="4"/>
        <v>0</v>
      </c>
      <c r="G43" s="808">
        <v>0</v>
      </c>
      <c r="H43" s="720" t="e">
        <f t="shared" si="5"/>
        <v>#DIV/0!</v>
      </c>
      <c r="I43" s="809" t="e">
        <v>#DIV/0!</v>
      </c>
      <c r="J43" s="807" t="e">
        <f t="shared" si="6"/>
        <v>#DIV/0!</v>
      </c>
      <c r="K43" s="805" t="e">
        <f t="shared" si="7"/>
        <v>#DIV/0!</v>
      </c>
      <c r="L43" s="808" t="e">
        <v>#DIV/0!</v>
      </c>
      <c r="N43" s="808">
        <v>0</v>
      </c>
      <c r="O43" s="720" t="e">
        <f t="shared" si="9"/>
        <v>#DIV/0!</v>
      </c>
      <c r="P43" s="809" t="e">
        <v>#DIV/0!</v>
      </c>
      <c r="Q43" s="720" t="e">
        <v>#DIV/0!</v>
      </c>
      <c r="R43" s="720" t="e">
        <v>#DIV/0!</v>
      </c>
      <c r="S43" s="720" t="e">
        <v>#DIV/0!</v>
      </c>
      <c r="T43" s="807" t="e">
        <f t="shared" si="10"/>
        <v>#DIV/0!</v>
      </c>
      <c r="U43" s="724" t="e">
        <f t="shared" si="11"/>
        <v>#DIV/0!</v>
      </c>
      <c r="V43" s="810" t="e">
        <v>#DIV/0!</v>
      </c>
      <c r="W43" s="720">
        <f>X43/$X$112</f>
        <v>0</v>
      </c>
      <c r="X43" s="808">
        <v>0</v>
      </c>
      <c r="Y43" s="720" t="e">
        <f t="shared" si="12"/>
        <v>#DIV/0!</v>
      </c>
      <c r="Z43" s="720" t="e">
        <v>#DIV/0!</v>
      </c>
      <c r="AA43" s="720" t="e">
        <v>#DIV/0!</v>
      </c>
      <c r="AB43" s="808" t="e">
        <v>#DIV/0!</v>
      </c>
      <c r="AC43" s="720" t="e">
        <v>#DIV/0!</v>
      </c>
      <c r="AD43" s="811" t="e">
        <f t="shared" si="27"/>
        <v>#DIV/0!</v>
      </c>
      <c r="AE43" s="724" t="e">
        <f t="shared" si="28"/>
        <v>#DIV/0!</v>
      </c>
      <c r="AF43" s="812" t="e">
        <v>#DIV/0!</v>
      </c>
      <c r="AG43" s="720">
        <f t="shared" si="29"/>
        <v>0</v>
      </c>
      <c r="AH43" s="808">
        <v>0</v>
      </c>
      <c r="AI43" s="720" t="e">
        <f t="shared" si="30"/>
        <v>#DIV/0!</v>
      </c>
      <c r="AJ43" s="720" t="e">
        <v>#DIV/0!</v>
      </c>
      <c r="AK43" s="720" t="e">
        <v>#DIV/0!</v>
      </c>
      <c r="AL43" s="720" t="e">
        <v>#DIV/0!</v>
      </c>
      <c r="AM43" s="808" t="e">
        <v>#DIV/0!</v>
      </c>
      <c r="AN43" s="720" t="e">
        <f t="shared" si="13"/>
        <v>#DIV/0!</v>
      </c>
      <c r="AO43" s="720" t="e">
        <v>#DIV/0!</v>
      </c>
      <c r="AP43" s="720" t="e">
        <v>#DIV/0!</v>
      </c>
      <c r="AQ43" s="720">
        <f t="shared" si="31"/>
        <v>0</v>
      </c>
      <c r="AR43" s="813">
        <v>0</v>
      </c>
      <c r="AS43" s="720" t="e">
        <f t="shared" si="32"/>
        <v>#DIV/0!</v>
      </c>
      <c r="AT43" s="720" t="e">
        <v>#DIV/0!</v>
      </c>
      <c r="AU43" s="720" t="e">
        <v>#DIV/0!</v>
      </c>
      <c r="AV43" s="808" t="e">
        <v>#DIV/0!</v>
      </c>
      <c r="AW43" s="720" t="e">
        <v>#DIV/0!</v>
      </c>
      <c r="BA43" s="723"/>
      <c r="BB43" s="723"/>
      <c r="BC43" s="895">
        <f t="shared" si="15"/>
        <v>0</v>
      </c>
      <c r="BD43" s="814"/>
    </row>
    <row r="44" spans="2:56">
      <c r="B44" s="723" t="s">
        <v>267</v>
      </c>
      <c r="C44" s="807"/>
      <c r="D44" s="805"/>
      <c r="E44" s="808" t="e">
        <v>#DIV/0!</v>
      </c>
      <c r="G44" s="808">
        <v>0</v>
      </c>
      <c r="H44" s="720" t="e">
        <f t="shared" si="5"/>
        <v>#DIV/0!</v>
      </c>
      <c r="I44" s="809" t="e">
        <v>#DIV/0!</v>
      </c>
      <c r="J44" s="807"/>
      <c r="K44" s="805"/>
      <c r="L44" s="808" t="e">
        <v>#DIV/0!</v>
      </c>
      <c r="N44" s="808">
        <v>0</v>
      </c>
      <c r="O44" s="720" t="e">
        <f t="shared" si="9"/>
        <v>#DIV/0!</v>
      </c>
      <c r="P44" s="809" t="e">
        <v>#DIV/0!</v>
      </c>
      <c r="Q44" s="720" t="e">
        <v>#DIV/0!</v>
      </c>
      <c r="R44" s="720" t="e">
        <v>#DIV/0!</v>
      </c>
      <c r="S44" s="720" t="e">
        <v>#DIV/0!</v>
      </c>
      <c r="T44" s="807" t="e">
        <f t="shared" si="10"/>
        <v>#DIV/0!</v>
      </c>
      <c r="U44" s="724" t="e">
        <f t="shared" si="11"/>
        <v>#DIV/0!</v>
      </c>
      <c r="V44" s="810" t="e">
        <v>#DIV/0!</v>
      </c>
      <c r="W44" s="720">
        <f>X44/$X$112</f>
        <v>0</v>
      </c>
      <c r="X44" s="808">
        <v>0</v>
      </c>
      <c r="Y44" s="720" t="e">
        <f t="shared" si="12"/>
        <v>#DIV/0!</v>
      </c>
      <c r="Z44" s="720" t="e">
        <v>#DIV/0!</v>
      </c>
      <c r="AA44" s="720" t="e">
        <v>#DIV/0!</v>
      </c>
      <c r="AB44" s="808" t="e">
        <v>#DIV/0!</v>
      </c>
      <c r="AC44" s="720" t="e">
        <v>#DIV/0!</v>
      </c>
      <c r="AD44" s="811" t="e">
        <f t="shared" si="27"/>
        <v>#DIV/0!</v>
      </c>
      <c r="AE44" s="724" t="e">
        <f t="shared" si="28"/>
        <v>#DIV/0!</v>
      </c>
      <c r="AF44" s="812" t="e">
        <v>#DIV/0!</v>
      </c>
      <c r="AG44" s="720">
        <f t="shared" si="29"/>
        <v>0</v>
      </c>
      <c r="AH44" s="808">
        <v>0</v>
      </c>
      <c r="AI44" s="720" t="e">
        <f t="shared" si="30"/>
        <v>#DIV/0!</v>
      </c>
      <c r="AJ44" s="720" t="e">
        <v>#DIV/0!</v>
      </c>
      <c r="AK44" s="720" t="e">
        <v>#DIV/0!</v>
      </c>
      <c r="AL44" s="720" t="e">
        <v>#DIV/0!</v>
      </c>
      <c r="AM44" s="808" t="e">
        <v>#DIV/0!</v>
      </c>
      <c r="AN44" s="720" t="e">
        <f t="shared" si="13"/>
        <v>#DIV/0!</v>
      </c>
      <c r="AO44" s="720" t="e">
        <v>#DIV/0!</v>
      </c>
      <c r="AP44" s="720" t="e">
        <v>#DIV/0!</v>
      </c>
      <c r="AQ44" s="720">
        <f t="shared" si="31"/>
        <v>0</v>
      </c>
      <c r="AR44" s="813">
        <v>0</v>
      </c>
      <c r="AS44" s="720" t="e">
        <f t="shared" si="32"/>
        <v>#DIV/0!</v>
      </c>
      <c r="AT44" s="720" t="e">
        <v>#DIV/0!</v>
      </c>
      <c r="AU44" s="720" t="e">
        <v>#DIV/0!</v>
      </c>
      <c r="AV44" s="808" t="e">
        <v>#DIV/0!</v>
      </c>
      <c r="AW44" s="720" t="e">
        <v>#DIV/0!</v>
      </c>
      <c r="BA44" s="723"/>
      <c r="BB44" s="723"/>
      <c r="BC44" s="895">
        <f t="shared" si="15"/>
        <v>0</v>
      </c>
      <c r="BD44" s="814"/>
    </row>
    <row r="45" spans="2:56">
      <c r="B45" s="728" t="s">
        <v>625</v>
      </c>
      <c r="C45" s="807">
        <f>D45*M45</f>
        <v>-0.22530212505544708</v>
      </c>
      <c r="D45" s="805">
        <f>((E45/L45)-1)*100</f>
        <v>-7.3968496532267558</v>
      </c>
      <c r="E45" s="808">
        <v>89.039984861501381</v>
      </c>
      <c r="F45" s="720">
        <f t="shared" si="4"/>
        <v>3.2497472005723518E-2</v>
      </c>
      <c r="G45" s="808">
        <v>25137.952086059999</v>
      </c>
      <c r="H45" s="720">
        <f t="shared" si="5"/>
        <v>0.13847314744279998</v>
      </c>
      <c r="I45" s="809">
        <v>8.2013710916668987E-3</v>
      </c>
      <c r="J45" s="807">
        <f t="shared" si="6"/>
        <v>0.99719374151710038</v>
      </c>
      <c r="K45" s="805">
        <f t="shared" si="7"/>
        <v>34.383896159295958</v>
      </c>
      <c r="L45" s="808">
        <v>96.152220014190888</v>
      </c>
      <c r="M45" s="720">
        <f t="shared" ref="M45:M48" si="33">N45/N$112</f>
        <v>3.0459200283618402E-2</v>
      </c>
      <c r="N45" s="808">
        <v>27565.841966829998</v>
      </c>
      <c r="O45" s="720">
        <f t="shared" si="9"/>
        <v>0.13027177635113307</v>
      </c>
      <c r="P45" s="809">
        <v>7.0637859978722774E-3</v>
      </c>
      <c r="Q45" s="720">
        <v>6.9869923241555089E-3</v>
      </c>
      <c r="R45" s="720">
        <v>7.8272263443944085E-3</v>
      </c>
      <c r="S45" s="720">
        <v>8.2953160502387963E-3</v>
      </c>
      <c r="T45" s="807">
        <f t="shared" si="10"/>
        <v>0.1813952732639619</v>
      </c>
      <c r="U45" s="724">
        <f t="shared" si="11"/>
        <v>6.4014193389946961</v>
      </c>
      <c r="V45" s="810">
        <v>71.550403554466072</v>
      </c>
      <c r="W45" s="720">
        <f>X45/$X$112</f>
        <v>2.90017668997497E-2</v>
      </c>
      <c r="X45" s="808">
        <v>20641.101554400004</v>
      </c>
      <c r="Y45" s="720">
        <f t="shared" si="12"/>
        <v>0.10009845563447209</v>
      </c>
      <c r="Z45" s="720">
        <v>8.4758520115250334E-3</v>
      </c>
      <c r="AA45" s="720">
        <v>8.899336747592029E-3</v>
      </c>
      <c r="AB45" s="808">
        <v>9.2493487232014598E-3</v>
      </c>
      <c r="AC45" s="720">
        <v>9.122496065070887E-3</v>
      </c>
      <c r="AD45" s="811">
        <f t="shared" si="27"/>
        <v>0.50918770775933808</v>
      </c>
      <c r="AE45" s="724">
        <f t="shared" si="28"/>
        <v>18.015058052126555</v>
      </c>
      <c r="AF45" s="812">
        <v>67.245722847461877</v>
      </c>
      <c r="AG45" s="720">
        <f t="shared" si="29"/>
        <v>2.833672716283088E-2</v>
      </c>
      <c r="AH45" s="808">
        <v>20052.89157222</v>
      </c>
      <c r="AI45" s="720">
        <f t="shared" si="30"/>
        <v>6.435142208708268E-2</v>
      </c>
      <c r="AJ45" s="720">
        <v>7.9422971564113449E-3</v>
      </c>
      <c r="AK45" s="720">
        <v>8.2376152727910851E-3</v>
      </c>
      <c r="AL45" s="720">
        <v>8.1373125290102651E-3</v>
      </c>
      <c r="AM45" s="808">
        <v>8.3371233421013109E-3</v>
      </c>
      <c r="AN45" s="720">
        <f t="shared" si="13"/>
        <v>0.17316719603425956</v>
      </c>
      <c r="AO45" s="720">
        <v>6.4660489260897291</v>
      </c>
      <c r="AP45" s="720">
        <v>56.980629385243226</v>
      </c>
      <c r="AQ45" s="720">
        <f t="shared" si="31"/>
        <v>2.8264561029223659E-2</v>
      </c>
      <c r="AR45" s="813">
        <v>16212.284466839999</v>
      </c>
      <c r="AS45" s="720">
        <f t="shared" si="32"/>
        <v>3.169707378676867E-2</v>
      </c>
      <c r="AT45" s="720">
        <v>8.2461643077703112E-3</v>
      </c>
      <c r="AU45" s="720">
        <v>8.3374948232156389E-3</v>
      </c>
      <c r="AV45" s="808">
        <v>7.4857149643188887E-3</v>
      </c>
      <c r="AW45" s="720">
        <v>7.6276996914638323E-3</v>
      </c>
      <c r="BA45" s="723">
        <v>316.34069099999999</v>
      </c>
      <c r="BB45" s="723">
        <v>53.52</v>
      </c>
      <c r="BC45" s="895">
        <f t="shared" si="15"/>
        <v>16930.553782319999</v>
      </c>
      <c r="BD45" s="814">
        <f>+BC45/$BC$112</f>
        <v>2.6780990681272265E-2</v>
      </c>
    </row>
    <row r="46" spans="2:56">
      <c r="B46" s="728" t="s">
        <v>136</v>
      </c>
      <c r="C46" s="807">
        <f>D46*M46</f>
        <v>-0.48389809803946809</v>
      </c>
      <c r="D46" s="805">
        <f>((E46/L46)-1)*100</f>
        <v>-16.748971193415652</v>
      </c>
      <c r="E46" s="808">
        <v>47.641870199301522</v>
      </c>
      <c r="F46" s="720">
        <f t="shared" si="4"/>
        <v>2.7713591340458681E-2</v>
      </c>
      <c r="G46" s="808">
        <v>21437.45</v>
      </c>
      <c r="H46" s="720">
        <f t="shared" si="5"/>
        <v>0.1889660643698908</v>
      </c>
      <c r="I46" s="809">
        <v>1.1460621974895143E-2</v>
      </c>
      <c r="J46" s="807">
        <f t="shared" si="6"/>
        <v>0.89891620546760098</v>
      </c>
      <c r="K46" s="805">
        <f t="shared" si="7"/>
        <v>33.872690696785583</v>
      </c>
      <c r="L46" s="808">
        <v>57.226764500396797</v>
      </c>
      <c r="M46" s="720">
        <f t="shared" si="33"/>
        <v>2.8891213224469445E-2</v>
      </c>
      <c r="N46" s="808">
        <v>26146.799999999999</v>
      </c>
      <c r="O46" s="720">
        <f t="shared" si="9"/>
        <v>0.17750544239499566</v>
      </c>
      <c r="P46" s="809">
        <v>9.3738951323545285E-3</v>
      </c>
      <c r="Q46" s="720">
        <v>9.131659904542351E-3</v>
      </c>
      <c r="R46" s="720">
        <v>1.0197266895023791E-2</v>
      </c>
      <c r="S46" s="720">
        <v>1.0396403805095702E-2</v>
      </c>
      <c r="T46" s="807">
        <f t="shared" si="10"/>
        <v>0.53146788589876026</v>
      </c>
      <c r="U46" s="724">
        <f t="shared" si="11"/>
        <v>27.664077189592273</v>
      </c>
      <c r="V46" s="810">
        <v>42.747153435507123</v>
      </c>
      <c r="W46" s="720">
        <f>X46/$X$112</f>
        <v>2.6538080883928877E-2</v>
      </c>
      <c r="X46" s="808">
        <v>18887.649999999998</v>
      </c>
      <c r="Y46" s="720">
        <f t="shared" si="12"/>
        <v>0.13840621665797928</v>
      </c>
      <c r="Z46" s="720">
        <v>1.1405071508832907E-2</v>
      </c>
      <c r="AA46" s="720">
        <v>1.0810562543397087E-2</v>
      </c>
      <c r="AB46" s="808">
        <v>1.1078814715689819E-2</v>
      </c>
      <c r="AC46" s="720">
        <v>1.1575217819040483E-2</v>
      </c>
      <c r="AD46" s="811">
        <f t="shared" si="27"/>
        <v>8.4445110461836545E-2</v>
      </c>
      <c r="AE46" s="724">
        <f t="shared" si="28"/>
        <v>3.608826799125775</v>
      </c>
      <c r="AF46" s="812">
        <v>33.484089163174602</v>
      </c>
      <c r="AG46" s="720">
        <f t="shared" si="29"/>
        <v>1.9211480732084861E-2</v>
      </c>
      <c r="AH46" s="808">
        <v>13595.28</v>
      </c>
      <c r="AI46" s="720">
        <f t="shared" si="30"/>
        <v>9.3536550071018978E-2</v>
      </c>
      <c r="AJ46" s="720">
        <v>1.2707332408830435E-2</v>
      </c>
      <c r="AK46" s="720">
        <v>1.2475104788662646E-2</v>
      </c>
      <c r="AL46" s="720">
        <v>1.3028708693579586E-2</v>
      </c>
      <c r="AM46" s="808">
        <v>1.1806002035574291E-2</v>
      </c>
      <c r="AN46" s="720">
        <f t="shared" si="13"/>
        <v>-0.44327586791925144</v>
      </c>
      <c r="AO46" s="720">
        <v>-17.112603528055391</v>
      </c>
      <c r="AP46" s="720">
        <v>32.317795884411204</v>
      </c>
      <c r="AQ46" s="720">
        <f t="shared" si="31"/>
        <v>2.3399601910042638E-2</v>
      </c>
      <c r="AR46" s="813">
        <v>13421.79</v>
      </c>
      <c r="AS46" s="720">
        <f t="shared" si="32"/>
        <v>4.3519402144372027E-2</v>
      </c>
      <c r="AT46" s="720">
        <v>1.1990647455217806E-2</v>
      </c>
      <c r="AU46" s="720">
        <v>1.1104974631821037E-2</v>
      </c>
      <c r="AV46" s="808">
        <v>1.0415439773763538E-2</v>
      </c>
      <c r="AW46" s="720">
        <v>1.0008340283569641E-2</v>
      </c>
      <c r="BA46" s="723">
        <v>420</v>
      </c>
      <c r="BB46" s="723">
        <v>38.99</v>
      </c>
      <c r="BC46" s="895">
        <f t="shared" si="15"/>
        <v>16375.800000000001</v>
      </c>
      <c r="BD46" s="814">
        <f>+BC46/$BC$112</f>
        <v>2.5903473261243933E-2</v>
      </c>
    </row>
    <row r="47" spans="2:56">
      <c r="B47" s="728" t="s">
        <v>137</v>
      </c>
      <c r="C47" s="807">
        <f>D47*M47</f>
        <v>-0.2953751086207933</v>
      </c>
      <c r="D47" s="805">
        <f>((E47/L47)-1)*100</f>
        <v>-30.025860130425009</v>
      </c>
      <c r="E47" s="808">
        <v>36.004148352411413</v>
      </c>
      <c r="F47" s="720">
        <f t="shared" si="4"/>
        <v>7.9493081614020449E-3</v>
      </c>
      <c r="G47" s="808">
        <v>6149.0730000000003</v>
      </c>
      <c r="H47" s="720">
        <f t="shared" si="5"/>
        <v>0.17162864797954488</v>
      </c>
      <c r="I47" s="809">
        <v>1.4590057076952635E-2</v>
      </c>
      <c r="J47" s="807">
        <f t="shared" si="6"/>
        <v>0.19149485193842913</v>
      </c>
      <c r="K47" s="805">
        <f t="shared" si="7"/>
        <v>17.414547238996867</v>
      </c>
      <c r="L47" s="808">
        <v>51.453506137438275</v>
      </c>
      <c r="M47" s="720">
        <f t="shared" si="33"/>
        <v>9.8373571094302024E-3</v>
      </c>
      <c r="N47" s="808">
        <v>8902.8939999999984</v>
      </c>
      <c r="O47" s="720">
        <f t="shared" si="9"/>
        <v>0.15703859090259226</v>
      </c>
      <c r="P47" s="809">
        <v>9.9950388223765153E-3</v>
      </c>
      <c r="Q47" s="720">
        <v>9.7116813553522405E-3</v>
      </c>
      <c r="R47" s="720">
        <v>9.6709640725585362E-3</v>
      </c>
      <c r="S47" s="720">
        <v>9.4652461981853831E-3</v>
      </c>
      <c r="T47" s="807">
        <f t="shared" si="10"/>
        <v>0.22093121560398124</v>
      </c>
      <c r="U47" s="724">
        <f t="shared" si="11"/>
        <v>23.789124099367864</v>
      </c>
      <c r="V47" s="810">
        <v>43.822087933196947</v>
      </c>
      <c r="W47" s="720">
        <f t="shared" ref="W47:W109" si="34">X47/$X$112</f>
        <v>1.0996257859039224E-2</v>
      </c>
      <c r="X47" s="808">
        <v>7826.2429999999995</v>
      </c>
      <c r="Y47" s="720">
        <f t="shared" si="12"/>
        <v>0.11819566045411958</v>
      </c>
      <c r="Z47" s="720">
        <v>1.0318326787150896E-2</v>
      </c>
      <c r="AA47" s="720">
        <v>1.1022903824136395E-2</v>
      </c>
      <c r="AB47" s="808">
        <v>1.0261070490897988E-2</v>
      </c>
      <c r="AC47" s="720">
        <v>1.0914350637701629E-2</v>
      </c>
      <c r="AD47" s="811">
        <f t="shared" si="27"/>
        <v>1.8706673252763397E-2</v>
      </c>
      <c r="AE47" s="724">
        <f t="shared" si="28"/>
        <v>2.043759929839073</v>
      </c>
      <c r="AF47" s="812">
        <v>35.400596176785392</v>
      </c>
      <c r="AG47" s="720">
        <f t="shared" si="29"/>
        <v>9.287068102261568E-3</v>
      </c>
      <c r="AH47" s="808">
        <v>6572.1269999999986</v>
      </c>
      <c r="AI47" s="720">
        <f t="shared" si="30"/>
        <v>7.5679008714232679E-2</v>
      </c>
      <c r="AJ47" s="720">
        <v>1.0759216978190041E-2</v>
      </c>
      <c r="AK47" s="720">
        <v>9.7376646477066817E-3</v>
      </c>
      <c r="AL47" s="720">
        <v>9.0957496172749605E-3</v>
      </c>
      <c r="AM47" s="808">
        <v>8.9687842183801009E-3</v>
      </c>
      <c r="AN47" s="720">
        <f t="shared" si="13"/>
        <v>-2.4855269768203746E-2</v>
      </c>
      <c r="AO47" s="720">
        <v>-2.2221434771640847</v>
      </c>
      <c r="AP47" s="720">
        <v>34.691583494302179</v>
      </c>
      <c r="AQ47" s="720">
        <f t="shared" si="31"/>
        <v>9.153067823497436E-3</v>
      </c>
      <c r="AR47" s="813">
        <v>5250.1129999999994</v>
      </c>
      <c r="AS47" s="720">
        <f t="shared" si="32"/>
        <v>3.7117593252680894E-2</v>
      </c>
      <c r="AT47" s="720">
        <v>9.2949580611491264E-3</v>
      </c>
      <c r="AU47" s="720">
        <v>9.7397242429458318E-3</v>
      </c>
      <c r="AV47" s="808">
        <v>8.4776018322743722E-3</v>
      </c>
      <c r="AW47" s="720">
        <v>9.6053091163115622E-3</v>
      </c>
      <c r="BA47" s="723">
        <v>199.3</v>
      </c>
      <c r="BB47" s="723">
        <v>35.479999999999997</v>
      </c>
      <c r="BC47" s="895">
        <f t="shared" si="15"/>
        <v>7071.1639999999998</v>
      </c>
      <c r="BD47" s="814">
        <f>+BC47/$BC$112</f>
        <v>1.1185267748743307E-2</v>
      </c>
    </row>
    <row r="48" spans="2:56">
      <c r="B48" s="728" t="s">
        <v>138</v>
      </c>
      <c r="C48" s="807">
        <f>D48*M48</f>
        <v>-2.8348542336046698E-2</v>
      </c>
      <c r="D48" s="805">
        <f>((E48/L48)-1)*100</f>
        <v>-12.595047767596023</v>
      </c>
      <c r="E48" s="808">
        <v>50.682101678125775</v>
      </c>
      <c r="F48" s="720">
        <f t="shared" si="4"/>
        <v>2.2830091037825931E-3</v>
      </c>
      <c r="G48" s="808">
        <v>1765.9888576200001</v>
      </c>
      <c r="H48" s="720">
        <f t="shared" si="5"/>
        <v>0.13994830585078222</v>
      </c>
      <c r="I48" s="809">
        <v>9.4084513309120998E-3</v>
      </c>
      <c r="J48" s="807">
        <f t="shared" si="6"/>
        <v>1.6969964270773717E-2</v>
      </c>
      <c r="K48" s="805">
        <f t="shared" si="7"/>
        <v>6.1408203447284038</v>
      </c>
      <c r="L48" s="808">
        <v>57.985389138324138</v>
      </c>
      <c r="M48" s="720">
        <f t="shared" si="33"/>
        <v>2.250768941820178E-3</v>
      </c>
      <c r="N48" s="808">
        <v>2036.96552688</v>
      </c>
      <c r="O48" s="720">
        <f t="shared" si="9"/>
        <v>0.13053985451987013</v>
      </c>
      <c r="P48" s="809">
        <v>7.6624506018968721E-3</v>
      </c>
      <c r="Q48" s="720">
        <v>7.2644564024268131E-3</v>
      </c>
      <c r="R48" s="720">
        <v>7.3450814828901652E-3</v>
      </c>
      <c r="S48" s="720">
        <v>7.7315876641704138E-3</v>
      </c>
      <c r="T48" s="807">
        <f t="shared" si="10"/>
        <v>3.6960018864894133E-2</v>
      </c>
      <c r="U48" s="724">
        <f t="shared" si="11"/>
        <v>14.893861008825038</v>
      </c>
      <c r="V48" s="810">
        <v>54.630620858211635</v>
      </c>
      <c r="W48" s="720">
        <f t="shared" si="34"/>
        <v>2.7634686113788701E-3</v>
      </c>
      <c r="X48" s="808">
        <v>1966.8124513600001</v>
      </c>
      <c r="Y48" s="720">
        <f t="shared" si="12"/>
        <v>0.10053627836848586</v>
      </c>
      <c r="Z48" s="720">
        <v>7.377281705921817E-3</v>
      </c>
      <c r="AA48" s="720">
        <v>7.5921688376066965E-3</v>
      </c>
      <c r="AB48" s="808">
        <v>7.5866253743895017E-3</v>
      </c>
      <c r="AC48" s="720">
        <v>8.2665301092123226E-3</v>
      </c>
      <c r="AD48" s="811">
        <f t="shared" si="27"/>
        <v>2.158744480915941E-2</v>
      </c>
      <c r="AE48" s="724">
        <f t="shared" si="28"/>
        <v>12.374517711870725</v>
      </c>
      <c r="AF48" s="812">
        <v>47.548772735573259</v>
      </c>
      <c r="AG48" s="720">
        <f t="shared" si="29"/>
        <v>2.4815606136645335E-3</v>
      </c>
      <c r="AH48" s="808">
        <v>1756.1119754500003</v>
      </c>
      <c r="AI48" s="720">
        <f t="shared" si="30"/>
        <v>6.9713672341355531E-2</v>
      </c>
      <c r="AJ48" s="720">
        <v>7.6459319890380562E-3</v>
      </c>
      <c r="AK48" s="720">
        <v>7.7824977538983658E-3</v>
      </c>
      <c r="AL48" s="720">
        <v>8.4511843094061678E-3</v>
      </c>
      <c r="AM48" s="808">
        <v>8.7563291117866079E-3</v>
      </c>
      <c r="AN48" s="720">
        <f t="shared" si="13"/>
        <v>6.5719716917774562E-2</v>
      </c>
      <c r="AO48" s="720">
        <v>36.669158108626718</v>
      </c>
      <c r="AP48" s="720">
        <v>42.312771350430836</v>
      </c>
      <c r="AQ48" s="720">
        <f t="shared" si="31"/>
        <v>1.7445079729007003E-3</v>
      </c>
      <c r="AR48" s="813">
        <v>1000.6332481899999</v>
      </c>
      <c r="AS48" s="720">
        <f t="shared" si="32"/>
        <v>3.7077729177226335E-2</v>
      </c>
      <c r="AT48" s="720">
        <v>7.8829258830740833E-3</v>
      </c>
      <c r="AU48" s="720">
        <v>9.2149094199390456E-3</v>
      </c>
      <c r="AV48" s="808">
        <v>9.4295900254623664E-3</v>
      </c>
      <c r="AW48" s="720">
        <v>1.0550303848750844E-2</v>
      </c>
      <c r="BA48" s="723">
        <v>36.596395999999999</v>
      </c>
      <c r="BB48" s="723">
        <v>30.96</v>
      </c>
      <c r="BC48" s="895">
        <f t="shared" si="15"/>
        <v>1133.0244201600001</v>
      </c>
      <c r="BD48" s="814">
        <f>+BC48/$BC$112</f>
        <v>1.7922341364666745E-3</v>
      </c>
    </row>
    <row r="49" spans="2:56">
      <c r="B49" s="723" t="s">
        <v>268</v>
      </c>
      <c r="C49" s="807"/>
      <c r="D49" s="805"/>
      <c r="E49" s="808" t="e">
        <v>#DIV/0!</v>
      </c>
      <c r="G49" s="808">
        <v>0</v>
      </c>
      <c r="H49" s="720" t="e">
        <f t="shared" si="5"/>
        <v>#DIV/0!</v>
      </c>
      <c r="I49" s="809" t="e">
        <v>#DIV/0!</v>
      </c>
      <c r="J49" s="807"/>
      <c r="K49" s="805"/>
      <c r="L49" s="808">
        <v>0</v>
      </c>
      <c r="N49" s="808">
        <v>0</v>
      </c>
      <c r="P49" s="809" t="e">
        <v>#DIV/0!</v>
      </c>
      <c r="Q49" s="720" t="e">
        <v>#DIV/0!</v>
      </c>
      <c r="R49" s="720" t="e">
        <v>#DIV/0!</v>
      </c>
      <c r="S49" s="720" t="e">
        <v>#DIV/0!</v>
      </c>
      <c r="T49" s="807"/>
      <c r="U49" s="724"/>
      <c r="V49" s="810">
        <v>0</v>
      </c>
      <c r="W49" s="720">
        <f t="shared" si="34"/>
        <v>0</v>
      </c>
      <c r="X49" s="808">
        <v>0</v>
      </c>
      <c r="Z49" s="720" t="e">
        <v>#DIV/0!</v>
      </c>
      <c r="AA49" s="720" t="e">
        <v>#DIV/0!</v>
      </c>
      <c r="AB49" s="808" t="e">
        <v>#DIV/0!</v>
      </c>
      <c r="AC49" s="720" t="e">
        <v>#DIV/0!</v>
      </c>
      <c r="AD49" s="811">
        <f t="shared" si="27"/>
        <v>0</v>
      </c>
      <c r="AE49" s="724"/>
      <c r="AF49" s="812">
        <v>0</v>
      </c>
      <c r="AH49" s="808">
        <v>0</v>
      </c>
      <c r="AJ49" s="720" t="e">
        <v>#DIV/0!</v>
      </c>
      <c r="AK49" s="720" t="e">
        <v>#DIV/0!</v>
      </c>
      <c r="AL49" s="720" t="e">
        <v>#DIV/0!</v>
      </c>
      <c r="AM49" s="808" t="e">
        <v>#DIV/0!</v>
      </c>
      <c r="AN49" s="720" t="e">
        <f t="shared" si="13"/>
        <v>#DIV/0!</v>
      </c>
      <c r="AO49" s="720" t="e">
        <v>#DIV/0!</v>
      </c>
      <c r="AP49" s="720">
        <v>0</v>
      </c>
      <c r="AR49" s="813">
        <v>0</v>
      </c>
      <c r="AT49" s="720" t="e">
        <v>#DIV/0!</v>
      </c>
      <c r="AU49" s="720" t="e">
        <v>#DIV/0!</v>
      </c>
      <c r="AV49" s="808" t="e">
        <v>#DIV/0!</v>
      </c>
      <c r="AW49" s="720" t="e">
        <v>#DIV/0!</v>
      </c>
      <c r="BA49" s="723"/>
      <c r="BB49" s="723"/>
      <c r="BC49" s="895">
        <f t="shared" si="15"/>
        <v>0</v>
      </c>
      <c r="BD49" s="814"/>
    </row>
    <row r="50" spans="2:56">
      <c r="B50" s="728" t="s">
        <v>139</v>
      </c>
      <c r="C50" s="807">
        <f>D50*M50</f>
        <v>-0.86071693155250451</v>
      </c>
      <c r="D50" s="805">
        <f>((E50/L50)-1)*100</f>
        <v>-30.058528428093666</v>
      </c>
      <c r="E50" s="808">
        <v>30.44315572341414</v>
      </c>
      <c r="F50" s="720">
        <f t="shared" si="4"/>
        <v>2.3243501327444606E-2</v>
      </c>
      <c r="G50" s="808">
        <v>17979.676159999999</v>
      </c>
      <c r="H50" s="720">
        <f t="shared" si="5"/>
        <v>0.23351522380122136</v>
      </c>
      <c r="I50" s="809">
        <v>2.0398837133991109E-2</v>
      </c>
      <c r="J50" s="807">
        <f t="shared" si="6"/>
        <v>0.93055656709508339</v>
      </c>
      <c r="K50" s="805">
        <f t="shared" si="7"/>
        <v>33.219917642286447</v>
      </c>
      <c r="L50" s="808">
        <v>43.52661595362023</v>
      </c>
      <c r="M50" s="720">
        <f>N50/N$112</f>
        <v>2.8634699586558961E-2</v>
      </c>
      <c r="N50" s="808">
        <v>25914.652920000004</v>
      </c>
      <c r="O50" s="720">
        <f t="shared" si="9"/>
        <v>0.21311638666723026</v>
      </c>
      <c r="P50" s="809">
        <v>1.3788262299379553E-2</v>
      </c>
      <c r="Q50" s="720">
        <v>1.5507338023720344E-2</v>
      </c>
      <c r="R50" s="720">
        <v>1.554064999178785E-2</v>
      </c>
      <c r="S50" s="720">
        <v>1.4988431886955641E-2</v>
      </c>
      <c r="T50" s="807">
        <f t="shared" si="10"/>
        <v>-9.3171498095888441E-2</v>
      </c>
      <c r="U50" s="724">
        <f t="shared" si="11"/>
        <v>-3.1029112014576921</v>
      </c>
      <c r="V50" s="810">
        <v>32.672753987504407</v>
      </c>
      <c r="W50" s="720">
        <f t="shared" si="34"/>
        <v>2.8012007046957731E-2</v>
      </c>
      <c r="X50" s="808">
        <v>19936.670900000001</v>
      </c>
      <c r="Y50" s="720">
        <f t="shared" si="12"/>
        <v>0.15329170446538687</v>
      </c>
      <c r="Z50" s="720">
        <v>1.6452665234196546E-2</v>
      </c>
      <c r="AA50" s="720">
        <v>1.5709605867367308E-2</v>
      </c>
      <c r="AB50" s="808">
        <v>1.587234349720882E-2</v>
      </c>
      <c r="AC50" s="720">
        <v>1.5789386998094488E-2</v>
      </c>
      <c r="AD50" s="811">
        <f t="shared" si="27"/>
        <v>-0.2012771564939112</v>
      </c>
      <c r="AE50" s="724">
        <f>((AF50/AP50)-1)*100</f>
        <v>-5.0430244318230173</v>
      </c>
      <c r="AF50" s="812">
        <v>33.719025403780684</v>
      </c>
      <c r="AG50" s="720">
        <f t="shared" ref="AG50:AG78" si="35">AH50/$AH$112</f>
        <v>3.002712357740632E-2</v>
      </c>
      <c r="AH50" s="808">
        <v>21249.12485</v>
      </c>
      <c r="AI50" s="720">
        <f t="shared" ref="AI50:AI56" si="36">AJ50+AK50+AL50+AM50+AS50</f>
        <v>8.9467702868519711E-2</v>
      </c>
      <c r="AJ50" s="720">
        <v>1.3729135193270547E-2</v>
      </c>
      <c r="AK50" s="720">
        <v>1.108141176768088E-2</v>
      </c>
      <c r="AL50" s="720">
        <v>1.0767880593611303E-2</v>
      </c>
      <c r="AM50" s="808">
        <v>1.1017236039407517E-2</v>
      </c>
      <c r="AN50" s="720">
        <f t="shared" si="13"/>
        <v>-8.620441715090732E-2</v>
      </c>
      <c r="AO50" s="720">
        <v>-2.2576577558535371</v>
      </c>
      <c r="AP50" s="720">
        <v>35.509792937298407</v>
      </c>
      <c r="AQ50" s="720">
        <f t="shared" ref="AQ50:AQ78" si="37">AR50/$AR$112</f>
        <v>3.9911993133285487E-2</v>
      </c>
      <c r="AR50" s="813">
        <v>22893.141190000002</v>
      </c>
      <c r="AS50" s="720">
        <f t="shared" ref="AS50:AS78" si="38">AT50+AU50+AV50+AW50</f>
        <v>4.2872039274549467E-2</v>
      </c>
      <c r="AT50" s="720">
        <v>1.1510060265011002E-2</v>
      </c>
      <c r="AU50" s="720">
        <v>1.1213663863336897E-2</v>
      </c>
      <c r="AV50" s="808">
        <v>1.0166702327709325E-2</v>
      </c>
      <c r="AW50" s="720">
        <v>9.9816128184922505E-3</v>
      </c>
      <c r="BA50" s="723">
        <v>664.43200000000002</v>
      </c>
      <c r="BB50" s="723">
        <v>36.33</v>
      </c>
      <c r="BC50" s="895">
        <f t="shared" si="15"/>
        <v>24138.814559999999</v>
      </c>
      <c r="BD50" s="814">
        <f>+BC50/$BC$112</f>
        <v>3.8183120062109062E-2</v>
      </c>
    </row>
    <row r="51" spans="2:56">
      <c r="B51" s="728" t="s">
        <v>140</v>
      </c>
      <c r="C51" s="807">
        <f>D51*M51</f>
        <v>-0.16599005993304825</v>
      </c>
      <c r="D51" s="805">
        <f>((E51/L51)-1)*100</f>
        <v>-14.853219170465904</v>
      </c>
      <c r="E51" s="808">
        <v>87.22016460021473</v>
      </c>
      <c r="F51" s="720">
        <f t="shared" si="4"/>
        <v>1.1016999062123662E-2</v>
      </c>
      <c r="G51" s="808">
        <v>8522.0411762200001</v>
      </c>
      <c r="H51" s="720">
        <f t="shared" si="5"/>
        <v>0.15081362449155183</v>
      </c>
      <c r="I51" s="809">
        <v>1.1760248929637132E-2</v>
      </c>
      <c r="J51" s="807">
        <f t="shared" si="6"/>
        <v>0.12021146126750606</v>
      </c>
      <c r="K51" s="805">
        <f t="shared" si="7"/>
        <v>8.9541251808699549</v>
      </c>
      <c r="L51" s="808">
        <v>102.435070064283</v>
      </c>
      <c r="M51" s="720">
        <f>N51/N$112</f>
        <v>1.1175359228732204E-2</v>
      </c>
      <c r="N51" s="808">
        <v>10113.79759</v>
      </c>
      <c r="O51" s="720">
        <f t="shared" si="9"/>
        <v>0.13905337556191469</v>
      </c>
      <c r="P51" s="809">
        <v>9.8256498980537205E-3</v>
      </c>
      <c r="Q51" s="720">
        <v>8.5147401546619393E-3</v>
      </c>
      <c r="R51" s="720">
        <v>8.7160984610269616E-3</v>
      </c>
      <c r="S51" s="720">
        <v>8.5145244031253602E-3</v>
      </c>
      <c r="T51" s="807">
        <f t="shared" si="10"/>
        <v>4.7746009369912336E-2</v>
      </c>
      <c r="U51" s="724">
        <f t="shared" si="11"/>
        <v>3.5469006020957039</v>
      </c>
      <c r="V51" s="810">
        <v>94.016697297357979</v>
      </c>
      <c r="W51" s="720">
        <f t="shared" si="34"/>
        <v>1.3425260295034953E-2</v>
      </c>
      <c r="X51" s="808">
        <v>9555.0095999999994</v>
      </c>
      <c r="Y51" s="720">
        <f t="shared" si="12"/>
        <v>0.1034823626450467</v>
      </c>
      <c r="Z51" s="720">
        <v>9.4698850030629483E-3</v>
      </c>
      <c r="AA51" s="720">
        <v>9.5191070042088093E-3</v>
      </c>
      <c r="AB51" s="808">
        <v>9.2760186153867889E-3</v>
      </c>
      <c r="AC51" s="720">
        <v>9.2835090335494103E-3</v>
      </c>
      <c r="AD51" s="811">
        <f t="shared" si="27"/>
        <v>0.15773928007180668</v>
      </c>
      <c r="AE51" s="724">
        <f>((AF51/AP51)-1)*100</f>
        <v>12.637261951618296</v>
      </c>
      <c r="AF51" s="812">
        <v>90.796244745789295</v>
      </c>
      <c r="AG51" s="720">
        <f t="shared" si="35"/>
        <v>1.3461332787758802E-2</v>
      </c>
      <c r="AH51" s="808">
        <v>9526.1053000000011</v>
      </c>
      <c r="AI51" s="720">
        <f t="shared" si="36"/>
        <v>6.5933842988838753E-2</v>
      </c>
      <c r="AJ51" s="720">
        <v>8.6267717132721133E-3</v>
      </c>
      <c r="AK51" s="720">
        <v>8.1269275560112205E-3</v>
      </c>
      <c r="AL51" s="720">
        <v>8.0080754429448092E-3</v>
      </c>
      <c r="AM51" s="808">
        <v>8.1152817840326047E-3</v>
      </c>
      <c r="AN51" s="720">
        <f t="shared" si="13"/>
        <v>0.2153440302863594</v>
      </c>
      <c r="AO51" s="720">
        <v>18.005300907650202</v>
      </c>
      <c r="AP51" s="720">
        <v>80.609421050015854</v>
      </c>
      <c r="AQ51" s="720">
        <f t="shared" si="37"/>
        <v>1.2482077262915879E-2</v>
      </c>
      <c r="AR51" s="813">
        <v>7159.6012800000008</v>
      </c>
      <c r="AS51" s="720">
        <f t="shared" si="38"/>
        <v>3.3056786492577997E-2</v>
      </c>
      <c r="AT51" s="720">
        <v>8.59950683297501E-3</v>
      </c>
      <c r="AU51" s="720">
        <v>8.3571859268713952E-3</v>
      </c>
      <c r="AV51" s="808">
        <v>7.7745309246857715E-3</v>
      </c>
      <c r="AW51" s="720">
        <v>8.3255628080458246E-3</v>
      </c>
      <c r="BA51" s="723">
        <v>110.68600000000001</v>
      </c>
      <c r="BB51" s="723">
        <v>68.31</v>
      </c>
      <c r="BC51" s="895">
        <f t="shared" si="15"/>
        <v>7560.9606600000006</v>
      </c>
      <c r="BD51" s="814">
        <f>+BC51/$BC$112</f>
        <v>1.1960035069164699E-2</v>
      </c>
    </row>
    <row r="52" spans="2:56">
      <c r="B52" s="723" t="s">
        <v>269</v>
      </c>
      <c r="C52" s="807"/>
      <c r="D52" s="805"/>
      <c r="E52" s="808" t="e">
        <v>#DIV/0!</v>
      </c>
      <c r="G52" s="808">
        <v>0</v>
      </c>
      <c r="H52" s="720" t="e">
        <f t="shared" si="5"/>
        <v>#DIV/0!</v>
      </c>
      <c r="I52" s="809" t="e">
        <v>#DIV/0!</v>
      </c>
      <c r="K52" s="805"/>
      <c r="L52" s="808">
        <v>0</v>
      </c>
      <c r="N52" s="808">
        <v>0</v>
      </c>
      <c r="P52" s="809" t="e">
        <v>#VALUE!</v>
      </c>
      <c r="Q52" s="720" t="e">
        <v>#VALUE!</v>
      </c>
      <c r="R52" s="720" t="e">
        <v>#VALUE!</v>
      </c>
      <c r="S52" s="720" t="e">
        <v>#VALUE!</v>
      </c>
      <c r="T52" s="807"/>
      <c r="U52" s="724" t="s">
        <v>103</v>
      </c>
      <c r="V52" s="810" t="e">
        <v>#VALUE!</v>
      </c>
      <c r="W52" s="720">
        <f t="shared" si="34"/>
        <v>0</v>
      </c>
      <c r="X52" s="808">
        <v>0</v>
      </c>
      <c r="Y52" s="720" t="s">
        <v>103</v>
      </c>
      <c r="Z52" s="720" t="e">
        <v>#DIV/0!</v>
      </c>
      <c r="AA52" s="720" t="e">
        <v>#DIV/0!</v>
      </c>
      <c r="AB52" s="808" t="e">
        <v>#DIV/0!</v>
      </c>
      <c r="AC52" s="720" t="e">
        <v>#DIV/0!</v>
      </c>
      <c r="AD52" s="811"/>
      <c r="AE52" s="724"/>
      <c r="AF52" s="812" t="e">
        <v>#DIV/0!</v>
      </c>
      <c r="AG52" s="720">
        <f t="shared" si="35"/>
        <v>0</v>
      </c>
      <c r="AH52" s="808">
        <v>0</v>
      </c>
      <c r="AI52" s="720" t="e">
        <f t="shared" si="36"/>
        <v>#DIV/0!</v>
      </c>
      <c r="AJ52" s="720" t="e">
        <v>#DIV/0!</v>
      </c>
      <c r="AK52" s="720" t="e">
        <v>#DIV/0!</v>
      </c>
      <c r="AL52" s="720" t="e">
        <v>#DIV/0!</v>
      </c>
      <c r="AM52" s="808" t="e">
        <v>#DIV/0!</v>
      </c>
      <c r="AN52" s="720" t="e">
        <f t="shared" si="13"/>
        <v>#DIV/0!</v>
      </c>
      <c r="AO52" s="720" t="e">
        <v>#DIV/0!</v>
      </c>
      <c r="AP52" s="720" t="e">
        <v>#DIV/0!</v>
      </c>
      <c r="AQ52" s="720">
        <f t="shared" si="37"/>
        <v>0</v>
      </c>
      <c r="AR52" s="813">
        <v>0</v>
      </c>
      <c r="AS52" s="720" t="e">
        <f t="shared" si="38"/>
        <v>#DIV/0!</v>
      </c>
      <c r="AT52" s="720" t="e">
        <v>#DIV/0!</v>
      </c>
      <c r="AU52" s="720" t="e">
        <v>#DIV/0!</v>
      </c>
      <c r="AV52" s="808" t="e">
        <v>#DIV/0!</v>
      </c>
      <c r="AW52" s="720" t="e">
        <v>#DIV/0!</v>
      </c>
      <c r="BA52" s="723"/>
      <c r="BB52" s="723"/>
      <c r="BC52" s="895">
        <f t="shared" si="15"/>
        <v>0</v>
      </c>
      <c r="BD52" s="814"/>
    </row>
    <row r="53" spans="2:56">
      <c r="B53" s="723" t="s">
        <v>141</v>
      </c>
      <c r="C53" s="807"/>
      <c r="D53" s="805"/>
      <c r="E53" s="808" t="e">
        <v>#DIV/0!</v>
      </c>
      <c r="F53" s="720">
        <f t="shared" si="4"/>
        <v>0</v>
      </c>
      <c r="G53" s="808">
        <v>0</v>
      </c>
      <c r="H53" s="720" t="e">
        <f t="shared" si="5"/>
        <v>#DIV/0!</v>
      </c>
      <c r="I53" s="809" t="e">
        <v>#DIV/0!</v>
      </c>
      <c r="J53" s="807" t="e">
        <f t="shared" si="6"/>
        <v>#DIV/0!</v>
      </c>
      <c r="K53" s="805" t="e">
        <f t="shared" si="7"/>
        <v>#DIV/0!</v>
      </c>
      <c r="L53" s="808" t="e">
        <v>#DIV/0!</v>
      </c>
      <c r="N53" s="808">
        <v>0</v>
      </c>
      <c r="O53" s="720" t="e">
        <f t="shared" si="9"/>
        <v>#DIV/0!</v>
      </c>
      <c r="P53" s="809" t="e">
        <v>#DIV/0!</v>
      </c>
      <c r="Q53" s="720" t="e">
        <v>#DIV/0!</v>
      </c>
      <c r="R53" s="720" t="e">
        <v>#DIV/0!</v>
      </c>
      <c r="S53" s="720" t="e">
        <v>#DIV/0!</v>
      </c>
      <c r="T53" s="807" t="e">
        <f t="shared" si="10"/>
        <v>#DIV/0!</v>
      </c>
      <c r="U53" s="724" t="e">
        <f t="shared" si="11"/>
        <v>#DIV/0!</v>
      </c>
      <c r="V53" s="810" t="e">
        <v>#DIV/0!</v>
      </c>
      <c r="W53" s="720">
        <f t="shared" si="34"/>
        <v>0</v>
      </c>
      <c r="X53" s="808">
        <v>0</v>
      </c>
      <c r="Y53" s="720" t="e">
        <f t="shared" si="12"/>
        <v>#DIV/0!</v>
      </c>
      <c r="Z53" s="720" t="e">
        <v>#DIV/0!</v>
      </c>
      <c r="AA53" s="720" t="e">
        <v>#DIV/0!</v>
      </c>
      <c r="AB53" s="808" t="e">
        <v>#DIV/0!</v>
      </c>
      <c r="AC53" s="720" t="e">
        <v>#DIV/0!</v>
      </c>
      <c r="AD53" s="811" t="e">
        <f>AE53*AQ53</f>
        <v>#DIV/0!</v>
      </c>
      <c r="AE53" s="724" t="e">
        <f>((AF53/AP53)-1)*100</f>
        <v>#DIV/0!</v>
      </c>
      <c r="AF53" s="812" t="e">
        <v>#DIV/0!</v>
      </c>
      <c r="AG53" s="720">
        <f t="shared" si="35"/>
        <v>0</v>
      </c>
      <c r="AH53" s="808">
        <v>0</v>
      </c>
      <c r="AI53" s="720" t="e">
        <f t="shared" si="36"/>
        <v>#DIV/0!</v>
      </c>
      <c r="AJ53" s="720" t="e">
        <v>#DIV/0!</v>
      </c>
      <c r="AK53" s="720" t="e">
        <v>#DIV/0!</v>
      </c>
      <c r="AL53" s="720" t="e">
        <v>#DIV/0!</v>
      </c>
      <c r="AM53" s="808" t="e">
        <v>#DIV/0!</v>
      </c>
      <c r="AN53" s="720" t="e">
        <f t="shared" si="13"/>
        <v>#DIV/0!</v>
      </c>
      <c r="AO53" s="720" t="e">
        <v>#DIV/0!</v>
      </c>
      <c r="AP53" s="720" t="e">
        <v>#DIV/0!</v>
      </c>
      <c r="AQ53" s="720">
        <f t="shared" si="37"/>
        <v>1.1517868034202076E-2</v>
      </c>
      <c r="AR53" s="813">
        <v>6606.54</v>
      </c>
      <c r="AS53" s="720" t="e">
        <f t="shared" si="38"/>
        <v>#DIV/0!</v>
      </c>
      <c r="AT53" s="720" t="e">
        <v>#DIV/0!</v>
      </c>
      <c r="AU53" s="720" t="e">
        <v>#DIV/0!</v>
      </c>
      <c r="AV53" s="808" t="e">
        <v>#DIV/0!</v>
      </c>
      <c r="AW53" s="720" t="e">
        <v>#DIV/0!</v>
      </c>
      <c r="BA53" s="723">
        <v>252</v>
      </c>
      <c r="BB53" s="723">
        <v>26.93</v>
      </c>
      <c r="BC53" s="895">
        <f t="shared" si="15"/>
        <v>6786.36</v>
      </c>
      <c r="BD53" s="814">
        <f>+BC53/$BC$112</f>
        <v>1.0734760732371874E-2</v>
      </c>
    </row>
    <row r="54" spans="2:56">
      <c r="B54" s="723" t="s">
        <v>270</v>
      </c>
      <c r="C54" s="807"/>
      <c r="D54" s="805"/>
      <c r="E54" s="808" t="e">
        <v>#DIV/0!</v>
      </c>
      <c r="G54" s="808">
        <v>0</v>
      </c>
      <c r="H54" s="720" t="e">
        <f t="shared" si="5"/>
        <v>#DIV/0!</v>
      </c>
      <c r="I54" s="809" t="e">
        <v>#DIV/0!</v>
      </c>
      <c r="J54" s="807"/>
      <c r="K54" s="805"/>
      <c r="L54" s="808" t="e">
        <v>#DIV/0!</v>
      </c>
      <c r="N54" s="808">
        <v>0</v>
      </c>
      <c r="O54" s="720" t="e">
        <f t="shared" si="9"/>
        <v>#DIV/0!</v>
      </c>
      <c r="P54" s="809" t="e">
        <v>#DIV/0!</v>
      </c>
      <c r="Q54" s="720" t="e">
        <v>#DIV/0!</v>
      </c>
      <c r="R54" s="720" t="e">
        <v>#DIV/0!</v>
      </c>
      <c r="S54" s="720" t="e">
        <v>#DIV/0!</v>
      </c>
      <c r="T54" s="807" t="e">
        <f t="shared" si="10"/>
        <v>#DIV/0!</v>
      </c>
      <c r="U54" s="724" t="e">
        <f t="shared" si="11"/>
        <v>#DIV/0!</v>
      </c>
      <c r="V54" s="810" t="e">
        <v>#DIV/0!</v>
      </c>
      <c r="W54" s="720">
        <f t="shared" si="34"/>
        <v>0</v>
      </c>
      <c r="X54" s="808">
        <v>0</v>
      </c>
      <c r="Y54" s="720" t="e">
        <f t="shared" si="12"/>
        <v>#DIV/0!</v>
      </c>
      <c r="Z54" s="720" t="e">
        <v>#DIV/0!</v>
      </c>
      <c r="AA54" s="720" t="e">
        <v>#DIV/0!</v>
      </c>
      <c r="AB54" s="808" t="e">
        <v>#DIV/0!</v>
      </c>
      <c r="AC54" s="720" t="e">
        <v>#DIV/0!</v>
      </c>
      <c r="AD54" s="811" t="e">
        <f>AE54*AQ54</f>
        <v>#DIV/0!</v>
      </c>
      <c r="AE54" s="724" t="e">
        <f>((AF54/AP54)-1)*100</f>
        <v>#DIV/0!</v>
      </c>
      <c r="AF54" s="812" t="e">
        <v>#DIV/0!</v>
      </c>
      <c r="AG54" s="720">
        <f t="shared" si="35"/>
        <v>0</v>
      </c>
      <c r="AH54" s="808">
        <v>0</v>
      </c>
      <c r="AI54" s="720" t="e">
        <f t="shared" si="36"/>
        <v>#DIV/0!</v>
      </c>
      <c r="AJ54" s="720" t="e">
        <v>#DIV/0!</v>
      </c>
      <c r="AK54" s="720" t="e">
        <v>#DIV/0!</v>
      </c>
      <c r="AL54" s="720" t="e">
        <v>#DIV/0!</v>
      </c>
      <c r="AM54" s="808" t="e">
        <v>#DIV/0!</v>
      </c>
      <c r="AN54" s="720" t="e">
        <f t="shared" si="13"/>
        <v>#DIV/0!</v>
      </c>
      <c r="AO54" s="720" t="e">
        <v>#DIV/0!</v>
      </c>
      <c r="AP54" s="720" t="e">
        <v>#DIV/0!</v>
      </c>
      <c r="AQ54" s="720">
        <f t="shared" si="37"/>
        <v>0</v>
      </c>
      <c r="AR54" s="813">
        <v>0</v>
      </c>
      <c r="AS54" s="720" t="e">
        <f t="shared" si="38"/>
        <v>#DIV/0!</v>
      </c>
      <c r="AT54" s="720" t="e">
        <v>#DIV/0!</v>
      </c>
      <c r="AU54" s="720" t="e">
        <v>#DIV/0!</v>
      </c>
      <c r="AV54" s="808" t="e">
        <v>#DIV/0!</v>
      </c>
      <c r="AW54" s="720" t="e">
        <v>#DIV/0!</v>
      </c>
      <c r="BA54" s="723"/>
      <c r="BB54" s="723"/>
      <c r="BC54" s="895">
        <f t="shared" si="15"/>
        <v>0</v>
      </c>
      <c r="BD54" s="814"/>
    </row>
    <row r="55" spans="2:56">
      <c r="B55" s="728" t="s">
        <v>142</v>
      </c>
      <c r="C55" s="807">
        <f>D55*M55</f>
        <v>-0.76617244896320924</v>
      </c>
      <c r="D55" s="805">
        <f>((E55/L55)-1)*100</f>
        <v>-26.498475003315214</v>
      </c>
      <c r="E55" s="808">
        <v>63.19683003965158</v>
      </c>
      <c r="F55" s="720">
        <f t="shared" si="4"/>
        <v>2.4082407545900679E-2</v>
      </c>
      <c r="G55" s="808">
        <v>18628.599999999999</v>
      </c>
      <c r="H55" s="720">
        <f t="shared" si="5"/>
        <v>0.15343730680145251</v>
      </c>
      <c r="I55" s="809">
        <v>1.326627185216591E-2</v>
      </c>
      <c r="J55" s="807">
        <f t="shared" si="6"/>
        <v>0.97824610178482707</v>
      </c>
      <c r="K55" s="805">
        <f t="shared" si="7"/>
        <v>37.620108576027199</v>
      </c>
      <c r="L55" s="808">
        <v>85.980297745525704</v>
      </c>
      <c r="M55" s="720">
        <f>N55/N$112</f>
        <v>2.8913831790974905E-2</v>
      </c>
      <c r="N55" s="808">
        <v>26167.27</v>
      </c>
      <c r="O55" s="720">
        <f t="shared" si="9"/>
        <v>0.14017103494928659</v>
      </c>
      <c r="P55" s="809">
        <v>9.5579609425710272E-3</v>
      </c>
      <c r="Q55" s="720">
        <v>9.1079539385014747E-3</v>
      </c>
      <c r="R55" s="720">
        <v>1.0098451042548881E-2</v>
      </c>
      <c r="S55" s="720">
        <v>1.0886124571674248E-2</v>
      </c>
      <c r="T55" s="807">
        <f t="shared" si="10"/>
        <v>-0.19511536701906895</v>
      </c>
      <c r="U55" s="724">
        <f t="shared" si="11"/>
        <v>-6.6974476977665454</v>
      </c>
      <c r="V55" s="810">
        <v>62.476551308653072</v>
      </c>
      <c r="W55" s="720">
        <f t="shared" si="34"/>
        <v>2.6003276939189867E-2</v>
      </c>
      <c r="X55" s="808">
        <v>18507.02</v>
      </c>
      <c r="Y55" s="720">
        <f t="shared" si="12"/>
        <v>0.10052054445399097</v>
      </c>
      <c r="Z55" s="720">
        <v>1.1746940852665352E-2</v>
      </c>
      <c r="AA55" s="720">
        <v>9.6464528107022343E-3</v>
      </c>
      <c r="AB55" s="808">
        <v>1.0221086907684182E-2</v>
      </c>
      <c r="AC55" s="720">
        <v>1.006283620398628E-2</v>
      </c>
      <c r="AD55" s="811">
        <f>AE55*AQ55</f>
        <v>-0.31828544443342388</v>
      </c>
      <c r="AE55" s="724">
        <f>((AF55/AP55)-1)*100</f>
        <v>-9.4581476106715296</v>
      </c>
      <c r="AF55" s="812">
        <v>66.96124571841699</v>
      </c>
      <c r="AG55" s="720">
        <f t="shared" si="35"/>
        <v>2.9132794435130224E-2</v>
      </c>
      <c r="AH55" s="808">
        <v>20616.240000000002</v>
      </c>
      <c r="AI55" s="720">
        <f t="shared" si="36"/>
        <v>5.884322767895292E-2</v>
      </c>
      <c r="AJ55" s="720">
        <v>1.0033677699831881E-2</v>
      </c>
      <c r="AK55" s="720">
        <v>7.3215915182714905E-3</v>
      </c>
      <c r="AL55" s="720">
        <v>7.1762895559649553E-3</v>
      </c>
      <c r="AM55" s="808">
        <v>7.0005811469498755E-3</v>
      </c>
      <c r="AN55" s="720">
        <f t="shared" si="13"/>
        <v>0.43708956480002559</v>
      </c>
      <c r="AO55" s="720">
        <v>12.944601722195648</v>
      </c>
      <c r="AP55" s="720">
        <v>73.956125207693717</v>
      </c>
      <c r="AQ55" s="720">
        <f t="shared" si="37"/>
        <v>3.3651985307810772E-2</v>
      </c>
      <c r="AR55" s="813">
        <v>19302.46</v>
      </c>
      <c r="AS55" s="720">
        <f t="shared" si="38"/>
        <v>2.731108775793472E-2</v>
      </c>
      <c r="AT55" s="720">
        <v>7.6836764913477337E-3</v>
      </c>
      <c r="AU55" s="720">
        <v>6.7292885660382466E-3</v>
      </c>
      <c r="AV55" s="808">
        <v>6.2212552641876312E-3</v>
      </c>
      <c r="AW55" s="720">
        <v>6.6768674363611074E-3</v>
      </c>
      <c r="BA55" s="723">
        <v>326</v>
      </c>
      <c r="BB55" s="723">
        <v>65.48</v>
      </c>
      <c r="BC55" s="895">
        <f t="shared" si="15"/>
        <v>21346.48</v>
      </c>
      <c r="BD55" s="814">
        <f>+BC55/$BC$112</f>
        <v>3.3766165555373068E-2</v>
      </c>
    </row>
    <row r="56" spans="2:56">
      <c r="B56" s="728" t="s">
        <v>143</v>
      </c>
      <c r="C56" s="807">
        <f>D56*M56</f>
        <v>-1.0352518994509508</v>
      </c>
      <c r="D56" s="805">
        <f>((E56/L56)-1)*100</f>
        <v>-14.03453689167975</v>
      </c>
      <c r="E56" s="808">
        <v>65.90996623423095</v>
      </c>
      <c r="F56" s="720">
        <f t="shared" si="4"/>
        <v>7.3211477163028893E-2</v>
      </c>
      <c r="G56" s="808">
        <v>56631.685219999999</v>
      </c>
      <c r="H56" s="720">
        <f t="shared" si="5"/>
        <v>0.21739871138217484</v>
      </c>
      <c r="I56" s="809">
        <v>1.3783550055824477E-2</v>
      </c>
      <c r="J56" s="807">
        <f t="shared" si="6"/>
        <v>3.239380430467921</v>
      </c>
      <c r="K56" s="805">
        <f t="shared" si="7"/>
        <v>51.313590264577158</v>
      </c>
      <c r="L56" s="808">
        <v>76.670285776488527</v>
      </c>
      <c r="M56" s="720">
        <f>N56/N$112</f>
        <v>7.3764592835599066E-2</v>
      </c>
      <c r="N56" s="808">
        <v>66757.600000000006</v>
      </c>
      <c r="O56" s="720">
        <f t="shared" si="9"/>
        <v>0.20361516132635035</v>
      </c>
      <c r="P56" s="809">
        <v>1.1602011816267681E-2</v>
      </c>
      <c r="Q56" s="720">
        <v>1.1845618732108531E-2</v>
      </c>
      <c r="R56" s="720">
        <v>1.308951465263585E-2</v>
      </c>
      <c r="S56" s="720">
        <v>1.3394162388584601E-2</v>
      </c>
      <c r="T56" s="807">
        <f t="shared" si="10"/>
        <v>-0.25212479389214459</v>
      </c>
      <c r="U56" s="724">
        <f t="shared" si="11"/>
        <v>-3.6990241183911809</v>
      </c>
      <c r="V56" s="810">
        <v>50.66979485611823</v>
      </c>
      <c r="W56" s="720">
        <f t="shared" si="34"/>
        <v>6.3129093360363306E-2</v>
      </c>
      <c r="X56" s="808">
        <v>44930.16</v>
      </c>
      <c r="Y56" s="720">
        <f t="shared" si="12"/>
        <v>0.15368385373675369</v>
      </c>
      <c r="Z56" s="720">
        <v>1.5548299915589672E-2</v>
      </c>
      <c r="AA56" s="720">
        <v>1.5449803898024852E-2</v>
      </c>
      <c r="AB56" s="808">
        <v>1.4359655722743198E-2</v>
      </c>
      <c r="AC56" s="720">
        <v>1.4209308900005078E-2</v>
      </c>
      <c r="AD56" s="811">
        <f>AE56*AQ56</f>
        <v>0.18285167426141138</v>
      </c>
      <c r="AE56" s="724">
        <f>((AF56/AP56)-1)*100</f>
        <v>2.4632385588031491</v>
      </c>
      <c r="AF56" s="812">
        <v>52.616076205095808</v>
      </c>
      <c r="AG56" s="720">
        <f t="shared" si="35"/>
        <v>6.8159813459610905E-2</v>
      </c>
      <c r="AH56" s="808">
        <v>48234.270000000004</v>
      </c>
      <c r="AI56" s="720">
        <f t="shared" si="36"/>
        <v>9.4116785300390915E-2</v>
      </c>
      <c r="AJ56" s="720">
        <v>1.3038580963103077E-2</v>
      </c>
      <c r="AK56" s="720">
        <v>1.2611129495487266E-2</v>
      </c>
      <c r="AL56" s="720">
        <v>1.2788091279575819E-2</v>
      </c>
      <c r="AM56" s="808">
        <v>1.174374713537636E-2</v>
      </c>
      <c r="AN56" s="720">
        <f t="shared" si="13"/>
        <v>0.31835189628793703</v>
      </c>
      <c r="AO56" s="720">
        <v>4.5635802888142285</v>
      </c>
      <c r="AP56" s="720">
        <v>51.35117427983667</v>
      </c>
      <c r="AQ56" s="720">
        <f t="shared" si="37"/>
        <v>7.4232223106419817E-2</v>
      </c>
      <c r="AR56" s="813">
        <v>42578.9</v>
      </c>
      <c r="AS56" s="720">
        <f t="shared" si="38"/>
        <v>4.3935236426848399E-2</v>
      </c>
      <c r="AT56" s="720">
        <v>1.1750828791940405E-2</v>
      </c>
      <c r="AU56" s="720">
        <v>1.1145840113296347E-2</v>
      </c>
      <c r="AV56" s="808">
        <v>1.0551422731354541E-2</v>
      </c>
      <c r="AW56" s="720">
        <v>1.0487144790257105E-2</v>
      </c>
      <c r="BA56" s="723">
        <v>898</v>
      </c>
      <c r="BB56" s="723">
        <v>49.11</v>
      </c>
      <c r="BC56" s="895">
        <f t="shared" si="15"/>
        <v>44100.78</v>
      </c>
      <c r="BD56" s="814">
        <f>+BC56/$BC$112</f>
        <v>6.9759240802281478E-2</v>
      </c>
    </row>
    <row r="57" spans="2:56">
      <c r="B57" s="723" t="s">
        <v>271</v>
      </c>
      <c r="C57" s="807"/>
      <c r="D57" s="805"/>
      <c r="E57" s="808" t="e">
        <v>#DIV/0!</v>
      </c>
      <c r="G57" s="808">
        <v>0</v>
      </c>
      <c r="H57" s="720" t="e">
        <f t="shared" si="5"/>
        <v>#DIV/0!</v>
      </c>
      <c r="I57" s="809" t="e">
        <v>#DIV/0!</v>
      </c>
      <c r="J57" s="807"/>
      <c r="K57" s="805"/>
      <c r="L57" s="808">
        <v>0</v>
      </c>
      <c r="N57" s="808">
        <v>0</v>
      </c>
      <c r="P57" s="809" t="e">
        <v>#DIV/0!</v>
      </c>
      <c r="Q57" s="720" t="e">
        <v>#DIV/0!</v>
      </c>
      <c r="R57" s="720" t="e">
        <v>#DIV/0!</v>
      </c>
      <c r="S57" s="720" t="e">
        <v>#DIV/0!</v>
      </c>
      <c r="T57" s="807"/>
      <c r="U57" s="724"/>
      <c r="V57" s="810">
        <v>0</v>
      </c>
      <c r="X57" s="808">
        <v>0</v>
      </c>
      <c r="Z57" s="720" t="e">
        <v>#VALUE!</v>
      </c>
      <c r="AA57" s="720" t="e">
        <v>#VALUE!</v>
      </c>
      <c r="AB57" s="808" t="e">
        <v>#VALUE!</v>
      </c>
      <c r="AC57" s="720" t="e">
        <v>#VALUE!</v>
      </c>
      <c r="AD57" s="811" t="s">
        <v>103</v>
      </c>
      <c r="AE57" s="724" t="s">
        <v>103</v>
      </c>
      <c r="AF57" s="812" t="e">
        <v>#VALUE!</v>
      </c>
      <c r="AG57" s="720">
        <f t="shared" si="35"/>
        <v>0</v>
      </c>
      <c r="AH57" s="808">
        <v>0</v>
      </c>
      <c r="AI57" s="720" t="s">
        <v>103</v>
      </c>
      <c r="AJ57" s="720" t="e">
        <v>#DIV/0!</v>
      </c>
      <c r="AK57" s="720" t="e">
        <v>#DIV/0!</v>
      </c>
      <c r="AL57" s="720" t="e">
        <v>#DIV/0!</v>
      </c>
      <c r="AM57" s="808" t="e">
        <v>#DIV/0!</v>
      </c>
      <c r="AN57" s="720" t="e">
        <f t="shared" si="13"/>
        <v>#DIV/0!</v>
      </c>
      <c r="AO57" s="720" t="e">
        <v>#DIV/0!</v>
      </c>
      <c r="AP57" s="720" t="e">
        <v>#DIV/0!</v>
      </c>
      <c r="AQ57" s="720">
        <f t="shared" si="37"/>
        <v>0</v>
      </c>
      <c r="AR57" s="813">
        <v>0</v>
      </c>
      <c r="AS57" s="720" t="e">
        <f t="shared" si="38"/>
        <v>#DIV/0!</v>
      </c>
      <c r="AT57" s="720" t="e">
        <v>#DIV/0!</v>
      </c>
      <c r="AU57" s="720" t="e">
        <v>#DIV/0!</v>
      </c>
      <c r="AV57" s="808" t="e">
        <v>#DIV/0!</v>
      </c>
      <c r="AW57" s="720" t="e">
        <v>#DIV/0!</v>
      </c>
      <c r="BA57" s="723"/>
      <c r="BB57" s="723"/>
      <c r="BC57" s="895">
        <f t="shared" si="15"/>
        <v>0</v>
      </c>
      <c r="BD57" s="814"/>
    </row>
    <row r="58" spans="2:56">
      <c r="B58" s="723" t="s">
        <v>144</v>
      </c>
      <c r="C58" s="807"/>
      <c r="D58" s="805"/>
      <c r="E58" s="808" t="e">
        <v>#DIV/0!</v>
      </c>
      <c r="F58" s="720">
        <f t="shared" si="4"/>
        <v>0</v>
      </c>
      <c r="G58" s="808">
        <v>0</v>
      </c>
      <c r="H58" s="720" t="e">
        <f t="shared" si="5"/>
        <v>#DIV/0!</v>
      </c>
      <c r="I58" s="809" t="e">
        <v>#DIV/0!</v>
      </c>
      <c r="J58" s="807" t="e">
        <f t="shared" si="6"/>
        <v>#DIV/0!</v>
      </c>
      <c r="K58" s="805" t="e">
        <f t="shared" si="7"/>
        <v>#DIV/0!</v>
      </c>
      <c r="L58" s="808" t="e">
        <v>#DIV/0!</v>
      </c>
      <c r="N58" s="808">
        <v>0</v>
      </c>
      <c r="O58" s="720" t="e">
        <f t="shared" si="9"/>
        <v>#DIV/0!</v>
      </c>
      <c r="P58" s="809" t="e">
        <v>#DIV/0!</v>
      </c>
      <c r="Q58" s="720" t="e">
        <v>#DIV/0!</v>
      </c>
      <c r="R58" s="720" t="e">
        <v>#DIV/0!</v>
      </c>
      <c r="S58" s="720" t="e">
        <v>#DIV/0!</v>
      </c>
      <c r="T58" s="807" t="e">
        <f t="shared" si="10"/>
        <v>#DIV/0!</v>
      </c>
      <c r="U58" s="724" t="e">
        <f t="shared" si="11"/>
        <v>#DIV/0!</v>
      </c>
      <c r="V58" s="810" t="e">
        <v>#DIV/0!</v>
      </c>
      <c r="W58" s="720">
        <f t="shared" si="34"/>
        <v>0</v>
      </c>
      <c r="X58" s="808">
        <v>0</v>
      </c>
      <c r="Y58" s="720" t="e">
        <f t="shared" si="12"/>
        <v>#DIV/0!</v>
      </c>
      <c r="Z58" s="720" t="e">
        <v>#DIV/0!</v>
      </c>
      <c r="AA58" s="720" t="e">
        <v>#DIV/0!</v>
      </c>
      <c r="AB58" s="808" t="e">
        <v>#DIV/0!</v>
      </c>
      <c r="AC58" s="720" t="e">
        <v>#DIV/0!</v>
      </c>
      <c r="AD58" s="811" t="e">
        <f t="shared" ref="AD58:AD66" si="39">AE58*AQ58</f>
        <v>#DIV/0!</v>
      </c>
      <c r="AE58" s="724" t="e">
        <f t="shared" ref="AE58:AE66" si="40">((AF58/AP58)-1)*100</f>
        <v>#DIV/0!</v>
      </c>
      <c r="AF58" s="812" t="e">
        <v>#DIV/0!</v>
      </c>
      <c r="AG58" s="720">
        <f t="shared" si="35"/>
        <v>0</v>
      </c>
      <c r="AH58" s="808">
        <v>0</v>
      </c>
      <c r="AI58" s="720" t="e">
        <f t="shared" ref="AI58:AI78" si="41">AJ58+AK58+AL58+AM58+AS58</f>
        <v>#DIV/0!</v>
      </c>
      <c r="AJ58" s="720" t="e">
        <v>#DIV/0!</v>
      </c>
      <c r="AK58" s="720" t="e">
        <v>#DIV/0!</v>
      </c>
      <c r="AL58" s="720" t="e">
        <v>#DIV/0!</v>
      </c>
      <c r="AM58" s="808" t="e">
        <v>#DIV/0!</v>
      </c>
      <c r="AN58" s="720" t="e">
        <f t="shared" si="13"/>
        <v>#DIV/0!</v>
      </c>
      <c r="AO58" s="720" t="e">
        <v>#DIV/0!</v>
      </c>
      <c r="AP58" s="720" t="e">
        <v>#DIV/0!</v>
      </c>
      <c r="AQ58" s="720">
        <f t="shared" si="37"/>
        <v>1.083487209667971E-2</v>
      </c>
      <c r="AR58" s="813">
        <v>6214.78</v>
      </c>
      <c r="AS58" s="720" t="e">
        <f t="shared" si="38"/>
        <v>#DIV/0!</v>
      </c>
      <c r="AT58" s="720" t="e">
        <v>#DIV/0!</v>
      </c>
      <c r="AU58" s="720" t="e">
        <v>#DIV/0!</v>
      </c>
      <c r="AV58" s="808">
        <v>8.3907937821284823E-3</v>
      </c>
      <c r="AW58" s="720">
        <v>8.3545223392662554E-3</v>
      </c>
      <c r="BA58" s="723">
        <v>227.8</v>
      </c>
      <c r="BB58" s="723">
        <v>20.49</v>
      </c>
      <c r="BC58" s="895">
        <f t="shared" si="15"/>
        <v>4667.6220000000003</v>
      </c>
      <c r="BD58" s="814">
        <f>+BC58/$BC$112</f>
        <v>7.3833108410333494E-3</v>
      </c>
    </row>
    <row r="59" spans="2:56">
      <c r="B59" s="723" t="s">
        <v>272</v>
      </c>
      <c r="C59" s="807"/>
      <c r="D59" s="805"/>
      <c r="E59" s="808" t="e">
        <v>#DIV/0!</v>
      </c>
      <c r="G59" s="808">
        <v>0</v>
      </c>
      <c r="H59" s="720" t="e">
        <f t="shared" si="5"/>
        <v>#DIV/0!</v>
      </c>
      <c r="I59" s="809" t="e">
        <v>#DIV/0!</v>
      </c>
      <c r="J59" s="807"/>
      <c r="K59" s="805"/>
      <c r="L59" s="808" t="e">
        <v>#DIV/0!</v>
      </c>
      <c r="N59" s="808">
        <v>0</v>
      </c>
      <c r="O59" s="720" t="e">
        <f t="shared" si="9"/>
        <v>#DIV/0!</v>
      </c>
      <c r="P59" s="809" t="e">
        <v>#DIV/0!</v>
      </c>
      <c r="Q59" s="720" t="e">
        <v>#DIV/0!</v>
      </c>
      <c r="R59" s="720" t="e">
        <v>#DIV/0!</v>
      </c>
      <c r="S59" s="720" t="e">
        <v>#DIV/0!</v>
      </c>
      <c r="T59" s="807" t="e">
        <f t="shared" si="10"/>
        <v>#DIV/0!</v>
      </c>
      <c r="U59" s="724" t="e">
        <f t="shared" si="11"/>
        <v>#DIV/0!</v>
      </c>
      <c r="V59" s="810" t="e">
        <v>#DIV/0!</v>
      </c>
      <c r="W59" s="720">
        <f t="shared" si="34"/>
        <v>0</v>
      </c>
      <c r="X59" s="808">
        <v>0</v>
      </c>
      <c r="Y59" s="720" t="e">
        <f t="shared" si="12"/>
        <v>#DIV/0!</v>
      </c>
      <c r="Z59" s="720" t="e">
        <v>#DIV/0!</v>
      </c>
      <c r="AA59" s="720" t="e">
        <v>#DIV/0!</v>
      </c>
      <c r="AB59" s="808" t="e">
        <v>#DIV/0!</v>
      </c>
      <c r="AC59" s="720" t="e">
        <v>#DIV/0!</v>
      </c>
      <c r="AD59" s="811" t="e">
        <f t="shared" si="39"/>
        <v>#DIV/0!</v>
      </c>
      <c r="AE59" s="724" t="e">
        <f t="shared" si="40"/>
        <v>#DIV/0!</v>
      </c>
      <c r="AF59" s="812" t="e">
        <v>#DIV/0!</v>
      </c>
      <c r="AG59" s="720">
        <f t="shared" si="35"/>
        <v>0</v>
      </c>
      <c r="AH59" s="808">
        <v>0</v>
      </c>
      <c r="AI59" s="720" t="e">
        <f t="shared" si="41"/>
        <v>#DIV/0!</v>
      </c>
      <c r="AJ59" s="720" t="e">
        <v>#DIV/0!</v>
      </c>
      <c r="AK59" s="720" t="e">
        <v>#DIV/0!</v>
      </c>
      <c r="AL59" s="720" t="e">
        <v>#DIV/0!</v>
      </c>
      <c r="AM59" s="808" t="e">
        <v>#DIV/0!</v>
      </c>
      <c r="AN59" s="720" t="e">
        <f t="shared" si="13"/>
        <v>#DIV/0!</v>
      </c>
      <c r="AO59" s="720" t="e">
        <v>#DIV/0!</v>
      </c>
      <c r="AP59" s="720" t="e">
        <v>#DIV/0!</v>
      </c>
      <c r="AQ59" s="720">
        <f t="shared" si="37"/>
        <v>0</v>
      </c>
      <c r="AR59" s="813">
        <v>0</v>
      </c>
      <c r="AS59" s="720" t="e">
        <f t="shared" si="38"/>
        <v>#DIV/0!</v>
      </c>
      <c r="AT59" s="720" t="e">
        <v>#DIV/0!</v>
      </c>
      <c r="AU59" s="720" t="e">
        <v>#DIV/0!</v>
      </c>
      <c r="AV59" s="808" t="e">
        <v>#DIV/0!</v>
      </c>
      <c r="AW59" s="720" t="e">
        <v>#DIV/0!</v>
      </c>
      <c r="BA59" s="723"/>
      <c r="BB59" s="723"/>
      <c r="BC59" s="895">
        <f t="shared" si="15"/>
        <v>0</v>
      </c>
      <c r="BD59" s="814"/>
    </row>
    <row r="60" spans="2:56">
      <c r="B60" s="723" t="s">
        <v>273</v>
      </c>
      <c r="C60" s="807"/>
      <c r="D60" s="805"/>
      <c r="E60" s="808" t="e">
        <v>#DIV/0!</v>
      </c>
      <c r="F60" s="720">
        <f t="shared" si="4"/>
        <v>0</v>
      </c>
      <c r="G60" s="808">
        <v>0</v>
      </c>
      <c r="H60" s="720" t="e">
        <f t="shared" si="5"/>
        <v>#DIV/0!</v>
      </c>
      <c r="I60" s="809" t="e">
        <v>#DIV/0!</v>
      </c>
      <c r="J60" s="807" t="e">
        <f t="shared" si="6"/>
        <v>#DIV/0!</v>
      </c>
      <c r="K60" s="805" t="e">
        <f t="shared" si="7"/>
        <v>#DIV/0!</v>
      </c>
      <c r="L60" s="808" t="e">
        <v>#DIV/0!</v>
      </c>
      <c r="N60" s="808">
        <v>0</v>
      </c>
      <c r="O60" s="720" t="e">
        <f t="shared" si="9"/>
        <v>#DIV/0!</v>
      </c>
      <c r="P60" s="809" t="e">
        <v>#DIV/0!</v>
      </c>
      <c r="Q60" s="720" t="e">
        <v>#DIV/0!</v>
      </c>
      <c r="R60" s="720" t="e">
        <v>#DIV/0!</v>
      </c>
      <c r="S60" s="720" t="e">
        <v>#DIV/0!</v>
      </c>
      <c r="T60" s="807" t="e">
        <f t="shared" si="10"/>
        <v>#DIV/0!</v>
      </c>
      <c r="U60" s="724" t="e">
        <f t="shared" si="11"/>
        <v>#DIV/0!</v>
      </c>
      <c r="V60" s="810" t="e">
        <v>#DIV/0!</v>
      </c>
      <c r="W60" s="720">
        <f t="shared" si="34"/>
        <v>0</v>
      </c>
      <c r="X60" s="808">
        <v>0</v>
      </c>
      <c r="Y60" s="720" t="e">
        <f t="shared" si="12"/>
        <v>#DIV/0!</v>
      </c>
      <c r="Z60" s="720" t="e">
        <v>#DIV/0!</v>
      </c>
      <c r="AA60" s="720" t="e">
        <v>#DIV/0!</v>
      </c>
      <c r="AB60" s="808" t="e">
        <v>#DIV/0!</v>
      </c>
      <c r="AC60" s="720" t="e">
        <v>#DIV/0!</v>
      </c>
      <c r="AD60" s="811" t="e">
        <f t="shared" si="39"/>
        <v>#DIV/0!</v>
      </c>
      <c r="AE60" s="724" t="e">
        <f t="shared" si="40"/>
        <v>#DIV/0!</v>
      </c>
      <c r="AF60" s="812" t="e">
        <v>#DIV/0!</v>
      </c>
      <c r="AG60" s="720">
        <f t="shared" si="35"/>
        <v>0</v>
      </c>
      <c r="AH60" s="808">
        <v>0</v>
      </c>
      <c r="AI60" s="720" t="e">
        <f t="shared" si="41"/>
        <v>#DIV/0!</v>
      </c>
      <c r="AJ60" s="720" t="e">
        <v>#DIV/0!</v>
      </c>
      <c r="AK60" s="720" t="e">
        <v>#DIV/0!</v>
      </c>
      <c r="AL60" s="720" t="e">
        <v>#DIV/0!</v>
      </c>
      <c r="AM60" s="808" t="e">
        <v>#DIV/0!</v>
      </c>
      <c r="AN60" s="720" t="e">
        <f t="shared" si="13"/>
        <v>#DIV/0!</v>
      </c>
      <c r="AO60" s="720" t="e">
        <v>#DIV/0!</v>
      </c>
      <c r="AP60" s="720" t="e">
        <v>#DIV/0!</v>
      </c>
      <c r="AQ60" s="720">
        <f t="shared" si="37"/>
        <v>0</v>
      </c>
      <c r="AR60" s="813">
        <v>0</v>
      </c>
      <c r="AS60" s="720" t="e">
        <f t="shared" si="38"/>
        <v>#DIV/0!</v>
      </c>
      <c r="AT60" s="720" t="e">
        <v>#DIV/0!</v>
      </c>
      <c r="AU60" s="720" t="e">
        <v>#DIV/0!</v>
      </c>
      <c r="AV60" s="808" t="e">
        <v>#DIV/0!</v>
      </c>
      <c r="AW60" s="720" t="e">
        <v>#DIV/0!</v>
      </c>
      <c r="BA60" s="723"/>
      <c r="BB60" s="723"/>
      <c r="BC60" s="895">
        <f t="shared" si="15"/>
        <v>0</v>
      </c>
      <c r="BD60" s="814"/>
    </row>
    <row r="61" spans="2:56">
      <c r="B61" s="723" t="s">
        <v>546</v>
      </c>
      <c r="C61" s="807"/>
      <c r="D61" s="805"/>
      <c r="E61" s="808" t="e">
        <v>#DIV/0!</v>
      </c>
      <c r="F61" s="720">
        <f t="shared" si="4"/>
        <v>0</v>
      </c>
      <c r="G61" s="808">
        <v>0</v>
      </c>
      <c r="H61" s="720" t="e">
        <f t="shared" si="5"/>
        <v>#DIV/0!</v>
      </c>
      <c r="I61" s="809" t="e">
        <v>#DIV/0!</v>
      </c>
      <c r="J61" s="807" t="e">
        <f t="shared" si="6"/>
        <v>#DIV/0!</v>
      </c>
      <c r="K61" s="805" t="e">
        <f t="shared" si="7"/>
        <v>#DIV/0!</v>
      </c>
      <c r="L61" s="808" t="e">
        <v>#DIV/0!</v>
      </c>
      <c r="N61" s="808">
        <v>0</v>
      </c>
      <c r="O61" s="720" t="e">
        <f t="shared" si="9"/>
        <v>#DIV/0!</v>
      </c>
      <c r="P61" s="809" t="e">
        <v>#DIV/0!</v>
      </c>
      <c r="Q61" s="720" t="e">
        <v>#DIV/0!</v>
      </c>
      <c r="R61" s="720" t="e">
        <v>#DIV/0!</v>
      </c>
      <c r="S61" s="720" t="e">
        <v>#DIV/0!</v>
      </c>
      <c r="T61" s="807" t="e">
        <f t="shared" si="10"/>
        <v>#DIV/0!</v>
      </c>
      <c r="U61" s="724" t="e">
        <f t="shared" si="11"/>
        <v>#DIV/0!</v>
      </c>
      <c r="V61" s="810" t="e">
        <v>#DIV/0!</v>
      </c>
      <c r="W61" s="720">
        <f t="shared" si="34"/>
        <v>0</v>
      </c>
      <c r="X61" s="808">
        <v>0</v>
      </c>
      <c r="Y61" s="720" t="e">
        <f t="shared" si="12"/>
        <v>#DIV/0!</v>
      </c>
      <c r="Z61" s="720" t="e">
        <v>#DIV/0!</v>
      </c>
      <c r="AA61" s="720" t="e">
        <v>#DIV/0!</v>
      </c>
      <c r="AB61" s="808" t="e">
        <v>#DIV/0!</v>
      </c>
      <c r="AC61" s="720" t="e">
        <v>#DIV/0!</v>
      </c>
      <c r="AD61" s="811" t="e">
        <f t="shared" si="39"/>
        <v>#DIV/0!</v>
      </c>
      <c r="AE61" s="724" t="e">
        <f t="shared" si="40"/>
        <v>#DIV/0!</v>
      </c>
      <c r="AF61" s="812" t="e">
        <v>#DIV/0!</v>
      </c>
      <c r="AG61" s="720">
        <f t="shared" si="35"/>
        <v>0</v>
      </c>
      <c r="AH61" s="808">
        <v>0</v>
      </c>
      <c r="AI61" s="720" t="e">
        <f t="shared" si="41"/>
        <v>#DIV/0!</v>
      </c>
      <c r="AJ61" s="720" t="e">
        <v>#DIV/0!</v>
      </c>
      <c r="AK61" s="720" t="e">
        <v>#DIV/0!</v>
      </c>
      <c r="AL61" s="720" t="e">
        <v>#DIV/0!</v>
      </c>
      <c r="AM61" s="808" t="e">
        <v>#DIV/0!</v>
      </c>
      <c r="AN61" s="720" t="e">
        <f t="shared" si="13"/>
        <v>#DIV/0!</v>
      </c>
      <c r="AO61" s="720" t="e">
        <v>#DIV/0!</v>
      </c>
      <c r="AP61" s="720" t="e">
        <v>#DIV/0!</v>
      </c>
      <c r="AQ61" s="720">
        <f t="shared" si="37"/>
        <v>0</v>
      </c>
      <c r="AR61" s="813">
        <v>0</v>
      </c>
      <c r="AS61" s="720" t="e">
        <f t="shared" si="38"/>
        <v>#DIV/0!</v>
      </c>
      <c r="AT61" s="720" t="e">
        <v>#DIV/0!</v>
      </c>
      <c r="AU61" s="720" t="e">
        <v>#DIV/0!</v>
      </c>
      <c r="AV61" s="808" t="e">
        <v>#DIV/0!</v>
      </c>
      <c r="AW61" s="720" t="e">
        <v>#DIV/0!</v>
      </c>
      <c r="BA61" s="723"/>
      <c r="BB61" s="723"/>
      <c r="BC61" s="895">
        <f t="shared" si="15"/>
        <v>0</v>
      </c>
      <c r="BD61" s="814"/>
    </row>
    <row r="62" spans="2:56">
      <c r="B62" s="728" t="s">
        <v>145</v>
      </c>
      <c r="C62" s="807">
        <f>D62*M62</f>
        <v>-9.4419255619586723E-2</v>
      </c>
      <c r="D62" s="805">
        <f>((E62/L62)-1)*100</f>
        <v>-4.5247395833333144</v>
      </c>
      <c r="E62" s="808">
        <v>82.652058194184178</v>
      </c>
      <c r="F62" s="720">
        <f t="shared" si="4"/>
        <v>2.3123754856998791E-2</v>
      </c>
      <c r="G62" s="808">
        <v>17887.047999999999</v>
      </c>
      <c r="H62" s="720">
        <f t="shared" si="5"/>
        <v>0.13486280645591345</v>
      </c>
      <c r="I62" s="809">
        <v>7.6611945338653543E-3</v>
      </c>
      <c r="J62" s="807">
        <f t="shared" si="6"/>
        <v>0.46372271551148891</v>
      </c>
      <c r="K62" s="805">
        <f t="shared" si="7"/>
        <v>20.727724393940861</v>
      </c>
      <c r="L62" s="808">
        <v>86.569083795613281</v>
      </c>
      <c r="M62" s="720">
        <f t="shared" ref="M62:M64" si="42">N62/N$112</f>
        <v>2.0867334767149037E-2</v>
      </c>
      <c r="N62" s="808">
        <v>18885.12</v>
      </c>
      <c r="O62" s="720">
        <f t="shared" si="9"/>
        <v>0.1272016119220481</v>
      </c>
      <c r="P62" s="809">
        <v>7.2186402471235362E-3</v>
      </c>
      <c r="Q62" s="720">
        <v>6.6065434529101403E-3</v>
      </c>
      <c r="R62" s="720">
        <v>6.9968089357075715E-3</v>
      </c>
      <c r="S62" s="720">
        <v>7.09936263642007E-3</v>
      </c>
      <c r="T62" s="807">
        <f t="shared" si="10"/>
        <v>0.28202723054583678</v>
      </c>
      <c r="U62" s="724">
        <f t="shared" si="11"/>
        <v>13.945984139327594</v>
      </c>
      <c r="V62" s="810">
        <v>71.706051141272113</v>
      </c>
      <c r="W62" s="720">
        <f t="shared" si="34"/>
        <v>2.2372099642884318E-2</v>
      </c>
      <c r="X62" s="808">
        <v>15922.643</v>
      </c>
      <c r="Y62" s="720">
        <f t="shared" si="12"/>
        <v>9.9280256649886781E-2</v>
      </c>
      <c r="Z62" s="720">
        <v>7.9470074105273004E-3</v>
      </c>
      <c r="AA62" s="720">
        <v>7.8408379965766092E-3</v>
      </c>
      <c r="AB62" s="808">
        <v>8.0854345413460538E-3</v>
      </c>
      <c r="AC62" s="720">
        <v>8.6183261106355571E-3</v>
      </c>
      <c r="AD62" s="811">
        <f t="shared" si="39"/>
        <v>0.29306528708917234</v>
      </c>
      <c r="AE62" s="724">
        <f t="shared" si="40"/>
        <v>16.028405415373026</v>
      </c>
      <c r="AF62" s="812">
        <v>62.929862498351369</v>
      </c>
      <c r="AG62" s="720">
        <f t="shared" si="35"/>
        <v>2.0222827426751595E-2</v>
      </c>
      <c r="AH62" s="808">
        <v>14310.974</v>
      </c>
      <c r="AI62" s="720">
        <f t="shared" si="41"/>
        <v>6.678865059080126E-2</v>
      </c>
      <c r="AJ62" s="720">
        <v>8.2098626123098782E-3</v>
      </c>
      <c r="AK62" s="720">
        <v>7.9920155578334946E-3</v>
      </c>
      <c r="AL62" s="720">
        <v>8.387918342679903E-3</v>
      </c>
      <c r="AM62" s="808">
        <v>8.3330455350592459E-3</v>
      </c>
      <c r="AN62" s="720">
        <f t="shared" si="13"/>
        <v>0.311089270501616</v>
      </c>
      <c r="AO62" s="720">
        <v>17.573380264820095</v>
      </c>
      <c r="AP62" s="720">
        <v>54.236600316161514</v>
      </c>
      <c r="AQ62" s="720">
        <f t="shared" si="37"/>
        <v>1.82841199417186E-2</v>
      </c>
      <c r="AR62" s="813">
        <v>10487.597999999998</v>
      </c>
      <c r="AS62" s="720">
        <f t="shared" si="38"/>
        <v>3.3865808542918735E-2</v>
      </c>
      <c r="AT62" s="720">
        <v>8.5992619236083968E-3</v>
      </c>
      <c r="AU62" s="720">
        <v>8.784160514327323E-3</v>
      </c>
      <c r="AV62" s="808">
        <v>7.9993521728472881E-3</v>
      </c>
      <c r="AW62" s="720">
        <v>8.4830339321357289E-3</v>
      </c>
      <c r="BA62" s="723">
        <v>242.6</v>
      </c>
      <c r="BB62" s="723">
        <v>46.13</v>
      </c>
      <c r="BC62" s="895">
        <f t="shared" si="15"/>
        <v>11191.138000000001</v>
      </c>
      <c r="BD62" s="814">
        <f>+BC62/$BC$112</f>
        <v>1.7702301197247822E-2</v>
      </c>
    </row>
    <row r="63" spans="2:56">
      <c r="B63" s="723" t="s">
        <v>146</v>
      </c>
      <c r="C63" s="807"/>
      <c r="D63" s="805"/>
      <c r="E63" s="808" t="e">
        <v>#DIV/0!</v>
      </c>
      <c r="F63" s="720">
        <f t="shared" si="4"/>
        <v>0</v>
      </c>
      <c r="G63" s="808">
        <v>0</v>
      </c>
      <c r="H63" s="720" t="e">
        <f t="shared" si="5"/>
        <v>#DIV/0!</v>
      </c>
      <c r="I63" s="809" t="e">
        <v>#DIV/0!</v>
      </c>
      <c r="J63" s="807" t="e">
        <f t="shared" si="6"/>
        <v>#DIV/0!</v>
      </c>
      <c r="K63" s="805" t="e">
        <f t="shared" si="7"/>
        <v>#DIV/0!</v>
      </c>
      <c r="L63" s="808" t="e">
        <v>#DIV/0!</v>
      </c>
      <c r="N63" s="808">
        <v>0</v>
      </c>
      <c r="O63" s="720" t="e">
        <f t="shared" si="9"/>
        <v>#DIV/0!</v>
      </c>
      <c r="P63" s="809" t="e">
        <v>#DIV/0!</v>
      </c>
      <c r="Q63" s="720" t="e">
        <v>#DIV/0!</v>
      </c>
      <c r="R63" s="720" t="e">
        <v>#DIV/0!</v>
      </c>
      <c r="S63" s="720" t="e">
        <v>#DIV/0!</v>
      </c>
      <c r="T63" s="807" t="e">
        <f t="shared" si="10"/>
        <v>#DIV/0!</v>
      </c>
      <c r="U63" s="724" t="e">
        <f t="shared" si="11"/>
        <v>#DIV/0!</v>
      </c>
      <c r="V63" s="810" t="e">
        <v>#DIV/0!</v>
      </c>
      <c r="W63" s="720">
        <f t="shared" si="34"/>
        <v>0</v>
      </c>
      <c r="X63" s="808">
        <v>0</v>
      </c>
      <c r="Y63" s="720" t="e">
        <f t="shared" si="12"/>
        <v>#DIV/0!</v>
      </c>
      <c r="Z63" s="720" t="e">
        <v>#DIV/0!</v>
      </c>
      <c r="AA63" s="720" t="e">
        <v>#DIV/0!</v>
      </c>
      <c r="AB63" s="808" t="e">
        <v>#DIV/0!</v>
      </c>
      <c r="AC63" s="720" t="e">
        <v>#DIV/0!</v>
      </c>
      <c r="AD63" s="811" t="e">
        <f t="shared" si="39"/>
        <v>#DIV/0!</v>
      </c>
      <c r="AE63" s="724" t="e">
        <f t="shared" si="40"/>
        <v>#DIV/0!</v>
      </c>
      <c r="AF63" s="812" t="e">
        <v>#DIV/0!</v>
      </c>
      <c r="AG63" s="720">
        <f t="shared" si="35"/>
        <v>0</v>
      </c>
      <c r="AH63" s="808">
        <v>0</v>
      </c>
      <c r="AI63" s="720" t="e">
        <f t="shared" si="41"/>
        <v>#DIV/0!</v>
      </c>
      <c r="AJ63" s="720" t="e">
        <v>#DIV/0!</v>
      </c>
      <c r="AK63" s="720" t="e">
        <v>#DIV/0!</v>
      </c>
      <c r="AL63" s="720" t="e">
        <v>#DIV/0!</v>
      </c>
      <c r="AM63" s="808" t="e">
        <v>#DIV/0!</v>
      </c>
      <c r="AN63" s="720" t="e">
        <f t="shared" si="13"/>
        <v>#DIV/0!</v>
      </c>
      <c r="AO63" s="720" t="e">
        <v>#DIV/0!</v>
      </c>
      <c r="AP63" s="720" t="e">
        <v>#DIV/0!</v>
      </c>
      <c r="AQ63" s="720">
        <f t="shared" si="37"/>
        <v>0</v>
      </c>
      <c r="AR63" s="813">
        <v>0</v>
      </c>
      <c r="AS63" s="720" t="e">
        <f t="shared" si="38"/>
        <v>#DIV/0!</v>
      </c>
      <c r="AT63" s="720" t="e">
        <v>#DIV/0!</v>
      </c>
      <c r="AU63" s="720" t="e">
        <v>#DIV/0!</v>
      </c>
      <c r="AV63" s="808" t="e">
        <v>#DIV/0!</v>
      </c>
      <c r="AW63" s="720" t="e">
        <v>#DIV/0!</v>
      </c>
      <c r="BA63" s="723">
        <v>56.854999999999997</v>
      </c>
      <c r="BB63" s="723">
        <v>43.54</v>
      </c>
      <c r="BC63" s="895">
        <f t="shared" si="15"/>
        <v>2475.4666999999999</v>
      </c>
      <c r="BD63" s="814">
        <f>+BC63/$BC$112</f>
        <v>3.9157284207519474E-3</v>
      </c>
    </row>
    <row r="64" spans="2:56">
      <c r="B64" s="728" t="s">
        <v>147</v>
      </c>
      <c r="C64" s="807">
        <f>D64*M64</f>
        <v>-1.502131929486813E-2</v>
      </c>
      <c r="D64" s="805">
        <f>((E64/L64)-1)*100</f>
        <v>-14.760595276609511</v>
      </c>
      <c r="E64" s="808">
        <v>59.294001367420229</v>
      </c>
      <c r="F64" s="720">
        <f t="shared" si="4"/>
        <v>1.0073926294174491E-3</v>
      </c>
      <c r="G64" s="808">
        <v>779.25408000000004</v>
      </c>
      <c r="H64" s="720">
        <f t="shared" si="5"/>
        <v>0.13329513316934691</v>
      </c>
      <c r="I64" s="809">
        <v>8.0650094873992804E-3</v>
      </c>
      <c r="J64" s="807">
        <f t="shared" si="6"/>
        <v>2.6521596201744466E-2</v>
      </c>
      <c r="K64" s="805">
        <f t="shared" si="7"/>
        <v>25.136367041419128</v>
      </c>
      <c r="L64" s="808">
        <v>69.561726246017997</v>
      </c>
      <c r="M64" s="720">
        <f t="shared" si="42"/>
        <v>1.0176635165027373E-3</v>
      </c>
      <c r="N64" s="808">
        <v>920.99436000000003</v>
      </c>
      <c r="O64" s="720">
        <f t="shared" si="9"/>
        <v>0.12523012368194764</v>
      </c>
      <c r="P64" s="809">
        <v>6.6945673864338426E-3</v>
      </c>
      <c r="Q64" s="720">
        <v>6.4857883690540687E-3</v>
      </c>
      <c r="R64" s="720">
        <v>6.8280520101691028E-3</v>
      </c>
      <c r="S64" s="720">
        <v>7.4978370900078391E-3</v>
      </c>
      <c r="T64" s="807">
        <f t="shared" si="10"/>
        <v>1.2970483484559588E-2</v>
      </c>
      <c r="U64" s="724">
        <f t="shared" si="11"/>
        <v>14.302986000356821</v>
      </c>
      <c r="V64" s="810">
        <v>55.588737223762962</v>
      </c>
      <c r="W64" s="720">
        <f t="shared" si="34"/>
        <v>1.0551085667249683E-3</v>
      </c>
      <c r="X64" s="808">
        <v>750.94056</v>
      </c>
      <c r="Y64" s="720">
        <f t="shared" si="12"/>
        <v>9.7723878826282778E-2</v>
      </c>
      <c r="Z64" s="720">
        <v>7.8554889867972402E-3</v>
      </c>
      <c r="AA64" s="720">
        <v>7.7597183710409095E-3</v>
      </c>
      <c r="AB64" s="808">
        <v>7.683487308354873E-3</v>
      </c>
      <c r="AC64" s="720">
        <v>8.384076797828599E-3</v>
      </c>
      <c r="AD64" s="811">
        <f t="shared" si="39"/>
        <v>3.2515035925736353E-3</v>
      </c>
      <c r="AE64" s="724">
        <f t="shared" si="40"/>
        <v>3.7336374573320841</v>
      </c>
      <c r="AF64" s="812">
        <v>48.632795317866346</v>
      </c>
      <c r="AG64" s="720">
        <f t="shared" si="35"/>
        <v>9.0683745927151228E-4</v>
      </c>
      <c r="AH64" s="808">
        <v>641.73653999999999</v>
      </c>
      <c r="AI64" s="720">
        <f t="shared" si="41"/>
        <v>6.6041107362261153E-2</v>
      </c>
      <c r="AJ64" s="720">
        <v>8.3465593442891266E-3</v>
      </c>
      <c r="AK64" s="720">
        <v>7.6429152405955427E-3</v>
      </c>
      <c r="AL64" s="720">
        <v>7.7669732442953677E-3</v>
      </c>
      <c r="AM64" s="808">
        <v>8.2666331225360046E-3</v>
      </c>
      <c r="AN64" s="720">
        <f t="shared" si="13"/>
        <v>2.2292635415151706E-2</v>
      </c>
      <c r="AO64" s="720">
        <v>27.849406374295384</v>
      </c>
      <c r="AP64" s="720">
        <v>46.882377317454122</v>
      </c>
      <c r="AQ64" s="720">
        <f t="shared" si="37"/>
        <v>8.7086751987351142E-4</v>
      </c>
      <c r="AR64" s="813">
        <v>499.52136000000007</v>
      </c>
      <c r="AS64" s="720">
        <f t="shared" si="38"/>
        <v>3.4018026410545105E-2</v>
      </c>
      <c r="AT64" s="720">
        <v>8.0331852363659823E-3</v>
      </c>
      <c r="AU64" s="720">
        <v>9.2407616038775505E-3</v>
      </c>
      <c r="AV64" s="808">
        <v>8.3891725333517051E-3</v>
      </c>
      <c r="AW64" s="720">
        <v>8.3549070369498702E-3</v>
      </c>
      <c r="BA64" s="723">
        <v>13.8</v>
      </c>
      <c r="BB64" s="723">
        <v>36.67</v>
      </c>
      <c r="BC64" s="895">
        <f t="shared" si="15"/>
        <v>506.04600000000005</v>
      </c>
      <c r="BD64" s="814">
        <f>+BC64/$BC$112</f>
        <v>8.0047075745670116E-4</v>
      </c>
    </row>
    <row r="65" spans="2:56">
      <c r="B65" s="723" t="s">
        <v>274</v>
      </c>
      <c r="C65" s="807"/>
      <c r="D65" s="805"/>
      <c r="E65" s="808" t="e">
        <v>#DIV/0!</v>
      </c>
      <c r="G65" s="808">
        <v>0</v>
      </c>
      <c r="H65" s="720" t="e">
        <f t="shared" si="5"/>
        <v>#DIV/0!</v>
      </c>
      <c r="I65" s="809" t="e">
        <v>#DIV/0!</v>
      </c>
      <c r="J65" s="807"/>
      <c r="K65" s="805"/>
      <c r="L65" s="808">
        <v>0</v>
      </c>
      <c r="N65" s="808">
        <v>0</v>
      </c>
      <c r="P65" s="809" t="e">
        <v>#VALUE!</v>
      </c>
      <c r="Q65" s="720" t="e">
        <v>#VALUE!</v>
      </c>
      <c r="R65" s="720" t="e">
        <v>#VALUE!</v>
      </c>
      <c r="S65" s="720" t="e">
        <v>#VALUE!</v>
      </c>
      <c r="T65" s="807" t="s">
        <v>103</v>
      </c>
      <c r="U65" s="724" t="s">
        <v>103</v>
      </c>
      <c r="V65" s="810" t="e">
        <v>#VALUE!</v>
      </c>
      <c r="W65" s="720">
        <f t="shared" si="34"/>
        <v>0</v>
      </c>
      <c r="X65" s="808">
        <v>0</v>
      </c>
      <c r="Y65" s="720" t="s">
        <v>103</v>
      </c>
      <c r="Z65" s="720" t="e">
        <v>#DIV/0!</v>
      </c>
      <c r="AA65" s="720" t="e">
        <v>#DIV/0!</v>
      </c>
      <c r="AB65" s="808" t="e">
        <v>#DIV/0!</v>
      </c>
      <c r="AC65" s="720" t="e">
        <v>#DIV/0!</v>
      </c>
      <c r="AD65" s="811" t="e">
        <f t="shared" si="39"/>
        <v>#DIV/0!</v>
      </c>
      <c r="AE65" s="724" t="e">
        <f t="shared" si="40"/>
        <v>#DIV/0!</v>
      </c>
      <c r="AF65" s="812" t="e">
        <v>#DIV/0!</v>
      </c>
      <c r="AG65" s="720">
        <f t="shared" si="35"/>
        <v>0</v>
      </c>
      <c r="AH65" s="808">
        <v>0</v>
      </c>
      <c r="AI65" s="720" t="e">
        <f t="shared" si="41"/>
        <v>#DIV/0!</v>
      </c>
      <c r="AJ65" s="720" t="e">
        <v>#DIV/0!</v>
      </c>
      <c r="AK65" s="720" t="e">
        <v>#DIV/0!</v>
      </c>
      <c r="AL65" s="720" t="e">
        <v>#DIV/0!</v>
      </c>
      <c r="AM65" s="808" t="e">
        <v>#DIV/0!</v>
      </c>
      <c r="AN65" s="720" t="e">
        <f t="shared" si="13"/>
        <v>#DIV/0!</v>
      </c>
      <c r="AO65" s="720" t="e">
        <v>#DIV/0!</v>
      </c>
      <c r="AP65" s="720" t="e">
        <v>#DIV/0!</v>
      </c>
      <c r="AQ65" s="720">
        <f t="shared" si="37"/>
        <v>0</v>
      </c>
      <c r="AR65" s="813">
        <v>0</v>
      </c>
      <c r="AS65" s="720" t="e">
        <f t="shared" si="38"/>
        <v>#DIV/0!</v>
      </c>
      <c r="AT65" s="720" t="e">
        <v>#DIV/0!</v>
      </c>
      <c r="AU65" s="720" t="e">
        <v>#DIV/0!</v>
      </c>
      <c r="AV65" s="808" t="e">
        <v>#DIV/0!</v>
      </c>
      <c r="AW65" s="720" t="e">
        <v>#DIV/0!</v>
      </c>
      <c r="BA65" s="723"/>
      <c r="BB65" s="723"/>
      <c r="BC65" s="895">
        <f t="shared" si="15"/>
        <v>0</v>
      </c>
      <c r="BD65" s="814"/>
    </row>
    <row r="66" spans="2:56">
      <c r="B66" s="723" t="s">
        <v>148</v>
      </c>
      <c r="C66" s="807"/>
      <c r="D66" s="805"/>
      <c r="E66" s="808" t="e">
        <v>#DIV/0!</v>
      </c>
      <c r="F66" s="720">
        <f t="shared" si="4"/>
        <v>0</v>
      </c>
      <c r="G66" s="808">
        <v>0</v>
      </c>
      <c r="H66" s="720" t="e">
        <f t="shared" si="5"/>
        <v>#DIV/0!</v>
      </c>
      <c r="I66" s="809" t="e">
        <v>#DIV/0!</v>
      </c>
      <c r="J66" s="807" t="e">
        <f t="shared" si="6"/>
        <v>#DIV/0!</v>
      </c>
      <c r="K66" s="805" t="e">
        <f t="shared" si="7"/>
        <v>#DIV/0!</v>
      </c>
      <c r="L66" s="808" t="e">
        <v>#DIV/0!</v>
      </c>
      <c r="N66" s="808">
        <v>0</v>
      </c>
      <c r="O66" s="720" t="e">
        <f t="shared" si="9"/>
        <v>#DIV/0!</v>
      </c>
      <c r="P66" s="809" t="e">
        <v>#DIV/0!</v>
      </c>
      <c r="Q66" s="720" t="e">
        <v>#DIV/0!</v>
      </c>
      <c r="R66" s="720" t="e">
        <v>#DIV/0!</v>
      </c>
      <c r="S66" s="720" t="e">
        <v>#DIV/0!</v>
      </c>
      <c r="T66" s="807" t="e">
        <f t="shared" si="10"/>
        <v>#DIV/0!</v>
      </c>
      <c r="U66" s="724" t="e">
        <f t="shared" si="11"/>
        <v>#DIV/0!</v>
      </c>
      <c r="V66" s="810" t="e">
        <v>#DIV/0!</v>
      </c>
      <c r="W66" s="720">
        <f t="shared" si="34"/>
        <v>0</v>
      </c>
      <c r="X66" s="808">
        <v>0</v>
      </c>
      <c r="Y66" s="720" t="e">
        <f t="shared" si="12"/>
        <v>#DIV/0!</v>
      </c>
      <c r="Z66" s="720" t="e">
        <v>#DIV/0!</v>
      </c>
      <c r="AA66" s="720" t="e">
        <v>#DIV/0!</v>
      </c>
      <c r="AB66" s="808" t="e">
        <v>#DIV/0!</v>
      </c>
      <c r="AC66" s="720" t="e">
        <v>#DIV/0!</v>
      </c>
      <c r="AD66" s="811" t="e">
        <f t="shared" si="39"/>
        <v>#DIV/0!</v>
      </c>
      <c r="AE66" s="724" t="e">
        <f t="shared" si="40"/>
        <v>#DIV/0!</v>
      </c>
      <c r="AF66" s="812" t="e">
        <v>#DIV/0!</v>
      </c>
      <c r="AG66" s="720">
        <f t="shared" si="35"/>
        <v>0</v>
      </c>
      <c r="AH66" s="808">
        <v>0</v>
      </c>
      <c r="AI66" s="720" t="e">
        <f t="shared" si="41"/>
        <v>#DIV/0!</v>
      </c>
      <c r="AJ66" s="720" t="e">
        <v>#DIV/0!</v>
      </c>
      <c r="AK66" s="720" t="e">
        <v>#DIV/0!</v>
      </c>
      <c r="AL66" s="720" t="e">
        <v>#DIV/0!</v>
      </c>
      <c r="AM66" s="808" t="e">
        <v>#DIV/0!</v>
      </c>
      <c r="AN66" s="720" t="e">
        <f t="shared" si="13"/>
        <v>#DIV/0!</v>
      </c>
      <c r="AO66" s="720" t="e">
        <v>#DIV/0!</v>
      </c>
      <c r="AP66" s="720" t="e">
        <v>#DIV/0!</v>
      </c>
      <c r="AQ66" s="720">
        <f t="shared" si="37"/>
        <v>0</v>
      </c>
      <c r="AR66" s="813">
        <v>0</v>
      </c>
      <c r="AS66" s="720" t="e">
        <f t="shared" si="38"/>
        <v>#DIV/0!</v>
      </c>
      <c r="AT66" s="720" t="e">
        <v>#DIV/0!</v>
      </c>
      <c r="AU66" s="720" t="e">
        <v>#DIV/0!</v>
      </c>
      <c r="AV66" s="808" t="e">
        <v>#DIV/0!</v>
      </c>
      <c r="AW66" s="720" t="e">
        <v>#DIV/0!</v>
      </c>
      <c r="BA66" s="723"/>
      <c r="BB66" s="723"/>
      <c r="BC66" s="895">
        <f t="shared" si="15"/>
        <v>0</v>
      </c>
      <c r="BD66" s="814"/>
    </row>
    <row r="67" spans="2:56">
      <c r="B67" s="723" t="s">
        <v>275</v>
      </c>
      <c r="C67" s="807"/>
      <c r="D67" s="805"/>
      <c r="E67" s="808" t="e">
        <v>#DIV/0!</v>
      </c>
      <c r="G67" s="808">
        <v>0</v>
      </c>
      <c r="H67" s="720" t="e">
        <f t="shared" si="5"/>
        <v>#DIV/0!</v>
      </c>
      <c r="I67" s="809" t="e">
        <v>#DIV/0!</v>
      </c>
      <c r="J67" s="807"/>
      <c r="K67" s="805"/>
      <c r="L67" s="808">
        <v>0</v>
      </c>
      <c r="N67" s="808">
        <v>0</v>
      </c>
      <c r="P67" s="809" t="e">
        <v>#VALUE!</v>
      </c>
      <c r="Q67" s="720" t="e">
        <v>#VALUE!</v>
      </c>
      <c r="R67" s="720" t="e">
        <v>#VALUE!</v>
      </c>
      <c r="S67" s="720" t="e">
        <v>#VALUE!</v>
      </c>
      <c r="T67" s="807" t="s">
        <v>103</v>
      </c>
      <c r="U67" s="724" t="s">
        <v>103</v>
      </c>
      <c r="V67" s="810" t="e">
        <v>#VALUE!</v>
      </c>
      <c r="W67" s="720">
        <f t="shared" si="34"/>
        <v>0</v>
      </c>
      <c r="X67" s="808">
        <v>0</v>
      </c>
      <c r="Y67" s="720" t="s">
        <v>103</v>
      </c>
      <c r="Z67" s="720" t="e">
        <v>#DIV/0!</v>
      </c>
      <c r="AA67" s="720" t="e">
        <v>#DIV/0!</v>
      </c>
      <c r="AB67" s="808" t="e">
        <v>#DIV/0!</v>
      </c>
      <c r="AC67" s="720" t="e">
        <v>#DIV/0!</v>
      </c>
      <c r="AD67" s="811"/>
      <c r="AE67" s="724"/>
      <c r="AF67" s="812" t="e">
        <v>#DIV/0!</v>
      </c>
      <c r="AG67" s="720">
        <f t="shared" si="35"/>
        <v>0</v>
      </c>
      <c r="AH67" s="808">
        <v>0</v>
      </c>
      <c r="AI67" s="720" t="e">
        <f t="shared" si="41"/>
        <v>#DIV/0!</v>
      </c>
      <c r="AJ67" s="720" t="e">
        <v>#DIV/0!</v>
      </c>
      <c r="AK67" s="720" t="e">
        <v>#DIV/0!</v>
      </c>
      <c r="AL67" s="720" t="e">
        <v>#DIV/0!</v>
      </c>
      <c r="AM67" s="808" t="e">
        <v>#DIV/0!</v>
      </c>
      <c r="AN67" s="720" t="e">
        <f t="shared" si="13"/>
        <v>#DIV/0!</v>
      </c>
      <c r="AO67" s="720" t="e">
        <v>#DIV/0!</v>
      </c>
      <c r="AP67" s="720" t="e">
        <v>#DIV/0!</v>
      </c>
      <c r="AQ67" s="720">
        <f t="shared" si="37"/>
        <v>0</v>
      </c>
      <c r="AR67" s="813">
        <v>0</v>
      </c>
      <c r="AS67" s="720" t="e">
        <f t="shared" si="38"/>
        <v>#DIV/0!</v>
      </c>
      <c r="AT67" s="720" t="e">
        <v>#DIV/0!</v>
      </c>
      <c r="AU67" s="720" t="e">
        <v>#DIV/0!</v>
      </c>
      <c r="AV67" s="808" t="e">
        <v>#DIV/0!</v>
      </c>
      <c r="AW67" s="720" t="e">
        <v>#DIV/0!</v>
      </c>
      <c r="BA67" s="723"/>
      <c r="BB67" s="723"/>
      <c r="BC67" s="895">
        <f t="shared" si="15"/>
        <v>0</v>
      </c>
      <c r="BD67" s="814"/>
    </row>
    <row r="68" spans="2:56">
      <c r="B68" s="728" t="s">
        <v>149</v>
      </c>
      <c r="C68" s="807">
        <f>D68*M68</f>
        <v>-0.1151533099034978</v>
      </c>
      <c r="D68" s="805">
        <f>((E68/L68)-1)*100</f>
        <v>-5.8601209420751088</v>
      </c>
      <c r="E68" s="808">
        <v>66.223449229832909</v>
      </c>
      <c r="F68" s="720">
        <f t="shared" si="4"/>
        <v>2.1493838960524741E-2</v>
      </c>
      <c r="G68" s="808">
        <v>16626.25</v>
      </c>
      <c r="H68" s="720">
        <f t="shared" si="5"/>
        <v>0.12720764646524088</v>
      </c>
      <c r="I68" s="809">
        <v>7.7646471864866781E-3</v>
      </c>
      <c r="J68" s="807">
        <f t="shared" si="6"/>
        <v>0.58791324840298598</v>
      </c>
      <c r="K68" s="805">
        <f t="shared" si="7"/>
        <v>29.832108847538553</v>
      </c>
      <c r="L68" s="808">
        <v>70.345798074676921</v>
      </c>
      <c r="M68" s="720">
        <f>N68/N$112</f>
        <v>1.9650329923518818E-2</v>
      </c>
      <c r="N68" s="808">
        <v>17783.72</v>
      </c>
      <c r="O68" s="720">
        <f t="shared" si="9"/>
        <v>0.11944299927875421</v>
      </c>
      <c r="P68" s="809">
        <v>6.7726987579441403E-3</v>
      </c>
      <c r="Q68" s="720">
        <v>6.6155736206304711E-3</v>
      </c>
      <c r="R68" s="720">
        <v>7.2576391995422852E-3</v>
      </c>
      <c r="S68" s="720">
        <v>7.5155775590414189E-3</v>
      </c>
      <c r="T68" s="807">
        <f t="shared" si="10"/>
        <v>0.1529203999329343</v>
      </c>
      <c r="U68" s="724">
        <f t="shared" si="11"/>
        <v>8.1476900205701419</v>
      </c>
      <c r="V68" s="810">
        <v>54.182126978530228</v>
      </c>
      <c r="W68" s="720">
        <f t="shared" si="34"/>
        <v>1.9707398206663982E-2</v>
      </c>
      <c r="X68" s="808">
        <v>14026.125</v>
      </c>
      <c r="Y68" s="720">
        <f t="shared" si="12"/>
        <v>9.1281510141595884E-2</v>
      </c>
      <c r="Z68" s="720">
        <v>7.801492573626367E-3</v>
      </c>
      <c r="AA68" s="720">
        <v>7.8477253969619423E-3</v>
      </c>
      <c r="AB68" s="808">
        <v>8.0721814631568665E-3</v>
      </c>
      <c r="AC68" s="720">
        <v>8.3608683844253601E-3</v>
      </c>
      <c r="AD68" s="811">
        <f t="shared" ref="AD68:AD75" si="43">AE68*AQ68</f>
        <v>0.29442795218233764</v>
      </c>
      <c r="AE68" s="724">
        <f t="shared" ref="AE68:AE75" si="44">((AF68/AP68)-1)*100</f>
        <v>16.959201408994762</v>
      </c>
      <c r="AF68" s="812">
        <v>50.100124161898016</v>
      </c>
      <c r="AG68" s="720">
        <f t="shared" si="35"/>
        <v>1.8768558885630452E-2</v>
      </c>
      <c r="AH68" s="808">
        <v>13281.84</v>
      </c>
      <c r="AI68" s="720">
        <f t="shared" si="41"/>
        <v>5.9199242323425341E-2</v>
      </c>
      <c r="AJ68" s="720">
        <v>7.393769969506931E-3</v>
      </c>
      <c r="AK68" s="720">
        <v>7.4963896802460288E-3</v>
      </c>
      <c r="AL68" s="720">
        <v>7.4541462993397952E-3</v>
      </c>
      <c r="AM68" s="808">
        <v>7.6488827188300095E-3</v>
      </c>
      <c r="AN68" s="720">
        <f t="shared" si="13"/>
        <v>0.350441817725269</v>
      </c>
      <c r="AO68" s="720">
        <v>23.267786915516588</v>
      </c>
      <c r="AP68" s="720">
        <v>42.835555953142013</v>
      </c>
      <c r="AQ68" s="720">
        <f t="shared" si="37"/>
        <v>1.7360956160717565E-2</v>
      </c>
      <c r="AR68" s="813">
        <v>9958.08</v>
      </c>
      <c r="AS68" s="720">
        <f t="shared" si="38"/>
        <v>2.9206053655502578E-2</v>
      </c>
      <c r="AT68" s="720">
        <v>7.6092028770142085E-3</v>
      </c>
      <c r="AU68" s="720">
        <v>7.4833417708254106E-3</v>
      </c>
      <c r="AV68" s="808">
        <v>6.8090792244395832E-3</v>
      </c>
      <c r="AW68" s="720">
        <v>7.3044297832233745E-3</v>
      </c>
      <c r="BA68" s="723">
        <v>274</v>
      </c>
      <c r="BB68" s="723">
        <v>34.75</v>
      </c>
      <c r="BC68" s="895">
        <f t="shared" si="15"/>
        <v>9521.5</v>
      </c>
      <c r="BD68" s="814">
        <f>+BC68/$BC$112</f>
        <v>1.5061244070942127E-2</v>
      </c>
    </row>
    <row r="69" spans="2:56">
      <c r="B69" s="723" t="s">
        <v>150</v>
      </c>
      <c r="C69" s="807"/>
      <c r="D69" s="805"/>
      <c r="E69" s="808" t="e">
        <v>#DIV/0!</v>
      </c>
      <c r="F69" s="720">
        <f t="shared" si="4"/>
        <v>0</v>
      </c>
      <c r="G69" s="808">
        <v>0</v>
      </c>
      <c r="H69" s="720" t="e">
        <f t="shared" si="5"/>
        <v>#DIV/0!</v>
      </c>
      <c r="I69" s="809" t="e">
        <v>#DIV/0!</v>
      </c>
      <c r="J69" s="807" t="e">
        <f t="shared" si="6"/>
        <v>#DIV/0!</v>
      </c>
      <c r="K69" s="805" t="e">
        <f t="shared" si="7"/>
        <v>#DIV/0!</v>
      </c>
      <c r="L69" s="808" t="e">
        <v>#DIV/0!</v>
      </c>
      <c r="N69" s="808">
        <v>0</v>
      </c>
      <c r="O69" s="720" t="e">
        <f t="shared" si="9"/>
        <v>#DIV/0!</v>
      </c>
      <c r="P69" s="809" t="e">
        <v>#DIV/0!</v>
      </c>
      <c r="Q69" s="720" t="e">
        <v>#DIV/0!</v>
      </c>
      <c r="R69" s="720" t="e">
        <v>#DIV/0!</v>
      </c>
      <c r="S69" s="720" t="e">
        <v>#DIV/0!</v>
      </c>
      <c r="T69" s="807" t="e">
        <f t="shared" si="10"/>
        <v>#DIV/0!</v>
      </c>
      <c r="U69" s="724" t="e">
        <f t="shared" si="11"/>
        <v>#DIV/0!</v>
      </c>
      <c r="V69" s="810" t="e">
        <v>#DIV/0!</v>
      </c>
      <c r="W69" s="720">
        <f t="shared" si="34"/>
        <v>0</v>
      </c>
      <c r="X69" s="808">
        <v>0</v>
      </c>
      <c r="Y69" s="720" t="e">
        <f t="shared" si="12"/>
        <v>#DIV/0!</v>
      </c>
      <c r="Z69" s="720" t="e">
        <v>#DIV/0!</v>
      </c>
      <c r="AA69" s="720" t="e">
        <v>#DIV/0!</v>
      </c>
      <c r="AB69" s="808" t="e">
        <v>#DIV/0!</v>
      </c>
      <c r="AC69" s="720" t="e">
        <v>#DIV/0!</v>
      </c>
      <c r="AD69" s="811" t="e">
        <f t="shared" si="43"/>
        <v>#DIV/0!</v>
      </c>
      <c r="AE69" s="724" t="e">
        <f t="shared" si="44"/>
        <v>#DIV/0!</v>
      </c>
      <c r="AF69" s="812" t="e">
        <v>#DIV/0!</v>
      </c>
      <c r="AG69" s="720">
        <f t="shared" si="35"/>
        <v>0</v>
      </c>
      <c r="AH69" s="808">
        <v>0</v>
      </c>
      <c r="AI69" s="720" t="e">
        <f t="shared" si="41"/>
        <v>#DIV/0!</v>
      </c>
      <c r="AJ69" s="720" t="e">
        <v>#DIV/0!</v>
      </c>
      <c r="AK69" s="720" t="e">
        <v>#DIV/0!</v>
      </c>
      <c r="AL69" s="720" t="e">
        <v>#DIV/0!</v>
      </c>
      <c r="AM69" s="808" t="e">
        <v>#DIV/0!</v>
      </c>
      <c r="AN69" s="720" t="e">
        <f t="shared" si="13"/>
        <v>#DIV/0!</v>
      </c>
      <c r="AO69" s="720" t="e">
        <v>#DIV/0!</v>
      </c>
      <c r="AP69" s="720" t="e">
        <v>#DIV/0!</v>
      </c>
      <c r="AQ69" s="720">
        <f t="shared" si="37"/>
        <v>0</v>
      </c>
      <c r="AR69" s="813">
        <v>0</v>
      </c>
      <c r="AS69" s="720" t="e">
        <f t="shared" si="38"/>
        <v>#DIV/0!</v>
      </c>
      <c r="AT69" s="720" t="e">
        <v>#DIV/0!</v>
      </c>
      <c r="AU69" s="720" t="e">
        <v>#DIV/0!</v>
      </c>
      <c r="AV69" s="808" t="e">
        <v>#DIV/0!</v>
      </c>
      <c r="AW69" s="720" t="e">
        <v>#DIV/0!</v>
      </c>
      <c r="BA69" s="723"/>
      <c r="BB69" s="723"/>
      <c r="BC69" s="895">
        <f t="shared" si="15"/>
        <v>0</v>
      </c>
      <c r="BD69" s="814"/>
    </row>
    <row r="70" spans="2:56">
      <c r="B70" s="723" t="s">
        <v>276</v>
      </c>
      <c r="C70" s="807"/>
      <c r="D70" s="805"/>
      <c r="E70" s="808" t="e">
        <v>#VALUE!</v>
      </c>
      <c r="G70" s="808">
        <v>0</v>
      </c>
      <c r="H70" s="720" t="e">
        <f t="shared" si="5"/>
        <v>#VALUE!</v>
      </c>
      <c r="I70" s="809" t="e">
        <v>#VALUE!</v>
      </c>
      <c r="J70" s="807" t="s">
        <v>103</v>
      </c>
      <c r="K70" s="805" t="s">
        <v>103</v>
      </c>
      <c r="L70" s="808" t="e">
        <v>#VALUE!</v>
      </c>
      <c r="N70" s="808">
        <v>0</v>
      </c>
      <c r="O70" s="720" t="s">
        <v>103</v>
      </c>
      <c r="P70" s="809" t="e">
        <v>#DIV/0!</v>
      </c>
      <c r="Q70" s="720" t="e">
        <v>#DIV/0!</v>
      </c>
      <c r="R70" s="720" t="e">
        <v>#DIV/0!</v>
      </c>
      <c r="S70" s="720" t="e">
        <v>#DIV/0!</v>
      </c>
      <c r="T70" s="807" t="e">
        <f t="shared" si="10"/>
        <v>#DIV/0!</v>
      </c>
      <c r="U70" s="724" t="e">
        <f t="shared" si="11"/>
        <v>#DIV/0!</v>
      </c>
      <c r="V70" s="810" t="e">
        <v>#DIV/0!</v>
      </c>
      <c r="W70" s="720">
        <f t="shared" si="34"/>
        <v>0</v>
      </c>
      <c r="X70" s="808">
        <v>0</v>
      </c>
      <c r="Y70" s="720" t="e">
        <f t="shared" si="12"/>
        <v>#DIV/0!</v>
      </c>
      <c r="Z70" s="720" t="e">
        <v>#DIV/0!</v>
      </c>
      <c r="AA70" s="720" t="e">
        <v>#DIV/0!</v>
      </c>
      <c r="AB70" s="808" t="e">
        <v>#DIV/0!</v>
      </c>
      <c r="AC70" s="720" t="e">
        <v>#DIV/0!</v>
      </c>
      <c r="AD70" s="811" t="e">
        <f t="shared" si="43"/>
        <v>#DIV/0!</v>
      </c>
      <c r="AE70" s="724" t="e">
        <f t="shared" si="44"/>
        <v>#DIV/0!</v>
      </c>
      <c r="AF70" s="812" t="e">
        <v>#DIV/0!</v>
      </c>
      <c r="AG70" s="720">
        <f t="shared" si="35"/>
        <v>0</v>
      </c>
      <c r="AH70" s="808">
        <v>0</v>
      </c>
      <c r="AI70" s="720" t="e">
        <f t="shared" si="41"/>
        <v>#DIV/0!</v>
      </c>
      <c r="AJ70" s="720" t="e">
        <v>#DIV/0!</v>
      </c>
      <c r="AK70" s="720" t="e">
        <v>#DIV/0!</v>
      </c>
      <c r="AL70" s="720" t="e">
        <v>#DIV/0!</v>
      </c>
      <c r="AM70" s="808" t="e">
        <v>#DIV/0!</v>
      </c>
      <c r="AN70" s="720" t="e">
        <f t="shared" si="13"/>
        <v>#DIV/0!</v>
      </c>
      <c r="AO70" s="720" t="e">
        <v>#DIV/0!</v>
      </c>
      <c r="AP70" s="720" t="e">
        <v>#DIV/0!</v>
      </c>
      <c r="AQ70" s="720">
        <f t="shared" si="37"/>
        <v>0</v>
      </c>
      <c r="AR70" s="813">
        <v>0</v>
      </c>
      <c r="AS70" s="720" t="e">
        <f t="shared" si="38"/>
        <v>#DIV/0!</v>
      </c>
      <c r="AT70" s="720" t="e">
        <v>#DIV/0!</v>
      </c>
      <c r="AU70" s="720" t="e">
        <v>#DIV/0!</v>
      </c>
      <c r="AV70" s="808" t="e">
        <v>#DIV/0!</v>
      </c>
      <c r="AW70" s="720" t="e">
        <v>#DIV/0!</v>
      </c>
      <c r="BA70" s="723"/>
      <c r="BB70" s="723"/>
      <c r="BC70" s="895">
        <f t="shared" si="15"/>
        <v>0</v>
      </c>
      <c r="BD70" s="814"/>
    </row>
    <row r="71" spans="2:56">
      <c r="B71" s="723" t="s">
        <v>277</v>
      </c>
      <c r="C71" s="807"/>
      <c r="D71" s="805"/>
      <c r="E71" s="808" t="e">
        <v>#DIV/0!</v>
      </c>
      <c r="F71" s="720">
        <f t="shared" si="4"/>
        <v>0</v>
      </c>
      <c r="G71" s="808">
        <v>0</v>
      </c>
      <c r="H71" s="720" t="e">
        <f t="shared" si="5"/>
        <v>#DIV/0!</v>
      </c>
      <c r="I71" s="809" t="e">
        <v>#DIV/0!</v>
      </c>
      <c r="J71" s="807" t="e">
        <f t="shared" si="6"/>
        <v>#DIV/0!</v>
      </c>
      <c r="K71" s="805" t="e">
        <f t="shared" si="7"/>
        <v>#DIV/0!</v>
      </c>
      <c r="L71" s="808" t="e">
        <v>#DIV/0!</v>
      </c>
      <c r="N71" s="808">
        <v>0</v>
      </c>
      <c r="O71" s="720" t="e">
        <f t="shared" si="9"/>
        <v>#DIV/0!</v>
      </c>
      <c r="P71" s="809" t="e">
        <v>#DIV/0!</v>
      </c>
      <c r="Q71" s="720" t="e">
        <v>#DIV/0!</v>
      </c>
      <c r="R71" s="720" t="e">
        <v>#DIV/0!</v>
      </c>
      <c r="S71" s="720" t="e">
        <v>#DIV/0!</v>
      </c>
      <c r="T71" s="807" t="e">
        <f t="shared" si="10"/>
        <v>#DIV/0!</v>
      </c>
      <c r="U71" s="724" t="e">
        <f t="shared" si="11"/>
        <v>#DIV/0!</v>
      </c>
      <c r="V71" s="810" t="e">
        <v>#DIV/0!</v>
      </c>
      <c r="W71" s="720">
        <f t="shared" si="34"/>
        <v>0</v>
      </c>
      <c r="X71" s="808">
        <v>0</v>
      </c>
      <c r="Y71" s="720" t="e">
        <f t="shared" si="12"/>
        <v>#DIV/0!</v>
      </c>
      <c r="Z71" s="720" t="e">
        <v>#DIV/0!</v>
      </c>
      <c r="AA71" s="720" t="e">
        <v>#DIV/0!</v>
      </c>
      <c r="AB71" s="808" t="e">
        <v>#DIV/0!</v>
      </c>
      <c r="AC71" s="720" t="e">
        <v>#DIV/0!</v>
      </c>
      <c r="AD71" s="811" t="e">
        <f t="shared" si="43"/>
        <v>#DIV/0!</v>
      </c>
      <c r="AE71" s="724" t="e">
        <f t="shared" si="44"/>
        <v>#DIV/0!</v>
      </c>
      <c r="AF71" s="812" t="e">
        <v>#DIV/0!</v>
      </c>
      <c r="AG71" s="720">
        <f t="shared" si="35"/>
        <v>0</v>
      </c>
      <c r="AH71" s="808">
        <v>0</v>
      </c>
      <c r="AI71" s="720" t="e">
        <f t="shared" si="41"/>
        <v>#DIV/0!</v>
      </c>
      <c r="AJ71" s="720" t="e">
        <v>#DIV/0!</v>
      </c>
      <c r="AK71" s="720" t="e">
        <v>#DIV/0!</v>
      </c>
      <c r="AL71" s="720" t="e">
        <v>#DIV/0!</v>
      </c>
      <c r="AM71" s="808" t="e">
        <v>#DIV/0!</v>
      </c>
      <c r="AN71" s="720" t="e">
        <f t="shared" si="13"/>
        <v>#DIV/0!</v>
      </c>
      <c r="AO71" s="720" t="e">
        <v>#DIV/0!</v>
      </c>
      <c r="AP71" s="720" t="e">
        <v>#DIV/0!</v>
      </c>
      <c r="AQ71" s="720">
        <f t="shared" si="37"/>
        <v>0</v>
      </c>
      <c r="AR71" s="813">
        <v>0</v>
      </c>
      <c r="AS71" s="720" t="e">
        <f t="shared" si="38"/>
        <v>#DIV/0!</v>
      </c>
      <c r="AT71" s="720" t="e">
        <v>#DIV/0!</v>
      </c>
      <c r="AU71" s="720" t="e">
        <v>#DIV/0!</v>
      </c>
      <c r="AV71" s="808" t="e">
        <v>#DIV/0!</v>
      </c>
      <c r="AW71" s="720" t="e">
        <v>#DIV/0!</v>
      </c>
      <c r="BA71" s="723"/>
      <c r="BB71" s="723"/>
      <c r="BC71" s="895">
        <f t="shared" si="15"/>
        <v>0</v>
      </c>
      <c r="BD71" s="814"/>
    </row>
    <row r="72" spans="2:56">
      <c r="B72" s="723" t="s">
        <v>278</v>
      </c>
      <c r="C72" s="807"/>
      <c r="D72" s="805"/>
      <c r="E72" s="808" t="e">
        <v>#DIV/0!</v>
      </c>
      <c r="F72" s="720" t="s">
        <v>103</v>
      </c>
      <c r="G72" s="808">
        <v>0</v>
      </c>
      <c r="H72" s="720" t="e">
        <f t="shared" ref="H72:H111" si="45">I72+O72</f>
        <v>#DIV/0!</v>
      </c>
      <c r="I72" s="809" t="e">
        <v>#DIV/0!</v>
      </c>
      <c r="J72" s="807" t="s">
        <v>103</v>
      </c>
      <c r="K72" s="805" t="s">
        <v>103</v>
      </c>
      <c r="L72" s="808">
        <v>0</v>
      </c>
      <c r="N72" s="808">
        <v>0</v>
      </c>
      <c r="P72" s="809" t="e">
        <v>#DIV/0!</v>
      </c>
      <c r="Q72" s="720" t="e">
        <v>#DIV/0!</v>
      </c>
      <c r="R72" s="720" t="e">
        <v>#DIV/0!</v>
      </c>
      <c r="S72" s="720" t="e">
        <v>#DIV/0!</v>
      </c>
      <c r="T72" s="807"/>
      <c r="U72" s="724" t="e">
        <f t="shared" ref="U72:U109" si="46">((V72/AF72)-1)*100</f>
        <v>#DIV/0!</v>
      </c>
      <c r="V72" s="810" t="e">
        <v>#DIV/0!</v>
      </c>
      <c r="W72" s="720">
        <f t="shared" si="34"/>
        <v>0</v>
      </c>
      <c r="X72" s="808">
        <v>0</v>
      </c>
      <c r="Y72" s="720" t="e">
        <f t="shared" ref="Y72:Y109" si="47">(Z72+AA72+AB72+AC72+AI72)</f>
        <v>#DIV/0!</v>
      </c>
      <c r="Z72" s="720" t="e">
        <v>#DIV/0!</v>
      </c>
      <c r="AA72" s="720" t="e">
        <v>#DIV/0!</v>
      </c>
      <c r="AB72" s="808" t="e">
        <v>#DIV/0!</v>
      </c>
      <c r="AC72" s="720" t="e">
        <v>#DIV/0!</v>
      </c>
      <c r="AD72" s="811" t="e">
        <f t="shared" si="43"/>
        <v>#DIV/0!</v>
      </c>
      <c r="AE72" s="724" t="e">
        <f t="shared" si="44"/>
        <v>#DIV/0!</v>
      </c>
      <c r="AF72" s="812" t="e">
        <v>#DIV/0!</v>
      </c>
      <c r="AG72" s="720">
        <f t="shared" si="35"/>
        <v>0</v>
      </c>
      <c r="AH72" s="808">
        <v>0</v>
      </c>
      <c r="AI72" s="720" t="e">
        <f t="shared" si="41"/>
        <v>#DIV/0!</v>
      </c>
      <c r="AJ72" s="720" t="e">
        <v>#DIV/0!</v>
      </c>
      <c r="AK72" s="720" t="e">
        <v>#DIV/0!</v>
      </c>
      <c r="AL72" s="720" t="e">
        <v>#DIV/0!</v>
      </c>
      <c r="AM72" s="808" t="e">
        <v>#DIV/0!</v>
      </c>
      <c r="AN72" s="720" t="e">
        <f t="shared" ref="AN72:AN109" si="48">AO72*BD72</f>
        <v>#DIV/0!</v>
      </c>
      <c r="AO72" s="720" t="e">
        <v>#DIV/0!</v>
      </c>
      <c r="AP72" s="720" t="e">
        <v>#DIV/0!</v>
      </c>
      <c r="AQ72" s="720">
        <f t="shared" si="37"/>
        <v>0</v>
      </c>
      <c r="AR72" s="813">
        <v>0</v>
      </c>
      <c r="AS72" s="720" t="e">
        <f t="shared" si="38"/>
        <v>#DIV/0!</v>
      </c>
      <c r="AT72" s="720" t="e">
        <v>#DIV/0!</v>
      </c>
      <c r="AU72" s="720" t="e">
        <v>#DIV/0!</v>
      </c>
      <c r="AV72" s="808" t="e">
        <v>#DIV/0!</v>
      </c>
      <c r="AW72" s="720" t="e">
        <v>#DIV/0!</v>
      </c>
      <c r="BA72" s="723"/>
      <c r="BB72" s="723"/>
      <c r="BC72" s="895">
        <f t="shared" si="15"/>
        <v>0</v>
      </c>
      <c r="BD72" s="814"/>
    </row>
    <row r="73" spans="2:56">
      <c r="B73" s="728" t="s">
        <v>151</v>
      </c>
      <c r="C73" s="807">
        <f>D73*M73</f>
        <v>-0.42965342754463348</v>
      </c>
      <c r="D73" s="805">
        <f>((E73/L73)-1)*100</f>
        <v>-12.937990494086439</v>
      </c>
      <c r="E73" s="808">
        <v>90.493809569271932</v>
      </c>
      <c r="F73" s="720">
        <f t="shared" ref="F73:F109" si="49">G73/G$112</f>
        <v>3.3124525114534273E-2</v>
      </c>
      <c r="G73" s="808">
        <v>25623</v>
      </c>
      <c r="H73" s="720">
        <f t="shared" si="45"/>
        <v>0.16017704575989652</v>
      </c>
      <c r="I73" s="809">
        <v>1.1268144988336453E-2</v>
      </c>
      <c r="J73" s="807">
        <f>K73*W73</f>
        <v>0.74523607719393825</v>
      </c>
      <c r="K73" s="805">
        <f t="shared" ref="K73:K109" si="50">((L73/V73)-1)*100</f>
        <v>22.29810618672601</v>
      </c>
      <c r="L73" s="808">
        <v>103.94178825280304</v>
      </c>
      <c r="M73" s="720">
        <f>N73/N$112</f>
        <v>3.320866774025031E-2</v>
      </c>
      <c r="N73" s="808">
        <v>30054.133999999998</v>
      </c>
      <c r="O73" s="720">
        <f t="shared" ref="O73:O109" si="51">(P73+Q73+R73+S73+Y73)</f>
        <v>0.14890890077156008</v>
      </c>
      <c r="P73" s="809">
        <v>9.3212650649156271E-3</v>
      </c>
      <c r="Q73" s="720">
        <v>8.857208806038408E-3</v>
      </c>
      <c r="R73" s="720">
        <v>9.4632494447686993E-3</v>
      </c>
      <c r="S73" s="720">
        <v>9.6988627857080029E-3</v>
      </c>
      <c r="T73" s="807">
        <f t="shared" ref="T73:T109" si="52">U73*AG73</f>
        <v>-0.24423937176461824</v>
      </c>
      <c r="U73" s="724">
        <f t="shared" si="46"/>
        <v>-6.6101450935218686</v>
      </c>
      <c r="V73" s="810">
        <v>84.990513339678088</v>
      </c>
      <c r="W73" s="720">
        <f t="shared" si="34"/>
        <v>3.3421496469398591E-2</v>
      </c>
      <c r="X73" s="808">
        <v>23786.705999999998</v>
      </c>
      <c r="Y73" s="720">
        <f t="shared" si="47"/>
        <v>0.11156831467012934</v>
      </c>
      <c r="Z73" s="720">
        <v>1.0298300550555781E-2</v>
      </c>
      <c r="AA73" s="720">
        <v>1.0238710878297837E-2</v>
      </c>
      <c r="AB73" s="808">
        <v>9.9127947368639977E-3</v>
      </c>
      <c r="AC73" s="720">
        <v>9.8277253013877627E-3</v>
      </c>
      <c r="AD73" s="811">
        <f t="shared" si="43"/>
        <v>0.63267421525806045</v>
      </c>
      <c r="AE73" s="724">
        <f t="shared" si="44"/>
        <v>19.277665222191743</v>
      </c>
      <c r="AF73" s="812">
        <v>91.006152033096896</v>
      </c>
      <c r="AG73" s="720">
        <f t="shared" si="35"/>
        <v>3.6949169543037688E-2</v>
      </c>
      <c r="AH73" s="808">
        <v>26147.61</v>
      </c>
      <c r="AI73" s="720">
        <f t="shared" si="41"/>
        <v>7.1290783203023955E-2</v>
      </c>
      <c r="AJ73" s="720">
        <v>8.6313713266007279E-3</v>
      </c>
      <c r="AK73" s="720">
        <v>9.0111219638040058E-3</v>
      </c>
      <c r="AL73" s="720">
        <v>8.9193635141664486E-3</v>
      </c>
      <c r="AM73" s="808">
        <v>9.2005482988504455E-3</v>
      </c>
      <c r="AN73" s="720">
        <f t="shared" si="48"/>
        <v>0.47664434190432187</v>
      </c>
      <c r="AO73" s="720">
        <v>15.585109677895304</v>
      </c>
      <c r="AP73" s="720">
        <v>76.297730898378703</v>
      </c>
      <c r="AQ73" s="720">
        <f t="shared" si="37"/>
        <v>3.281902699138841E-2</v>
      </c>
      <c r="AR73" s="813">
        <v>18824.682999999997</v>
      </c>
      <c r="AS73" s="720">
        <f t="shared" si="38"/>
        <v>3.5528378099602326E-2</v>
      </c>
      <c r="AT73" s="720">
        <v>9.3315939922896246E-3</v>
      </c>
      <c r="AU73" s="720">
        <v>9.05030729698433E-3</v>
      </c>
      <c r="AV73" s="808">
        <v>8.4020236649355214E-3</v>
      </c>
      <c r="AW73" s="720">
        <v>8.7444531453928481E-3</v>
      </c>
      <c r="BA73" s="723">
        <v>292.89999999999998</v>
      </c>
      <c r="BB73" s="723">
        <v>66.010000000000005</v>
      </c>
      <c r="BC73" s="895">
        <f t="shared" ref="BC73:BC111" si="53">BA73*BB73</f>
        <v>19334.329000000002</v>
      </c>
      <c r="BD73" s="814">
        <f>+BC73/$BC$112</f>
        <v>3.05833164960242E-2</v>
      </c>
    </row>
    <row r="74" spans="2:56">
      <c r="B74" s="723" t="s">
        <v>279</v>
      </c>
      <c r="C74" s="807"/>
      <c r="D74" s="805"/>
      <c r="E74" s="808" t="e">
        <v>#DIV/0!</v>
      </c>
      <c r="F74" s="720">
        <f t="shared" si="49"/>
        <v>0</v>
      </c>
      <c r="G74" s="808">
        <v>0</v>
      </c>
      <c r="H74" s="720" t="e">
        <f t="shared" si="45"/>
        <v>#DIV/0!</v>
      </c>
      <c r="I74" s="809" t="e">
        <v>#DIV/0!</v>
      </c>
      <c r="J74" s="807" t="e">
        <f>K74*W74</f>
        <v>#DIV/0!</v>
      </c>
      <c r="K74" s="805" t="e">
        <f t="shared" si="50"/>
        <v>#DIV/0!</v>
      </c>
      <c r="L74" s="808" t="e">
        <v>#DIV/0!</v>
      </c>
      <c r="N74" s="808">
        <v>0</v>
      </c>
      <c r="O74" s="720" t="e">
        <f t="shared" si="51"/>
        <v>#DIV/0!</v>
      </c>
      <c r="P74" s="809" t="e">
        <v>#DIV/0!</v>
      </c>
      <c r="Q74" s="720" t="e">
        <v>#DIV/0!</v>
      </c>
      <c r="R74" s="720" t="e">
        <v>#DIV/0!</v>
      </c>
      <c r="S74" s="720" t="e">
        <v>#DIV/0!</v>
      </c>
      <c r="T74" s="807" t="e">
        <f t="shared" si="52"/>
        <v>#DIV/0!</v>
      </c>
      <c r="U74" s="724" t="e">
        <f t="shared" si="46"/>
        <v>#DIV/0!</v>
      </c>
      <c r="V74" s="810" t="e">
        <v>#DIV/0!</v>
      </c>
      <c r="W74" s="720">
        <f t="shared" si="34"/>
        <v>0</v>
      </c>
      <c r="X74" s="808">
        <v>0</v>
      </c>
      <c r="Y74" s="720" t="e">
        <f t="shared" si="47"/>
        <v>#DIV/0!</v>
      </c>
      <c r="Z74" s="720" t="e">
        <v>#DIV/0!</v>
      </c>
      <c r="AA74" s="720" t="e">
        <v>#DIV/0!</v>
      </c>
      <c r="AB74" s="808" t="e">
        <v>#DIV/0!</v>
      </c>
      <c r="AC74" s="720" t="e">
        <v>#DIV/0!</v>
      </c>
      <c r="AD74" s="811" t="e">
        <f t="shared" si="43"/>
        <v>#DIV/0!</v>
      </c>
      <c r="AE74" s="724" t="e">
        <f t="shared" si="44"/>
        <v>#DIV/0!</v>
      </c>
      <c r="AF74" s="812" t="e">
        <v>#DIV/0!</v>
      </c>
      <c r="AG74" s="720">
        <f t="shared" si="35"/>
        <v>0</v>
      </c>
      <c r="AH74" s="808">
        <v>0</v>
      </c>
      <c r="AI74" s="720" t="e">
        <f t="shared" si="41"/>
        <v>#DIV/0!</v>
      </c>
      <c r="AJ74" s="720" t="e">
        <v>#DIV/0!</v>
      </c>
      <c r="AK74" s="720" t="e">
        <v>#DIV/0!</v>
      </c>
      <c r="AL74" s="720" t="e">
        <v>#DIV/0!</v>
      </c>
      <c r="AM74" s="808" t="e">
        <v>#DIV/0!</v>
      </c>
      <c r="AN74" s="720" t="e">
        <f t="shared" si="48"/>
        <v>#DIV/0!</v>
      </c>
      <c r="AO74" s="720" t="e">
        <v>#DIV/0!</v>
      </c>
      <c r="AP74" s="720" t="e">
        <v>#DIV/0!</v>
      </c>
      <c r="AQ74" s="720">
        <f t="shared" si="37"/>
        <v>0</v>
      </c>
      <c r="AR74" s="813">
        <v>0</v>
      </c>
      <c r="AS74" s="720" t="e">
        <f t="shared" si="38"/>
        <v>#DIV/0!</v>
      </c>
      <c r="AT74" s="720" t="e">
        <v>#DIV/0!</v>
      </c>
      <c r="AU74" s="720" t="e">
        <v>#DIV/0!</v>
      </c>
      <c r="AV74" s="808" t="e">
        <v>#DIV/0!</v>
      </c>
      <c r="AW74" s="720" t="e">
        <v>#DIV/0!</v>
      </c>
      <c r="BA74" s="723"/>
      <c r="BB74" s="723"/>
      <c r="BC74" s="895">
        <f t="shared" si="53"/>
        <v>0</v>
      </c>
      <c r="BD74" s="814"/>
    </row>
    <row r="75" spans="2:56">
      <c r="B75" s="723" t="s">
        <v>280</v>
      </c>
      <c r="C75" s="807"/>
      <c r="D75" s="805"/>
      <c r="E75" s="808" t="e">
        <v>#DIV/0!</v>
      </c>
      <c r="F75" s="720">
        <f t="shared" si="49"/>
        <v>0</v>
      </c>
      <c r="G75" s="808">
        <v>0</v>
      </c>
      <c r="H75" s="720" t="e">
        <f t="shared" si="45"/>
        <v>#DIV/0!</v>
      </c>
      <c r="I75" s="809" t="e">
        <v>#DIV/0!</v>
      </c>
      <c r="J75" s="807" t="e">
        <f>K75*W75</f>
        <v>#DIV/0!</v>
      </c>
      <c r="K75" s="805" t="e">
        <f t="shared" si="50"/>
        <v>#DIV/0!</v>
      </c>
      <c r="L75" s="808" t="e">
        <v>#DIV/0!</v>
      </c>
      <c r="N75" s="808">
        <v>0</v>
      </c>
      <c r="O75" s="720" t="e">
        <f t="shared" si="51"/>
        <v>#DIV/0!</v>
      </c>
      <c r="P75" s="809" t="e">
        <v>#DIV/0!</v>
      </c>
      <c r="Q75" s="720" t="e">
        <v>#DIV/0!</v>
      </c>
      <c r="R75" s="720" t="e">
        <v>#DIV/0!</v>
      </c>
      <c r="S75" s="720" t="e">
        <v>#DIV/0!</v>
      </c>
      <c r="T75" s="807" t="e">
        <f t="shared" si="52"/>
        <v>#DIV/0!</v>
      </c>
      <c r="U75" s="724" t="e">
        <f t="shared" si="46"/>
        <v>#DIV/0!</v>
      </c>
      <c r="V75" s="810" t="e">
        <v>#DIV/0!</v>
      </c>
      <c r="W75" s="720">
        <f t="shared" si="34"/>
        <v>0</v>
      </c>
      <c r="X75" s="808">
        <v>0</v>
      </c>
      <c r="Y75" s="720" t="e">
        <f t="shared" si="47"/>
        <v>#DIV/0!</v>
      </c>
      <c r="Z75" s="720" t="e">
        <v>#DIV/0!</v>
      </c>
      <c r="AA75" s="720" t="e">
        <v>#DIV/0!</v>
      </c>
      <c r="AB75" s="808" t="e">
        <v>#DIV/0!</v>
      </c>
      <c r="AC75" s="720" t="e">
        <v>#DIV/0!</v>
      </c>
      <c r="AD75" s="811" t="e">
        <f t="shared" si="43"/>
        <v>#DIV/0!</v>
      </c>
      <c r="AE75" s="724" t="e">
        <f t="shared" si="44"/>
        <v>#DIV/0!</v>
      </c>
      <c r="AF75" s="812" t="e">
        <v>#DIV/0!</v>
      </c>
      <c r="AG75" s="720">
        <f t="shared" si="35"/>
        <v>0</v>
      </c>
      <c r="AH75" s="808">
        <v>0</v>
      </c>
      <c r="AI75" s="720" t="e">
        <f t="shared" si="41"/>
        <v>#DIV/0!</v>
      </c>
      <c r="AJ75" s="720" t="e">
        <v>#DIV/0!</v>
      </c>
      <c r="AK75" s="720" t="e">
        <v>#DIV/0!</v>
      </c>
      <c r="AL75" s="720" t="e">
        <v>#DIV/0!</v>
      </c>
      <c r="AM75" s="808" t="e">
        <v>#DIV/0!</v>
      </c>
      <c r="AN75" s="720" t="e">
        <f t="shared" si="48"/>
        <v>#DIV/0!</v>
      </c>
      <c r="AO75" s="720" t="e">
        <v>#DIV/0!</v>
      </c>
      <c r="AP75" s="720" t="e">
        <v>#DIV/0!</v>
      </c>
      <c r="AQ75" s="720">
        <f t="shared" si="37"/>
        <v>0</v>
      </c>
      <c r="AR75" s="813">
        <v>0</v>
      </c>
      <c r="AS75" s="720" t="e">
        <f t="shared" si="38"/>
        <v>#DIV/0!</v>
      </c>
      <c r="AT75" s="720" t="e">
        <v>#DIV/0!</v>
      </c>
      <c r="AU75" s="720" t="e">
        <v>#DIV/0!</v>
      </c>
      <c r="AV75" s="808" t="e">
        <v>#DIV/0!</v>
      </c>
      <c r="AW75" s="720" t="e">
        <v>#DIV/0!</v>
      </c>
      <c r="BA75" s="723"/>
      <c r="BB75" s="723"/>
      <c r="BC75" s="895">
        <f t="shared" si="53"/>
        <v>0</v>
      </c>
      <c r="BD75" s="814"/>
    </row>
    <row r="76" spans="2:56">
      <c r="B76" s="723" t="s">
        <v>281</v>
      </c>
      <c r="C76" s="807"/>
      <c r="D76" s="805"/>
      <c r="E76" s="808" t="e">
        <v>#DIV/0!</v>
      </c>
      <c r="G76" s="808">
        <v>0</v>
      </c>
      <c r="H76" s="720" t="e">
        <f t="shared" si="45"/>
        <v>#DIV/0!</v>
      </c>
      <c r="I76" s="809" t="e">
        <v>#DIV/0!</v>
      </c>
      <c r="J76" s="807"/>
      <c r="K76" s="805"/>
      <c r="L76" s="808">
        <v>0</v>
      </c>
      <c r="N76" s="808">
        <v>0</v>
      </c>
      <c r="P76" s="809" t="e">
        <v>#VALUE!</v>
      </c>
      <c r="Q76" s="720" t="e">
        <v>#VALUE!</v>
      </c>
      <c r="R76" s="720" t="e">
        <v>#VALUE!</v>
      </c>
      <c r="S76" s="720" t="e">
        <v>#VALUE!</v>
      </c>
      <c r="T76" s="807" t="s">
        <v>103</v>
      </c>
      <c r="U76" s="724" t="s">
        <v>103</v>
      </c>
      <c r="V76" s="810" t="e">
        <v>#VALUE!</v>
      </c>
      <c r="W76" s="720">
        <f t="shared" si="34"/>
        <v>0</v>
      </c>
      <c r="X76" s="808">
        <v>0</v>
      </c>
      <c r="Y76" s="720" t="s">
        <v>103</v>
      </c>
      <c r="Z76" s="720" t="e">
        <v>#DIV/0!</v>
      </c>
      <c r="AA76" s="720" t="e">
        <v>#DIV/0!</v>
      </c>
      <c r="AB76" s="808" t="e">
        <v>#DIV/0!</v>
      </c>
      <c r="AC76" s="720" t="e">
        <v>#DIV/0!</v>
      </c>
      <c r="AD76" s="811"/>
      <c r="AE76" s="724"/>
      <c r="AF76" s="812" t="e">
        <v>#DIV/0!</v>
      </c>
      <c r="AG76" s="720">
        <f t="shared" si="35"/>
        <v>0</v>
      </c>
      <c r="AH76" s="808">
        <v>0</v>
      </c>
      <c r="AI76" s="720" t="e">
        <f t="shared" si="41"/>
        <v>#DIV/0!</v>
      </c>
      <c r="AJ76" s="720" t="e">
        <v>#DIV/0!</v>
      </c>
      <c r="AK76" s="720" t="e">
        <v>#DIV/0!</v>
      </c>
      <c r="AL76" s="720" t="e">
        <v>#DIV/0!</v>
      </c>
      <c r="AM76" s="808" t="e">
        <v>#DIV/0!</v>
      </c>
      <c r="AN76" s="720" t="e">
        <f t="shared" si="48"/>
        <v>#DIV/0!</v>
      </c>
      <c r="AO76" s="720" t="e">
        <v>#DIV/0!</v>
      </c>
      <c r="AP76" s="720" t="e">
        <v>#DIV/0!</v>
      </c>
      <c r="AQ76" s="720">
        <f t="shared" si="37"/>
        <v>0</v>
      </c>
      <c r="AR76" s="813">
        <v>0</v>
      </c>
      <c r="AS76" s="720" t="e">
        <f t="shared" si="38"/>
        <v>#DIV/0!</v>
      </c>
      <c r="AT76" s="720" t="e">
        <v>#DIV/0!</v>
      </c>
      <c r="AU76" s="720" t="e">
        <v>#DIV/0!</v>
      </c>
      <c r="AV76" s="808" t="e">
        <v>#DIV/0!</v>
      </c>
      <c r="AW76" s="720" t="e">
        <v>#DIV/0!</v>
      </c>
      <c r="BA76" s="723"/>
      <c r="BB76" s="723"/>
      <c r="BC76" s="895">
        <f t="shared" si="53"/>
        <v>0</v>
      </c>
      <c r="BD76" s="814"/>
    </row>
    <row r="77" spans="2:56">
      <c r="B77" s="723" t="s">
        <v>282</v>
      </c>
      <c r="C77" s="807"/>
      <c r="D77" s="805"/>
      <c r="E77" s="808" t="e">
        <v>#DIV/0!</v>
      </c>
      <c r="G77" s="808">
        <v>0</v>
      </c>
      <c r="H77" s="720" t="e">
        <f t="shared" si="45"/>
        <v>#DIV/0!</v>
      </c>
      <c r="I77" s="809" t="e">
        <v>#DIV/0!</v>
      </c>
      <c r="J77" s="807"/>
      <c r="K77" s="805"/>
      <c r="L77" s="808" t="e">
        <v>#DIV/0!</v>
      </c>
      <c r="N77" s="808">
        <v>0</v>
      </c>
      <c r="O77" s="720" t="e">
        <f t="shared" si="51"/>
        <v>#DIV/0!</v>
      </c>
      <c r="P77" s="809" t="e">
        <v>#DIV/0!</v>
      </c>
      <c r="Q77" s="720" t="e">
        <v>#DIV/0!</v>
      </c>
      <c r="R77" s="720" t="e">
        <v>#DIV/0!</v>
      </c>
      <c r="S77" s="720" t="e">
        <v>#DIV/0!</v>
      </c>
      <c r="T77" s="807" t="e">
        <f t="shared" si="52"/>
        <v>#DIV/0!</v>
      </c>
      <c r="U77" s="724" t="e">
        <f t="shared" si="46"/>
        <v>#DIV/0!</v>
      </c>
      <c r="V77" s="810" t="e">
        <v>#DIV/0!</v>
      </c>
      <c r="W77" s="720">
        <f t="shared" si="34"/>
        <v>0</v>
      </c>
      <c r="X77" s="808">
        <v>0</v>
      </c>
      <c r="Y77" s="720" t="e">
        <f t="shared" si="47"/>
        <v>#DIV/0!</v>
      </c>
      <c r="Z77" s="720" t="e">
        <v>#DIV/0!</v>
      </c>
      <c r="AA77" s="720" t="e">
        <v>#DIV/0!</v>
      </c>
      <c r="AB77" s="808" t="e">
        <v>#DIV/0!</v>
      </c>
      <c r="AC77" s="720" t="e">
        <v>#DIV/0!</v>
      </c>
      <c r="AD77" s="811" t="e">
        <f>AE77*AQ77</f>
        <v>#DIV/0!</v>
      </c>
      <c r="AE77" s="724" t="e">
        <f>((AF77/AP77)-1)*100</f>
        <v>#DIV/0!</v>
      </c>
      <c r="AF77" s="812" t="e">
        <v>#DIV/0!</v>
      </c>
      <c r="AG77" s="720">
        <f t="shared" si="35"/>
        <v>0</v>
      </c>
      <c r="AH77" s="808">
        <v>0</v>
      </c>
      <c r="AI77" s="720" t="e">
        <f t="shared" si="41"/>
        <v>#DIV/0!</v>
      </c>
      <c r="AJ77" s="720" t="e">
        <v>#DIV/0!</v>
      </c>
      <c r="AK77" s="720" t="e">
        <v>#DIV/0!</v>
      </c>
      <c r="AL77" s="720" t="e">
        <v>#DIV/0!</v>
      </c>
      <c r="AM77" s="808" t="e">
        <v>#DIV/0!</v>
      </c>
      <c r="AN77" s="720" t="e">
        <f t="shared" si="48"/>
        <v>#DIV/0!</v>
      </c>
      <c r="AO77" s="720" t="e">
        <v>#DIV/0!</v>
      </c>
      <c r="AP77" s="720" t="e">
        <v>#DIV/0!</v>
      </c>
      <c r="AQ77" s="720">
        <f t="shared" si="37"/>
        <v>0</v>
      </c>
      <c r="AR77" s="813">
        <v>0</v>
      </c>
      <c r="AS77" s="720" t="e">
        <f t="shared" si="38"/>
        <v>#DIV/0!</v>
      </c>
      <c r="AT77" s="720" t="e">
        <v>#DIV/0!</v>
      </c>
      <c r="AU77" s="720" t="e">
        <v>#DIV/0!</v>
      </c>
      <c r="AV77" s="808" t="e">
        <v>#DIV/0!</v>
      </c>
      <c r="AW77" s="720" t="e">
        <v>#DIV/0!</v>
      </c>
      <c r="BA77" s="723"/>
      <c r="BB77" s="723"/>
      <c r="BC77" s="895">
        <f t="shared" si="53"/>
        <v>0</v>
      </c>
      <c r="BD77" s="814"/>
    </row>
    <row r="78" spans="2:56">
      <c r="B78" s="723" t="s">
        <v>283</v>
      </c>
      <c r="C78" s="807"/>
      <c r="D78" s="805"/>
      <c r="E78" s="808" t="e">
        <v>#DIV/0!</v>
      </c>
      <c r="G78" s="808">
        <v>0</v>
      </c>
      <c r="H78" s="720" t="e">
        <f t="shared" si="45"/>
        <v>#DIV/0!</v>
      </c>
      <c r="I78" s="809" t="e">
        <v>#DIV/0!</v>
      </c>
      <c r="J78" s="807"/>
      <c r="K78" s="805"/>
      <c r="L78" s="808">
        <v>0</v>
      </c>
      <c r="N78" s="808">
        <v>0</v>
      </c>
      <c r="P78" s="809" t="e">
        <v>#VALUE!</v>
      </c>
      <c r="Q78" s="720" t="e">
        <v>#VALUE!</v>
      </c>
      <c r="R78" s="720" t="e">
        <v>#VALUE!</v>
      </c>
      <c r="S78" s="720" t="e">
        <v>#VALUE!</v>
      </c>
      <c r="T78" s="807" t="s">
        <v>103</v>
      </c>
      <c r="U78" s="724" t="s">
        <v>103</v>
      </c>
      <c r="V78" s="810" t="e">
        <v>#VALUE!</v>
      </c>
      <c r="W78" s="720">
        <f t="shared" si="34"/>
        <v>0</v>
      </c>
      <c r="X78" s="808">
        <v>0</v>
      </c>
      <c r="Y78" s="720" t="s">
        <v>103</v>
      </c>
      <c r="Z78" s="720" t="e">
        <v>#DIV/0!</v>
      </c>
      <c r="AA78" s="720" t="e">
        <v>#DIV/0!</v>
      </c>
      <c r="AB78" s="808" t="e">
        <v>#DIV/0!</v>
      </c>
      <c r="AC78" s="720" t="e">
        <v>#DIV/0!</v>
      </c>
      <c r="AD78" s="811"/>
      <c r="AE78" s="724"/>
      <c r="AF78" s="812" t="e">
        <v>#DIV/0!</v>
      </c>
      <c r="AG78" s="720">
        <f t="shared" si="35"/>
        <v>0</v>
      </c>
      <c r="AH78" s="808">
        <v>0</v>
      </c>
      <c r="AI78" s="720" t="e">
        <f t="shared" si="41"/>
        <v>#DIV/0!</v>
      </c>
      <c r="AJ78" s="720" t="e">
        <v>#DIV/0!</v>
      </c>
      <c r="AK78" s="720" t="e">
        <v>#DIV/0!</v>
      </c>
      <c r="AL78" s="720" t="e">
        <v>#DIV/0!</v>
      </c>
      <c r="AM78" s="808" t="e">
        <v>#DIV/0!</v>
      </c>
      <c r="AN78" s="720" t="e">
        <f t="shared" si="48"/>
        <v>#DIV/0!</v>
      </c>
      <c r="AO78" s="720" t="e">
        <v>#DIV/0!</v>
      </c>
      <c r="AP78" s="720" t="e">
        <v>#DIV/0!</v>
      </c>
      <c r="AQ78" s="720">
        <f t="shared" si="37"/>
        <v>0</v>
      </c>
      <c r="AR78" s="813">
        <v>0</v>
      </c>
      <c r="AS78" s="720" t="e">
        <f t="shared" si="38"/>
        <v>#DIV/0!</v>
      </c>
      <c r="AT78" s="720" t="e">
        <v>#DIV/0!</v>
      </c>
      <c r="AU78" s="720" t="e">
        <v>#DIV/0!</v>
      </c>
      <c r="AV78" s="808" t="e">
        <v>#DIV/0!</v>
      </c>
      <c r="AW78" s="720" t="e">
        <v>#DIV/0!</v>
      </c>
      <c r="BA78" s="723"/>
      <c r="BB78" s="723"/>
      <c r="BC78" s="895">
        <f t="shared" si="53"/>
        <v>0</v>
      </c>
      <c r="BD78" s="814"/>
    </row>
    <row r="79" spans="2:56">
      <c r="B79" s="723" t="s">
        <v>284</v>
      </c>
      <c r="C79" s="807"/>
      <c r="D79" s="805"/>
      <c r="E79" s="808" t="e">
        <v>#DIV/0!</v>
      </c>
      <c r="G79" s="808">
        <v>0</v>
      </c>
      <c r="H79" s="720" t="e">
        <f t="shared" si="45"/>
        <v>#DIV/0!</v>
      </c>
      <c r="I79" s="809" t="e">
        <v>#DIV/0!</v>
      </c>
      <c r="J79" s="807"/>
      <c r="K79" s="805"/>
      <c r="L79" s="808">
        <v>0</v>
      </c>
      <c r="N79" s="808">
        <v>0</v>
      </c>
      <c r="P79" s="809" t="e">
        <v>#DIV/0!</v>
      </c>
      <c r="Q79" s="720" t="e">
        <v>#DIV/0!</v>
      </c>
      <c r="R79" s="720" t="e">
        <v>#DIV/0!</v>
      </c>
      <c r="S79" s="720" t="e">
        <v>#DIV/0!</v>
      </c>
      <c r="T79" s="807"/>
      <c r="U79" s="724"/>
      <c r="V79" s="810">
        <v>0</v>
      </c>
      <c r="X79" s="808">
        <v>0</v>
      </c>
      <c r="Z79" s="720" t="e">
        <v>#DIV/0!</v>
      </c>
      <c r="AA79" s="720" t="e">
        <v>#DIV/0!</v>
      </c>
      <c r="AB79" s="808" t="e">
        <v>#DIV/0!</v>
      </c>
      <c r="AC79" s="720" t="e">
        <v>#DIV/0!</v>
      </c>
      <c r="AD79" s="811">
        <f t="shared" ref="AD79:AD109" si="54">AE79*AQ79</f>
        <v>0</v>
      </c>
      <c r="AE79" s="724"/>
      <c r="AF79" s="812">
        <v>0</v>
      </c>
      <c r="AH79" s="808">
        <v>0</v>
      </c>
      <c r="AJ79" s="720" t="e">
        <v>#DIV/0!</v>
      </c>
      <c r="AK79" s="720" t="e">
        <v>#DIV/0!</v>
      </c>
      <c r="AL79" s="720" t="e">
        <v>#DIV/0!</v>
      </c>
      <c r="AM79" s="808" t="e">
        <v>#DIV/0!</v>
      </c>
      <c r="AN79" s="720" t="e">
        <f t="shared" si="48"/>
        <v>#DIV/0!</v>
      </c>
      <c r="AO79" s="720" t="e">
        <v>#DIV/0!</v>
      </c>
      <c r="AP79" s="720">
        <v>0</v>
      </c>
      <c r="AR79" s="813">
        <v>0</v>
      </c>
      <c r="AT79" s="720" t="e">
        <v>#DIV/0!</v>
      </c>
      <c r="AU79" s="720" t="e">
        <v>#DIV/0!</v>
      </c>
      <c r="AV79" s="808" t="e">
        <v>#DIV/0!</v>
      </c>
      <c r="AW79" s="720" t="e">
        <v>#DIV/0!</v>
      </c>
      <c r="BA79" s="723"/>
      <c r="BB79" s="723"/>
      <c r="BC79" s="895">
        <f t="shared" si="53"/>
        <v>0</v>
      </c>
      <c r="BD79" s="814"/>
    </row>
    <row r="80" spans="2:56">
      <c r="B80" s="723" t="s">
        <v>285</v>
      </c>
      <c r="C80" s="807"/>
      <c r="D80" s="805"/>
      <c r="E80" s="808" t="e">
        <v>#DIV/0!</v>
      </c>
      <c r="G80" s="808">
        <v>0</v>
      </c>
      <c r="H80" s="720" t="e">
        <f t="shared" si="45"/>
        <v>#DIV/0!</v>
      </c>
      <c r="I80" s="809" t="e">
        <v>#DIV/0!</v>
      </c>
      <c r="J80" s="807" t="e">
        <f>K80*W80</f>
        <v>#DIV/0!</v>
      </c>
      <c r="K80" s="805" t="e">
        <f t="shared" si="50"/>
        <v>#DIV/0!</v>
      </c>
      <c r="L80" s="808" t="e">
        <v>#DIV/0!</v>
      </c>
      <c r="N80" s="808">
        <v>0</v>
      </c>
      <c r="O80" s="720" t="e">
        <f t="shared" si="51"/>
        <v>#DIV/0!</v>
      </c>
      <c r="P80" s="809" t="e">
        <v>#DIV/0!</v>
      </c>
      <c r="Q80" s="720" t="e">
        <v>#DIV/0!</v>
      </c>
      <c r="R80" s="720" t="e">
        <v>#DIV/0!</v>
      </c>
      <c r="S80" s="720" t="e">
        <v>#DIV/0!</v>
      </c>
      <c r="T80" s="807" t="e">
        <f t="shared" si="52"/>
        <v>#DIV/0!</v>
      </c>
      <c r="U80" s="724" t="e">
        <f t="shared" si="46"/>
        <v>#DIV/0!</v>
      </c>
      <c r="V80" s="810" t="e">
        <v>#DIV/0!</v>
      </c>
      <c r="W80" s="720">
        <f t="shared" si="34"/>
        <v>0</v>
      </c>
      <c r="X80" s="808">
        <v>0</v>
      </c>
      <c r="Y80" s="720" t="e">
        <f t="shared" si="47"/>
        <v>#DIV/0!</v>
      </c>
      <c r="Z80" s="720" t="e">
        <v>#DIV/0!</v>
      </c>
      <c r="AA80" s="720" t="e">
        <v>#DIV/0!</v>
      </c>
      <c r="AB80" s="808" t="e">
        <v>#DIV/0!</v>
      </c>
      <c r="AC80" s="720" t="e">
        <v>#DIV/0!</v>
      </c>
      <c r="AD80" s="811" t="e">
        <f t="shared" si="54"/>
        <v>#DIV/0!</v>
      </c>
      <c r="AE80" s="724" t="e">
        <f t="shared" ref="AE80:AE109" si="55">((AF80/AP80)-1)*100</f>
        <v>#DIV/0!</v>
      </c>
      <c r="AF80" s="812" t="e">
        <v>#DIV/0!</v>
      </c>
      <c r="AG80" s="720">
        <f t="shared" ref="AG80:AG109" si="56">AH80/$AH$112</f>
        <v>0</v>
      </c>
      <c r="AH80" s="808">
        <v>0</v>
      </c>
      <c r="AI80" s="720" t="e">
        <f t="shared" ref="AI80:AI109" si="57">AJ80+AK80+AL80+AM80+AS80</f>
        <v>#DIV/0!</v>
      </c>
      <c r="AJ80" s="720" t="e">
        <v>#DIV/0!</v>
      </c>
      <c r="AK80" s="720" t="e">
        <v>#DIV/0!</v>
      </c>
      <c r="AL80" s="720" t="e">
        <v>#DIV/0!</v>
      </c>
      <c r="AM80" s="808" t="e">
        <v>#DIV/0!</v>
      </c>
      <c r="AN80" s="720" t="e">
        <f t="shared" si="48"/>
        <v>#DIV/0!</v>
      </c>
      <c r="AO80" s="720" t="e">
        <v>#DIV/0!</v>
      </c>
      <c r="AP80" s="720" t="e">
        <v>#DIV/0!</v>
      </c>
      <c r="AQ80" s="720">
        <f t="shared" ref="AQ80:AQ109" si="58">AR80/$AR$112</f>
        <v>0</v>
      </c>
      <c r="AR80" s="813">
        <v>0</v>
      </c>
      <c r="AS80" s="720" t="e">
        <f t="shared" ref="AS80:AS109" si="59">AT80+AU80+AV80+AW80</f>
        <v>#DIV/0!</v>
      </c>
      <c r="AT80" s="720" t="e">
        <v>#DIV/0!</v>
      </c>
      <c r="AU80" s="720" t="e">
        <v>#DIV/0!</v>
      </c>
      <c r="AV80" s="808" t="e">
        <v>#DIV/0!</v>
      </c>
      <c r="AW80" s="720" t="e">
        <v>#DIV/0!</v>
      </c>
      <c r="BA80" s="723"/>
      <c r="BB80" s="723"/>
      <c r="BC80" s="895">
        <f t="shared" si="53"/>
        <v>0</v>
      </c>
      <c r="BD80" s="814"/>
    </row>
    <row r="81" spans="2:56">
      <c r="B81" s="723" t="s">
        <v>286</v>
      </c>
      <c r="C81" s="807"/>
      <c r="D81" s="805"/>
      <c r="E81" s="808" t="e">
        <v>#DIV/0!</v>
      </c>
      <c r="F81" s="720">
        <f t="shared" si="49"/>
        <v>0</v>
      </c>
      <c r="G81" s="808">
        <v>0</v>
      </c>
      <c r="H81" s="720" t="e">
        <f t="shared" si="45"/>
        <v>#DIV/0!</v>
      </c>
      <c r="I81" s="809" t="e">
        <v>#DIV/0!</v>
      </c>
      <c r="J81" s="807" t="e">
        <f>K81*W81</f>
        <v>#DIV/0!</v>
      </c>
      <c r="K81" s="805" t="e">
        <f t="shared" si="50"/>
        <v>#DIV/0!</v>
      </c>
      <c r="L81" s="808" t="e">
        <v>#DIV/0!</v>
      </c>
      <c r="N81" s="808">
        <v>0</v>
      </c>
      <c r="O81" s="720" t="e">
        <f t="shared" si="51"/>
        <v>#DIV/0!</v>
      </c>
      <c r="P81" s="809" t="e">
        <v>#DIV/0!</v>
      </c>
      <c r="Q81" s="720" t="e">
        <v>#DIV/0!</v>
      </c>
      <c r="R81" s="720" t="e">
        <v>#DIV/0!</v>
      </c>
      <c r="S81" s="720" t="e">
        <v>#DIV/0!</v>
      </c>
      <c r="T81" s="807" t="e">
        <f t="shared" si="52"/>
        <v>#DIV/0!</v>
      </c>
      <c r="U81" s="724" t="e">
        <f t="shared" si="46"/>
        <v>#DIV/0!</v>
      </c>
      <c r="V81" s="810" t="e">
        <v>#DIV/0!</v>
      </c>
      <c r="W81" s="720">
        <f t="shared" si="34"/>
        <v>0</v>
      </c>
      <c r="X81" s="808">
        <v>0</v>
      </c>
      <c r="Y81" s="720" t="e">
        <f t="shared" si="47"/>
        <v>#DIV/0!</v>
      </c>
      <c r="Z81" s="720" t="e">
        <v>#DIV/0!</v>
      </c>
      <c r="AA81" s="720" t="e">
        <v>#DIV/0!</v>
      </c>
      <c r="AB81" s="808" t="e">
        <v>#DIV/0!</v>
      </c>
      <c r="AC81" s="720" t="e">
        <v>#DIV/0!</v>
      </c>
      <c r="AD81" s="811" t="e">
        <f t="shared" si="54"/>
        <v>#DIV/0!</v>
      </c>
      <c r="AE81" s="724" t="e">
        <f t="shared" si="55"/>
        <v>#DIV/0!</v>
      </c>
      <c r="AF81" s="812" t="e">
        <v>#DIV/0!</v>
      </c>
      <c r="AG81" s="720">
        <f t="shared" si="56"/>
        <v>0</v>
      </c>
      <c r="AH81" s="808">
        <v>0</v>
      </c>
      <c r="AI81" s="720" t="e">
        <f t="shared" si="57"/>
        <v>#DIV/0!</v>
      </c>
      <c r="AJ81" s="720" t="e">
        <v>#DIV/0!</v>
      </c>
      <c r="AK81" s="720" t="e">
        <v>#DIV/0!</v>
      </c>
      <c r="AL81" s="720" t="e">
        <v>#DIV/0!</v>
      </c>
      <c r="AM81" s="808" t="e">
        <v>#DIV/0!</v>
      </c>
      <c r="AN81" s="720" t="e">
        <f t="shared" si="48"/>
        <v>#DIV/0!</v>
      </c>
      <c r="AO81" s="720" t="e">
        <v>#DIV/0!</v>
      </c>
      <c r="AP81" s="720" t="e">
        <v>#DIV/0!</v>
      </c>
      <c r="AQ81" s="720">
        <f t="shared" si="58"/>
        <v>0</v>
      </c>
      <c r="AR81" s="813">
        <v>0</v>
      </c>
      <c r="AS81" s="720" t="e">
        <f t="shared" si="59"/>
        <v>#DIV/0!</v>
      </c>
      <c r="AT81" s="720" t="e">
        <v>#DIV/0!</v>
      </c>
      <c r="AU81" s="720" t="e">
        <v>#DIV/0!</v>
      </c>
      <c r="AV81" s="808" t="e">
        <v>#DIV/0!</v>
      </c>
      <c r="AW81" s="720" t="e">
        <v>#DIV/0!</v>
      </c>
      <c r="BA81" s="723"/>
      <c r="BB81" s="723"/>
      <c r="BC81" s="895">
        <f t="shared" si="53"/>
        <v>0</v>
      </c>
      <c r="BD81" s="814"/>
    </row>
    <row r="82" spans="2:56">
      <c r="B82" s="728" t="s">
        <v>152</v>
      </c>
      <c r="C82" s="807">
        <f>D82*M82</f>
        <v>-4.9789280292068729E-2</v>
      </c>
      <c r="D82" s="805">
        <f>((E82/L82)-1)*100</f>
        <v>-16.490104034509013</v>
      </c>
      <c r="E82" s="808">
        <v>71.35251616651361</v>
      </c>
      <c r="F82" s="720">
        <f t="shared" si="49"/>
        <v>2.9342074335881449E-3</v>
      </c>
      <c r="G82" s="808">
        <v>2269.71396</v>
      </c>
      <c r="H82" s="720">
        <f t="shared" si="45"/>
        <v>8.9850560050612802E-2</v>
      </c>
      <c r="I82" s="809">
        <v>5.8364893830808763E-3</v>
      </c>
      <c r="J82" s="807">
        <f>K82*W82</f>
        <v>9.9007754784042792E-2</v>
      </c>
      <c r="K82" s="805">
        <f t="shared" si="50"/>
        <v>33.899025445722188</v>
      </c>
      <c r="L82" s="808">
        <v>85.441989050014854</v>
      </c>
      <c r="M82" s="720">
        <f>N82/N$112</f>
        <v>3.0193430064403585E-3</v>
      </c>
      <c r="N82" s="808">
        <v>2732.5317599999998</v>
      </c>
      <c r="O82" s="720">
        <f t="shared" si="51"/>
        <v>8.4014070667531929E-2</v>
      </c>
      <c r="P82" s="809">
        <v>4.8263596565765255E-3</v>
      </c>
      <c r="Q82" s="720">
        <v>4.741982213610418E-3</v>
      </c>
      <c r="R82" s="720">
        <v>4.9392233931842399E-3</v>
      </c>
      <c r="S82" s="720">
        <v>5.2843164451034557E-3</v>
      </c>
      <c r="T82" s="807">
        <f t="shared" si="52"/>
        <v>-8.9331156618565038E-3</v>
      </c>
      <c r="U82" s="724">
        <f t="shared" si="46"/>
        <v>-2.8898288793050675</v>
      </c>
      <c r="V82" s="810">
        <v>63.810762449985077</v>
      </c>
      <c r="W82" s="720">
        <f t="shared" si="34"/>
        <v>2.9206667000669442E-3</v>
      </c>
      <c r="X82" s="808">
        <v>2078.69328</v>
      </c>
      <c r="Y82" s="720">
        <f t="shared" si="47"/>
        <v>6.4222188959057291E-2</v>
      </c>
      <c r="Z82" s="720">
        <v>5.9567144371438585E-3</v>
      </c>
      <c r="AA82" s="720">
        <v>5.5643949001152222E-3</v>
      </c>
      <c r="AB82" s="808">
        <v>5.3571517326605382E-3</v>
      </c>
      <c r="AC82" s="720">
        <v>5.9864135184411697E-3</v>
      </c>
      <c r="AD82" s="811">
        <f t="shared" si="54"/>
        <v>-4.0942184933001448E-3</v>
      </c>
      <c r="AE82" s="724">
        <f t="shared" si="55"/>
        <v>-1.4599104515355288</v>
      </c>
      <c r="AF82" s="812">
        <v>65.709659156790948</v>
      </c>
      <c r="AG82" s="720">
        <f t="shared" si="56"/>
        <v>3.0912265171924979E-3</v>
      </c>
      <c r="AH82" s="808">
        <v>2187.5508</v>
      </c>
      <c r="AI82" s="720">
        <f t="shared" si="57"/>
        <v>4.1357514370696506E-2</v>
      </c>
      <c r="AJ82" s="720">
        <v>5.2952469294737618E-3</v>
      </c>
      <c r="AK82" s="720">
        <v>5.1465991181762006E-3</v>
      </c>
      <c r="AL82" s="720">
        <v>4.9028584156414461E-3</v>
      </c>
      <c r="AM82" s="808">
        <v>4.8309756007583679E-3</v>
      </c>
      <c r="AN82" s="720">
        <f t="shared" si="48"/>
        <v>0.11556177693571106</v>
      </c>
      <c r="AO82" s="720">
        <v>46.202968165367331</v>
      </c>
      <c r="AP82" s="720">
        <v>66.683173780224038</v>
      </c>
      <c r="AQ82" s="720">
        <f t="shared" si="58"/>
        <v>2.8044312505564025E-3</v>
      </c>
      <c r="AR82" s="813">
        <v>1608.5952</v>
      </c>
      <c r="AS82" s="720">
        <f t="shared" si="59"/>
        <v>2.1181834306646732E-2</v>
      </c>
      <c r="AT82" s="720">
        <v>4.7862426406934241E-3</v>
      </c>
      <c r="AU82" s="720">
        <v>5.5007989516835595E-3</v>
      </c>
      <c r="AV82" s="808">
        <v>5.2488596999156834E-3</v>
      </c>
      <c r="AW82" s="720">
        <v>5.6459330143540671E-3</v>
      </c>
      <c r="BA82" s="723">
        <v>34.667999999999999</v>
      </c>
      <c r="BB82" s="723">
        <v>45.61</v>
      </c>
      <c r="BC82" s="895">
        <f t="shared" si="53"/>
        <v>1581.20748</v>
      </c>
      <c r="BD82" s="814">
        <f>+BC82/$BC$112</f>
        <v>2.5011764725179166E-3</v>
      </c>
    </row>
    <row r="83" spans="2:56">
      <c r="B83" s="723" t="s">
        <v>287</v>
      </c>
      <c r="C83" s="807"/>
      <c r="D83" s="805"/>
      <c r="E83" s="808" t="e">
        <v>#VALUE!</v>
      </c>
      <c r="G83" s="808">
        <v>0</v>
      </c>
      <c r="H83" s="720" t="e">
        <f t="shared" si="45"/>
        <v>#VALUE!</v>
      </c>
      <c r="I83" s="809" t="e">
        <v>#VALUE!</v>
      </c>
      <c r="J83" s="807" t="s">
        <v>103</v>
      </c>
      <c r="K83" s="805" t="s">
        <v>103</v>
      </c>
      <c r="L83" s="808" t="e">
        <v>#VALUE!</v>
      </c>
      <c r="N83" s="808">
        <v>0</v>
      </c>
      <c r="O83" s="720" t="s">
        <v>103</v>
      </c>
      <c r="P83" s="809" t="e">
        <v>#DIV/0!</v>
      </c>
      <c r="Q83" s="720" t="e">
        <v>#DIV/0!</v>
      </c>
      <c r="R83" s="720" t="e">
        <v>#DIV/0!</v>
      </c>
      <c r="S83" s="720" t="e">
        <v>#DIV/0!</v>
      </c>
      <c r="T83" s="807"/>
      <c r="U83" s="724" t="e">
        <f t="shared" si="46"/>
        <v>#DIV/0!</v>
      </c>
      <c r="V83" s="810" t="e">
        <v>#DIV/0!</v>
      </c>
      <c r="W83" s="720">
        <f t="shared" si="34"/>
        <v>0</v>
      </c>
      <c r="X83" s="808">
        <v>0</v>
      </c>
      <c r="Y83" s="720" t="e">
        <f t="shared" si="47"/>
        <v>#DIV/0!</v>
      </c>
      <c r="Z83" s="720" t="e">
        <v>#DIV/0!</v>
      </c>
      <c r="AA83" s="720" t="e">
        <v>#DIV/0!</v>
      </c>
      <c r="AB83" s="808" t="e">
        <v>#DIV/0!</v>
      </c>
      <c r="AC83" s="720" t="e">
        <v>#DIV/0!</v>
      </c>
      <c r="AD83" s="811" t="e">
        <f t="shared" si="54"/>
        <v>#DIV/0!</v>
      </c>
      <c r="AE83" s="724" t="e">
        <f t="shared" si="55"/>
        <v>#DIV/0!</v>
      </c>
      <c r="AF83" s="812" t="e">
        <v>#DIV/0!</v>
      </c>
      <c r="AG83" s="720">
        <f t="shared" si="56"/>
        <v>0</v>
      </c>
      <c r="AH83" s="808">
        <v>0</v>
      </c>
      <c r="AI83" s="720" t="e">
        <f t="shared" si="57"/>
        <v>#DIV/0!</v>
      </c>
      <c r="AJ83" s="720" t="e">
        <v>#DIV/0!</v>
      </c>
      <c r="AK83" s="720" t="e">
        <v>#DIV/0!</v>
      </c>
      <c r="AL83" s="720" t="e">
        <v>#DIV/0!</v>
      </c>
      <c r="AM83" s="808" t="e">
        <v>#DIV/0!</v>
      </c>
      <c r="AN83" s="720" t="e">
        <f t="shared" si="48"/>
        <v>#DIV/0!</v>
      </c>
      <c r="AO83" s="720" t="e">
        <v>#DIV/0!</v>
      </c>
      <c r="AP83" s="720" t="e">
        <v>#DIV/0!</v>
      </c>
      <c r="AQ83" s="720">
        <f t="shared" si="58"/>
        <v>0</v>
      </c>
      <c r="AR83" s="813">
        <v>0</v>
      </c>
      <c r="AS83" s="720" t="e">
        <f t="shared" si="59"/>
        <v>#DIV/0!</v>
      </c>
      <c r="AT83" s="720" t="e">
        <v>#DIV/0!</v>
      </c>
      <c r="AU83" s="720" t="e">
        <v>#DIV/0!</v>
      </c>
      <c r="AV83" s="808" t="e">
        <v>#DIV/0!</v>
      </c>
      <c r="AW83" s="720" t="e">
        <v>#DIV/0!</v>
      </c>
      <c r="BA83" s="723"/>
      <c r="BB83" s="723"/>
      <c r="BC83" s="895">
        <f t="shared" si="53"/>
        <v>0</v>
      </c>
      <c r="BD83" s="814"/>
    </row>
    <row r="84" spans="2:56">
      <c r="B84" s="728" t="s">
        <v>153</v>
      </c>
      <c r="C84" s="807">
        <f>D84*M84</f>
        <v>-0.11352467919335832</v>
      </c>
      <c r="D84" s="805">
        <f>((E84/L84)-1)*100</f>
        <v>-24.482567451028704</v>
      </c>
      <c r="E84" s="808">
        <v>69.190433790987001</v>
      </c>
      <c r="F84" s="720">
        <f t="shared" si="49"/>
        <v>4.0477618971945864E-3</v>
      </c>
      <c r="G84" s="808">
        <v>3131.0880000000002</v>
      </c>
      <c r="H84" s="720">
        <f t="shared" si="45"/>
        <v>0.14025105126873758</v>
      </c>
      <c r="I84" s="809">
        <v>1.148668419035761E-2</v>
      </c>
      <c r="J84" s="807">
        <f t="shared" ref="J84:J90" si="60">K84*W84</f>
        <v>5.2433803884680594E-2</v>
      </c>
      <c r="K84" s="805">
        <f t="shared" si="50"/>
        <v>9.5254985426123326</v>
      </c>
      <c r="L84" s="808">
        <v>91.621803675752105</v>
      </c>
      <c r="M84" s="720">
        <f>N84/N$112</f>
        <v>4.6369597232984753E-3</v>
      </c>
      <c r="N84" s="808">
        <v>4196.4890000000005</v>
      </c>
      <c r="O84" s="720">
        <f t="shared" si="51"/>
        <v>0.12876436707837996</v>
      </c>
      <c r="P84" s="809">
        <v>8.1111710321199668E-3</v>
      </c>
      <c r="Q84" s="720">
        <v>7.481846105595929E-3</v>
      </c>
      <c r="R84" s="720">
        <v>7.8043875782707146E-3</v>
      </c>
      <c r="S84" s="720">
        <v>7.8413751971250761E-3</v>
      </c>
      <c r="T84" s="807">
        <f t="shared" si="52"/>
        <v>2.995649683630084E-2</v>
      </c>
      <c r="U84" s="724">
        <f t="shared" si="46"/>
        <v>5.589961085776185</v>
      </c>
      <c r="V84" s="810">
        <v>83.653400253736748</v>
      </c>
      <c r="W84" s="720">
        <f t="shared" si="34"/>
        <v>5.5045731884916984E-3</v>
      </c>
      <c r="X84" s="808">
        <v>3917.7079999999996</v>
      </c>
      <c r="Y84" s="720">
        <f t="shared" si="47"/>
        <v>9.7525587165268268E-2</v>
      </c>
      <c r="Z84" s="720">
        <v>8.0048753427005778E-3</v>
      </c>
      <c r="AA84" s="720">
        <v>8.0737276514574307E-3</v>
      </c>
      <c r="AB84" s="808">
        <v>7.7672221512866714E-3</v>
      </c>
      <c r="AC84" s="720">
        <v>8.2579407599382131E-3</v>
      </c>
      <c r="AD84" s="811">
        <f t="shared" si="54"/>
        <v>8.3449312752206628E-2</v>
      </c>
      <c r="AE84" s="724">
        <f t="shared" si="55"/>
        <v>19.296778118805946</v>
      </c>
      <c r="AF84" s="812">
        <v>79.224766628885078</v>
      </c>
      <c r="AG84" s="720">
        <f t="shared" si="56"/>
        <v>5.3589812838815637E-3</v>
      </c>
      <c r="AH84" s="808">
        <v>3792.36</v>
      </c>
      <c r="AI84" s="720">
        <f t="shared" si="57"/>
        <v>6.5421821259885382E-2</v>
      </c>
      <c r="AJ84" s="720">
        <v>7.6106639211434499E-3</v>
      </c>
      <c r="AK84" s="720">
        <v>7.2718145734176273E-3</v>
      </c>
      <c r="AL84" s="720">
        <v>7.7828504933801631E-3</v>
      </c>
      <c r="AM84" s="808">
        <v>8.17458749161829E-3</v>
      </c>
      <c r="AN84" s="720">
        <f t="shared" si="48"/>
        <v>7.6476755736971533E-2</v>
      </c>
      <c r="AO84" s="720">
        <v>20.438542741837338</v>
      </c>
      <c r="AP84" s="720">
        <v>66.409812467849108</v>
      </c>
      <c r="AQ84" s="720">
        <f t="shared" si="58"/>
        <v>4.3245205100264864E-3</v>
      </c>
      <c r="AR84" s="813">
        <v>2480.5039999999999</v>
      </c>
      <c r="AS84" s="720">
        <f t="shared" si="59"/>
        <v>3.4581904780325842E-2</v>
      </c>
      <c r="AT84" s="720">
        <v>8.3137473417674145E-3</v>
      </c>
      <c r="AU84" s="720">
        <v>8.8736189203200942E-3</v>
      </c>
      <c r="AV84" s="808">
        <v>8.1204168845661409E-3</v>
      </c>
      <c r="AW84" s="720">
        <v>9.2741216336721961E-3</v>
      </c>
      <c r="BA84" s="723">
        <v>42.9</v>
      </c>
      <c r="BB84" s="723">
        <v>55.14</v>
      </c>
      <c r="BC84" s="895">
        <f t="shared" si="53"/>
        <v>2365.5059999999999</v>
      </c>
      <c r="BD84" s="814">
        <f>+BC84/$BC$112</f>
        <v>3.7417910221370608E-3</v>
      </c>
    </row>
    <row r="85" spans="2:56">
      <c r="B85" s="723" t="s">
        <v>288</v>
      </c>
      <c r="C85" s="807"/>
      <c r="D85" s="805"/>
      <c r="E85" s="808" t="e">
        <v>#DIV/0!</v>
      </c>
      <c r="F85" s="720">
        <f t="shared" si="49"/>
        <v>0</v>
      </c>
      <c r="G85" s="808">
        <v>0</v>
      </c>
      <c r="H85" s="720" t="e">
        <f t="shared" si="45"/>
        <v>#DIV/0!</v>
      </c>
      <c r="I85" s="809" t="e">
        <v>#DIV/0!</v>
      </c>
      <c r="J85" s="807" t="e">
        <f t="shared" si="60"/>
        <v>#DIV/0!</v>
      </c>
      <c r="K85" s="805" t="e">
        <f t="shared" si="50"/>
        <v>#DIV/0!</v>
      </c>
      <c r="L85" s="808" t="e">
        <v>#DIV/0!</v>
      </c>
      <c r="N85" s="808">
        <v>0</v>
      </c>
      <c r="O85" s="720" t="e">
        <f t="shared" si="51"/>
        <v>#DIV/0!</v>
      </c>
      <c r="P85" s="809" t="e">
        <v>#DIV/0!</v>
      </c>
      <c r="Q85" s="720" t="e">
        <v>#DIV/0!</v>
      </c>
      <c r="R85" s="720" t="e">
        <v>#DIV/0!</v>
      </c>
      <c r="S85" s="720" t="e">
        <v>#DIV/0!</v>
      </c>
      <c r="T85" s="807" t="e">
        <f t="shared" si="52"/>
        <v>#DIV/0!</v>
      </c>
      <c r="U85" s="724" t="e">
        <f t="shared" si="46"/>
        <v>#DIV/0!</v>
      </c>
      <c r="V85" s="810" t="e">
        <v>#DIV/0!</v>
      </c>
      <c r="W85" s="720">
        <f t="shared" si="34"/>
        <v>0</v>
      </c>
      <c r="X85" s="808">
        <v>0</v>
      </c>
      <c r="Y85" s="720" t="e">
        <f t="shared" si="47"/>
        <v>#DIV/0!</v>
      </c>
      <c r="Z85" s="720" t="e">
        <v>#DIV/0!</v>
      </c>
      <c r="AA85" s="720" t="e">
        <v>#DIV/0!</v>
      </c>
      <c r="AB85" s="808" t="e">
        <v>#DIV/0!</v>
      </c>
      <c r="AC85" s="720" t="e">
        <v>#DIV/0!</v>
      </c>
      <c r="AD85" s="811" t="e">
        <f t="shared" si="54"/>
        <v>#DIV/0!</v>
      </c>
      <c r="AE85" s="724" t="e">
        <f t="shared" si="55"/>
        <v>#DIV/0!</v>
      </c>
      <c r="AF85" s="812" t="e">
        <v>#DIV/0!</v>
      </c>
      <c r="AG85" s="720">
        <f t="shared" si="56"/>
        <v>0</v>
      </c>
      <c r="AH85" s="808">
        <v>0</v>
      </c>
      <c r="AI85" s="720" t="e">
        <f t="shared" si="57"/>
        <v>#DIV/0!</v>
      </c>
      <c r="AJ85" s="720" t="e">
        <v>#DIV/0!</v>
      </c>
      <c r="AK85" s="720" t="e">
        <v>#DIV/0!</v>
      </c>
      <c r="AL85" s="720" t="e">
        <v>#DIV/0!</v>
      </c>
      <c r="AM85" s="808" t="e">
        <v>#DIV/0!</v>
      </c>
      <c r="AN85" s="720" t="e">
        <f t="shared" si="48"/>
        <v>#DIV/0!</v>
      </c>
      <c r="AO85" s="720" t="e">
        <v>#DIV/0!</v>
      </c>
      <c r="AP85" s="720" t="e">
        <v>#DIV/0!</v>
      </c>
      <c r="AQ85" s="720">
        <f t="shared" si="58"/>
        <v>0</v>
      </c>
      <c r="AR85" s="813">
        <v>0</v>
      </c>
      <c r="AS85" s="720" t="e">
        <f t="shared" si="59"/>
        <v>#DIV/0!</v>
      </c>
      <c r="AT85" s="720" t="e">
        <v>#DIV/0!</v>
      </c>
      <c r="AU85" s="720" t="e">
        <v>#DIV/0!</v>
      </c>
      <c r="AV85" s="808" t="e">
        <v>#DIV/0!</v>
      </c>
      <c r="AW85" s="720" t="e">
        <v>#DIV/0!</v>
      </c>
      <c r="BA85" s="723"/>
      <c r="BB85" s="723"/>
      <c r="BC85" s="895">
        <f t="shared" si="53"/>
        <v>0</v>
      </c>
      <c r="BD85" s="814"/>
    </row>
    <row r="86" spans="2:56">
      <c r="B86" s="728" t="s">
        <v>154</v>
      </c>
      <c r="C86" s="807">
        <f>D86*M86</f>
        <v>-0.10995540420605554</v>
      </c>
      <c r="D86" s="805">
        <f>((E86/L86)-1)*100</f>
        <v>-9.5545977011494365</v>
      </c>
      <c r="E86" s="808">
        <v>28.206103246783993</v>
      </c>
      <c r="F86" s="720">
        <f t="shared" si="49"/>
        <v>1.2093832894430074E-2</v>
      </c>
      <c r="G86" s="808">
        <v>9355.0104999999985</v>
      </c>
      <c r="H86" s="720">
        <f t="shared" si="45"/>
        <v>0.1295996494507006</v>
      </c>
      <c r="I86" s="809">
        <v>9.4208072432345972E-3</v>
      </c>
      <c r="J86" s="807">
        <f t="shared" si="60"/>
        <v>0.16728662854949192</v>
      </c>
      <c r="K86" s="805">
        <f t="shared" si="50"/>
        <v>12.906533777238982</v>
      </c>
      <c r="L86" s="808">
        <v>31.185778967055857</v>
      </c>
      <c r="M86" s="720">
        <f>N86/N$112</f>
        <v>1.1508114485325498E-2</v>
      </c>
      <c r="N86" s="808">
        <v>10414.944000000001</v>
      </c>
      <c r="O86" s="720">
        <f t="shared" si="51"/>
        <v>0.12017884220746601</v>
      </c>
      <c r="P86" s="809">
        <v>7.9898633538335682E-3</v>
      </c>
      <c r="Q86" s="720">
        <v>7.3850529804358068E-3</v>
      </c>
      <c r="R86" s="720">
        <v>7.6193374198151491E-3</v>
      </c>
      <c r="S86" s="720">
        <v>7.6034968014787362E-3</v>
      </c>
      <c r="T86" s="807">
        <f t="shared" si="52"/>
        <v>2.2341083314710859E-2</v>
      </c>
      <c r="U86" s="724">
        <f t="shared" si="46"/>
        <v>1.8599246208281128</v>
      </c>
      <c r="V86" s="810">
        <v>27.620880673375741</v>
      </c>
      <c r="W86" s="720">
        <f t="shared" si="34"/>
        <v>1.296139083016281E-2</v>
      </c>
      <c r="X86" s="808">
        <v>9224.8649999999998</v>
      </c>
      <c r="Y86" s="720">
        <f t="shared" si="47"/>
        <v>8.9581091651902756E-2</v>
      </c>
      <c r="Z86" s="720">
        <v>8.3174129133733038E-3</v>
      </c>
      <c r="AA86" s="720">
        <v>8.3952385966160944E-3</v>
      </c>
      <c r="AB86" s="808">
        <v>7.9021471511868981E-3</v>
      </c>
      <c r="AC86" s="720">
        <v>8.6151598063966672E-3</v>
      </c>
      <c r="AD86" s="811">
        <f t="shared" si="54"/>
        <v>0.20788831606377345</v>
      </c>
      <c r="AE86" s="724">
        <f t="shared" si="55"/>
        <v>19.214308811439153</v>
      </c>
      <c r="AF86" s="812">
        <v>27.116533588841747</v>
      </c>
      <c r="AG86" s="720">
        <f t="shared" si="56"/>
        <v>1.2011821911773884E-2</v>
      </c>
      <c r="AH86" s="808">
        <v>8500.3381300000001</v>
      </c>
      <c r="AI86" s="720">
        <f t="shared" si="57"/>
        <v>5.6351133184329792E-2</v>
      </c>
      <c r="AJ86" s="720">
        <v>7.1526967810894831E-3</v>
      </c>
      <c r="AK86" s="720">
        <v>7.1263235540681945E-3</v>
      </c>
      <c r="AL86" s="720">
        <v>7.1416729880009839E-3</v>
      </c>
      <c r="AM86" s="808">
        <v>7.5573889829211325E-3</v>
      </c>
      <c r="AN86" s="720">
        <f t="shared" si="48"/>
        <v>-0.98159818525851883</v>
      </c>
      <c r="AO86" s="720">
        <v>-46.378973723610429</v>
      </c>
      <c r="AP86" s="720">
        <v>22.746039346444455</v>
      </c>
      <c r="AQ86" s="720">
        <f t="shared" si="58"/>
        <v>1.0819453257668477E-2</v>
      </c>
      <c r="AR86" s="813">
        <v>6205.9359000000004</v>
      </c>
      <c r="AS86" s="720">
        <f t="shared" si="59"/>
        <v>2.737305087825E-2</v>
      </c>
      <c r="AT86" s="720">
        <v>7.5999351443582714E-3</v>
      </c>
      <c r="AU86" s="720">
        <v>6.9315165436083263E-3</v>
      </c>
      <c r="AV86" s="808">
        <v>6.2626518218623492E-3</v>
      </c>
      <c r="AW86" s="720">
        <v>6.5789473684210531E-3</v>
      </c>
      <c r="BA86" s="723">
        <v>315.41800000000001</v>
      </c>
      <c r="BB86" s="723">
        <v>42.42</v>
      </c>
      <c r="BC86" s="895">
        <f t="shared" si="53"/>
        <v>13380.031560000001</v>
      </c>
      <c r="BD86" s="814">
        <f>+BC86/$BC$112</f>
        <v>2.1164724150823773E-2</v>
      </c>
    </row>
    <row r="87" spans="2:56">
      <c r="B87" s="723" t="s">
        <v>289</v>
      </c>
      <c r="C87" s="807"/>
      <c r="D87" s="805"/>
      <c r="E87" s="808" t="e">
        <v>#DIV/0!</v>
      </c>
      <c r="G87" s="808">
        <v>0</v>
      </c>
      <c r="H87" s="720" t="e">
        <f t="shared" si="45"/>
        <v>#DIV/0!</v>
      </c>
      <c r="I87" s="809" t="e">
        <v>#DIV/0!</v>
      </c>
      <c r="J87" s="807"/>
      <c r="K87" s="805"/>
      <c r="L87" s="808" t="e">
        <v>#DIV/0!</v>
      </c>
      <c r="N87" s="808">
        <v>0</v>
      </c>
      <c r="O87" s="720" t="e">
        <f t="shared" si="51"/>
        <v>#DIV/0!</v>
      </c>
      <c r="P87" s="809" t="e">
        <v>#DIV/0!</v>
      </c>
      <c r="Q87" s="720" t="e">
        <v>#DIV/0!</v>
      </c>
      <c r="R87" s="720" t="e">
        <v>#DIV/0!</v>
      </c>
      <c r="S87" s="720" t="e">
        <v>#DIV/0!</v>
      </c>
      <c r="T87" s="807" t="e">
        <f t="shared" si="52"/>
        <v>#DIV/0!</v>
      </c>
      <c r="U87" s="724" t="e">
        <f t="shared" si="46"/>
        <v>#DIV/0!</v>
      </c>
      <c r="V87" s="810" t="e">
        <v>#DIV/0!</v>
      </c>
      <c r="W87" s="720">
        <f t="shared" si="34"/>
        <v>0</v>
      </c>
      <c r="X87" s="808">
        <v>0</v>
      </c>
      <c r="Y87" s="720" t="e">
        <f t="shared" si="47"/>
        <v>#DIV/0!</v>
      </c>
      <c r="Z87" s="720" t="e">
        <v>#DIV/0!</v>
      </c>
      <c r="AA87" s="720" t="e">
        <v>#DIV/0!</v>
      </c>
      <c r="AB87" s="808" t="e">
        <v>#DIV/0!</v>
      </c>
      <c r="AC87" s="720" t="e">
        <v>#DIV/0!</v>
      </c>
      <c r="AD87" s="811" t="e">
        <f t="shared" si="54"/>
        <v>#DIV/0!</v>
      </c>
      <c r="AE87" s="724" t="e">
        <f t="shared" si="55"/>
        <v>#DIV/0!</v>
      </c>
      <c r="AF87" s="812" t="e">
        <v>#DIV/0!</v>
      </c>
      <c r="AG87" s="720">
        <f t="shared" si="56"/>
        <v>0</v>
      </c>
      <c r="AH87" s="808">
        <v>0</v>
      </c>
      <c r="AI87" s="720" t="e">
        <f t="shared" si="57"/>
        <v>#DIV/0!</v>
      </c>
      <c r="AJ87" s="720" t="e">
        <v>#DIV/0!</v>
      </c>
      <c r="AK87" s="720" t="e">
        <v>#DIV/0!</v>
      </c>
      <c r="AL87" s="720" t="e">
        <v>#DIV/0!</v>
      </c>
      <c r="AM87" s="808" t="e">
        <v>#DIV/0!</v>
      </c>
      <c r="AN87" s="720" t="e">
        <f t="shared" si="48"/>
        <v>#DIV/0!</v>
      </c>
      <c r="AO87" s="720" t="e">
        <v>#DIV/0!</v>
      </c>
      <c r="AP87" s="720" t="e">
        <v>#DIV/0!</v>
      </c>
      <c r="AQ87" s="720">
        <f t="shared" si="58"/>
        <v>0</v>
      </c>
      <c r="AR87" s="813">
        <v>0</v>
      </c>
      <c r="AS87" s="720" t="e">
        <f t="shared" si="59"/>
        <v>#DIV/0!</v>
      </c>
      <c r="AT87" s="720" t="e">
        <v>#DIV/0!</v>
      </c>
      <c r="AU87" s="720" t="e">
        <v>#DIV/0!</v>
      </c>
      <c r="AV87" s="808" t="e">
        <v>#DIV/0!</v>
      </c>
      <c r="AW87" s="720" t="e">
        <v>#DIV/0!</v>
      </c>
      <c r="BA87" s="723"/>
      <c r="BB87" s="723"/>
      <c r="BC87" s="895">
        <f t="shared" si="53"/>
        <v>0</v>
      </c>
      <c r="BD87" s="814"/>
    </row>
    <row r="88" spans="2:56">
      <c r="B88" s="723" t="s">
        <v>290</v>
      </c>
      <c r="C88" s="807"/>
      <c r="D88" s="805"/>
      <c r="E88" s="808" t="e">
        <v>#DIV/0!</v>
      </c>
      <c r="F88" s="720">
        <f t="shared" si="49"/>
        <v>0</v>
      </c>
      <c r="G88" s="808">
        <v>0</v>
      </c>
      <c r="H88" s="720" t="e">
        <f t="shared" si="45"/>
        <v>#DIV/0!</v>
      </c>
      <c r="I88" s="809" t="e">
        <v>#DIV/0!</v>
      </c>
      <c r="J88" s="807" t="e">
        <f t="shared" si="60"/>
        <v>#DIV/0!</v>
      </c>
      <c r="K88" s="805" t="e">
        <f t="shared" si="50"/>
        <v>#DIV/0!</v>
      </c>
      <c r="L88" s="808" t="e">
        <v>#DIV/0!</v>
      </c>
      <c r="N88" s="808">
        <v>0</v>
      </c>
      <c r="O88" s="720" t="e">
        <f t="shared" si="51"/>
        <v>#DIV/0!</v>
      </c>
      <c r="P88" s="809" t="e">
        <v>#DIV/0!</v>
      </c>
      <c r="Q88" s="720" t="e">
        <v>#DIV/0!</v>
      </c>
      <c r="R88" s="720" t="e">
        <v>#DIV/0!</v>
      </c>
      <c r="S88" s="720" t="e">
        <v>#DIV/0!</v>
      </c>
      <c r="T88" s="807" t="e">
        <f t="shared" si="52"/>
        <v>#DIV/0!</v>
      </c>
      <c r="U88" s="724" t="e">
        <f t="shared" si="46"/>
        <v>#DIV/0!</v>
      </c>
      <c r="V88" s="810" t="e">
        <v>#DIV/0!</v>
      </c>
      <c r="W88" s="720">
        <f t="shared" si="34"/>
        <v>0</v>
      </c>
      <c r="X88" s="808">
        <v>0</v>
      </c>
      <c r="Y88" s="720" t="e">
        <f t="shared" si="47"/>
        <v>#DIV/0!</v>
      </c>
      <c r="Z88" s="720" t="e">
        <v>#DIV/0!</v>
      </c>
      <c r="AA88" s="720" t="e">
        <v>#DIV/0!</v>
      </c>
      <c r="AB88" s="808" t="e">
        <v>#DIV/0!</v>
      </c>
      <c r="AC88" s="720" t="e">
        <v>#DIV/0!</v>
      </c>
      <c r="AD88" s="811" t="e">
        <f t="shared" si="54"/>
        <v>#DIV/0!</v>
      </c>
      <c r="AE88" s="724" t="e">
        <f t="shared" si="55"/>
        <v>#DIV/0!</v>
      </c>
      <c r="AF88" s="812" t="e">
        <v>#DIV/0!</v>
      </c>
      <c r="AG88" s="720">
        <f t="shared" si="56"/>
        <v>0</v>
      </c>
      <c r="AH88" s="808">
        <v>0</v>
      </c>
      <c r="AI88" s="720" t="e">
        <f t="shared" si="57"/>
        <v>#DIV/0!</v>
      </c>
      <c r="AJ88" s="720" t="e">
        <v>#DIV/0!</v>
      </c>
      <c r="AK88" s="720" t="e">
        <v>#DIV/0!</v>
      </c>
      <c r="AL88" s="720" t="e">
        <v>#DIV/0!</v>
      </c>
      <c r="AM88" s="808" t="e">
        <v>#DIV/0!</v>
      </c>
      <c r="AN88" s="720" t="e">
        <f t="shared" si="48"/>
        <v>#DIV/0!</v>
      </c>
      <c r="AO88" s="720" t="e">
        <v>#DIV/0!</v>
      </c>
      <c r="AP88" s="720" t="e">
        <v>#DIV/0!</v>
      </c>
      <c r="AQ88" s="720">
        <f t="shared" si="58"/>
        <v>0</v>
      </c>
      <c r="AR88" s="813">
        <v>0</v>
      </c>
      <c r="AS88" s="720" t="e">
        <f t="shared" si="59"/>
        <v>#DIV/0!</v>
      </c>
      <c r="AT88" s="720" t="e">
        <v>#DIV/0!</v>
      </c>
      <c r="AU88" s="720" t="e">
        <v>#DIV/0!</v>
      </c>
      <c r="AV88" s="808" t="e">
        <v>#DIV/0!</v>
      </c>
      <c r="AW88" s="720" t="e">
        <v>#DIV/0!</v>
      </c>
      <c r="BA88" s="723"/>
      <c r="BB88" s="723"/>
      <c r="BC88" s="895">
        <f t="shared" si="53"/>
        <v>0</v>
      </c>
      <c r="BD88" s="814"/>
    </row>
    <row r="89" spans="2:56">
      <c r="B89" s="728" t="s">
        <v>155</v>
      </c>
      <c r="C89" s="807">
        <f>D89*M89</f>
        <v>-0.15827913729886273</v>
      </c>
      <c r="D89" s="805">
        <f>((E89/L89)-1)*100</f>
        <v>-4.3471412820916715</v>
      </c>
      <c r="E89" s="808">
        <v>68.608366929796858</v>
      </c>
      <c r="F89" s="720">
        <f t="shared" si="49"/>
        <v>4.0457994794791015E-2</v>
      </c>
      <c r="G89" s="808">
        <v>31295.699999999997</v>
      </c>
      <c r="H89" s="720">
        <f t="shared" si="45"/>
        <v>0.13778386284903585</v>
      </c>
      <c r="I89" s="809">
        <v>8.0561017787763138E-3</v>
      </c>
      <c r="J89" s="807">
        <f t="shared" si="60"/>
        <v>1.1413532014198882</v>
      </c>
      <c r="K89" s="805">
        <f t="shared" si="50"/>
        <v>32.327769131213088</v>
      </c>
      <c r="L89" s="808">
        <v>71.726415550350779</v>
      </c>
      <c r="M89" s="720">
        <f>N89/N$112</f>
        <v>3.6409936330089807E-2</v>
      </c>
      <c r="N89" s="808">
        <v>32951.31</v>
      </c>
      <c r="O89" s="720">
        <f t="shared" si="51"/>
        <v>0.12972776107025955</v>
      </c>
      <c r="P89" s="809">
        <v>7.1608066864927624E-3</v>
      </c>
      <c r="Q89" s="720">
        <v>6.9628549892859415E-3</v>
      </c>
      <c r="R89" s="720">
        <v>7.543528846393934E-3</v>
      </c>
      <c r="S89" s="720">
        <v>7.9266012730190797E-3</v>
      </c>
      <c r="T89" s="807">
        <f t="shared" si="52"/>
        <v>0.19962284164612532</v>
      </c>
      <c r="U89" s="724">
        <f t="shared" si="46"/>
        <v>5.7735384459276062</v>
      </c>
      <c r="V89" s="810">
        <v>54.203600666182595</v>
      </c>
      <c r="W89" s="720">
        <f t="shared" si="34"/>
        <v>3.5305659254968182E-2</v>
      </c>
      <c r="X89" s="808">
        <v>25127.7</v>
      </c>
      <c r="Y89" s="720">
        <f t="shared" si="47"/>
        <v>0.10013396927506782</v>
      </c>
      <c r="Z89" s="720">
        <v>8.4199578715916552E-3</v>
      </c>
      <c r="AA89" s="720">
        <v>8.7171953001328201E-3</v>
      </c>
      <c r="AB89" s="808">
        <v>8.9348412965538533E-3</v>
      </c>
      <c r="AC89" s="720">
        <v>8.8997721418791996E-3</v>
      </c>
      <c r="AD89" s="811">
        <f t="shared" si="54"/>
        <v>0.69711421545199526</v>
      </c>
      <c r="AE89" s="724">
        <f t="shared" si="55"/>
        <v>21.917968103879716</v>
      </c>
      <c r="AF89" s="812">
        <v>51.244953570208835</v>
      </c>
      <c r="AG89" s="720">
        <f t="shared" si="56"/>
        <v>3.4575476289922392E-2</v>
      </c>
      <c r="AH89" s="808">
        <v>24467.831910000001</v>
      </c>
      <c r="AI89" s="720">
        <f t="shared" si="57"/>
        <v>6.5162202664910282E-2</v>
      </c>
      <c r="AJ89" s="720">
        <v>7.9112521757657844E-3</v>
      </c>
      <c r="AK89" s="720">
        <v>7.9825994583911913E-3</v>
      </c>
      <c r="AL89" s="720">
        <v>8.1690442554297402E-3</v>
      </c>
      <c r="AM89" s="808">
        <v>8.3641095835553774E-3</v>
      </c>
      <c r="AN89" s="720">
        <f t="shared" si="48"/>
        <v>0.48930835100829223</v>
      </c>
      <c r="AO89" s="720">
        <v>17.016488100514948</v>
      </c>
      <c r="AP89" s="720">
        <v>42.03232252570497</v>
      </c>
      <c r="AQ89" s="720">
        <f t="shared" si="58"/>
        <v>3.1805604066400595E-2</v>
      </c>
      <c r="AR89" s="813">
        <v>18243.393209999998</v>
      </c>
      <c r="AS89" s="720">
        <f t="shared" si="59"/>
        <v>3.2735197191768185E-2</v>
      </c>
      <c r="AT89" s="720">
        <v>8.5557984172807307E-3</v>
      </c>
      <c r="AU89" s="720">
        <v>8.3949131047089138E-3</v>
      </c>
      <c r="AV89" s="808">
        <v>7.6544043689655301E-3</v>
      </c>
      <c r="AW89" s="720">
        <v>8.130081300813009E-3</v>
      </c>
      <c r="BA89" s="723">
        <v>506.08199999999999</v>
      </c>
      <c r="BB89" s="723">
        <v>35.92</v>
      </c>
      <c r="BC89" s="895">
        <f t="shared" si="53"/>
        <v>18178.46544</v>
      </c>
      <c r="BD89" s="814">
        <f>+BC89/$BC$112</f>
        <v>2.8754955083445503E-2</v>
      </c>
    </row>
    <row r="90" spans="2:56">
      <c r="B90" s="728" t="s">
        <v>156</v>
      </c>
      <c r="C90" s="807">
        <f>D90*M90</f>
        <v>-6.2650120284056268E-2</v>
      </c>
      <c r="D90" s="805">
        <f>((E90/L90)-1)*100</f>
        <v>-15.682991488767961</v>
      </c>
      <c r="E90" s="808">
        <v>69.423668012281652</v>
      </c>
      <c r="F90" s="720">
        <f t="shared" si="49"/>
        <v>3.9004548403860683E-3</v>
      </c>
      <c r="G90" s="808">
        <v>3017.1407447999995</v>
      </c>
      <c r="H90" s="720">
        <f t="shared" si="45"/>
        <v>0.16034878843860365</v>
      </c>
      <c r="I90" s="809">
        <v>1.1520921281865996E-2</v>
      </c>
      <c r="J90" s="807">
        <f t="shared" si="60"/>
        <v>0.102781666297679</v>
      </c>
      <c r="K90" s="805">
        <f t="shared" si="50"/>
        <v>24.458144676225757</v>
      </c>
      <c r="L90" s="808">
        <v>82.336493239123385</v>
      </c>
      <c r="M90" s="720">
        <f>N90/N$112</f>
        <v>3.9947812462262575E-3</v>
      </c>
      <c r="N90" s="808">
        <v>3615.3118762200002</v>
      </c>
      <c r="O90" s="720">
        <f t="shared" si="51"/>
        <v>0.14882786715673765</v>
      </c>
      <c r="P90" s="809">
        <v>9.1435535139473174E-3</v>
      </c>
      <c r="Q90" s="720">
        <v>8.6653683351352664E-3</v>
      </c>
      <c r="R90" s="720">
        <v>8.9423979862757186E-3</v>
      </c>
      <c r="S90" s="720">
        <v>9.0891598888468428E-3</v>
      </c>
      <c r="T90" s="807">
        <f t="shared" si="52"/>
        <v>1.4108807509715628E-2</v>
      </c>
      <c r="U90" s="724">
        <f t="shared" si="46"/>
        <v>3.4492040278127467</v>
      </c>
      <c r="V90" s="810">
        <v>66.155970308989723</v>
      </c>
      <c r="W90" s="720">
        <f t="shared" si="34"/>
        <v>4.2023492647660504E-3</v>
      </c>
      <c r="X90" s="808">
        <v>2990.8908047199998</v>
      </c>
      <c r="Y90" s="720">
        <f t="shared" si="47"/>
        <v>0.1129873874325325</v>
      </c>
      <c r="Z90" s="720">
        <v>1.0204085065642493E-2</v>
      </c>
      <c r="AA90" s="720">
        <v>1.0243722619520178E-2</v>
      </c>
      <c r="AB90" s="808">
        <v>1.03961378695684E-2</v>
      </c>
      <c r="AC90" s="720">
        <v>1.0950853597659446E-2</v>
      </c>
      <c r="AD90" s="811">
        <f t="shared" si="54"/>
        <v>3.8991887554925338E-2</v>
      </c>
      <c r="AE90" s="724">
        <f t="shared" si="55"/>
        <v>8.7594667359545788</v>
      </c>
      <c r="AF90" s="812">
        <v>63.950197520324487</v>
      </c>
      <c r="AG90" s="720">
        <f t="shared" si="56"/>
        <v>4.0904531584530493E-3</v>
      </c>
      <c r="AH90" s="808">
        <v>2894.6678703000002</v>
      </c>
      <c r="AI90" s="720">
        <f t="shared" si="57"/>
        <v>7.119258828014198E-2</v>
      </c>
      <c r="AJ90" s="720">
        <v>9.3379179551195454E-3</v>
      </c>
      <c r="AK90" s="720">
        <v>9.7010998333009104E-3</v>
      </c>
      <c r="AL90" s="720">
        <v>8.9752315299074462E-3</v>
      </c>
      <c r="AM90" s="808">
        <v>9.247254165554282E-3</v>
      </c>
      <c r="AN90" s="720">
        <f t="shared" si="48"/>
        <v>1.3742813243951744E-2</v>
      </c>
      <c r="AO90" s="720">
        <v>3.9230484135088339</v>
      </c>
      <c r="AP90" s="720">
        <v>58.799660792363291</v>
      </c>
      <c r="AQ90" s="720">
        <f t="shared" si="58"/>
        <v>4.4513996947870282E-3</v>
      </c>
      <c r="AR90" s="813">
        <v>2553.2806984999997</v>
      </c>
      <c r="AS90" s="720">
        <f t="shared" si="59"/>
        <v>3.3931084796259794E-2</v>
      </c>
      <c r="AT90" s="720">
        <v>9.011077957087851E-3</v>
      </c>
      <c r="AU90" s="720">
        <v>8.8309495678026203E-3</v>
      </c>
      <c r="AV90" s="808">
        <v>7.9918912794664891E-3</v>
      </c>
      <c r="AW90" s="720">
        <v>8.0971659919028341E-3</v>
      </c>
      <c r="BA90" s="723">
        <v>39.141148000000001</v>
      </c>
      <c r="BB90" s="723">
        <v>56.58</v>
      </c>
      <c r="BC90" s="895">
        <f t="shared" si="53"/>
        <v>2214.6061538399999</v>
      </c>
      <c r="BD90" s="814">
        <f>+BC90/$BC$112</f>
        <v>3.5030955000782066E-3</v>
      </c>
    </row>
    <row r="91" spans="2:56">
      <c r="B91" s="723" t="s">
        <v>291</v>
      </c>
      <c r="C91" s="807"/>
      <c r="D91" s="805"/>
      <c r="E91" s="808" t="e">
        <v>#DIV/0!</v>
      </c>
      <c r="F91" s="720" t="s">
        <v>103</v>
      </c>
      <c r="G91" s="808">
        <v>0</v>
      </c>
      <c r="H91" s="720" t="e">
        <f t="shared" si="45"/>
        <v>#DIV/0!</v>
      </c>
      <c r="I91" s="809" t="e">
        <v>#DIV/0!</v>
      </c>
      <c r="J91" s="807"/>
      <c r="K91" s="805"/>
      <c r="L91" s="808" t="e">
        <v>#DIV/0!</v>
      </c>
      <c r="N91" s="808">
        <v>0</v>
      </c>
      <c r="O91" s="720" t="e">
        <f t="shared" si="51"/>
        <v>#DIV/0!</v>
      </c>
      <c r="P91" s="809" t="e">
        <v>#DIV/0!</v>
      </c>
      <c r="Q91" s="720" t="e">
        <v>#DIV/0!</v>
      </c>
      <c r="R91" s="720" t="e">
        <v>#DIV/0!</v>
      </c>
      <c r="S91" s="720" t="e">
        <v>#DIV/0!</v>
      </c>
      <c r="T91" s="807"/>
      <c r="U91" s="724" t="e">
        <f t="shared" si="46"/>
        <v>#DIV/0!</v>
      </c>
      <c r="V91" s="810" t="e">
        <v>#DIV/0!</v>
      </c>
      <c r="W91" s="720">
        <f t="shared" si="34"/>
        <v>0</v>
      </c>
      <c r="X91" s="808">
        <v>0</v>
      </c>
      <c r="Y91" s="720" t="e">
        <f t="shared" si="47"/>
        <v>#DIV/0!</v>
      </c>
      <c r="Z91" s="720" t="e">
        <v>#DIV/0!</v>
      </c>
      <c r="AA91" s="720" t="e">
        <v>#DIV/0!</v>
      </c>
      <c r="AB91" s="808" t="e">
        <v>#DIV/0!</v>
      </c>
      <c r="AC91" s="720" t="e">
        <v>#DIV/0!</v>
      </c>
      <c r="AD91" s="811" t="e">
        <f t="shared" si="54"/>
        <v>#DIV/0!</v>
      </c>
      <c r="AE91" s="724" t="e">
        <f t="shared" si="55"/>
        <v>#DIV/0!</v>
      </c>
      <c r="AF91" s="812" t="e">
        <v>#DIV/0!</v>
      </c>
      <c r="AG91" s="720">
        <f t="shared" si="56"/>
        <v>0</v>
      </c>
      <c r="AH91" s="808">
        <v>0</v>
      </c>
      <c r="AI91" s="720" t="e">
        <f t="shared" si="57"/>
        <v>#DIV/0!</v>
      </c>
      <c r="AJ91" s="720" t="e">
        <v>#DIV/0!</v>
      </c>
      <c r="AK91" s="720" t="e">
        <v>#DIV/0!</v>
      </c>
      <c r="AL91" s="720" t="e">
        <v>#DIV/0!</v>
      </c>
      <c r="AM91" s="808" t="e">
        <v>#DIV/0!</v>
      </c>
      <c r="AN91" s="720" t="e">
        <f t="shared" si="48"/>
        <v>#DIV/0!</v>
      </c>
      <c r="AO91" s="720" t="e">
        <v>#DIV/0!</v>
      </c>
      <c r="AP91" s="720" t="e">
        <v>#DIV/0!</v>
      </c>
      <c r="AQ91" s="720">
        <f t="shared" si="58"/>
        <v>0</v>
      </c>
      <c r="AR91" s="813">
        <v>0</v>
      </c>
      <c r="AS91" s="720" t="e">
        <f t="shared" si="59"/>
        <v>#DIV/0!</v>
      </c>
      <c r="AT91" s="720" t="e">
        <v>#DIV/0!</v>
      </c>
      <c r="AU91" s="720" t="e">
        <v>#DIV/0!</v>
      </c>
      <c r="AV91" s="808" t="e">
        <v>#DIV/0!</v>
      </c>
      <c r="AW91" s="720" t="e">
        <v>#DIV/0!</v>
      </c>
      <c r="BA91" s="723"/>
      <c r="BB91" s="723"/>
      <c r="BC91" s="895">
        <f t="shared" si="53"/>
        <v>0</v>
      </c>
      <c r="BD91" s="814"/>
    </row>
    <row r="92" spans="2:56">
      <c r="B92" s="728" t="s">
        <v>157</v>
      </c>
      <c r="C92" s="807">
        <f>D92*M92</f>
        <v>-0.10989065344898549</v>
      </c>
      <c r="D92" s="805">
        <f>((E92/L92)-1)*100</f>
        <v>-17.295308187672486</v>
      </c>
      <c r="E92" s="808">
        <v>9.6038715192578987</v>
      </c>
      <c r="F92" s="720">
        <f t="shared" si="49"/>
        <v>6.1363948738111119E-3</v>
      </c>
      <c r="G92" s="808">
        <v>4746.72</v>
      </c>
      <c r="H92" s="720">
        <f t="shared" si="45"/>
        <v>6.8283817492535925E-2</v>
      </c>
      <c r="I92" s="809">
        <v>0</v>
      </c>
      <c r="J92" s="807">
        <f>K92*W92</f>
        <v>-0.9356167605967235</v>
      </c>
      <c r="K92" s="805">
        <f t="shared" si="50"/>
        <v>-54.231578947368419</v>
      </c>
      <c r="L92" s="808">
        <v>11.612245096143866</v>
      </c>
      <c r="M92" s="720">
        <f>N92/N$112</f>
        <v>6.353784058459962E-3</v>
      </c>
      <c r="N92" s="808">
        <v>5750.23</v>
      </c>
      <c r="O92" s="720">
        <f t="shared" si="51"/>
        <v>6.8283817492535925E-2</v>
      </c>
      <c r="P92" s="809">
        <v>0</v>
      </c>
      <c r="Q92" s="720">
        <v>0</v>
      </c>
      <c r="R92" s="720">
        <v>0</v>
      </c>
      <c r="S92" s="720">
        <v>0</v>
      </c>
      <c r="T92" s="807">
        <f t="shared" si="52"/>
        <v>-1.5281312418427204</v>
      </c>
      <c r="U92" s="724">
        <f t="shared" si="46"/>
        <v>-47.02208342627705</v>
      </c>
      <c r="V92" s="810">
        <v>25.371740665447728</v>
      </c>
      <c r="W92" s="720">
        <f t="shared" si="34"/>
        <v>1.7252250049823125E-2</v>
      </c>
      <c r="X92" s="808">
        <v>12278.75</v>
      </c>
      <c r="Y92" s="720">
        <f t="shared" si="47"/>
        <v>6.8283817492535925E-2</v>
      </c>
      <c r="Z92" s="720">
        <v>0</v>
      </c>
      <c r="AA92" s="720">
        <v>0</v>
      </c>
      <c r="AB92" s="808">
        <v>0</v>
      </c>
      <c r="AC92" s="720">
        <v>0</v>
      </c>
      <c r="AD92" s="811">
        <f t="shared" si="54"/>
        <v>-1.0643309469036943</v>
      </c>
      <c r="AE92" s="724">
        <f t="shared" si="55"/>
        <v>-23.616329577810603</v>
      </c>
      <c r="AF92" s="812">
        <v>47.891163538190384</v>
      </c>
      <c r="AG92" s="720">
        <f t="shared" si="56"/>
        <v>3.2498161087195991E-2</v>
      </c>
      <c r="AH92" s="808">
        <v>22997.79</v>
      </c>
      <c r="AI92" s="720">
        <f t="shared" si="57"/>
        <v>6.8283817492535925E-2</v>
      </c>
      <c r="AJ92" s="720">
        <v>1.2482152188515078E-2</v>
      </c>
      <c r="AK92" s="720">
        <v>8.1546907987632023E-3</v>
      </c>
      <c r="AL92" s="720">
        <v>8.2997443421193792E-3</v>
      </c>
      <c r="AM92" s="808">
        <v>7.6182519488397563E-3</v>
      </c>
      <c r="AN92" s="720">
        <f t="shared" si="48"/>
        <v>0.70616239950752779</v>
      </c>
      <c r="AO92" s="720">
        <v>17.765157787533646</v>
      </c>
      <c r="AP92" s="720">
        <v>62.698170006082918</v>
      </c>
      <c r="AQ92" s="720">
        <f t="shared" si="58"/>
        <v>4.5067585265396906E-2</v>
      </c>
      <c r="AR92" s="813">
        <v>25850.34</v>
      </c>
      <c r="AS92" s="720">
        <f t="shared" si="59"/>
        <v>3.1728978214298507E-2</v>
      </c>
      <c r="AT92" s="720">
        <v>8.2524844813092763E-3</v>
      </c>
      <c r="AU92" s="720">
        <v>8.1333681791950149E-3</v>
      </c>
      <c r="AV92" s="808">
        <v>7.7242374091190669E-3</v>
      </c>
      <c r="AW92" s="720">
        <v>7.6188881446751511E-3</v>
      </c>
      <c r="BA92" s="723">
        <v>472</v>
      </c>
      <c r="BB92" s="723">
        <v>53.24</v>
      </c>
      <c r="BC92" s="895">
        <f t="shared" si="53"/>
        <v>25129.280000000002</v>
      </c>
      <c r="BD92" s="814">
        <f>+BC92/$BC$112</f>
        <v>3.9749852376941092E-2</v>
      </c>
    </row>
    <row r="93" spans="2:56">
      <c r="B93" s="723" t="s">
        <v>292</v>
      </c>
      <c r="C93" s="807"/>
      <c r="D93" s="805"/>
      <c r="E93" s="808" t="e">
        <v>#DIV/0!</v>
      </c>
      <c r="G93" s="808">
        <v>0</v>
      </c>
      <c r="H93" s="720" t="e">
        <f t="shared" si="45"/>
        <v>#DIV/0!</v>
      </c>
      <c r="I93" s="809" t="e">
        <v>#DIV/0!</v>
      </c>
      <c r="J93" s="807"/>
      <c r="K93" s="805"/>
      <c r="L93" s="808" t="e">
        <v>#DIV/0!</v>
      </c>
      <c r="N93" s="808">
        <v>0</v>
      </c>
      <c r="O93" s="720" t="e">
        <f t="shared" si="51"/>
        <v>#DIV/0!</v>
      </c>
      <c r="P93" s="809" t="e">
        <v>#DIV/0!</v>
      </c>
      <c r="Q93" s="720" t="e">
        <v>#DIV/0!</v>
      </c>
      <c r="R93" s="720" t="e">
        <v>#DIV/0!</v>
      </c>
      <c r="S93" s="720" t="e">
        <v>#DIV/0!</v>
      </c>
      <c r="T93" s="807" t="e">
        <f t="shared" si="52"/>
        <v>#DIV/0!</v>
      </c>
      <c r="U93" s="724" t="e">
        <f t="shared" si="46"/>
        <v>#DIV/0!</v>
      </c>
      <c r="V93" s="810" t="e">
        <v>#DIV/0!</v>
      </c>
      <c r="W93" s="720">
        <f t="shared" si="34"/>
        <v>0</v>
      </c>
      <c r="X93" s="808">
        <v>0</v>
      </c>
      <c r="Y93" s="720" t="e">
        <f t="shared" si="47"/>
        <v>#DIV/0!</v>
      </c>
      <c r="Z93" s="720" t="e">
        <v>#DIV/0!</v>
      </c>
      <c r="AA93" s="720" t="e">
        <v>#DIV/0!</v>
      </c>
      <c r="AB93" s="808" t="e">
        <v>#DIV/0!</v>
      </c>
      <c r="AC93" s="720" t="e">
        <v>#DIV/0!</v>
      </c>
      <c r="AD93" s="811" t="e">
        <f t="shared" si="54"/>
        <v>#DIV/0!</v>
      </c>
      <c r="AE93" s="724" t="e">
        <f t="shared" si="55"/>
        <v>#DIV/0!</v>
      </c>
      <c r="AF93" s="812" t="e">
        <v>#DIV/0!</v>
      </c>
      <c r="AG93" s="720">
        <f t="shared" si="56"/>
        <v>0</v>
      </c>
      <c r="AH93" s="808">
        <v>0</v>
      </c>
      <c r="AI93" s="720" t="e">
        <f t="shared" si="57"/>
        <v>#DIV/0!</v>
      </c>
      <c r="AJ93" s="720" t="e">
        <v>#DIV/0!</v>
      </c>
      <c r="AK93" s="720" t="e">
        <v>#DIV/0!</v>
      </c>
      <c r="AL93" s="720" t="e">
        <v>#DIV/0!</v>
      </c>
      <c r="AM93" s="808" t="e">
        <v>#DIV/0!</v>
      </c>
      <c r="AN93" s="720" t="e">
        <f t="shared" si="48"/>
        <v>#DIV/0!</v>
      </c>
      <c r="AO93" s="720" t="e">
        <v>#DIV/0!</v>
      </c>
      <c r="AP93" s="720" t="e">
        <v>#DIV/0!</v>
      </c>
      <c r="AQ93" s="720">
        <f t="shared" si="58"/>
        <v>0</v>
      </c>
      <c r="AR93" s="813">
        <v>0</v>
      </c>
      <c r="AS93" s="720" t="e">
        <f t="shared" si="59"/>
        <v>#DIV/0!</v>
      </c>
      <c r="AT93" s="720" t="e">
        <v>#DIV/0!</v>
      </c>
      <c r="AU93" s="720" t="e">
        <v>#DIV/0!</v>
      </c>
      <c r="AV93" s="808" t="e">
        <v>#DIV/0!</v>
      </c>
      <c r="AW93" s="720" t="e">
        <v>#DIV/0!</v>
      </c>
      <c r="BA93" s="723"/>
      <c r="BB93" s="723"/>
      <c r="BC93" s="895">
        <f t="shared" si="53"/>
        <v>0</v>
      </c>
      <c r="BD93" s="814"/>
    </row>
    <row r="94" spans="2:56">
      <c r="B94" s="728" t="s">
        <v>158</v>
      </c>
      <c r="C94" s="807">
        <f>D94*M94</f>
        <v>-0.90283853492612987</v>
      </c>
      <c r="D94" s="805">
        <f>((E94/L94)-1)*100</f>
        <v>-18.419609563500781</v>
      </c>
      <c r="E94" s="808">
        <v>42.494641108555683</v>
      </c>
      <c r="F94" s="720">
        <f t="shared" si="49"/>
        <v>4.6301849810343229E-2</v>
      </c>
      <c r="G94" s="808">
        <v>35816.130000000005</v>
      </c>
      <c r="H94" s="720">
        <f t="shared" si="45"/>
        <v>0.15443197795587291</v>
      </c>
      <c r="I94" s="809">
        <v>1.1872561176799662E-2</v>
      </c>
      <c r="J94" s="807">
        <f>K94*W94</f>
        <v>0.25633649534700825</v>
      </c>
      <c r="K94" s="805">
        <f t="shared" si="50"/>
        <v>4.1789478940935876</v>
      </c>
      <c r="L94" s="808">
        <v>52.089283810957959</v>
      </c>
      <c r="M94" s="720">
        <f>N94/N$112</f>
        <v>4.9015074495126203E-2</v>
      </c>
      <c r="N94" s="808">
        <v>44359.07</v>
      </c>
      <c r="O94" s="720">
        <f t="shared" si="51"/>
        <v>0.14255941677907324</v>
      </c>
      <c r="P94" s="809">
        <v>9.0131720490161348E-3</v>
      </c>
      <c r="Q94" s="720">
        <v>8.4423547940756221E-3</v>
      </c>
      <c r="R94" s="720">
        <v>8.4436656508833571E-3</v>
      </c>
      <c r="S94" s="720">
        <v>8.0168209398098333E-3</v>
      </c>
      <c r="T94" s="807">
        <f t="shared" si="52"/>
        <v>0.97515590558203824</v>
      </c>
      <c r="U94" s="724">
        <f t="shared" si="46"/>
        <v>18.202031651187834</v>
      </c>
      <c r="V94" s="810">
        <v>49.999817490872502</v>
      </c>
      <c r="W94" s="720">
        <f t="shared" si="34"/>
        <v>6.133995968442376E-2</v>
      </c>
      <c r="X94" s="808">
        <v>43656.800000000003</v>
      </c>
      <c r="Y94" s="720">
        <f t="shared" si="47"/>
        <v>0.1086434033452883</v>
      </c>
      <c r="Z94" s="720">
        <v>8.4163708692732864E-3</v>
      </c>
      <c r="AA94" s="720">
        <v>8.6257999364668832E-3</v>
      </c>
      <c r="AB94" s="808">
        <v>8.769412626059939E-3</v>
      </c>
      <c r="AC94" s="720">
        <v>9.4924908619020056E-3</v>
      </c>
      <c r="AD94" s="811">
        <f t="shared" si="54"/>
        <v>0.66322974295312753</v>
      </c>
      <c r="AE94" s="724">
        <f t="shared" si="55"/>
        <v>15.004423285815104</v>
      </c>
      <c r="AF94" s="812">
        <v>42.300302957923009</v>
      </c>
      <c r="AG94" s="720">
        <f t="shared" si="56"/>
        <v>5.3574014388575203E-2</v>
      </c>
      <c r="AH94" s="808">
        <v>37912.42</v>
      </c>
      <c r="AI94" s="720">
        <f t="shared" si="57"/>
        <v>7.3339329051586188E-2</v>
      </c>
      <c r="AJ94" s="720">
        <v>8.8460177480816481E-3</v>
      </c>
      <c r="AK94" s="720">
        <v>9.1748551734166118E-3</v>
      </c>
      <c r="AL94" s="720">
        <v>9.4956190502810296E-3</v>
      </c>
      <c r="AM94" s="808">
        <v>9.4335048996388293E-3</v>
      </c>
      <c r="AN94" s="720">
        <f t="shared" si="48"/>
        <v>-4.0659771928367131E-2</v>
      </c>
      <c r="AO94" s="720">
        <v>-0.80513107045802057</v>
      </c>
      <c r="AP94" s="720">
        <v>36.781457399074164</v>
      </c>
      <c r="AQ94" s="720">
        <f t="shared" si="58"/>
        <v>4.4202281575202715E-2</v>
      </c>
      <c r="AR94" s="813">
        <v>25354.01</v>
      </c>
      <c r="AS94" s="720">
        <f t="shared" si="59"/>
        <v>3.6389332180168064E-2</v>
      </c>
      <c r="AT94" s="720">
        <v>9.2038596859163706E-3</v>
      </c>
      <c r="AU94" s="720">
        <v>9.7192626830865294E-3</v>
      </c>
      <c r="AV94" s="808">
        <v>8.8214803075399566E-3</v>
      </c>
      <c r="AW94" s="720">
        <v>8.6447295036252095E-3</v>
      </c>
      <c r="BA94" s="723">
        <v>861</v>
      </c>
      <c r="BB94" s="723">
        <v>37.08</v>
      </c>
      <c r="BC94" s="895">
        <f t="shared" si="53"/>
        <v>31925.879999999997</v>
      </c>
      <c r="BD94" s="814">
        <f>+BC94/$BC$112</f>
        <v>5.0500810886899096E-2</v>
      </c>
    </row>
    <row r="95" spans="2:56">
      <c r="B95" s="723" t="s">
        <v>293</v>
      </c>
      <c r="C95" s="807"/>
      <c r="D95" s="805"/>
      <c r="E95" s="808" t="e">
        <v>#DIV/0!</v>
      </c>
      <c r="G95" s="808">
        <v>0</v>
      </c>
      <c r="H95" s="720" t="e">
        <f t="shared" si="45"/>
        <v>#DIV/0!</v>
      </c>
      <c r="I95" s="809" t="e">
        <v>#DIV/0!</v>
      </c>
      <c r="J95" s="807"/>
      <c r="K95" s="805"/>
      <c r="L95" s="808" t="e">
        <v>#DIV/0!</v>
      </c>
      <c r="N95" s="808">
        <v>0</v>
      </c>
      <c r="O95" s="720" t="e">
        <f t="shared" si="51"/>
        <v>#DIV/0!</v>
      </c>
      <c r="P95" s="809" t="e">
        <v>#DIV/0!</v>
      </c>
      <c r="Q95" s="720" t="e">
        <v>#DIV/0!</v>
      </c>
      <c r="R95" s="720" t="e">
        <v>#DIV/0!</v>
      </c>
      <c r="S95" s="720" t="e">
        <v>#DIV/0!</v>
      </c>
      <c r="T95" s="807" t="e">
        <f t="shared" si="52"/>
        <v>#DIV/0!</v>
      </c>
      <c r="U95" s="724" t="e">
        <f t="shared" si="46"/>
        <v>#DIV/0!</v>
      </c>
      <c r="V95" s="810" t="e">
        <v>#DIV/0!</v>
      </c>
      <c r="W95" s="720">
        <f t="shared" si="34"/>
        <v>0</v>
      </c>
      <c r="X95" s="808">
        <v>0</v>
      </c>
      <c r="Y95" s="720" t="e">
        <f t="shared" si="47"/>
        <v>#DIV/0!</v>
      </c>
      <c r="Z95" s="720" t="e">
        <v>#DIV/0!</v>
      </c>
      <c r="AA95" s="720" t="e">
        <v>#DIV/0!</v>
      </c>
      <c r="AB95" s="808" t="e">
        <v>#DIV/0!</v>
      </c>
      <c r="AC95" s="720" t="e">
        <v>#DIV/0!</v>
      </c>
      <c r="AD95" s="811" t="e">
        <f t="shared" si="54"/>
        <v>#DIV/0!</v>
      </c>
      <c r="AE95" s="724" t="e">
        <f t="shared" si="55"/>
        <v>#DIV/0!</v>
      </c>
      <c r="AF95" s="812" t="e">
        <v>#DIV/0!</v>
      </c>
      <c r="AG95" s="720">
        <f t="shared" si="56"/>
        <v>0</v>
      </c>
      <c r="AH95" s="808">
        <v>0</v>
      </c>
      <c r="AI95" s="720" t="e">
        <f t="shared" si="57"/>
        <v>#DIV/0!</v>
      </c>
      <c r="AJ95" s="720" t="e">
        <v>#DIV/0!</v>
      </c>
      <c r="AK95" s="720" t="e">
        <v>#DIV/0!</v>
      </c>
      <c r="AL95" s="720" t="e">
        <v>#DIV/0!</v>
      </c>
      <c r="AM95" s="808" t="e">
        <v>#DIV/0!</v>
      </c>
      <c r="AN95" s="720" t="e">
        <f t="shared" si="48"/>
        <v>#DIV/0!</v>
      </c>
      <c r="AO95" s="720" t="e">
        <v>#DIV/0!</v>
      </c>
      <c r="AP95" s="720" t="e">
        <v>#DIV/0!</v>
      </c>
      <c r="AQ95" s="720">
        <f t="shared" si="58"/>
        <v>0</v>
      </c>
      <c r="AR95" s="813">
        <v>0</v>
      </c>
      <c r="AS95" s="720" t="e">
        <f t="shared" si="59"/>
        <v>#DIV/0!</v>
      </c>
      <c r="AT95" s="720" t="e">
        <v>#DIV/0!</v>
      </c>
      <c r="AU95" s="720" t="e">
        <v>#DIV/0!</v>
      </c>
      <c r="AV95" s="808" t="e">
        <v>#DIV/0!</v>
      </c>
      <c r="AW95" s="720" t="e">
        <v>#DIV/0!</v>
      </c>
      <c r="BA95" s="723"/>
      <c r="BB95" s="723"/>
      <c r="BC95" s="895">
        <f t="shared" si="53"/>
        <v>0</v>
      </c>
      <c r="BD95" s="814"/>
    </row>
    <row r="96" spans="2:56">
      <c r="B96" s="728" t="s">
        <v>159</v>
      </c>
      <c r="C96" s="807">
        <f>D96*M96</f>
        <v>-0.10963499576580772</v>
      </c>
      <c r="D96" s="805">
        <f>((E96/L96)-1)*100</f>
        <v>-24.457700650759207</v>
      </c>
      <c r="E96" s="808">
        <v>42.424234063105473</v>
      </c>
      <c r="F96" s="720">
        <f t="shared" si="49"/>
        <v>3.9266168615436862E-3</v>
      </c>
      <c r="G96" s="808">
        <v>3037.3779999999997</v>
      </c>
      <c r="H96" s="720">
        <f t="shared" si="45"/>
        <v>0.11642721218698601</v>
      </c>
      <c r="I96" s="809">
        <v>8.9617272791881007E-3</v>
      </c>
      <c r="J96" s="807">
        <f t="shared" ref="J96:J103" si="61">K96*W96</f>
        <v>0.12142049042279691</v>
      </c>
      <c r="K96" s="805">
        <f t="shared" si="50"/>
        <v>26.332131030885076</v>
      </c>
      <c r="L96" s="808">
        <v>56.159574739674426</v>
      </c>
      <c r="M96" s="720">
        <f>N96/N$112</f>
        <v>4.4826370774312535E-3</v>
      </c>
      <c r="N96" s="808">
        <v>4056.8256592600001</v>
      </c>
      <c r="O96" s="720">
        <f t="shared" si="51"/>
        <v>0.10746548490779791</v>
      </c>
      <c r="P96" s="809">
        <v>6.6750749568118351E-3</v>
      </c>
      <c r="Q96" s="720">
        <v>6.0956505420237915E-3</v>
      </c>
      <c r="R96" s="720">
        <v>6.2004195357148253E-3</v>
      </c>
      <c r="S96" s="720">
        <v>6.627406226396005E-3</v>
      </c>
      <c r="T96" s="807">
        <f t="shared" si="52"/>
        <v>2.0133253837587798E-2</v>
      </c>
      <c r="U96" s="724">
        <f t="shared" si="46"/>
        <v>4.4062535252097579</v>
      </c>
      <c r="V96" s="810">
        <v>44.453912303549124</v>
      </c>
      <c r="W96" s="720">
        <f t="shared" si="34"/>
        <v>4.6111152295415158E-3</v>
      </c>
      <c r="X96" s="808">
        <v>3281.8172100000002</v>
      </c>
      <c r="Y96" s="720">
        <f t="shared" si="47"/>
        <v>8.186693364685145E-2</v>
      </c>
      <c r="Z96" s="720">
        <v>7.5819577273462278E-3</v>
      </c>
      <c r="AA96" s="720">
        <v>7.1682114722061907E-3</v>
      </c>
      <c r="AB96" s="808">
        <v>7.2203738689782786E-3</v>
      </c>
      <c r="AC96" s="720">
        <v>7.2925494872972865E-3</v>
      </c>
      <c r="AD96" s="811">
        <f t="shared" si="54"/>
        <v>8.8814430075084078E-2</v>
      </c>
      <c r="AE96" s="724">
        <f t="shared" si="55"/>
        <v>20.894769811626478</v>
      </c>
      <c r="AF96" s="812">
        <v>42.577825372131905</v>
      </c>
      <c r="AG96" s="720">
        <f t="shared" si="56"/>
        <v>4.5692454422783949E-3</v>
      </c>
      <c r="AH96" s="808">
        <v>3233.4921000000004</v>
      </c>
      <c r="AI96" s="720">
        <f t="shared" si="57"/>
        <v>5.2603841091023465E-2</v>
      </c>
      <c r="AJ96" s="720">
        <v>6.2728127164606053E-3</v>
      </c>
      <c r="AK96" s="720">
        <v>6.2585009405150532E-3</v>
      </c>
      <c r="AL96" s="720">
        <v>6.5523826174646123E-3</v>
      </c>
      <c r="AM96" s="808">
        <v>6.7296404676920572E-3</v>
      </c>
      <c r="AN96" s="720">
        <f t="shared" si="48"/>
        <v>7.0518122181970885E-2</v>
      </c>
      <c r="AO96" s="720">
        <v>18.862349980313752</v>
      </c>
      <c r="AP96" s="720">
        <v>35.218914299166961</v>
      </c>
      <c r="AQ96" s="720">
        <f t="shared" si="58"/>
        <v>4.2505579566454498E-3</v>
      </c>
      <c r="AR96" s="813">
        <v>2438.07978</v>
      </c>
      <c r="AS96" s="720">
        <f t="shared" si="59"/>
        <v>2.6790504348891134E-2</v>
      </c>
      <c r="AT96" s="720">
        <v>7.2084156417342735E-3</v>
      </c>
      <c r="AU96" s="720">
        <v>6.8095950065444602E-3</v>
      </c>
      <c r="AV96" s="808">
        <v>6.248175788394132E-3</v>
      </c>
      <c r="AW96" s="720">
        <v>6.5243179122182688E-3</v>
      </c>
      <c r="BA96" s="723">
        <v>79.766000000000005</v>
      </c>
      <c r="BB96" s="723">
        <v>29.63</v>
      </c>
      <c r="BC96" s="895">
        <f t="shared" si="53"/>
        <v>2363.4665800000002</v>
      </c>
      <c r="BD96" s="814">
        <f>+BC96/$BC$112</f>
        <v>3.7385650385858183E-3</v>
      </c>
    </row>
    <row r="97" spans="2:56">
      <c r="B97" s="728" t="s">
        <v>160</v>
      </c>
      <c r="C97" s="807">
        <f>D97*M97</f>
        <v>-0.76016946815312014</v>
      </c>
      <c r="D97" s="805">
        <f>((E97/L97)-1)*100</f>
        <v>-23.116003386960205</v>
      </c>
      <c r="E97" s="808">
        <v>52.182176984388683</v>
      </c>
      <c r="F97" s="720">
        <f t="shared" si="49"/>
        <v>2.9261277022145808E-2</v>
      </c>
      <c r="G97" s="808">
        <v>22634.639999999999</v>
      </c>
      <c r="H97" s="720">
        <f t="shared" si="45"/>
        <v>0.16192778856354248</v>
      </c>
      <c r="I97" s="809">
        <v>1.2540630317095503E-2</v>
      </c>
      <c r="J97" s="807">
        <f t="shared" si="61"/>
        <v>0.62869376642070529</v>
      </c>
      <c r="K97" s="805">
        <f t="shared" si="50"/>
        <v>17.056750506799069</v>
      </c>
      <c r="L97" s="808">
        <v>67.871311694452686</v>
      </c>
      <c r="M97" s="720">
        <f>N97/N$112</f>
        <v>3.28849868823749E-2</v>
      </c>
      <c r="N97" s="808">
        <v>29761.199999999997</v>
      </c>
      <c r="O97" s="720">
        <f t="shared" si="51"/>
        <v>0.14938715824644697</v>
      </c>
      <c r="P97" s="809">
        <v>9.0761418745939192E-3</v>
      </c>
      <c r="Q97" s="720">
        <v>8.5682842157437395E-3</v>
      </c>
      <c r="R97" s="720">
        <v>8.9714805888576714E-3</v>
      </c>
      <c r="S97" s="720">
        <v>8.8126668042185757E-3</v>
      </c>
      <c r="T97" s="807">
        <f t="shared" si="52"/>
        <v>0.16882775644585077</v>
      </c>
      <c r="U97" s="724">
        <f t="shared" si="46"/>
        <v>4.5938050296721711</v>
      </c>
      <c r="V97" s="810">
        <v>57.981544336915867</v>
      </c>
      <c r="W97" s="720">
        <f t="shared" si="34"/>
        <v>3.6858941342320671E-2</v>
      </c>
      <c r="X97" s="808">
        <v>26233.199999999997</v>
      </c>
      <c r="Y97" s="720">
        <f t="shared" si="47"/>
        <v>0.11395858476303307</v>
      </c>
      <c r="Z97" s="720">
        <v>9.5482164408259972E-3</v>
      </c>
      <c r="AA97" s="720">
        <v>9.3347983798834182E-3</v>
      </c>
      <c r="AB97" s="808">
        <v>9.0270014008801171E-3</v>
      </c>
      <c r="AC97" s="720">
        <v>9.6413859902081192E-3</v>
      </c>
      <c r="AD97" s="811">
        <f t="shared" si="54"/>
        <v>0.74291067282242995</v>
      </c>
      <c r="AE97" s="724">
        <f t="shared" si="55"/>
        <v>21.809638155454248</v>
      </c>
      <c r="AF97" s="812">
        <v>55.434969901388619</v>
      </c>
      <c r="AG97" s="720">
        <f t="shared" si="56"/>
        <v>3.6751180199282175E-2</v>
      </c>
      <c r="AH97" s="808">
        <v>26007.5</v>
      </c>
      <c r="AI97" s="720">
        <f t="shared" si="57"/>
        <v>7.6407182551235422E-2</v>
      </c>
      <c r="AJ97" s="720">
        <v>8.9130577411328914E-3</v>
      </c>
      <c r="AK97" s="720">
        <v>9.8333863253715521E-3</v>
      </c>
      <c r="AL97" s="720">
        <v>1.0469477844116813E-2</v>
      </c>
      <c r="AM97" s="808">
        <v>1.0055655249563734E-2</v>
      </c>
      <c r="AN97" s="720">
        <f t="shared" si="48"/>
        <v>0.32803449885850344</v>
      </c>
      <c r="AO97" s="720">
        <v>9.8998076903146437</v>
      </c>
      <c r="AP97" s="720">
        <v>45.50951036455929</v>
      </c>
      <c r="AQ97" s="720">
        <f t="shared" si="58"/>
        <v>3.4063411209627963E-2</v>
      </c>
      <c r="AR97" s="813">
        <v>19538.449999999997</v>
      </c>
      <c r="AS97" s="720">
        <f t="shared" si="59"/>
        <v>3.713560539105043E-2</v>
      </c>
      <c r="AT97" s="720">
        <v>9.60093922353422E-3</v>
      </c>
      <c r="AU97" s="720">
        <v>9.9642671033273802E-3</v>
      </c>
      <c r="AV97" s="808">
        <v>8.8729022461998593E-3</v>
      </c>
      <c r="AW97" s="720">
        <v>8.697496817988969E-3</v>
      </c>
      <c r="BA97" s="723">
        <v>505.86200000000002</v>
      </c>
      <c r="BB97" s="723">
        <v>41.41</v>
      </c>
      <c r="BC97" s="895">
        <f t="shared" si="53"/>
        <v>20947.745419999999</v>
      </c>
      <c r="BD97" s="814">
        <f>+BC97/$BC$112</f>
        <v>3.3135441527761392E-2</v>
      </c>
    </row>
    <row r="98" spans="2:56">
      <c r="B98" s="723" t="s">
        <v>294</v>
      </c>
      <c r="C98" s="807"/>
      <c r="D98" s="805"/>
      <c r="E98" s="808" t="e">
        <v>#DIV/0!</v>
      </c>
      <c r="F98" s="720">
        <f t="shared" si="49"/>
        <v>0</v>
      </c>
      <c r="G98" s="808">
        <v>0</v>
      </c>
      <c r="H98" s="720" t="e">
        <f t="shared" si="45"/>
        <v>#DIV/0!</v>
      </c>
      <c r="I98" s="809" t="e">
        <v>#DIV/0!</v>
      </c>
      <c r="J98" s="807" t="e">
        <f t="shared" si="61"/>
        <v>#DIV/0!</v>
      </c>
      <c r="K98" s="805" t="e">
        <f t="shared" si="50"/>
        <v>#DIV/0!</v>
      </c>
      <c r="L98" s="808" t="e">
        <v>#DIV/0!</v>
      </c>
      <c r="N98" s="808">
        <v>0</v>
      </c>
      <c r="O98" s="720" t="e">
        <f t="shared" si="51"/>
        <v>#DIV/0!</v>
      </c>
      <c r="P98" s="809" t="e">
        <v>#DIV/0!</v>
      </c>
      <c r="Q98" s="720" t="e">
        <v>#DIV/0!</v>
      </c>
      <c r="R98" s="720" t="e">
        <v>#DIV/0!</v>
      </c>
      <c r="S98" s="720" t="e">
        <v>#DIV/0!</v>
      </c>
      <c r="T98" s="807" t="e">
        <f t="shared" si="52"/>
        <v>#DIV/0!</v>
      </c>
      <c r="U98" s="724" t="e">
        <f t="shared" si="46"/>
        <v>#DIV/0!</v>
      </c>
      <c r="V98" s="810" t="e">
        <v>#DIV/0!</v>
      </c>
      <c r="W98" s="720">
        <f t="shared" si="34"/>
        <v>0</v>
      </c>
      <c r="X98" s="808">
        <v>0</v>
      </c>
      <c r="Y98" s="720" t="e">
        <f t="shared" si="47"/>
        <v>#DIV/0!</v>
      </c>
      <c r="Z98" s="720" t="e">
        <v>#DIV/0!</v>
      </c>
      <c r="AA98" s="720" t="e">
        <v>#DIV/0!</v>
      </c>
      <c r="AB98" s="808" t="e">
        <v>#DIV/0!</v>
      </c>
      <c r="AC98" s="720" t="e">
        <v>#DIV/0!</v>
      </c>
      <c r="AD98" s="811" t="e">
        <f t="shared" si="54"/>
        <v>#DIV/0!</v>
      </c>
      <c r="AE98" s="724" t="e">
        <f t="shared" si="55"/>
        <v>#DIV/0!</v>
      </c>
      <c r="AF98" s="812" t="e">
        <v>#DIV/0!</v>
      </c>
      <c r="AG98" s="720">
        <f t="shared" si="56"/>
        <v>0</v>
      </c>
      <c r="AH98" s="808">
        <v>0</v>
      </c>
      <c r="AI98" s="720" t="e">
        <f t="shared" si="57"/>
        <v>#DIV/0!</v>
      </c>
      <c r="AJ98" s="720" t="e">
        <v>#DIV/0!</v>
      </c>
      <c r="AK98" s="720" t="e">
        <v>#DIV/0!</v>
      </c>
      <c r="AL98" s="720" t="e">
        <v>#DIV/0!</v>
      </c>
      <c r="AM98" s="808" t="e">
        <v>#DIV/0!</v>
      </c>
      <c r="AN98" s="720" t="e">
        <f t="shared" si="48"/>
        <v>#DIV/0!</v>
      </c>
      <c r="AO98" s="720" t="e">
        <v>#DIV/0!</v>
      </c>
      <c r="AP98" s="720" t="e">
        <v>#DIV/0!</v>
      </c>
      <c r="AQ98" s="720">
        <f t="shared" si="58"/>
        <v>0</v>
      </c>
      <c r="AR98" s="813">
        <v>0</v>
      </c>
      <c r="AS98" s="720" t="e">
        <f t="shared" si="59"/>
        <v>#DIV/0!</v>
      </c>
      <c r="AT98" s="720" t="e">
        <v>#DIV/0!</v>
      </c>
      <c r="AU98" s="720" t="e">
        <v>#DIV/0!</v>
      </c>
      <c r="AV98" s="808" t="e">
        <v>#DIV/0!</v>
      </c>
      <c r="AW98" s="720" t="e">
        <v>#DIV/0!</v>
      </c>
      <c r="BA98" s="723"/>
      <c r="BB98" s="723"/>
      <c r="BC98" s="895">
        <f t="shared" si="53"/>
        <v>0</v>
      </c>
      <c r="BD98" s="814"/>
    </row>
    <row r="99" spans="2:56">
      <c r="B99" s="723" t="s">
        <v>295</v>
      </c>
      <c r="C99" s="807"/>
      <c r="D99" s="805"/>
      <c r="E99" s="808" t="e">
        <v>#DIV/0!</v>
      </c>
      <c r="G99" s="808">
        <v>0</v>
      </c>
      <c r="H99" s="720" t="e">
        <f t="shared" si="45"/>
        <v>#DIV/0!</v>
      </c>
      <c r="I99" s="809" t="e">
        <v>#DIV/0!</v>
      </c>
      <c r="J99" s="807" t="e">
        <f t="shared" si="61"/>
        <v>#DIV/0!</v>
      </c>
      <c r="K99" s="805" t="e">
        <f t="shared" si="50"/>
        <v>#DIV/0!</v>
      </c>
      <c r="L99" s="808" t="e">
        <v>#DIV/0!</v>
      </c>
      <c r="N99" s="808">
        <v>0</v>
      </c>
      <c r="O99" s="720" t="e">
        <f t="shared" si="51"/>
        <v>#DIV/0!</v>
      </c>
      <c r="P99" s="809" t="e">
        <v>#DIV/0!</v>
      </c>
      <c r="Q99" s="720" t="e">
        <v>#DIV/0!</v>
      </c>
      <c r="R99" s="720" t="e">
        <v>#DIV/0!</v>
      </c>
      <c r="S99" s="720" t="e">
        <v>#DIV/0!</v>
      </c>
      <c r="T99" s="807" t="e">
        <f t="shared" si="52"/>
        <v>#DIV/0!</v>
      </c>
      <c r="U99" s="724" t="e">
        <f t="shared" si="46"/>
        <v>#DIV/0!</v>
      </c>
      <c r="V99" s="810" t="e">
        <v>#DIV/0!</v>
      </c>
      <c r="W99" s="720">
        <f t="shared" si="34"/>
        <v>0</v>
      </c>
      <c r="X99" s="808">
        <v>0</v>
      </c>
      <c r="Y99" s="720" t="e">
        <f t="shared" si="47"/>
        <v>#DIV/0!</v>
      </c>
      <c r="Z99" s="720" t="e">
        <v>#DIV/0!</v>
      </c>
      <c r="AA99" s="720" t="e">
        <v>#DIV/0!</v>
      </c>
      <c r="AB99" s="808" t="e">
        <v>#DIV/0!</v>
      </c>
      <c r="AC99" s="720" t="e">
        <v>#DIV/0!</v>
      </c>
      <c r="AD99" s="811" t="e">
        <f t="shared" si="54"/>
        <v>#DIV/0!</v>
      </c>
      <c r="AE99" s="724" t="e">
        <f t="shared" si="55"/>
        <v>#DIV/0!</v>
      </c>
      <c r="AF99" s="812" t="e">
        <v>#DIV/0!</v>
      </c>
      <c r="AG99" s="720">
        <f t="shared" si="56"/>
        <v>0</v>
      </c>
      <c r="AH99" s="808">
        <v>0</v>
      </c>
      <c r="AI99" s="720" t="e">
        <f t="shared" si="57"/>
        <v>#DIV/0!</v>
      </c>
      <c r="AJ99" s="720" t="e">
        <v>#DIV/0!</v>
      </c>
      <c r="AK99" s="720" t="e">
        <v>#DIV/0!</v>
      </c>
      <c r="AL99" s="720" t="e">
        <v>#DIV/0!</v>
      </c>
      <c r="AM99" s="808" t="e">
        <v>#DIV/0!</v>
      </c>
      <c r="AN99" s="720" t="e">
        <f t="shared" si="48"/>
        <v>#DIV/0!</v>
      </c>
      <c r="AO99" s="720" t="e">
        <v>#DIV/0!</v>
      </c>
      <c r="AP99" s="720" t="e">
        <v>#DIV/0!</v>
      </c>
      <c r="AQ99" s="720">
        <f t="shared" si="58"/>
        <v>0</v>
      </c>
      <c r="AR99" s="813">
        <v>0</v>
      </c>
      <c r="AS99" s="720" t="e">
        <f t="shared" si="59"/>
        <v>#DIV/0!</v>
      </c>
      <c r="AT99" s="720" t="e">
        <v>#DIV/0!</v>
      </c>
      <c r="AU99" s="720" t="e">
        <v>#DIV/0!</v>
      </c>
      <c r="AV99" s="808" t="e">
        <v>#DIV/0!</v>
      </c>
      <c r="AW99" s="720" t="e">
        <v>#DIV/0!</v>
      </c>
      <c r="BA99" s="723"/>
      <c r="BB99" s="723"/>
      <c r="BC99" s="895">
        <f t="shared" si="53"/>
        <v>0</v>
      </c>
      <c r="BD99" s="814"/>
    </row>
    <row r="100" spans="2:56">
      <c r="B100" s="728" t="s">
        <v>161</v>
      </c>
      <c r="C100" s="807">
        <f>D100*M100</f>
        <v>-1.1475850928917128</v>
      </c>
      <c r="D100" s="805">
        <f>((E100/L100)-1)*100</f>
        <v>-24.719434908898887</v>
      </c>
      <c r="E100" s="808">
        <v>128.21364416660549</v>
      </c>
      <c r="F100" s="720">
        <f t="shared" si="49"/>
        <v>4.0593312364643593E-2</v>
      </c>
      <c r="G100" s="808">
        <v>31400.372959999997</v>
      </c>
      <c r="H100" s="720">
        <f t="shared" si="45"/>
        <v>0.1347344381503276</v>
      </c>
      <c r="I100" s="809">
        <v>1.0398539815557438E-2</v>
      </c>
      <c r="J100" s="807">
        <f t="shared" si="61"/>
        <v>1.8292506937959596</v>
      </c>
      <c r="K100" s="805">
        <f t="shared" si="50"/>
        <v>43.927119725801859</v>
      </c>
      <c r="L100" s="808">
        <v>170.31440187975099</v>
      </c>
      <c r="M100" s="720">
        <f>N100/N$112</f>
        <v>4.6424406428424755E-2</v>
      </c>
      <c r="N100" s="808">
        <v>42014.4928</v>
      </c>
      <c r="O100" s="720">
        <f t="shared" si="51"/>
        <v>0.12433589833477016</v>
      </c>
      <c r="P100" s="809">
        <v>7.1355383436192132E-3</v>
      </c>
      <c r="Q100" s="720">
        <v>7.2749329359522016E-3</v>
      </c>
      <c r="R100" s="720">
        <v>7.7586319431815817E-3</v>
      </c>
      <c r="S100" s="720">
        <v>8.4078482527123587E-3</v>
      </c>
      <c r="T100" s="807">
        <f t="shared" si="52"/>
        <v>0.16956066034846964</v>
      </c>
      <c r="U100" s="724">
        <f t="shared" si="46"/>
        <v>4.4540841631298012</v>
      </c>
      <c r="V100" s="810">
        <v>118.33378046070818</v>
      </c>
      <c r="W100" s="720">
        <f t="shared" si="34"/>
        <v>4.16428553753206E-2</v>
      </c>
      <c r="X100" s="808">
        <v>29638.001360000002</v>
      </c>
      <c r="Y100" s="720">
        <f t="shared" si="47"/>
        <v>9.3758946859304804E-2</v>
      </c>
      <c r="Z100" s="720">
        <v>8.9738667776420016E-3</v>
      </c>
      <c r="AA100" s="720">
        <v>8.4685999971484856E-3</v>
      </c>
      <c r="AB100" s="808">
        <v>8.2330092703358001E-3</v>
      </c>
      <c r="AC100" s="720">
        <v>8.5263765453212313E-3</v>
      </c>
      <c r="AD100" s="811">
        <f t="shared" si="54"/>
        <v>0.38371779519288768</v>
      </c>
      <c r="AE100" s="724">
        <f t="shared" si="55"/>
        <v>9.4239358805814142</v>
      </c>
      <c r="AF100" s="812">
        <v>113.28784451922621</v>
      </c>
      <c r="AG100" s="720">
        <f t="shared" si="56"/>
        <v>3.8068580237451681E-2</v>
      </c>
      <c r="AH100" s="808">
        <v>26939.777040000001</v>
      </c>
      <c r="AI100" s="720">
        <f t="shared" si="57"/>
        <v>5.9557094268857289E-2</v>
      </c>
      <c r="AJ100" s="720">
        <v>8.0885974433128546E-3</v>
      </c>
      <c r="AK100" s="720">
        <v>7.5233930418130129E-3</v>
      </c>
      <c r="AL100" s="720">
        <v>7.5603235630290712E-3</v>
      </c>
      <c r="AM100" s="808">
        <v>7.657270378688295E-3</v>
      </c>
      <c r="AN100" s="720">
        <f t="shared" si="48"/>
        <v>-0.30481132136321998</v>
      </c>
      <c r="AO100" s="720">
        <v>-7.0302293547949919</v>
      </c>
      <c r="AP100" s="720">
        <v>103.5311365905003</v>
      </c>
      <c r="AQ100" s="720">
        <f t="shared" si="58"/>
        <v>4.0717360565192429E-2</v>
      </c>
      <c r="AR100" s="813">
        <v>23355.09232</v>
      </c>
      <c r="AS100" s="720">
        <f t="shared" si="59"/>
        <v>2.8727509842014051E-2</v>
      </c>
      <c r="AT100" s="720">
        <v>7.6600352081534658E-3</v>
      </c>
      <c r="AU100" s="720">
        <v>7.1416549478768333E-3</v>
      </c>
      <c r="AV100" s="808">
        <v>6.6696928238982158E-3</v>
      </c>
      <c r="AW100" s="720">
        <v>7.2561268620855357E-3</v>
      </c>
      <c r="BA100" s="723">
        <v>246.137</v>
      </c>
      <c r="BB100" s="723">
        <v>111.36</v>
      </c>
      <c r="BC100" s="895">
        <f t="shared" si="53"/>
        <v>27409.816320000002</v>
      </c>
      <c r="BD100" s="814">
        <f>+BC100/$BC$112</f>
        <v>4.3357237151206506E-2</v>
      </c>
    </row>
    <row r="101" spans="2:56">
      <c r="B101" s="723" t="s">
        <v>162</v>
      </c>
      <c r="C101" s="807"/>
      <c r="D101" s="805"/>
      <c r="E101" s="808" t="e">
        <v>#DIV/0!</v>
      </c>
      <c r="F101" s="720">
        <f t="shared" si="49"/>
        <v>0</v>
      </c>
      <c r="G101" s="808">
        <v>0</v>
      </c>
      <c r="H101" s="720" t="e">
        <f t="shared" si="45"/>
        <v>#DIV/0!</v>
      </c>
      <c r="I101" s="809" t="e">
        <v>#DIV/0!</v>
      </c>
      <c r="J101" s="807" t="e">
        <f t="shared" si="61"/>
        <v>#DIV/0!</v>
      </c>
      <c r="K101" s="805" t="e">
        <f t="shared" si="50"/>
        <v>#DIV/0!</v>
      </c>
      <c r="L101" s="808" t="e">
        <v>#DIV/0!</v>
      </c>
      <c r="N101" s="808">
        <v>0</v>
      </c>
      <c r="O101" s="720" t="e">
        <f t="shared" si="51"/>
        <v>#DIV/0!</v>
      </c>
      <c r="P101" s="809" t="e">
        <v>#DIV/0!</v>
      </c>
      <c r="Q101" s="720" t="e">
        <v>#DIV/0!</v>
      </c>
      <c r="R101" s="720" t="e">
        <v>#DIV/0!</v>
      </c>
      <c r="S101" s="720" t="e">
        <v>#DIV/0!</v>
      </c>
      <c r="T101" s="807">
        <f t="shared" si="52"/>
        <v>0.18624645889625976</v>
      </c>
      <c r="U101" s="724">
        <f t="shared" si="46"/>
        <v>23.169385999591775</v>
      </c>
      <c r="V101" s="810">
        <v>52.956929521555018</v>
      </c>
      <c r="W101" s="720">
        <f t="shared" si="34"/>
        <v>9.6000560769963147E-3</v>
      </c>
      <c r="X101" s="808">
        <v>6832.54</v>
      </c>
      <c r="Y101" s="720">
        <f t="shared" si="47"/>
        <v>0.10834929932095044</v>
      </c>
      <c r="Z101" s="720">
        <v>2.8620504955984938E-3</v>
      </c>
      <c r="AA101" s="720">
        <v>3.5051474912580977E-3</v>
      </c>
      <c r="AB101" s="808">
        <v>3.5274879459013344E-3</v>
      </c>
      <c r="AC101" s="720">
        <v>1.7629962678028639E-2</v>
      </c>
      <c r="AD101" s="811">
        <f t="shared" si="54"/>
        <v>-0.65019376674039253</v>
      </c>
      <c r="AE101" s="724">
        <f t="shared" si="55"/>
        <v>-43.144849551157783</v>
      </c>
      <c r="AF101" s="812">
        <v>42.995204605250315</v>
      </c>
      <c r="AG101" s="720">
        <f t="shared" si="56"/>
        <v>8.0384719258223443E-3</v>
      </c>
      <c r="AH101" s="808">
        <v>5688.54</v>
      </c>
      <c r="AI101" s="720">
        <f t="shared" si="57"/>
        <v>8.082465071016387E-2</v>
      </c>
      <c r="AJ101" s="720">
        <v>1.6389307385281313E-2</v>
      </c>
      <c r="AK101" s="720">
        <v>1.3277667079812445E-2</v>
      </c>
      <c r="AL101" s="720">
        <v>9.5210037591054071E-3</v>
      </c>
      <c r="AM101" s="808">
        <v>9.6721995360644838E-3</v>
      </c>
      <c r="AN101" s="720">
        <f t="shared" si="48"/>
        <v>0.34216173820991019</v>
      </c>
      <c r="AO101" s="720">
        <v>25.202577115511062</v>
      </c>
      <c r="AP101" s="720">
        <v>75.622356577768684</v>
      </c>
      <c r="AQ101" s="720">
        <f t="shared" si="58"/>
        <v>1.5070020489223023E-2</v>
      </c>
      <c r="AR101" s="813">
        <v>8644.0210000000006</v>
      </c>
      <c r="AS101" s="720">
        <f t="shared" si="59"/>
        <v>3.1964472949900229E-2</v>
      </c>
      <c r="AT101" s="720">
        <v>8.0343859176249758E-3</v>
      </c>
      <c r="AU101" s="720">
        <v>8.0712838445891871E-3</v>
      </c>
      <c r="AV101" s="808">
        <v>7.6620818762106564E-3</v>
      </c>
      <c r="AW101" s="720">
        <v>8.1967213114754085E-3</v>
      </c>
      <c r="BA101" s="723">
        <v>142.1</v>
      </c>
      <c r="BB101" s="723">
        <v>60.4</v>
      </c>
      <c r="BC101" s="895">
        <f t="shared" si="53"/>
        <v>8582.84</v>
      </c>
      <c r="BD101" s="814">
        <f>+BC101/$BC$112</f>
        <v>1.3576458337640594E-2</v>
      </c>
    </row>
    <row r="102" spans="2:56">
      <c r="B102" s="723" t="s">
        <v>296</v>
      </c>
      <c r="C102" s="807"/>
      <c r="D102" s="805"/>
      <c r="E102" s="808" t="e">
        <v>#DIV/0!</v>
      </c>
      <c r="G102" s="808">
        <v>0</v>
      </c>
      <c r="H102" s="720" t="e">
        <f t="shared" si="45"/>
        <v>#DIV/0!</v>
      </c>
      <c r="I102" s="809" t="e">
        <v>#DIV/0!</v>
      </c>
      <c r="J102" s="807"/>
      <c r="K102" s="805"/>
      <c r="L102" s="808">
        <v>0</v>
      </c>
      <c r="N102" s="808">
        <v>0</v>
      </c>
      <c r="P102" s="809" t="e">
        <v>#DIV/0!</v>
      </c>
      <c r="Q102" s="720" t="e">
        <v>#DIV/0!</v>
      </c>
      <c r="R102" s="720" t="e">
        <v>#DIV/0!</v>
      </c>
      <c r="S102" s="720" t="e">
        <v>#DIV/0!</v>
      </c>
      <c r="T102" s="807"/>
      <c r="U102" s="724" t="e">
        <f t="shared" si="46"/>
        <v>#DIV/0!</v>
      </c>
      <c r="V102" s="810" t="e">
        <v>#DIV/0!</v>
      </c>
      <c r="W102" s="720">
        <f t="shared" si="34"/>
        <v>0</v>
      </c>
      <c r="X102" s="808">
        <v>0</v>
      </c>
      <c r="Y102" s="720" t="e">
        <f t="shared" si="47"/>
        <v>#DIV/0!</v>
      </c>
      <c r="Z102" s="720" t="e">
        <v>#DIV/0!</v>
      </c>
      <c r="AA102" s="720" t="e">
        <v>#DIV/0!</v>
      </c>
      <c r="AB102" s="808" t="e">
        <v>#DIV/0!</v>
      </c>
      <c r="AC102" s="720" t="e">
        <v>#DIV/0!</v>
      </c>
      <c r="AD102" s="811" t="e">
        <f t="shared" si="54"/>
        <v>#DIV/0!</v>
      </c>
      <c r="AE102" s="724" t="e">
        <f t="shared" si="55"/>
        <v>#DIV/0!</v>
      </c>
      <c r="AF102" s="812" t="e">
        <v>#DIV/0!</v>
      </c>
      <c r="AG102" s="720">
        <f t="shared" si="56"/>
        <v>0</v>
      </c>
      <c r="AH102" s="808">
        <v>0</v>
      </c>
      <c r="AI102" s="720" t="e">
        <f t="shared" si="57"/>
        <v>#DIV/0!</v>
      </c>
      <c r="AJ102" s="720" t="e">
        <v>#DIV/0!</v>
      </c>
      <c r="AK102" s="720" t="e">
        <v>#DIV/0!</v>
      </c>
      <c r="AL102" s="720" t="e">
        <v>#DIV/0!</v>
      </c>
      <c r="AM102" s="808" t="e">
        <v>#DIV/0!</v>
      </c>
      <c r="AN102" s="720" t="e">
        <f t="shared" si="48"/>
        <v>#DIV/0!</v>
      </c>
      <c r="AO102" s="720" t="e">
        <v>#DIV/0!</v>
      </c>
      <c r="AP102" s="720" t="e">
        <v>#DIV/0!</v>
      </c>
      <c r="AQ102" s="720">
        <f t="shared" si="58"/>
        <v>0</v>
      </c>
      <c r="AR102" s="813">
        <v>0</v>
      </c>
      <c r="AS102" s="720" t="e">
        <f t="shared" si="59"/>
        <v>#DIV/0!</v>
      </c>
      <c r="AT102" s="720" t="e">
        <v>#DIV/0!</v>
      </c>
      <c r="AU102" s="720" t="e">
        <v>#DIV/0!</v>
      </c>
      <c r="AV102" s="808" t="e">
        <v>#DIV/0!</v>
      </c>
      <c r="AW102" s="720" t="e">
        <v>#DIV/0!</v>
      </c>
      <c r="BA102" s="723"/>
      <c r="BB102" s="723"/>
      <c r="BC102" s="895">
        <f t="shared" si="53"/>
        <v>0</v>
      </c>
      <c r="BD102" s="814"/>
    </row>
    <row r="103" spans="2:56">
      <c r="B103" s="723" t="s">
        <v>163</v>
      </c>
      <c r="C103" s="807"/>
      <c r="D103" s="805"/>
      <c r="E103" s="808" t="e">
        <v>#DIV/0!</v>
      </c>
      <c r="F103" s="720">
        <f t="shared" si="49"/>
        <v>0</v>
      </c>
      <c r="G103" s="808">
        <v>0</v>
      </c>
      <c r="H103" s="720" t="e">
        <f t="shared" si="45"/>
        <v>#DIV/0!</v>
      </c>
      <c r="I103" s="809" t="e">
        <v>#DIV/0!</v>
      </c>
      <c r="J103" s="807" t="e">
        <f t="shared" si="61"/>
        <v>#DIV/0!</v>
      </c>
      <c r="K103" s="805" t="e">
        <f t="shared" si="50"/>
        <v>#DIV/0!</v>
      </c>
      <c r="L103" s="808" t="e">
        <v>#DIV/0!</v>
      </c>
      <c r="N103" s="808">
        <v>0</v>
      </c>
      <c r="O103" s="720" t="e">
        <f t="shared" si="51"/>
        <v>#DIV/0!</v>
      </c>
      <c r="P103" s="809" t="e">
        <v>#DIV/0!</v>
      </c>
      <c r="Q103" s="720" t="e">
        <v>#DIV/0!</v>
      </c>
      <c r="R103" s="720" t="e">
        <v>#DIV/0!</v>
      </c>
      <c r="S103" s="720" t="e">
        <v>#DIV/0!</v>
      </c>
      <c r="T103" s="807">
        <f t="shared" si="52"/>
        <v>0.10405613318317616</v>
      </c>
      <c r="U103" s="724">
        <f t="shared" si="46"/>
        <v>13.644886970499348</v>
      </c>
      <c r="V103" s="810">
        <v>78.380220481197867</v>
      </c>
      <c r="W103" s="720">
        <f t="shared" si="34"/>
        <v>8.404356246239959E-3</v>
      </c>
      <c r="X103" s="808">
        <v>5981.5379999999996</v>
      </c>
      <c r="Y103" s="720">
        <f t="shared" si="47"/>
        <v>8.8916650197247357E-2</v>
      </c>
      <c r="Z103" s="720">
        <v>7.2133589855738166E-3</v>
      </c>
      <c r="AA103" s="720">
        <v>6.7662841401897843E-3</v>
      </c>
      <c r="AB103" s="808">
        <v>6.7277003224223593E-3</v>
      </c>
      <c r="AC103" s="720">
        <v>7.4676741966300695E-3</v>
      </c>
      <c r="AD103" s="811">
        <f t="shared" si="54"/>
        <v>0.17224940784215867</v>
      </c>
      <c r="AE103" s="724">
        <f t="shared" si="55"/>
        <v>28.163299544603969</v>
      </c>
      <c r="AF103" s="812">
        <v>68.969420948559076</v>
      </c>
      <c r="AG103" s="720">
        <f t="shared" si="56"/>
        <v>7.6260165004040431E-3</v>
      </c>
      <c r="AH103" s="808">
        <v>5396.66</v>
      </c>
      <c r="AI103" s="720">
        <f t="shared" si="57"/>
        <v>6.0741632552431327E-2</v>
      </c>
      <c r="AJ103" s="720">
        <v>7.2908772666655589E-3</v>
      </c>
      <c r="AK103" s="720">
        <v>6.6845341776706688E-3</v>
      </c>
      <c r="AL103" s="720">
        <v>7.4692798651953777E-3</v>
      </c>
      <c r="AM103" s="808">
        <v>7.3946250266308288E-3</v>
      </c>
      <c r="AN103" s="720">
        <f t="shared" si="48"/>
        <v>9.896711253204904E-2</v>
      </c>
      <c r="AO103" s="720">
        <v>16.404295458962626</v>
      </c>
      <c r="AP103" s="720">
        <v>53.813705790678419</v>
      </c>
      <c r="AQ103" s="720">
        <f t="shared" si="58"/>
        <v>6.1160947270882298E-3</v>
      </c>
      <c r="AR103" s="813">
        <v>3508.1340000000005</v>
      </c>
      <c r="AS103" s="720">
        <f t="shared" si="59"/>
        <v>3.1902316216268892E-2</v>
      </c>
      <c r="AT103" s="720">
        <v>8.2442262280926944E-3</v>
      </c>
      <c r="AU103" s="720">
        <v>8.09215881413578E-3</v>
      </c>
      <c r="AV103" s="808">
        <v>7.6545387689771283E-3</v>
      </c>
      <c r="AW103" s="720">
        <v>7.9113924050632917E-3</v>
      </c>
      <c r="BA103" s="723">
        <v>82.5</v>
      </c>
      <c r="BB103" s="723">
        <v>46.23</v>
      </c>
      <c r="BC103" s="895">
        <f t="shared" si="53"/>
        <v>3813.9749999999999</v>
      </c>
      <c r="BD103" s="814">
        <f t="shared" ref="BD103:BD110" si="62">+BC103/$BC$112</f>
        <v>6.0329998797953571E-3</v>
      </c>
    </row>
    <row r="104" spans="2:56">
      <c r="B104" s="723" t="s">
        <v>297</v>
      </c>
      <c r="C104" s="807"/>
      <c r="D104" s="805"/>
      <c r="E104" s="808" t="e">
        <v>#DIV/0!</v>
      </c>
      <c r="G104" s="808">
        <v>0</v>
      </c>
      <c r="H104" s="720" t="e">
        <f t="shared" si="45"/>
        <v>#DIV/0!</v>
      </c>
      <c r="I104" s="809" t="e">
        <v>#DIV/0!</v>
      </c>
      <c r="J104" s="807" t="e">
        <f>K104*W104</f>
        <v>#DIV/0!</v>
      </c>
      <c r="K104" s="805" t="e">
        <f t="shared" si="50"/>
        <v>#DIV/0!</v>
      </c>
      <c r="L104" s="808" t="e">
        <v>#DIV/0!</v>
      </c>
      <c r="N104" s="808">
        <v>0</v>
      </c>
      <c r="O104" s="720" t="e">
        <f t="shared" si="51"/>
        <v>#DIV/0!</v>
      </c>
      <c r="P104" s="809" t="e">
        <v>#DIV/0!</v>
      </c>
      <c r="Q104" s="720" t="e">
        <v>#DIV/0!</v>
      </c>
      <c r="R104" s="720" t="e">
        <v>#DIV/0!</v>
      </c>
      <c r="S104" s="720" t="e">
        <v>#DIV/0!</v>
      </c>
      <c r="T104" s="807" t="e">
        <f t="shared" si="52"/>
        <v>#DIV/0!</v>
      </c>
      <c r="U104" s="724" t="e">
        <f t="shared" si="46"/>
        <v>#DIV/0!</v>
      </c>
      <c r="V104" s="810" t="e">
        <v>#DIV/0!</v>
      </c>
      <c r="W104" s="720">
        <f t="shared" si="34"/>
        <v>0</v>
      </c>
      <c r="X104" s="808">
        <v>0</v>
      </c>
      <c r="Y104" s="720" t="e">
        <f t="shared" si="47"/>
        <v>#DIV/0!</v>
      </c>
      <c r="Z104" s="720" t="e">
        <v>#DIV/0!</v>
      </c>
      <c r="AA104" s="720" t="e">
        <v>#DIV/0!</v>
      </c>
      <c r="AB104" s="808" t="e">
        <v>#DIV/0!</v>
      </c>
      <c r="AC104" s="720" t="e">
        <v>#DIV/0!</v>
      </c>
      <c r="AD104" s="811" t="e">
        <f t="shared" si="54"/>
        <v>#DIV/0!</v>
      </c>
      <c r="AE104" s="724" t="e">
        <f t="shared" si="55"/>
        <v>#DIV/0!</v>
      </c>
      <c r="AF104" s="812" t="e">
        <v>#DIV/0!</v>
      </c>
      <c r="AG104" s="720">
        <f t="shared" si="56"/>
        <v>0</v>
      </c>
      <c r="AH104" s="808">
        <v>0</v>
      </c>
      <c r="AI104" s="720" t="e">
        <f t="shared" si="57"/>
        <v>#DIV/0!</v>
      </c>
      <c r="AJ104" s="720" t="e">
        <v>#DIV/0!</v>
      </c>
      <c r="AK104" s="720" t="e">
        <v>#DIV/0!</v>
      </c>
      <c r="AL104" s="720" t="e">
        <v>#DIV/0!</v>
      </c>
      <c r="AM104" s="808" t="e">
        <v>#DIV/0!</v>
      </c>
      <c r="AN104" s="720" t="e">
        <f t="shared" si="48"/>
        <v>#DIV/0!</v>
      </c>
      <c r="AO104" s="720" t="e">
        <v>#DIV/0!</v>
      </c>
      <c r="AP104" s="720" t="e">
        <v>#DIV/0!</v>
      </c>
      <c r="AQ104" s="720">
        <f t="shared" si="58"/>
        <v>0</v>
      </c>
      <c r="AR104" s="813">
        <v>0</v>
      </c>
      <c r="AS104" s="720" t="e">
        <f t="shared" si="59"/>
        <v>#DIV/0!</v>
      </c>
      <c r="AT104" s="720" t="e">
        <v>#DIV/0!</v>
      </c>
      <c r="AU104" s="720" t="e">
        <v>#DIV/0!</v>
      </c>
      <c r="AV104" s="808" t="e">
        <v>#DIV/0!</v>
      </c>
      <c r="AW104" s="720" t="e">
        <v>#DIV/0!</v>
      </c>
      <c r="BA104" s="723"/>
      <c r="BB104" s="723"/>
      <c r="BC104" s="895">
        <f t="shared" si="53"/>
        <v>0</v>
      </c>
      <c r="BD104" s="814">
        <f t="shared" si="62"/>
        <v>0</v>
      </c>
    </row>
    <row r="105" spans="2:56">
      <c r="B105" s="728" t="s">
        <v>164</v>
      </c>
      <c r="C105" s="807">
        <f>D105*M105</f>
        <v>-0.15983879077333504</v>
      </c>
      <c r="D105" s="805">
        <f>((E105/L105)-1)*100</f>
        <v>-11.056286549707595</v>
      </c>
      <c r="E105" s="808">
        <v>54.918267744611647</v>
      </c>
      <c r="F105" s="720">
        <f t="shared" si="49"/>
        <v>1.4888991191146044E-2</v>
      </c>
      <c r="G105" s="808">
        <v>11517.164999999999</v>
      </c>
      <c r="H105" s="720">
        <f t="shared" si="45"/>
        <v>0.13725963438831332</v>
      </c>
      <c r="I105" s="809">
        <v>8.8793643120517584E-3</v>
      </c>
      <c r="J105" s="807">
        <f>K105*W105</f>
        <v>0.46295596014559004</v>
      </c>
      <c r="K105" s="805">
        <f t="shared" si="50"/>
        <v>33.157674349860521</v>
      </c>
      <c r="L105" s="808">
        <v>61.744968378573027</v>
      </c>
      <c r="M105" s="720">
        <f>N105/N$112</f>
        <v>1.4456824183664297E-2</v>
      </c>
      <c r="N105" s="808">
        <v>13083.552</v>
      </c>
      <c r="O105" s="720">
        <f t="shared" si="51"/>
        <v>0.12838027007626157</v>
      </c>
      <c r="P105" s="809">
        <v>7.2732636564153035E-3</v>
      </c>
      <c r="Q105" s="720">
        <v>7.3315462333802227E-3</v>
      </c>
      <c r="R105" s="720">
        <v>7.9981852607706166E-3</v>
      </c>
      <c r="S105" s="720">
        <v>8.2668407412576986E-3</v>
      </c>
      <c r="T105" s="807">
        <f t="shared" si="52"/>
        <v>3.2790933999798717E-2</v>
      </c>
      <c r="U105" s="724">
        <f t="shared" si="46"/>
        <v>2.3575319648880821</v>
      </c>
      <c r="V105" s="810">
        <v>46.369815844292496</v>
      </c>
      <c r="W105" s="720">
        <f t="shared" si="34"/>
        <v>1.396225667882336E-2</v>
      </c>
      <c r="X105" s="808">
        <v>9937.1999999999989</v>
      </c>
      <c r="Y105" s="720">
        <f t="shared" si="47"/>
        <v>9.7510434184437722E-2</v>
      </c>
      <c r="Z105" s="720">
        <v>8.6336972044566574E-3</v>
      </c>
      <c r="AA105" s="720">
        <v>8.5018927138630386E-3</v>
      </c>
      <c r="AB105" s="808">
        <v>8.4849507168948436E-3</v>
      </c>
      <c r="AC105" s="720">
        <v>8.7166674193224856E-3</v>
      </c>
      <c r="AD105" s="811">
        <f t="shared" si="54"/>
        <v>0.19666422381077298</v>
      </c>
      <c r="AE105" s="724">
        <f t="shared" si="55"/>
        <v>15.956897794117509</v>
      </c>
      <c r="AF105" s="812">
        <v>45.301811165395073</v>
      </c>
      <c r="AG105" s="720">
        <f t="shared" si="56"/>
        <v>1.390900928944791E-2</v>
      </c>
      <c r="AH105" s="808">
        <v>9842.91</v>
      </c>
      <c r="AI105" s="720">
        <f t="shared" si="57"/>
        <v>6.3173226129900686E-2</v>
      </c>
      <c r="AJ105" s="720">
        <v>7.8019700927412627E-3</v>
      </c>
      <c r="AK105" s="720">
        <v>7.937016727986277E-3</v>
      </c>
      <c r="AL105" s="720">
        <v>8.1497291683929728E-3</v>
      </c>
      <c r="AM105" s="808">
        <v>8.1997400299147344E-3</v>
      </c>
      <c r="AN105" s="720">
        <f t="shared" si="48"/>
        <v>0.20533354929560332</v>
      </c>
      <c r="AO105" s="720">
        <v>17.638668893407683</v>
      </c>
      <c r="AP105" s="720">
        <v>39.06780193950069</v>
      </c>
      <c r="AQ105" s="720">
        <f t="shared" si="58"/>
        <v>1.2324715389433215E-2</v>
      </c>
      <c r="AR105" s="813">
        <v>7069.34</v>
      </c>
      <c r="AS105" s="720">
        <f t="shared" si="59"/>
        <v>3.108477011086544E-2</v>
      </c>
      <c r="AT105" s="720">
        <v>7.9322002480130098E-3</v>
      </c>
      <c r="AU105" s="720">
        <v>7.7855407155318565E-3</v>
      </c>
      <c r="AV105" s="808">
        <v>7.457766896378195E-3</v>
      </c>
      <c r="AW105" s="720">
        <v>7.90926225094238E-3</v>
      </c>
      <c r="BA105" s="723">
        <f>110.8*2</f>
        <v>221.6</v>
      </c>
      <c r="BB105" s="723">
        <f>66.42/2</f>
        <v>33.21</v>
      </c>
      <c r="BC105" s="895">
        <f t="shared" si="53"/>
        <v>7359.3360000000002</v>
      </c>
      <c r="BD105" s="814">
        <f t="shared" si="62"/>
        <v>1.1641102315398933E-2</v>
      </c>
    </row>
    <row r="106" spans="2:56">
      <c r="B106" s="728" t="s">
        <v>165</v>
      </c>
      <c r="C106" s="807">
        <f>D106*M106</f>
        <v>-3.8037939974450569E-2</v>
      </c>
      <c r="D106" s="805">
        <f>((E106/L106)-1)*100</f>
        <v>-10.802661676024128</v>
      </c>
      <c r="E106" s="808">
        <v>48.775320654771974</v>
      </c>
      <c r="F106" s="720">
        <f t="shared" si="49"/>
        <v>3.6366139905349469E-3</v>
      </c>
      <c r="G106" s="808">
        <v>2813.0504500000002</v>
      </c>
      <c r="H106" s="720">
        <f t="shared" si="45"/>
        <v>0.14792470357194573</v>
      </c>
      <c r="I106" s="809">
        <v>1.0838314604187854E-2</v>
      </c>
      <c r="J106" s="807">
        <f>(K106*W106)</f>
        <v>6.7191281173433523E-2</v>
      </c>
      <c r="K106" s="805">
        <f t="shared" si="50"/>
        <v>17.137631013039133</v>
      </c>
      <c r="L106" s="808">
        <v>54.68248444545948</v>
      </c>
      <c r="M106" s="720">
        <f>N106/N$112</f>
        <v>3.521163683101688E-3</v>
      </c>
      <c r="N106" s="808">
        <v>3186.6838500000003</v>
      </c>
      <c r="O106" s="720">
        <f t="shared" si="51"/>
        <v>0.13708638896775788</v>
      </c>
      <c r="P106" s="809">
        <v>9.0891852039607264E-3</v>
      </c>
      <c r="Q106" s="720">
        <v>8.9519003933945292E-3</v>
      </c>
      <c r="R106" s="720">
        <v>9.638900918166847E-3</v>
      </c>
      <c r="S106" s="720">
        <v>1.0483325756269984E-2</v>
      </c>
      <c r="T106" s="807">
        <f t="shared" si="52"/>
        <v>-7.0089903876408496E-2</v>
      </c>
      <c r="U106" s="724">
        <f t="shared" si="46"/>
        <v>-14.955230298609212</v>
      </c>
      <c r="V106" s="810">
        <v>46.682252298044617</v>
      </c>
      <c r="W106" s="720">
        <f t="shared" si="34"/>
        <v>3.9206866527999795E-3</v>
      </c>
      <c r="X106" s="808">
        <v>2790.4262399999998</v>
      </c>
      <c r="Y106" s="720">
        <f t="shared" si="47"/>
        <v>9.8923076695965784E-2</v>
      </c>
      <c r="Z106" s="720">
        <v>9.5525079299748506E-3</v>
      </c>
      <c r="AA106" s="720">
        <v>7.9672220461460084E-3</v>
      </c>
      <c r="AB106" s="808">
        <v>7.5957713977870614E-3</v>
      </c>
      <c r="AC106" s="720">
        <v>7.7484298863376736E-3</v>
      </c>
      <c r="AD106" s="811">
        <f t="shared" si="54"/>
        <v>0.12620038154923702</v>
      </c>
      <c r="AE106" s="724">
        <f t="shared" si="55"/>
        <v>32.850841819552734</v>
      </c>
      <c r="AF106" s="812">
        <v>54.891385398485234</v>
      </c>
      <c r="AG106" s="720">
        <f t="shared" si="56"/>
        <v>4.686648247932807E-3</v>
      </c>
      <c r="AH106" s="808">
        <v>3316.5738800000004</v>
      </c>
      <c r="AI106" s="720">
        <f t="shared" si="57"/>
        <v>6.6059145435720196E-2</v>
      </c>
      <c r="AJ106" s="720">
        <v>7.350714007295818E-3</v>
      </c>
      <c r="AK106" s="720">
        <v>7.2608175000846327E-3</v>
      </c>
      <c r="AL106" s="720">
        <v>8.7789460379373262E-3</v>
      </c>
      <c r="AM106" s="808">
        <v>9.4589620953072096E-3</v>
      </c>
      <c r="AN106" s="720">
        <f t="shared" si="48"/>
        <v>6.0355972332747004E-2</v>
      </c>
      <c r="AO106" s="720">
        <v>16.882761342986896</v>
      </c>
      <c r="AP106" s="720">
        <v>41.318056134745866</v>
      </c>
      <c r="AQ106" s="720">
        <f t="shared" si="58"/>
        <v>3.8416178873724592E-3</v>
      </c>
      <c r="AR106" s="813">
        <v>2203.5156299999999</v>
      </c>
      <c r="AS106" s="720">
        <f t="shared" si="59"/>
        <v>3.3209705795095211E-2</v>
      </c>
      <c r="AT106" s="720">
        <v>8.7739248555090826E-3</v>
      </c>
      <c r="AU106" s="720">
        <v>8.3277577872618112E-3</v>
      </c>
      <c r="AV106" s="808">
        <v>7.7092982871943541E-3</v>
      </c>
      <c r="AW106" s="720">
        <v>8.3987248651299657E-3</v>
      </c>
      <c r="BA106" s="723">
        <v>63.933999999999997</v>
      </c>
      <c r="BB106" s="723">
        <v>35.35</v>
      </c>
      <c r="BC106" s="895">
        <f t="shared" si="53"/>
        <v>2260.0668999999998</v>
      </c>
      <c r="BD106" s="814">
        <f t="shared" si="62"/>
        <v>3.5750059546875543E-3</v>
      </c>
    </row>
    <row r="107" spans="2:56">
      <c r="B107" s="728" t="s">
        <v>652</v>
      </c>
      <c r="C107" s="807">
        <f>D107*M107</f>
        <v>-0.12084408377826138</v>
      </c>
      <c r="D107" s="805">
        <f>((E107/L107)-1)*100</f>
        <v>-3.7596226824243795</v>
      </c>
      <c r="E107" s="808">
        <v>100.71769145095386</v>
      </c>
      <c r="F107" s="720">
        <f t="shared" si="49"/>
        <v>3.5933965235829826E-2</v>
      </c>
      <c r="G107" s="808">
        <v>27796.201999999997</v>
      </c>
      <c r="H107" s="720">
        <f t="shared" si="45"/>
        <v>0.14283094804214072</v>
      </c>
      <c r="I107" s="809">
        <v>8.1435355542785973E-3</v>
      </c>
      <c r="J107" s="807">
        <f>K107*W107</f>
        <v>1.1303328814129576</v>
      </c>
      <c r="K107" s="805">
        <f t="shared" si="50"/>
        <v>36.815688234020257</v>
      </c>
      <c r="L107" s="808">
        <v>104.65222005375553</v>
      </c>
      <c r="M107" s="720">
        <f>N107/N$112</f>
        <v>3.2142609507913568E-2</v>
      </c>
      <c r="N107" s="808">
        <v>29089.342000000001</v>
      </c>
      <c r="O107" s="720">
        <f t="shared" si="51"/>
        <v>0.13468741248786212</v>
      </c>
      <c r="P107" s="809">
        <v>7.2125142573565889E-3</v>
      </c>
      <c r="Q107" s="720">
        <v>6.9517210780227637E-3</v>
      </c>
      <c r="R107" s="720">
        <v>7.8740909304426485E-3</v>
      </c>
      <c r="S107" s="720">
        <v>8.2397760872474409E-3</v>
      </c>
      <c r="T107" s="807">
        <f t="shared" si="52"/>
        <v>0.2313439333254701</v>
      </c>
      <c r="U107" s="724">
        <f t="shared" si="46"/>
        <v>7.8087979391703088</v>
      </c>
      <c r="V107" s="810">
        <v>76.49138881993575</v>
      </c>
      <c r="W107" s="720">
        <f t="shared" si="34"/>
        <v>3.0702478634324466E-2</v>
      </c>
      <c r="X107" s="808">
        <v>21851.530000000002</v>
      </c>
      <c r="Y107" s="720">
        <f t="shared" si="47"/>
        <v>0.10440931013479268</v>
      </c>
      <c r="Z107" s="720">
        <v>8.7403565815501946E-3</v>
      </c>
      <c r="AA107" s="720">
        <v>8.9932344934175144E-3</v>
      </c>
      <c r="AB107" s="808">
        <v>9.2080569729773142E-3</v>
      </c>
      <c r="AC107" s="720">
        <v>9.411499676739786E-3</v>
      </c>
      <c r="AD107" s="811">
        <f t="shared" si="54"/>
        <v>0.48200695039526958</v>
      </c>
      <c r="AE107" s="724">
        <f t="shared" si="55"/>
        <v>17.067844388750064</v>
      </c>
      <c r="AF107" s="812">
        <v>70.950970868903482</v>
      </c>
      <c r="AG107" s="720">
        <f t="shared" si="56"/>
        <v>2.962606218365673E-2</v>
      </c>
      <c r="AH107" s="808">
        <v>20965.308000000005</v>
      </c>
      <c r="AI107" s="720">
        <f t="shared" si="57"/>
        <v>6.8056162410107868E-2</v>
      </c>
      <c r="AJ107" s="720">
        <v>8.2955818439620042E-3</v>
      </c>
      <c r="AK107" s="720">
        <v>8.7057741215544378E-3</v>
      </c>
      <c r="AL107" s="720">
        <v>8.8295395694860685E-3</v>
      </c>
      <c r="AM107" s="808">
        <v>8.8627496120205207E-3</v>
      </c>
      <c r="AN107" s="720">
        <f t="shared" si="48"/>
        <v>0.28060490084293732</v>
      </c>
      <c r="AO107" s="720">
        <v>14.916025099506891</v>
      </c>
      <c r="AP107" s="720">
        <v>60.606711637479933</v>
      </c>
      <c r="AQ107" s="720">
        <f t="shared" si="58"/>
        <v>2.8240645943138257E-2</v>
      </c>
      <c r="AR107" s="813">
        <v>16198.567000000001</v>
      </c>
      <c r="AS107" s="720">
        <f t="shared" si="59"/>
        <v>3.336251726308484E-2</v>
      </c>
      <c r="AT107" s="720">
        <v>9.0814350004530028E-3</v>
      </c>
      <c r="AU107" s="720">
        <v>8.397832475693626E-3</v>
      </c>
      <c r="AV107" s="808">
        <v>7.6428635708569699E-3</v>
      </c>
      <c r="AW107" s="720">
        <v>8.2403862160812386E-3</v>
      </c>
      <c r="BA107" s="723">
        <v>225.5</v>
      </c>
      <c r="BB107" s="723">
        <v>52.74</v>
      </c>
      <c r="BC107" s="895">
        <f t="shared" si="53"/>
        <v>11892.87</v>
      </c>
      <c r="BD107" s="814">
        <f t="shared" si="62"/>
        <v>1.8812310851650003E-2</v>
      </c>
    </row>
    <row r="108" spans="2:56">
      <c r="B108" s="723" t="s">
        <v>166</v>
      </c>
      <c r="C108" s="807"/>
      <c r="D108" s="805"/>
      <c r="E108" s="808" t="e">
        <v>#DIV/0!</v>
      </c>
      <c r="F108" s="720">
        <f t="shared" si="49"/>
        <v>0</v>
      </c>
      <c r="G108" s="808">
        <v>0</v>
      </c>
      <c r="H108" s="720" t="e">
        <f t="shared" si="45"/>
        <v>#DIV/0!</v>
      </c>
      <c r="I108" s="809" t="e">
        <v>#DIV/0!</v>
      </c>
      <c r="J108" s="807" t="e">
        <f>K108*W108</f>
        <v>#DIV/0!</v>
      </c>
      <c r="K108" s="805" t="e">
        <f t="shared" si="50"/>
        <v>#DIV/0!</v>
      </c>
      <c r="L108" s="808" t="e">
        <v>#DIV/0!</v>
      </c>
      <c r="N108" s="808">
        <v>0</v>
      </c>
      <c r="O108" s="720" t="e">
        <f t="shared" si="51"/>
        <v>#DIV/0!</v>
      </c>
      <c r="P108" s="809" t="e">
        <v>#DIV/0!</v>
      </c>
      <c r="Q108" s="720" t="e">
        <v>#DIV/0!</v>
      </c>
      <c r="R108" s="720" t="e">
        <v>#DIV/0!</v>
      </c>
      <c r="S108" s="720" t="e">
        <v>#DIV/0!</v>
      </c>
      <c r="T108" s="807" t="e">
        <f t="shared" si="52"/>
        <v>#DIV/0!</v>
      </c>
      <c r="U108" s="724" t="e">
        <f t="shared" si="46"/>
        <v>#DIV/0!</v>
      </c>
      <c r="V108" s="810" t="e">
        <v>#DIV/0!</v>
      </c>
      <c r="W108" s="720">
        <f t="shared" si="34"/>
        <v>0</v>
      </c>
      <c r="X108" s="808">
        <v>0</v>
      </c>
      <c r="Y108" s="720" t="e">
        <f t="shared" si="47"/>
        <v>#DIV/0!</v>
      </c>
      <c r="Z108" s="720" t="e">
        <v>#DIV/0!</v>
      </c>
      <c r="AA108" s="720" t="e">
        <v>#DIV/0!</v>
      </c>
      <c r="AB108" s="808" t="e">
        <v>#DIV/0!</v>
      </c>
      <c r="AC108" s="720" t="e">
        <v>#DIV/0!</v>
      </c>
      <c r="AD108" s="811" t="e">
        <f t="shared" si="54"/>
        <v>#DIV/0!</v>
      </c>
      <c r="AE108" s="724" t="e">
        <f t="shared" si="55"/>
        <v>#DIV/0!</v>
      </c>
      <c r="AF108" s="812" t="e">
        <v>#DIV/0!</v>
      </c>
      <c r="AG108" s="720">
        <f t="shared" si="56"/>
        <v>0</v>
      </c>
      <c r="AH108" s="808">
        <v>0</v>
      </c>
      <c r="AI108" s="720" t="e">
        <f t="shared" si="57"/>
        <v>#DIV/0!</v>
      </c>
      <c r="AJ108" s="720" t="e">
        <v>#DIV/0!</v>
      </c>
      <c r="AK108" s="720" t="e">
        <v>#DIV/0!</v>
      </c>
      <c r="AL108" s="720" t="e">
        <v>#DIV/0!</v>
      </c>
      <c r="AM108" s="808" t="e">
        <v>#DIV/0!</v>
      </c>
      <c r="AN108" s="720" t="e">
        <f t="shared" si="48"/>
        <v>#DIV/0!</v>
      </c>
      <c r="AO108" s="720" t="e">
        <v>#DIV/0!</v>
      </c>
      <c r="AP108" s="720" t="e">
        <v>#DIV/0!</v>
      </c>
      <c r="AQ108" s="720">
        <f t="shared" si="58"/>
        <v>0</v>
      </c>
      <c r="AR108" s="813">
        <v>0</v>
      </c>
      <c r="AS108" s="720" t="e">
        <f t="shared" si="59"/>
        <v>#DIV/0!</v>
      </c>
      <c r="AT108" s="720" t="e">
        <v>#DIV/0!</v>
      </c>
      <c r="AU108" s="720" t="e">
        <v>#DIV/0!</v>
      </c>
      <c r="AV108" s="808" t="e">
        <v>#DIV/0!</v>
      </c>
      <c r="AW108" s="720" t="e">
        <v>#DIV/0!</v>
      </c>
      <c r="BA108" s="723">
        <v>80.2</v>
      </c>
      <c r="BB108" s="723">
        <v>77.849999999999994</v>
      </c>
      <c r="BC108" s="895">
        <f t="shared" si="53"/>
        <v>6243.57</v>
      </c>
      <c r="BD108" s="814">
        <f t="shared" si="62"/>
        <v>9.8761677933111511E-3</v>
      </c>
    </row>
    <row r="109" spans="2:56">
      <c r="B109" s="728" t="s">
        <v>167</v>
      </c>
      <c r="C109" s="807">
        <f>D109*M109</f>
        <v>-0.1762681746723799</v>
      </c>
      <c r="D109" s="805">
        <f>((E109/L109)-1)*100</f>
        <v>-26.935375294513641</v>
      </c>
      <c r="E109" s="808">
        <v>24.478490249124743</v>
      </c>
      <c r="F109" s="720">
        <f t="shared" si="49"/>
        <v>5.5203120600253452E-3</v>
      </c>
      <c r="G109" s="808">
        <v>4270.1579999999994</v>
      </c>
      <c r="H109" s="720">
        <f t="shared" si="45"/>
        <v>0.13853443019184861</v>
      </c>
      <c r="I109" s="809">
        <v>1.088314611377674E-2</v>
      </c>
      <c r="J109" s="807">
        <f>K109*W109</f>
        <v>0.18637324104458963</v>
      </c>
      <c r="K109" s="805">
        <f t="shared" si="50"/>
        <v>28.385056687662246</v>
      </c>
      <c r="L109" s="808">
        <v>33.502519649959517</v>
      </c>
      <c r="M109" s="720">
        <f>N109/N$112</f>
        <v>6.5441143011763887E-3</v>
      </c>
      <c r="N109" s="808">
        <v>5922.4805299999998</v>
      </c>
      <c r="O109" s="720">
        <f t="shared" si="51"/>
        <v>0.12765128407807186</v>
      </c>
      <c r="P109" s="809">
        <v>7.8210960623782029E-3</v>
      </c>
      <c r="Q109" s="720">
        <v>7.9868138794814813E-3</v>
      </c>
      <c r="R109" s="720">
        <v>8.6587167873313324E-3</v>
      </c>
      <c r="S109" s="720">
        <v>8.5813845429040022E-3</v>
      </c>
      <c r="T109" s="807">
        <f t="shared" si="52"/>
        <v>-6.3883103308683228E-2</v>
      </c>
      <c r="U109" s="724">
        <f t="shared" si="46"/>
        <v>-8.6113832810057254</v>
      </c>
      <c r="V109" s="810">
        <v>26.095342023694489</v>
      </c>
      <c r="W109" s="720">
        <f t="shared" si="34"/>
        <v>6.5658928602949735E-3</v>
      </c>
      <c r="X109" s="808">
        <v>4673.0691200000001</v>
      </c>
      <c r="Y109" s="720">
        <f t="shared" si="47"/>
        <v>9.4603272805976857E-2</v>
      </c>
      <c r="Z109" s="720">
        <v>9.2193891127466069E-3</v>
      </c>
      <c r="AA109" s="720">
        <v>8.280572362314359E-3</v>
      </c>
      <c r="AB109" s="808">
        <v>7.3665623405023252E-3</v>
      </c>
      <c r="AC109" s="720">
        <v>7.4503396958690536E-3</v>
      </c>
      <c r="AD109" s="811">
        <f t="shared" si="54"/>
        <v>-2.3786806201090718E-2</v>
      </c>
      <c r="AE109" s="724">
        <f t="shared" si="55"/>
        <v>-3.8162942622219087</v>
      </c>
      <c r="AF109" s="812">
        <v>28.554258681837357</v>
      </c>
      <c r="AG109" s="720">
        <f t="shared" si="56"/>
        <v>7.4184484912651928E-3</v>
      </c>
      <c r="AH109" s="808">
        <v>5249.7715200000002</v>
      </c>
      <c r="AI109" s="720">
        <f t="shared" si="57"/>
        <v>6.2286409294544515E-2</v>
      </c>
      <c r="AJ109" s="720">
        <v>7.7481881944667184E-3</v>
      </c>
      <c r="AK109" s="720">
        <v>7.7650801400694263E-3</v>
      </c>
      <c r="AL109" s="720">
        <v>7.6348898222904846E-3</v>
      </c>
      <c r="AM109" s="808">
        <v>7.2574735000094578E-3</v>
      </c>
      <c r="AN109" s="720">
        <f t="shared" si="48"/>
        <v>0.18981821020909084</v>
      </c>
      <c r="AO109" s="720">
        <v>26.328553075050507</v>
      </c>
      <c r="AP109" s="720">
        <v>29.687209972636868</v>
      </c>
      <c r="AQ109" s="720">
        <f t="shared" si="58"/>
        <v>6.2329591395925664E-3</v>
      </c>
      <c r="AR109" s="813">
        <v>3575.1663200000003</v>
      </c>
      <c r="AS109" s="720">
        <f t="shared" si="59"/>
        <v>3.1880777637708427E-2</v>
      </c>
      <c r="AT109" s="720">
        <v>6.8584220870180007E-3</v>
      </c>
      <c r="AU109" s="720">
        <v>7.499431925305021E-3</v>
      </c>
      <c r="AV109" s="808">
        <v>7.8877746017471731E-3</v>
      </c>
      <c r="AW109" s="720">
        <v>9.6351490236382311E-3</v>
      </c>
      <c r="BA109" s="723">
        <v>193.94900000000001</v>
      </c>
      <c r="BB109" s="723">
        <v>23.5</v>
      </c>
      <c r="BC109" s="895">
        <f t="shared" si="53"/>
        <v>4557.8015000000005</v>
      </c>
      <c r="BD109" s="814">
        <f t="shared" si="62"/>
        <v>7.2095952127717413E-3</v>
      </c>
    </row>
    <row r="110" spans="2:56">
      <c r="B110" s="728" t="s">
        <v>168</v>
      </c>
      <c r="C110" s="807">
        <f>D110*M110</f>
        <v>-7.3718845210271208E-2</v>
      </c>
      <c r="D110" s="805">
        <f>((E110/L110)-1)*100</f>
        <v>-13.380534145904265</v>
      </c>
      <c r="E110" s="808">
        <v>54.454133482106698</v>
      </c>
      <c r="F110" s="720">
        <f>G110/G$112</f>
        <v>5.5376672013924023E-3</v>
      </c>
      <c r="G110" s="808">
        <v>4283.5828199999996</v>
      </c>
      <c r="H110" s="720">
        <f t="shared" si="45"/>
        <v>0.1358809654173278</v>
      </c>
      <c r="I110" s="809">
        <v>9.0494396624039557E-3</v>
      </c>
      <c r="J110" s="807">
        <f>K110*W110</f>
        <v>0.14430522684060773</v>
      </c>
      <c r="K110" s="805">
        <f>((L110/V110)-1)*100</f>
        <v>25.101313038135942</v>
      </c>
      <c r="L110" s="808">
        <v>62.865930821867195</v>
      </c>
      <c r="M110" s="720">
        <f>N110/N$112</f>
        <v>5.5094097445157891E-3</v>
      </c>
      <c r="N110" s="808">
        <v>4986.0638799999997</v>
      </c>
      <c r="O110" s="720">
        <f>(P110+Q110+R110+S110+Y110)</f>
        <v>0.12683152575492385</v>
      </c>
      <c r="P110" s="809">
        <v>7.7228328867938708E-3</v>
      </c>
      <c r="Q110" s="720">
        <v>7.5915222756449668E-3</v>
      </c>
      <c r="R110" s="720">
        <v>7.8440859807186649E-3</v>
      </c>
      <c r="S110" s="720">
        <v>7.664029369700019E-3</v>
      </c>
      <c r="T110" s="807">
        <f>U110*AG110</f>
        <v>2.2515046098920393E-2</v>
      </c>
      <c r="U110" s="724">
        <f>((V110/AF110)-1)*100</f>
        <v>3.9248111471502201</v>
      </c>
      <c r="V110" s="810">
        <v>50.252015182848737</v>
      </c>
      <c r="W110" s="720">
        <f>X110/$X$112</f>
        <v>5.7489114860791377E-3</v>
      </c>
      <c r="X110" s="808">
        <v>4091.6081500000005</v>
      </c>
      <c r="Y110" s="720">
        <f>(Z110+AA110+AB110+AC110+AI110)</f>
        <v>9.6009055242066321E-2</v>
      </c>
      <c r="Z110" s="720">
        <v>8.597312037332952E-3</v>
      </c>
      <c r="AA110" s="720">
        <v>8.5744033261562005E-3</v>
      </c>
      <c r="AB110" s="808">
        <v>9.0690135244010494E-3</v>
      </c>
      <c r="AC110" s="720">
        <v>8.9038245033150522E-3</v>
      </c>
      <c r="AD110" s="811">
        <f>AE110*AQ110</f>
        <v>4.6920027697162726E-2</v>
      </c>
      <c r="AE110" s="724">
        <f>((AF110/AP110)-1)*100</f>
        <v>8.3362413398481614</v>
      </c>
      <c r="AF110" s="812">
        <v>48.354203994362251</v>
      </c>
      <c r="AG110" s="720">
        <f>AH110/$AH$112</f>
        <v>5.7365934957834654E-3</v>
      </c>
      <c r="AH110" s="808">
        <v>4059.5826999999999</v>
      </c>
      <c r="AI110" s="720">
        <f>AJ110+AK110+AL110+AM110+AS110</f>
        <v>6.0864501850861064E-2</v>
      </c>
      <c r="AJ110" s="720">
        <v>7.8548329840873871E-3</v>
      </c>
      <c r="AK110" s="720">
        <v>7.7865003787451724E-3</v>
      </c>
      <c r="AL110" s="720">
        <v>7.7205274231138326E-3</v>
      </c>
      <c r="AM110" s="808">
        <v>7.4206715498608107E-3</v>
      </c>
      <c r="AN110" s="720">
        <f>AO110*BD110</f>
        <v>8.4160478641200936E-2</v>
      </c>
      <c r="AO110" s="720">
        <v>17.984276339115191</v>
      </c>
      <c r="AP110" s="720">
        <v>44.633451739087278</v>
      </c>
      <c r="AQ110" s="720">
        <f>AR110/$AR$112</f>
        <v>5.6284392191094292E-3</v>
      </c>
      <c r="AR110" s="813">
        <v>3228.4194200000002</v>
      </c>
      <c r="AS110" s="720">
        <f>AT110+AU110+AV110+AW110</f>
        <v>3.0081969515053861E-2</v>
      </c>
      <c r="AT110" s="720">
        <v>7.5515745760553789E-3</v>
      </c>
      <c r="AU110" s="720">
        <v>7.6254888459678276E-3</v>
      </c>
      <c r="AV110" s="808">
        <v>7.3080461284826693E-3</v>
      </c>
      <c r="AW110" s="720">
        <v>7.5968599645479858E-3</v>
      </c>
      <c r="BA110" s="723">
        <v>78.203000000000003</v>
      </c>
      <c r="BB110" s="723">
        <v>37.83</v>
      </c>
      <c r="BC110" s="895">
        <f t="shared" si="53"/>
        <v>2958.4194899999998</v>
      </c>
      <c r="BD110" s="814">
        <f t="shared" si="62"/>
        <v>4.6796700103053221E-3</v>
      </c>
    </row>
    <row r="111" spans="2:56" ht="13.8" thickBot="1">
      <c r="B111" s="728" t="s">
        <v>645</v>
      </c>
      <c r="C111" s="807">
        <f>D111*M111</f>
        <v>-0.23733120503261679</v>
      </c>
      <c r="D111" s="815">
        <v>-13.565285379202496</v>
      </c>
      <c r="E111" s="808">
        <v>44.220000000000006</v>
      </c>
      <c r="F111" s="720">
        <f>G111/G$112</f>
        <v>1.7516348643211711E-2</v>
      </c>
      <c r="G111" s="808">
        <v>13549.519569960001</v>
      </c>
      <c r="H111" s="720">
        <f t="shared" si="45"/>
        <v>1.0050251256281407E-2</v>
      </c>
      <c r="I111" s="809">
        <v>1.0050251256281407E-2</v>
      </c>
      <c r="J111" s="807" t="e">
        <f>K111*W111</f>
        <v>#DIV/0!</v>
      </c>
      <c r="K111" s="805" t="e">
        <f>((L111/V111)-1)*100</f>
        <v>#DIV/0!</v>
      </c>
      <c r="L111" s="808">
        <v>51.16</v>
      </c>
      <c r="M111" s="720">
        <f>N111/N$112</f>
        <v>1.7495481915660922E-2</v>
      </c>
      <c r="N111" s="808">
        <v>15833.56375512</v>
      </c>
      <c r="R111" s="724"/>
      <c r="AK111" s="808"/>
      <c r="AM111" s="808"/>
      <c r="BA111" s="723"/>
      <c r="BB111" s="723"/>
      <c r="BC111" s="895">
        <f t="shared" si="53"/>
        <v>0</v>
      </c>
    </row>
    <row r="112" spans="2:56" ht="13.8" thickBot="1">
      <c r="B112" s="816" t="s">
        <v>298</v>
      </c>
      <c r="C112" s="736">
        <f>SUM(C7:C111)</f>
        <v>-13.590183408118721</v>
      </c>
      <c r="D112" s="817">
        <f>SUM(D7:D111)</f>
        <v>-630.57068330237917</v>
      </c>
      <c r="F112" s="818"/>
      <c r="G112" s="808">
        <f>SUM(G8:G111)</f>
        <v>773535.61783613986</v>
      </c>
      <c r="H112" s="632" t="e">
        <f>SUM(H7:H110)</f>
        <v>#DIV/0!</v>
      </c>
      <c r="I112" s="632"/>
      <c r="J112" s="819" t="e">
        <f>SUM(J7:J110)</f>
        <v>#DIV/0!</v>
      </c>
      <c r="K112" s="632" t="e">
        <f>SUM(K7:K110)</f>
        <v>#DIV/0!</v>
      </c>
      <c r="N112" s="808">
        <f>SUM(N7:N111)</f>
        <v>905008.72347772983</v>
      </c>
      <c r="Q112" s="724" t="e">
        <f>SUM(Q7:Q110)</f>
        <v>#DIV/0!</v>
      </c>
      <c r="R112" s="724"/>
      <c r="T112" s="819" t="e">
        <f>SUM(T7:T110)</f>
        <v>#DIV/0!</v>
      </c>
      <c r="U112" s="632" t="e">
        <f>SUM(U7:U110)</f>
        <v>#DIV/0!</v>
      </c>
      <c r="X112" s="720">
        <f>SUM(X7:X109)</f>
        <v>711718.75926560001</v>
      </c>
      <c r="AA112" s="820" t="e">
        <f>SUM(AA7:AA108)</f>
        <v>#DIV/0!</v>
      </c>
      <c r="AB112" s="813" t="e">
        <f>SUM(AB7:AB109)</f>
        <v>#DIV/0!</v>
      </c>
      <c r="AD112" s="819" t="e">
        <f>SUM(AD7:AD109)</f>
        <v>#DIV/0!</v>
      </c>
      <c r="AE112" s="632" t="e">
        <f>SUM(AE7:AE109)</f>
        <v>#DIV/0!</v>
      </c>
      <c r="AH112" s="720">
        <f>SUM(AH7:AH109)</f>
        <v>707664.34870867024</v>
      </c>
      <c r="AK112" s="820"/>
      <c r="AN112" s="819" t="e">
        <f>SUM(AN7:AN109)</f>
        <v>#DIV/0!</v>
      </c>
      <c r="AO112" s="631" t="e">
        <f>SUM(AO7:AO109)</f>
        <v>#DIV/0!</v>
      </c>
      <c r="AR112" s="813">
        <f>SUM(AR7:AR109)</f>
        <v>573590.52737729007</v>
      </c>
      <c r="BA112" s="740"/>
      <c r="BB112" s="740"/>
      <c r="BC112" s="896">
        <f>SUM(BC8:BC110)</f>
        <v>632185.49245675968</v>
      </c>
      <c r="BD112" s="807">
        <f>SUM(BD8:BD110)</f>
        <v>1.0000000000000002</v>
      </c>
    </row>
    <row r="113" spans="2:55">
      <c r="R113" s="724"/>
      <c r="AF113" s="720" t="s">
        <v>299</v>
      </c>
      <c r="BA113" s="740"/>
      <c r="BB113" s="740"/>
      <c r="BC113" s="740"/>
    </row>
    <row r="114" spans="2:55">
      <c r="C114" s="720" t="s">
        <v>103</v>
      </c>
      <c r="M114" s="807">
        <f>SUM(M7:M111)</f>
        <v>1.0000000000000004</v>
      </c>
      <c r="Q114" s="720" t="s">
        <v>103</v>
      </c>
      <c r="R114" s="724"/>
      <c r="AA114" s="720" t="s">
        <v>103</v>
      </c>
      <c r="AE114" s="821">
        <v>32508</v>
      </c>
      <c r="AK114" s="720" t="s">
        <v>103</v>
      </c>
      <c r="BA114" s="740"/>
      <c r="BB114" s="740"/>
      <c r="BC114" s="740"/>
    </row>
    <row r="115" spans="2:55">
      <c r="R115" s="724"/>
      <c r="BA115" s="740"/>
      <c r="BB115" s="740"/>
      <c r="BC115" s="740"/>
    </row>
    <row r="116" spans="2:55">
      <c r="F116" s="822" t="s">
        <v>300</v>
      </c>
      <c r="G116" s="822"/>
      <c r="R116" s="724"/>
      <c r="BA116" s="740"/>
      <c r="BB116" s="740"/>
      <c r="BC116" s="740"/>
    </row>
    <row r="117" spans="2:55">
      <c r="F117" s="823" t="s">
        <v>301</v>
      </c>
      <c r="G117" s="823"/>
      <c r="R117" s="724"/>
      <c r="BA117" s="740"/>
      <c r="BB117" s="740"/>
      <c r="BC117" s="740"/>
    </row>
    <row r="118" spans="2:55">
      <c r="F118" s="824" t="s">
        <v>302</v>
      </c>
      <c r="G118" s="824"/>
      <c r="R118" s="724"/>
      <c r="BA118" s="740"/>
      <c r="BB118" s="740"/>
      <c r="BC118" s="740"/>
    </row>
    <row r="119" spans="2:55">
      <c r="R119" s="724"/>
      <c r="BA119" s="723"/>
      <c r="BB119" s="723"/>
      <c r="BC119" s="723"/>
    </row>
    <row r="120" spans="2:55">
      <c r="R120" s="724"/>
      <c r="BA120" s="723"/>
      <c r="BB120" s="723"/>
      <c r="BC120" s="723"/>
    </row>
    <row r="121" spans="2:55">
      <c r="L121" s="825"/>
      <c r="M121" s="813"/>
      <c r="N121" s="813"/>
      <c r="O121" s="813"/>
      <c r="P121" s="813"/>
      <c r="R121" s="724"/>
      <c r="BA121" s="723"/>
      <c r="BB121" s="723"/>
      <c r="BC121" s="723"/>
    </row>
    <row r="122" spans="2:55">
      <c r="L122" s="825"/>
      <c r="M122" s="813"/>
      <c r="N122" s="813"/>
      <c r="O122" s="813"/>
      <c r="P122" s="813"/>
      <c r="R122" s="724"/>
      <c r="BA122" s="723"/>
      <c r="BB122" s="723"/>
      <c r="BC122" s="723"/>
    </row>
    <row r="123" spans="2:55">
      <c r="L123" s="825"/>
      <c r="M123" s="813"/>
      <c r="N123" s="813"/>
      <c r="O123" s="813"/>
      <c r="P123" s="813"/>
      <c r="R123" s="724"/>
      <c r="BA123" s="723"/>
      <c r="BB123" s="723"/>
      <c r="BC123" s="723"/>
    </row>
    <row r="124" spans="2:55">
      <c r="B124" s="720" t="s">
        <v>303</v>
      </c>
      <c r="L124" s="825"/>
      <c r="M124" s="813"/>
      <c r="N124" s="813"/>
      <c r="O124" s="813"/>
      <c r="P124" s="813"/>
      <c r="R124" s="724"/>
      <c r="BA124" s="723"/>
      <c r="BB124" s="723"/>
      <c r="BC124" s="723"/>
    </row>
    <row r="125" spans="2:55">
      <c r="B125" s="720" t="s">
        <v>304</v>
      </c>
      <c r="L125" s="825"/>
      <c r="M125" s="813"/>
      <c r="N125" s="813"/>
      <c r="O125" s="813"/>
      <c r="P125" s="813"/>
      <c r="R125" s="724"/>
      <c r="BA125" s="723"/>
      <c r="BB125" s="723"/>
      <c r="BC125" s="723"/>
    </row>
    <row r="126" spans="2:55">
      <c r="B126" s="720" t="s">
        <v>305</v>
      </c>
      <c r="L126" s="825"/>
      <c r="M126" s="813"/>
      <c r="N126" s="813"/>
      <c r="O126" s="813"/>
      <c r="P126" s="813"/>
      <c r="R126" s="724"/>
      <c r="BA126" s="723"/>
      <c r="BB126" s="723"/>
      <c r="BC126" s="723"/>
    </row>
    <row r="127" spans="2:55">
      <c r="L127" s="825"/>
      <c r="M127" s="813"/>
      <c r="N127" s="813"/>
      <c r="O127" s="813"/>
      <c r="P127" s="813"/>
      <c r="R127" s="724"/>
      <c r="BA127" s="723"/>
      <c r="BB127" s="723"/>
      <c r="BC127" s="723"/>
    </row>
    <row r="128" spans="2:55">
      <c r="L128" s="825"/>
      <c r="M128" s="813"/>
      <c r="N128" s="813"/>
      <c r="O128" s="813"/>
      <c r="P128" s="813"/>
      <c r="R128" s="724"/>
      <c r="BA128" s="723"/>
      <c r="BB128" s="723"/>
      <c r="BC128" s="723"/>
    </row>
    <row r="129" spans="12:55">
      <c r="L129" s="825"/>
      <c r="M129" s="813"/>
      <c r="N129" s="813"/>
      <c r="O129" s="813"/>
      <c r="P129" s="813"/>
      <c r="R129" s="724"/>
      <c r="BA129" s="723"/>
      <c r="BB129" s="723"/>
      <c r="BC129" s="723"/>
    </row>
    <row r="130" spans="12:55">
      <c r="L130" s="825"/>
      <c r="M130" s="813"/>
      <c r="N130" s="813"/>
      <c r="O130" s="813"/>
      <c r="P130" s="813"/>
      <c r="R130" s="724"/>
      <c r="BA130" s="723"/>
      <c r="BB130" s="723"/>
      <c r="BC130" s="723"/>
    </row>
    <row r="131" spans="12:55">
      <c r="L131" s="825"/>
      <c r="M131" s="813"/>
      <c r="N131" s="813"/>
      <c r="O131" s="813"/>
      <c r="P131" s="813"/>
      <c r="R131" s="724"/>
      <c r="BA131" s="723"/>
      <c r="BB131" s="723"/>
      <c r="BC131" s="723"/>
    </row>
    <row r="132" spans="12:55">
      <c r="L132" s="825"/>
      <c r="M132" s="813"/>
      <c r="N132" s="813"/>
      <c r="O132" s="813"/>
      <c r="P132" s="813"/>
      <c r="R132" s="724"/>
      <c r="BA132" s="723"/>
      <c r="BB132" s="723"/>
      <c r="BC132" s="723"/>
    </row>
    <row r="133" spans="12:55">
      <c r="L133" s="825"/>
      <c r="M133" s="813"/>
      <c r="N133" s="813"/>
      <c r="O133" s="813"/>
      <c r="P133" s="813"/>
      <c r="R133" s="724"/>
      <c r="AG133" s="720" t="s">
        <v>306</v>
      </c>
      <c r="BA133" s="723"/>
      <c r="BB133" s="723"/>
      <c r="BC133" s="723"/>
    </row>
    <row r="134" spans="12:55">
      <c r="BA134" s="723"/>
      <c r="BB134" s="723"/>
      <c r="BC134" s="723"/>
    </row>
    <row r="135" spans="12:55">
      <c r="BA135" s="723"/>
      <c r="BB135" s="723"/>
      <c r="BC135" s="723"/>
    </row>
    <row r="136" spans="12:55">
      <c r="BA136" s="723"/>
      <c r="BB136" s="723"/>
      <c r="BC136" s="723"/>
    </row>
    <row r="137" spans="12:55">
      <c r="BA137" s="723"/>
      <c r="BB137" s="723"/>
      <c r="BC137" s="723"/>
    </row>
    <row r="138" spans="12:55">
      <c r="BA138" s="723"/>
      <c r="BB138" s="723"/>
      <c r="BC138" s="723"/>
    </row>
    <row r="139" spans="12:55">
      <c r="BA139" s="723"/>
      <c r="BB139" s="723"/>
      <c r="BC139" s="723"/>
    </row>
    <row r="231" spans="53:55">
      <c r="BA231" s="728"/>
      <c r="BB231" s="728"/>
      <c r="BC231" s="728"/>
    </row>
    <row r="232" spans="53:55">
      <c r="BA232" s="728"/>
      <c r="BB232" s="728"/>
      <c r="BC232" s="728"/>
    </row>
    <row r="233" spans="53:55">
      <c r="BA233" s="728"/>
      <c r="BB233" s="728"/>
      <c r="BC233" s="728"/>
    </row>
    <row r="234" spans="53:55">
      <c r="BA234" s="728"/>
      <c r="BB234" s="728"/>
      <c r="BC234" s="728"/>
    </row>
    <row r="235" spans="53:55">
      <c r="BA235" s="728"/>
      <c r="BB235" s="728"/>
      <c r="BC235" s="728"/>
    </row>
    <row r="236" spans="53:55">
      <c r="BA236" s="728"/>
      <c r="BB236" s="728"/>
      <c r="BC236" s="728"/>
    </row>
    <row r="237" spans="53:55">
      <c r="BA237" s="728"/>
      <c r="BB237" s="728"/>
      <c r="BC237" s="728"/>
    </row>
    <row r="238" spans="53:55">
      <c r="BA238" s="728"/>
      <c r="BB238" s="728"/>
      <c r="BC238" s="728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09375" defaultRowHeight="13.8" outlineLevelRow="1"/>
  <cols>
    <col min="1" max="1" width="2.6640625" style="223" customWidth="1"/>
    <col min="2" max="2" width="4.6640625" style="223" customWidth="1"/>
    <col min="3" max="3" width="42.88671875" style="223" customWidth="1"/>
    <col min="4" max="4" width="9.6640625" style="222" customWidth="1"/>
    <col min="5" max="5" width="13.44140625" style="222" customWidth="1"/>
    <col min="6" max="6" width="14" style="222" customWidth="1"/>
    <col min="7" max="7" width="9.109375" style="223"/>
    <col min="8" max="8" width="10.44140625" style="223" bestFit="1" customWidth="1"/>
    <col min="9" max="16384" width="9.109375" style="223"/>
  </cols>
  <sheetData>
    <row r="1" spans="1:11" s="218" customFormat="1" ht="18">
      <c r="A1" s="218" t="s">
        <v>103</v>
      </c>
      <c r="C1" s="219"/>
      <c r="D1" s="220"/>
      <c r="E1" s="221"/>
      <c r="F1" s="222"/>
    </row>
    <row r="2" spans="1:11" s="218" customFormat="1">
      <c r="C2" s="223"/>
      <c r="D2" s="220"/>
      <c r="E2" s="222"/>
      <c r="F2" s="222"/>
    </row>
    <row r="3" spans="1:11">
      <c r="F3" s="698">
        <v>43830</v>
      </c>
      <c r="H3" s="697"/>
    </row>
    <row r="4" spans="1:11">
      <c r="C4" s="218"/>
      <c r="D4" s="220"/>
    </row>
    <row r="5" spans="1:11" s="224" customFormat="1" ht="27.6" collapsed="1">
      <c r="C5" s="225" t="s">
        <v>395</v>
      </c>
      <c r="D5" s="226" t="s">
        <v>330</v>
      </c>
      <c r="E5" s="227" t="s">
        <v>396</v>
      </c>
      <c r="F5" s="228" t="s">
        <v>421</v>
      </c>
    </row>
    <row r="6" spans="1:11" hidden="1" outlineLevel="1">
      <c r="C6" s="229"/>
      <c r="D6" s="230"/>
      <c r="E6" s="230"/>
      <c r="F6" s="231"/>
    </row>
    <row r="7" spans="1:11" hidden="1" outlineLevel="1">
      <c r="C7" s="229"/>
      <c r="D7" s="230"/>
      <c r="E7" s="230"/>
      <c r="F7" s="231"/>
    </row>
    <row r="8" spans="1:11" hidden="1" outlineLevel="1">
      <c r="C8" s="229"/>
      <c r="D8" s="230"/>
      <c r="E8" s="230"/>
      <c r="F8" s="231"/>
    </row>
    <row r="9" spans="1:11" collapsed="1">
      <c r="C9" s="229"/>
      <c r="D9" s="230"/>
      <c r="E9" s="230"/>
      <c r="F9" s="231"/>
    </row>
    <row r="10" spans="1:11" s="459" customFormat="1">
      <c r="B10" s="460"/>
      <c r="C10" s="461" t="s">
        <v>424</v>
      </c>
      <c r="E10" s="462" t="s">
        <v>102</v>
      </c>
      <c r="F10" s="463">
        <f>COUNTIF( $F$16:$F$63, E10 )</f>
        <v>31</v>
      </c>
    </row>
    <row r="11" spans="1:11" s="232" customFormat="1">
      <c r="B11" s="233"/>
      <c r="C11" s="234"/>
      <c r="E11" s="236" t="s">
        <v>202</v>
      </c>
      <c r="F11" s="443">
        <f>COUNTIF( $F$16:$F$63, E11 )</f>
        <v>9</v>
      </c>
    </row>
    <row r="12" spans="1:11" s="444" customFormat="1">
      <c r="B12" s="445"/>
      <c r="C12" s="446"/>
      <c r="E12" s="447" t="s">
        <v>11</v>
      </c>
      <c r="F12" s="448">
        <f>COUNTIF( $F$16:$F$63, E12 )</f>
        <v>0</v>
      </c>
    </row>
    <row r="13" spans="1:11" s="454" customFormat="1">
      <c r="B13" s="455"/>
      <c r="C13" s="456"/>
      <c r="E13" s="457" t="s">
        <v>77</v>
      </c>
      <c r="F13" s="458">
        <f>SUM(F10:F12)</f>
        <v>40</v>
      </c>
    </row>
    <row r="14" spans="1:11" s="449" customFormat="1">
      <c r="B14" s="450"/>
      <c r="C14" s="451"/>
      <c r="D14" s="452"/>
      <c r="E14" s="452"/>
      <c r="F14" s="453"/>
    </row>
    <row r="15" spans="1:11" s="232" customFormat="1">
      <c r="B15" s="424"/>
      <c r="C15" s="423"/>
      <c r="D15" s="237"/>
      <c r="E15" s="237"/>
      <c r="F15" s="422"/>
    </row>
    <row r="16" spans="1:11" s="232" customFormat="1">
      <c r="B16" s="424">
        <v>1</v>
      </c>
      <c r="C16" s="423" t="s">
        <v>180</v>
      </c>
      <c r="D16" s="237" t="s">
        <v>43</v>
      </c>
      <c r="E16" s="237"/>
      <c r="F16" s="422" t="s">
        <v>202</v>
      </c>
      <c r="I16" s="694"/>
      <c r="J16" s="695"/>
      <c r="K16" s="696"/>
    </row>
    <row r="17" spans="2:11" s="232" customFormat="1">
      <c r="B17" s="233">
        <v>2</v>
      </c>
      <c r="C17" s="423" t="s">
        <v>181</v>
      </c>
      <c r="D17" s="237" t="s">
        <v>33</v>
      </c>
      <c r="E17" s="237"/>
      <c r="F17" s="422" t="s">
        <v>102</v>
      </c>
      <c r="I17" s="694"/>
      <c r="J17" s="695"/>
      <c r="K17" s="696"/>
    </row>
    <row r="18" spans="2:11" s="232" customFormat="1">
      <c r="B18" s="233">
        <v>3</v>
      </c>
      <c r="C18" s="423" t="s">
        <v>194</v>
      </c>
      <c r="D18" s="237" t="s">
        <v>22</v>
      </c>
      <c r="E18" s="237"/>
      <c r="F18" s="422" t="s">
        <v>102</v>
      </c>
      <c r="I18" s="694"/>
      <c r="J18" s="695"/>
      <c r="K18" s="696"/>
    </row>
    <row r="19" spans="2:11" s="232" customFormat="1">
      <c r="B19" s="233">
        <v>4</v>
      </c>
      <c r="C19" s="423" t="s">
        <v>184</v>
      </c>
      <c r="D19" s="237" t="s">
        <v>18</v>
      </c>
      <c r="E19" s="237"/>
      <c r="F19" s="422" t="s">
        <v>102</v>
      </c>
      <c r="I19" s="694"/>
      <c r="J19" s="695"/>
      <c r="K19" s="696"/>
    </row>
    <row r="20" spans="2:11" s="232" customFormat="1">
      <c r="B20" s="233">
        <v>5</v>
      </c>
      <c r="C20" s="423" t="s">
        <v>642</v>
      </c>
      <c r="D20" s="237" t="s">
        <v>644</v>
      </c>
      <c r="E20" s="237"/>
      <c r="F20" s="422" t="s">
        <v>202</v>
      </c>
      <c r="I20" s="694"/>
      <c r="J20" s="695"/>
      <c r="K20" s="696"/>
    </row>
    <row r="21" spans="2:11" s="232" customFormat="1">
      <c r="B21" s="233">
        <v>6</v>
      </c>
      <c r="C21" s="423" t="s">
        <v>175</v>
      </c>
      <c r="D21" s="237" t="s">
        <v>47</v>
      </c>
      <c r="E21" s="237"/>
      <c r="F21" s="422" t="s">
        <v>102</v>
      </c>
      <c r="I21" s="694"/>
      <c r="J21" s="695"/>
      <c r="K21" s="696"/>
    </row>
    <row r="22" spans="2:11" s="232" customFormat="1">
      <c r="B22" s="233">
        <v>7</v>
      </c>
      <c r="C22" s="423" t="s">
        <v>195</v>
      </c>
      <c r="D22" s="237" t="s">
        <v>41</v>
      </c>
      <c r="E22" s="237"/>
      <c r="F22" s="422" t="s">
        <v>102</v>
      </c>
      <c r="I22" s="694"/>
      <c r="J22" s="695"/>
      <c r="K22" s="696"/>
    </row>
    <row r="23" spans="2:11" s="232" customFormat="1">
      <c r="B23" s="233">
        <v>8</v>
      </c>
      <c r="C23" s="423" t="s">
        <v>185</v>
      </c>
      <c r="D23" s="237" t="s">
        <v>28</v>
      </c>
      <c r="E23" s="237"/>
      <c r="F23" s="422" t="s">
        <v>102</v>
      </c>
      <c r="I23" s="694"/>
      <c r="J23" s="695"/>
      <c r="K23" s="696"/>
    </row>
    <row r="24" spans="2:11" s="232" customFormat="1">
      <c r="B24" s="233">
        <v>9</v>
      </c>
      <c r="C24" s="423" t="s">
        <v>196</v>
      </c>
      <c r="D24" s="237" t="s">
        <v>80</v>
      </c>
      <c r="E24" s="237"/>
      <c r="F24" s="422" t="s">
        <v>102</v>
      </c>
      <c r="I24" s="694"/>
      <c r="J24" s="695"/>
      <c r="K24" s="696"/>
    </row>
    <row r="25" spans="2:11" s="232" customFormat="1">
      <c r="B25" s="233">
        <v>10</v>
      </c>
      <c r="C25" s="423" t="s">
        <v>178</v>
      </c>
      <c r="D25" s="237" t="s">
        <v>108</v>
      </c>
      <c r="E25" s="237"/>
      <c r="F25" s="422" t="s">
        <v>102</v>
      </c>
      <c r="I25" s="694"/>
      <c r="J25" s="695"/>
      <c r="K25" s="696"/>
    </row>
    <row r="26" spans="2:11" s="232" customFormat="1">
      <c r="B26" s="233">
        <v>11</v>
      </c>
      <c r="C26" s="423" t="s">
        <v>683</v>
      </c>
      <c r="D26" s="237" t="s">
        <v>11</v>
      </c>
      <c r="E26" s="237"/>
      <c r="F26" s="422" t="s">
        <v>102</v>
      </c>
      <c r="I26" s="694"/>
      <c r="J26" s="695"/>
      <c r="K26" s="696"/>
    </row>
    <row r="27" spans="2:11" s="232" customFormat="1">
      <c r="B27" s="233">
        <v>12</v>
      </c>
      <c r="C27" s="423" t="s">
        <v>186</v>
      </c>
      <c r="D27" s="237" t="s">
        <v>23</v>
      </c>
      <c r="E27" s="237"/>
      <c r="F27" s="422" t="s">
        <v>202</v>
      </c>
      <c r="I27" s="694"/>
      <c r="J27" s="695"/>
      <c r="K27" s="696"/>
    </row>
    <row r="28" spans="2:11" s="232" customFormat="1">
      <c r="B28" s="233">
        <v>13</v>
      </c>
      <c r="C28" s="423" t="s">
        <v>179</v>
      </c>
      <c r="D28" s="237" t="s">
        <v>12</v>
      </c>
      <c r="E28" s="237"/>
      <c r="F28" s="422" t="s">
        <v>102</v>
      </c>
      <c r="I28" s="694"/>
      <c r="J28" s="695"/>
      <c r="K28" s="696"/>
    </row>
    <row r="29" spans="2:11" s="232" customFormat="1">
      <c r="B29" s="233">
        <v>14</v>
      </c>
      <c r="C29" s="423" t="s">
        <v>78</v>
      </c>
      <c r="D29" s="237" t="s">
        <v>16</v>
      </c>
      <c r="E29" s="237"/>
      <c r="F29" s="422" t="s">
        <v>102</v>
      </c>
      <c r="I29" s="694"/>
      <c r="J29" s="695"/>
      <c r="K29" s="696"/>
    </row>
    <row r="30" spans="2:11" s="232" customFormat="1">
      <c r="B30" s="233">
        <v>15</v>
      </c>
      <c r="C30" s="423" t="s">
        <v>187</v>
      </c>
      <c r="D30" s="237" t="s">
        <v>46</v>
      </c>
      <c r="E30" s="237"/>
      <c r="F30" s="422" t="s">
        <v>102</v>
      </c>
      <c r="I30" s="694"/>
      <c r="J30" s="695"/>
      <c r="K30" s="696"/>
    </row>
    <row r="31" spans="2:11" s="232" customFormat="1">
      <c r="B31" s="233">
        <v>16</v>
      </c>
      <c r="C31" s="423" t="s">
        <v>188</v>
      </c>
      <c r="D31" s="237" t="s">
        <v>15</v>
      </c>
      <c r="E31" s="237"/>
      <c r="F31" s="422" t="s">
        <v>102</v>
      </c>
      <c r="I31" s="694"/>
      <c r="J31" s="695"/>
      <c r="K31" s="696"/>
    </row>
    <row r="32" spans="2:11" s="232" customFormat="1">
      <c r="B32" s="233">
        <v>17</v>
      </c>
      <c r="C32" s="423" t="s">
        <v>681</v>
      </c>
      <c r="D32" s="237" t="s">
        <v>680</v>
      </c>
      <c r="E32" s="237"/>
      <c r="F32" s="422" t="s">
        <v>102</v>
      </c>
      <c r="I32" s="694"/>
      <c r="J32" s="695"/>
      <c r="K32" s="696"/>
    </row>
    <row r="33" spans="2:11" s="232" customFormat="1">
      <c r="B33" s="233">
        <v>18</v>
      </c>
      <c r="C33" s="423" t="s">
        <v>623</v>
      </c>
      <c r="D33" s="237" t="s">
        <v>624</v>
      </c>
      <c r="E33" s="237"/>
      <c r="F33" s="422" t="s">
        <v>102</v>
      </c>
      <c r="I33" s="694"/>
      <c r="J33" s="695"/>
      <c r="K33" s="696"/>
    </row>
    <row r="34" spans="2:11" s="232" customFormat="1">
      <c r="B34" s="233">
        <v>19</v>
      </c>
      <c r="C34" s="423" t="s">
        <v>189</v>
      </c>
      <c r="D34" s="237" t="s">
        <v>10</v>
      </c>
      <c r="E34" s="237"/>
      <c r="F34" s="422" t="s">
        <v>202</v>
      </c>
      <c r="I34" s="694"/>
      <c r="J34" s="695"/>
      <c r="K34" s="696"/>
    </row>
    <row r="35" spans="2:11" s="232" customFormat="1">
      <c r="B35" s="233">
        <v>20</v>
      </c>
      <c r="C35" s="423" t="s">
        <v>81</v>
      </c>
      <c r="D35" s="237" t="s">
        <v>14</v>
      </c>
      <c r="E35" s="237"/>
      <c r="F35" s="422" t="s">
        <v>102</v>
      </c>
      <c r="I35" s="694"/>
      <c r="J35" s="695"/>
      <c r="K35" s="696"/>
    </row>
    <row r="36" spans="2:11" s="232" customFormat="1">
      <c r="B36" s="233">
        <v>21</v>
      </c>
      <c r="C36" s="423" t="s">
        <v>171</v>
      </c>
      <c r="D36" s="237" t="s">
        <v>36</v>
      </c>
      <c r="E36" s="237"/>
      <c r="F36" s="422" t="s">
        <v>202</v>
      </c>
      <c r="I36" s="694"/>
      <c r="J36" s="695"/>
      <c r="K36" s="696"/>
    </row>
    <row r="37" spans="2:11" s="232" customFormat="1">
      <c r="B37" s="233">
        <v>22</v>
      </c>
      <c r="C37" s="423" t="s">
        <v>190</v>
      </c>
      <c r="D37" s="237" t="s">
        <v>42</v>
      </c>
      <c r="E37" s="237"/>
      <c r="F37" s="422" t="s">
        <v>102</v>
      </c>
      <c r="I37" s="694"/>
      <c r="J37" s="695"/>
      <c r="K37" s="696"/>
    </row>
    <row r="38" spans="2:11" s="232" customFormat="1">
      <c r="B38" s="233">
        <v>23</v>
      </c>
      <c r="C38" s="423" t="s">
        <v>182</v>
      </c>
      <c r="D38" s="237" t="s">
        <v>31</v>
      </c>
      <c r="E38" s="237"/>
      <c r="F38" s="422" t="s">
        <v>202</v>
      </c>
      <c r="I38" s="694"/>
      <c r="J38" s="695"/>
      <c r="K38" s="696"/>
    </row>
    <row r="39" spans="2:11" s="232" customFormat="1">
      <c r="B39" s="233">
        <v>24</v>
      </c>
      <c r="C39" s="423" t="s">
        <v>173</v>
      </c>
      <c r="D39" s="237" t="s">
        <v>50</v>
      </c>
      <c r="E39" s="237"/>
      <c r="F39" s="422" t="s">
        <v>102</v>
      </c>
      <c r="I39" s="694"/>
      <c r="J39" s="695"/>
      <c r="K39" s="696"/>
    </row>
    <row r="40" spans="2:11" s="232" customFormat="1">
      <c r="B40" s="233">
        <v>25</v>
      </c>
      <c r="C40" s="423" t="s">
        <v>209</v>
      </c>
      <c r="D40" s="237" t="s">
        <v>208</v>
      </c>
      <c r="E40" s="237"/>
      <c r="F40" s="422" t="s">
        <v>202</v>
      </c>
      <c r="I40" s="694"/>
      <c r="J40" s="695"/>
      <c r="K40" s="696"/>
    </row>
    <row r="41" spans="2:11" s="232" customFormat="1">
      <c r="B41" s="233">
        <v>26</v>
      </c>
      <c r="C41" s="423" t="s">
        <v>197</v>
      </c>
      <c r="D41" s="237" t="s">
        <v>25</v>
      </c>
      <c r="E41" s="237"/>
      <c r="F41" s="422" t="s">
        <v>102</v>
      </c>
      <c r="I41" s="694"/>
      <c r="J41" s="695"/>
      <c r="K41" s="696"/>
    </row>
    <row r="42" spans="2:11" s="232" customFormat="1">
      <c r="B42" s="233">
        <v>27</v>
      </c>
      <c r="C42" s="423" t="s">
        <v>191</v>
      </c>
      <c r="D42" s="237" t="s">
        <v>170</v>
      </c>
      <c r="E42" s="237"/>
      <c r="F42" s="422" t="s">
        <v>102</v>
      </c>
      <c r="I42" s="694"/>
      <c r="J42" s="695"/>
      <c r="K42" s="696"/>
    </row>
    <row r="43" spans="2:11" s="232" customFormat="1">
      <c r="B43" s="233">
        <v>28</v>
      </c>
      <c r="C43" s="423" t="s">
        <v>83</v>
      </c>
      <c r="D43" s="237" t="s">
        <v>35</v>
      </c>
      <c r="E43" s="237"/>
      <c r="F43" s="422" t="s">
        <v>102</v>
      </c>
      <c r="I43" s="694"/>
      <c r="J43" s="695"/>
      <c r="K43" s="696"/>
    </row>
    <row r="44" spans="2:11" s="232" customFormat="1">
      <c r="B44" s="233">
        <v>29</v>
      </c>
      <c r="C44" s="423" t="s">
        <v>198</v>
      </c>
      <c r="D44" s="237" t="s">
        <v>48</v>
      </c>
      <c r="E44" s="237"/>
      <c r="F44" s="422" t="s">
        <v>102</v>
      </c>
      <c r="I44" s="694"/>
      <c r="J44" s="695"/>
      <c r="K44" s="696"/>
    </row>
    <row r="45" spans="2:11" s="232" customFormat="1">
      <c r="B45" s="233">
        <v>30</v>
      </c>
      <c r="C45" s="423" t="s">
        <v>174</v>
      </c>
      <c r="D45" s="237" t="s">
        <v>109</v>
      </c>
      <c r="E45" s="237"/>
      <c r="F45" s="422" t="s">
        <v>102</v>
      </c>
      <c r="I45" s="694"/>
      <c r="J45" s="695"/>
      <c r="K45" s="696"/>
    </row>
    <row r="46" spans="2:11" s="232" customFormat="1">
      <c r="B46" s="233">
        <v>31</v>
      </c>
      <c r="C46" s="423" t="s">
        <v>199</v>
      </c>
      <c r="D46" s="237" t="s">
        <v>30</v>
      </c>
      <c r="E46" s="237"/>
      <c r="F46" s="422" t="s">
        <v>102</v>
      </c>
      <c r="I46" s="694"/>
      <c r="J46" s="695"/>
      <c r="K46" s="696"/>
    </row>
    <row r="47" spans="2:11" s="232" customFormat="1">
      <c r="B47" s="233">
        <v>32</v>
      </c>
      <c r="C47" s="423" t="s">
        <v>200</v>
      </c>
      <c r="D47" s="237" t="s">
        <v>40</v>
      </c>
      <c r="E47" s="237"/>
      <c r="F47" s="422" t="s">
        <v>102</v>
      </c>
      <c r="I47" s="694"/>
      <c r="J47" s="695"/>
      <c r="K47" s="696"/>
    </row>
    <row r="48" spans="2:11" s="232" customFormat="1">
      <c r="B48" s="233">
        <v>33</v>
      </c>
      <c r="C48" s="423" t="s">
        <v>183</v>
      </c>
      <c r="D48" s="237" t="s">
        <v>84</v>
      </c>
      <c r="E48" s="237"/>
      <c r="F48" s="422" t="s">
        <v>102</v>
      </c>
      <c r="I48" s="694"/>
      <c r="J48" s="695"/>
      <c r="K48" s="696"/>
    </row>
    <row r="49" spans="2:11" s="232" customFormat="1">
      <c r="B49" s="233">
        <v>34</v>
      </c>
      <c r="C49" s="423" t="s">
        <v>192</v>
      </c>
      <c r="D49" s="237" t="s">
        <v>74</v>
      </c>
      <c r="E49" s="237"/>
      <c r="F49" s="422" t="s">
        <v>102</v>
      </c>
      <c r="I49" s="694"/>
      <c r="J49" s="695"/>
      <c r="K49" s="696"/>
    </row>
    <row r="50" spans="2:11" s="232" customFormat="1">
      <c r="B50" s="233">
        <v>35</v>
      </c>
      <c r="C50" s="423" t="s">
        <v>193</v>
      </c>
      <c r="D50" s="237" t="s">
        <v>17</v>
      </c>
      <c r="E50" s="237"/>
      <c r="F50" s="422" t="s">
        <v>202</v>
      </c>
      <c r="I50" s="694"/>
      <c r="J50" s="695"/>
      <c r="K50" s="696"/>
    </row>
    <row r="51" spans="2:11" s="232" customFormat="1">
      <c r="B51" s="233">
        <v>36</v>
      </c>
      <c r="C51" s="423" t="s">
        <v>79</v>
      </c>
      <c r="D51" s="237" t="s">
        <v>19</v>
      </c>
      <c r="E51" s="237"/>
      <c r="F51" s="422" t="s">
        <v>202</v>
      </c>
      <c r="I51" s="694"/>
      <c r="J51" s="695"/>
      <c r="K51" s="696"/>
    </row>
    <row r="52" spans="2:11" s="232" customFormat="1">
      <c r="B52" s="233">
        <v>37</v>
      </c>
      <c r="C52" s="423" t="s">
        <v>172</v>
      </c>
      <c r="D52" s="237" t="s">
        <v>13</v>
      </c>
      <c r="E52" s="237"/>
      <c r="F52" s="422" t="s">
        <v>102</v>
      </c>
      <c r="I52" s="694"/>
      <c r="J52" s="695"/>
      <c r="K52" s="696"/>
    </row>
    <row r="53" spans="2:11" s="232" customFormat="1">
      <c r="B53" s="233">
        <v>38</v>
      </c>
      <c r="C53" s="423" t="s">
        <v>201</v>
      </c>
      <c r="D53" s="237" t="s">
        <v>52</v>
      </c>
      <c r="E53" s="237"/>
      <c r="F53" s="422" t="s">
        <v>102</v>
      </c>
      <c r="I53" s="694"/>
      <c r="J53" s="695"/>
      <c r="K53" s="696"/>
    </row>
    <row r="54" spans="2:11" s="232" customFormat="1">
      <c r="B54" s="233">
        <v>39</v>
      </c>
      <c r="C54" s="423" t="s">
        <v>643</v>
      </c>
      <c r="D54" s="237" t="s">
        <v>27</v>
      </c>
      <c r="E54" s="237"/>
      <c r="F54" s="422" t="s">
        <v>102</v>
      </c>
      <c r="I54" s="694"/>
      <c r="J54" s="695"/>
      <c r="K54" s="696"/>
    </row>
    <row r="55" spans="2:11" s="232" customFormat="1">
      <c r="B55" s="233">
        <v>40</v>
      </c>
      <c r="C55" s="423" t="s">
        <v>82</v>
      </c>
      <c r="D55" s="237" t="s">
        <v>24</v>
      </c>
      <c r="E55" s="237"/>
      <c r="F55" s="422" t="s">
        <v>102</v>
      </c>
      <c r="I55" s="694"/>
      <c r="J55" s="695"/>
      <c r="K55" s="696"/>
    </row>
    <row r="56" spans="2:11" s="232" customFormat="1">
      <c r="B56" s="233"/>
      <c r="C56" s="423"/>
      <c r="D56" s="237"/>
      <c r="E56" s="237"/>
      <c r="F56" s="422"/>
      <c r="I56" s="694"/>
      <c r="J56" s="695"/>
      <c r="K56" s="696"/>
    </row>
    <row r="57" spans="2:11" s="232" customFormat="1">
      <c r="B57" s="233"/>
      <c r="C57" s="423"/>
      <c r="D57" s="237"/>
      <c r="E57" s="237"/>
      <c r="F57" s="422"/>
      <c r="I57" s="694"/>
      <c r="J57" s="695"/>
      <c r="K57" s="696"/>
    </row>
    <row r="58" spans="2:11" s="232" customFormat="1">
      <c r="B58" s="233"/>
      <c r="C58" s="423"/>
      <c r="D58" s="237"/>
      <c r="E58" s="237"/>
      <c r="F58" s="422"/>
      <c r="I58" s="694"/>
      <c r="J58" s="695"/>
      <c r="K58" s="696"/>
    </row>
    <row r="59" spans="2:11" s="232" customFormat="1">
      <c r="B59" s="233"/>
      <c r="C59" s="423"/>
      <c r="D59" s="237"/>
      <c r="E59" s="237"/>
      <c r="F59" s="422"/>
      <c r="I59" s="694"/>
      <c r="J59" s="695"/>
      <c r="K59" s="696"/>
    </row>
    <row r="60" spans="2:11" s="232" customFormat="1">
      <c r="B60" s="233"/>
      <c r="C60" s="423"/>
      <c r="D60" s="237"/>
      <c r="E60" s="237"/>
      <c r="F60" s="422"/>
      <c r="I60" s="694"/>
      <c r="J60" s="695"/>
      <c r="K60" s="696"/>
    </row>
    <row r="61" spans="2:11" s="232" customFormat="1">
      <c r="B61" s="233"/>
      <c r="C61" s="423"/>
      <c r="D61" s="237"/>
      <c r="E61" s="237"/>
      <c r="F61" s="422"/>
      <c r="I61" s="694"/>
      <c r="J61" s="695"/>
      <c r="K61" s="696"/>
    </row>
    <row r="62" spans="2:11" s="232" customFormat="1">
      <c r="B62" s="233"/>
      <c r="C62" s="423"/>
      <c r="D62" s="237"/>
      <c r="E62" s="237"/>
      <c r="F62" s="422"/>
    </row>
    <row r="63" spans="2:11" s="232" customFormat="1">
      <c r="B63" s="233"/>
      <c r="C63" s="423"/>
      <c r="D63" s="237"/>
      <c r="E63" s="237"/>
      <c r="F63" s="422"/>
    </row>
    <row r="64" spans="2:11" s="232" customFormat="1">
      <c r="B64" s="233"/>
      <c r="C64" s="423"/>
      <c r="D64" s="237"/>
      <c r="E64" s="237"/>
      <c r="F64" s="422"/>
    </row>
    <row r="65" spans="2:6" s="232" customFormat="1">
      <c r="B65" s="233"/>
      <c r="C65" s="234"/>
      <c r="D65" s="236"/>
      <c r="E65" s="236"/>
      <c r="F65" s="235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tabColor rgb="FFFF0000"/>
    <outlinePr summaryBelow="0" summaryRight="0"/>
  </sheetPr>
  <dimension ref="B5:E51"/>
  <sheetViews>
    <sheetView zoomScale="85" zoomScaleNormal="85" workbookViewId="0"/>
  </sheetViews>
  <sheetFormatPr defaultRowHeight="13.2"/>
  <cols>
    <col min="1" max="1" width="2.33203125" customWidth="1"/>
    <col min="2" max="2" width="30.5546875" customWidth="1"/>
    <col min="3" max="3" width="37" customWidth="1"/>
  </cols>
  <sheetData>
    <row r="5" spans="2:4">
      <c r="B5" s="464" t="s">
        <v>425</v>
      </c>
      <c r="C5" s="465"/>
      <c r="D5" s="85" t="str">
        <f t="shared" ref="D5:D16" si="0">IF( LEN( C5 ) = 0, "", IF( ISNA( MATCH( C5, Settings_Sheet_Toggle_Extreme, 0 ) ), "Unique", "Duplicate" ) )</f>
        <v/>
      </c>
    </row>
    <row r="6" spans="2:4">
      <c r="C6" s="466" t="s">
        <v>427</v>
      </c>
      <c r="D6" s="85" t="str">
        <f t="shared" si="0"/>
        <v>Unique</v>
      </c>
    </row>
    <row r="7" spans="2:4">
      <c r="C7" s="466" t="s">
        <v>432</v>
      </c>
      <c r="D7" s="85" t="str">
        <f t="shared" si="0"/>
        <v>Unique</v>
      </c>
    </row>
    <row r="8" spans="2:4">
      <c r="C8" s="466" t="s">
        <v>428</v>
      </c>
      <c r="D8" s="85" t="str">
        <f t="shared" si="0"/>
        <v>Unique</v>
      </c>
    </row>
    <row r="9" spans="2:4">
      <c r="C9" s="466"/>
      <c r="D9" s="85" t="str">
        <f t="shared" si="0"/>
        <v/>
      </c>
    </row>
    <row r="10" spans="2:4">
      <c r="C10" s="466"/>
      <c r="D10" s="85" t="str">
        <f t="shared" si="0"/>
        <v/>
      </c>
    </row>
    <row r="11" spans="2:4">
      <c r="C11" s="466"/>
      <c r="D11" s="85" t="str">
        <f t="shared" si="0"/>
        <v/>
      </c>
    </row>
    <row r="12" spans="2:4">
      <c r="C12" s="466"/>
      <c r="D12" s="85" t="str">
        <f t="shared" si="0"/>
        <v/>
      </c>
    </row>
    <row r="13" spans="2:4">
      <c r="C13" s="466"/>
      <c r="D13" s="85" t="str">
        <f t="shared" si="0"/>
        <v/>
      </c>
    </row>
    <row r="14" spans="2:4">
      <c r="C14" s="466"/>
      <c r="D14" s="85" t="str">
        <f t="shared" si="0"/>
        <v/>
      </c>
    </row>
    <row r="15" spans="2:4">
      <c r="C15" s="466"/>
      <c r="D15" s="85" t="str">
        <f t="shared" si="0"/>
        <v/>
      </c>
    </row>
    <row r="16" spans="2:4">
      <c r="C16" s="467"/>
      <c r="D16" s="85" t="str">
        <f t="shared" si="0"/>
        <v/>
      </c>
    </row>
    <row r="20" spans="2:4">
      <c r="B20" s="464" t="s">
        <v>537</v>
      </c>
      <c r="C20" s="465" t="s">
        <v>426</v>
      </c>
      <c r="D20" s="85" t="str">
        <f t="shared" ref="D20:D31" si="1">IF( LEN( C20 ) = 0, "", IF( ISNA( MATCH( C20, Settings_Sheet_Toggle, 0 ) ), "Unique", "Duplicate" ) )</f>
        <v>Unique</v>
      </c>
    </row>
    <row r="21" spans="2:4">
      <c r="C21" s="466" t="s">
        <v>430</v>
      </c>
      <c r="D21" s="85" t="str">
        <f t="shared" si="1"/>
        <v>Unique</v>
      </c>
    </row>
    <row r="22" spans="2:4">
      <c r="C22" s="466" t="s">
        <v>431</v>
      </c>
      <c r="D22" s="85" t="str">
        <f t="shared" si="1"/>
        <v>Unique</v>
      </c>
    </row>
    <row r="23" spans="2:4">
      <c r="C23" s="466" t="s">
        <v>433</v>
      </c>
      <c r="D23" s="85" t="str">
        <f t="shared" si="1"/>
        <v>Unique</v>
      </c>
    </row>
    <row r="24" spans="2:4">
      <c r="C24" s="466" t="s">
        <v>434</v>
      </c>
      <c r="D24" s="85" t="str">
        <f t="shared" si="1"/>
        <v>Unique</v>
      </c>
    </row>
    <row r="25" spans="2:4">
      <c r="C25" s="466" t="s">
        <v>435</v>
      </c>
      <c r="D25" s="85" t="str">
        <f t="shared" si="1"/>
        <v>Unique</v>
      </c>
    </row>
    <row r="26" spans="2:4">
      <c r="C26" s="466" t="s">
        <v>429</v>
      </c>
      <c r="D26" s="85" t="str">
        <f t="shared" si="1"/>
        <v>Unique</v>
      </c>
    </row>
    <row r="27" spans="2:4">
      <c r="C27" s="466"/>
      <c r="D27" s="85" t="str">
        <f t="shared" si="1"/>
        <v/>
      </c>
    </row>
    <row r="28" spans="2:4">
      <c r="C28" s="466"/>
      <c r="D28" s="85" t="str">
        <f t="shared" si="1"/>
        <v/>
      </c>
    </row>
    <row r="29" spans="2:4">
      <c r="C29" s="466"/>
      <c r="D29" s="85" t="str">
        <f t="shared" si="1"/>
        <v/>
      </c>
    </row>
    <row r="30" spans="2:4">
      <c r="C30" s="466"/>
      <c r="D30" s="85" t="str">
        <f t="shared" si="1"/>
        <v/>
      </c>
    </row>
    <row r="31" spans="2:4">
      <c r="C31" s="467"/>
      <c r="D31" s="85" t="str">
        <f t="shared" si="1"/>
        <v/>
      </c>
    </row>
    <row r="36" spans="2:3">
      <c r="B36" s="464" t="s">
        <v>438</v>
      </c>
      <c r="C36" s="477" t="s">
        <v>439</v>
      </c>
    </row>
    <row r="39" spans="2:3">
      <c r="B39" s="464" t="s">
        <v>539</v>
      </c>
      <c r="C39" s="609" t="s">
        <v>707</v>
      </c>
    </row>
    <row r="41" spans="2:3">
      <c r="B41" s="464" t="s">
        <v>540</v>
      </c>
      <c r="C41" s="609" t="s">
        <v>706</v>
      </c>
    </row>
    <row r="43" spans="2:3">
      <c r="B43" s="464" t="s">
        <v>542</v>
      </c>
      <c r="C43" s="609" t="s">
        <v>705</v>
      </c>
    </row>
    <row r="45" spans="2:3">
      <c r="B45" s="464" t="s">
        <v>544</v>
      </c>
      <c r="C45" s="616">
        <v>43921</v>
      </c>
    </row>
    <row r="47" spans="2:3">
      <c r="B47" s="464" t="s">
        <v>619</v>
      </c>
      <c r="C47" s="687">
        <v>2020.1</v>
      </c>
    </row>
    <row r="51" spans="5:5">
      <c r="E51" s="50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09375" defaultRowHeight="13.2"/>
  <cols>
    <col min="1" max="16384" width="9.109375" style="158"/>
  </cols>
  <sheetData>
    <row r="1" spans="1:4" ht="15.6">
      <c r="A1" s="881" t="s">
        <v>408</v>
      </c>
      <c r="B1" s="882"/>
      <c r="C1" s="881"/>
      <c r="D1" s="882"/>
    </row>
  </sheetData>
  <mergeCells count="2">
    <mergeCell ref="A1:B1"/>
    <mergeCell ref="C1:D1"/>
  </mergeCells>
  <hyperlinks>
    <hyperlink ref="A1" location="Index!A1" display="Return to Index" xr:uid="{00000000-0004-0000-1900-000000000000}"/>
    <hyperlink ref="A1:B1" location="Contents!A1" display="Go to Contents" xr:uid="{00000000-0004-0000-19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09375" defaultRowHeight="13.8" outlineLevelRow="1"/>
  <cols>
    <col min="1" max="1" width="3.33203125" style="11" customWidth="1"/>
    <col min="2" max="2" width="7.5546875" style="11" customWidth="1"/>
    <col min="3" max="3" width="29.33203125" style="11" customWidth="1"/>
    <col min="4" max="4" width="18" style="16" customWidth="1"/>
    <col min="5" max="16384" width="9.109375" style="11"/>
  </cols>
  <sheetData>
    <row r="1" spans="1:4">
      <c r="A1" s="852" t="s">
        <v>408</v>
      </c>
      <c r="B1" s="855"/>
      <c r="C1" s="856"/>
    </row>
    <row r="2" spans="1:4" ht="18">
      <c r="B2" s="159" t="s">
        <v>94</v>
      </c>
    </row>
    <row r="3" spans="1:4">
      <c r="B3" s="160"/>
      <c r="C3" s="197" t="str">
        <f>Settings_Ending_Periods</f>
        <v>Periods ending 3/31/2020</v>
      </c>
    </row>
    <row r="4" spans="1:4">
      <c r="B4" s="51"/>
    </row>
    <row r="6" spans="1:4" ht="15.6" outlineLevel="1">
      <c r="C6" s="854" t="s">
        <v>450</v>
      </c>
      <c r="D6" s="854"/>
    </row>
    <row r="7" spans="1:4" outlineLevel="1">
      <c r="C7" s="623" t="s">
        <v>65</v>
      </c>
      <c r="D7" s="624" t="s">
        <v>6</v>
      </c>
    </row>
    <row r="8" spans="1:4" outlineLevel="1">
      <c r="C8" s="625" t="s">
        <v>2</v>
      </c>
      <c r="D8" s="681">
        <v>-13.59</v>
      </c>
    </row>
    <row r="9" spans="1:4" outlineLevel="1">
      <c r="C9" s="101" t="s">
        <v>204</v>
      </c>
      <c r="D9" s="682">
        <v>-22.73</v>
      </c>
    </row>
    <row r="10" spans="1:4" outlineLevel="1">
      <c r="C10" s="101" t="s">
        <v>7</v>
      </c>
      <c r="D10" s="682">
        <v>-19.600000000000001</v>
      </c>
    </row>
    <row r="11" spans="1:4" outlineLevel="1">
      <c r="C11" s="520" t="s">
        <v>58</v>
      </c>
      <c r="D11" s="683">
        <v>-14.18</v>
      </c>
    </row>
    <row r="12" spans="1:4" outlineLevel="1"/>
    <row r="13" spans="1:4" outlineLevel="1"/>
    <row r="15" spans="1:4" ht="15.6">
      <c r="C15" s="854" t="s">
        <v>377</v>
      </c>
      <c r="D15" s="854"/>
    </row>
    <row r="16" spans="1:4">
      <c r="C16" s="623" t="s">
        <v>65</v>
      </c>
      <c r="D16" s="624" t="s">
        <v>6</v>
      </c>
    </row>
    <row r="17" spans="3:4">
      <c r="C17" s="625" t="s">
        <v>2</v>
      </c>
      <c r="D17" s="681">
        <v>-2.1800000000000002</v>
      </c>
    </row>
    <row r="18" spans="3:4">
      <c r="C18" s="101" t="s">
        <v>204</v>
      </c>
      <c r="D18" s="682">
        <v>-13.38</v>
      </c>
    </row>
    <row r="19" spans="3:4">
      <c r="C19" s="101" t="s">
        <v>7</v>
      </c>
      <c r="D19" s="682">
        <v>-6.98</v>
      </c>
    </row>
    <row r="20" spans="3:4">
      <c r="C20" s="520" t="s">
        <v>58</v>
      </c>
      <c r="D20" s="683">
        <v>-0.38</v>
      </c>
    </row>
    <row r="23" spans="3:4">
      <c r="C23" s="15" t="s">
        <v>106</v>
      </c>
    </row>
    <row r="24" spans="3:4">
      <c r="C24" s="15" t="s">
        <v>658</v>
      </c>
    </row>
  </sheetData>
  <mergeCells count="3">
    <mergeCell ref="C6:D6"/>
    <mergeCell ref="C15:D15"/>
    <mergeCell ref="A1:C1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09375" defaultRowHeight="13.2" outlineLevelRow="1"/>
  <cols>
    <col min="1" max="2" width="3.33203125" style="1" customWidth="1"/>
    <col min="3" max="3" width="24.6640625" style="1" customWidth="1"/>
    <col min="4" max="4" width="16.6640625" style="1" customWidth="1"/>
    <col min="5" max="5" width="13.33203125" style="1" customWidth="1"/>
    <col min="6" max="6" width="9.109375" style="1" customWidth="1"/>
    <col min="7" max="16384" width="9.109375" style="1"/>
  </cols>
  <sheetData>
    <row r="1" spans="1:6">
      <c r="A1" s="852" t="s">
        <v>408</v>
      </c>
      <c r="B1" s="855"/>
      <c r="C1" s="856"/>
    </row>
    <row r="2" spans="1:6" ht="18">
      <c r="B2" s="161" t="s">
        <v>95</v>
      </c>
      <c r="C2" s="11"/>
      <c r="D2" s="11"/>
      <c r="E2" s="11"/>
      <c r="F2" s="11"/>
    </row>
    <row r="3" spans="1:6" ht="13.8">
      <c r="C3" s="197" t="str">
        <f>Settings_Ending_Period</f>
        <v>Period ending 3/31/2020</v>
      </c>
      <c r="D3" s="11"/>
      <c r="E3" s="11"/>
      <c r="F3" s="11"/>
    </row>
    <row r="4" spans="1:6" ht="13.8">
      <c r="C4" s="11"/>
      <c r="D4" s="11"/>
      <c r="E4" s="11"/>
      <c r="F4" s="11"/>
    </row>
    <row r="5" spans="1:6" ht="15.6">
      <c r="C5" s="854" t="s">
        <v>450</v>
      </c>
      <c r="D5" s="854"/>
      <c r="E5" s="52"/>
      <c r="F5" s="52"/>
    </row>
    <row r="6" spans="1:6" ht="13.8">
      <c r="C6" s="623" t="s">
        <v>1</v>
      </c>
      <c r="D6" s="624" t="s">
        <v>6</v>
      </c>
      <c r="E6" s="12"/>
      <c r="F6" s="12"/>
    </row>
    <row r="7" spans="1:6" ht="13.8">
      <c r="C7" s="625" t="s">
        <v>2</v>
      </c>
      <c r="D7" s="836">
        <f ca="1">D31</f>
        <v>-15.76426708255948</v>
      </c>
      <c r="E7" s="20"/>
      <c r="F7" s="20"/>
    </row>
    <row r="8" spans="1:6" ht="13.8">
      <c r="C8" s="101" t="s">
        <v>3</v>
      </c>
      <c r="D8" s="837">
        <f ca="1">D32</f>
        <v>-15.024348928007255</v>
      </c>
      <c r="E8" s="20"/>
      <c r="F8" s="20"/>
    </row>
    <row r="9" spans="1:6" ht="13.8">
      <c r="C9" s="520" t="s">
        <v>5</v>
      </c>
      <c r="D9" s="838">
        <f ca="1">D33</f>
        <v>-18.312874059350492</v>
      </c>
      <c r="E9" s="20"/>
      <c r="F9" s="20"/>
    </row>
    <row r="10" spans="1:6" ht="13.8">
      <c r="C10" s="14"/>
      <c r="D10" s="21"/>
      <c r="E10" s="21"/>
      <c r="F10" s="52"/>
    </row>
    <row r="11" spans="1:6" ht="13.8">
      <c r="C11" s="14"/>
      <c r="D11" s="21"/>
      <c r="E11" s="21"/>
      <c r="F11" s="52"/>
    </row>
    <row r="12" spans="1:6" ht="13.8">
      <c r="C12" s="22" t="s">
        <v>665</v>
      </c>
      <c r="D12" s="21"/>
      <c r="E12" s="21"/>
      <c r="F12" s="52"/>
    </row>
    <row r="13" spans="1:6" ht="13.8">
      <c r="C13" s="22" t="s">
        <v>666</v>
      </c>
      <c r="D13" s="21"/>
      <c r="E13" s="21"/>
      <c r="F13" s="52"/>
    </row>
    <row r="14" spans="1:6" ht="13.8">
      <c r="C14" s="11"/>
      <c r="D14" s="11"/>
      <c r="E14" s="11"/>
      <c r="F14" s="11"/>
    </row>
    <row r="15" spans="1:6" ht="13.8">
      <c r="C15" s="22" t="s">
        <v>444</v>
      </c>
      <c r="D15" s="11"/>
      <c r="E15" s="11"/>
      <c r="F15" s="11"/>
    </row>
    <row r="16" spans="1:6" ht="13.8">
      <c r="C16" s="15" t="s">
        <v>659</v>
      </c>
      <c r="D16" s="11"/>
      <c r="E16" s="11"/>
      <c r="F16" s="11"/>
    </row>
    <row r="17" spans="3:6" ht="13.8">
      <c r="C17" s="15"/>
      <c r="D17" s="11"/>
      <c r="E17" s="11"/>
      <c r="F17" s="11"/>
    </row>
    <row r="18" spans="3:6" ht="13.8">
      <c r="C18" s="15"/>
      <c r="D18" s="11"/>
      <c r="E18" s="11"/>
      <c r="F18" s="11"/>
    </row>
    <row r="19" spans="3:6" ht="13.8">
      <c r="C19" s="15"/>
      <c r="D19" s="11"/>
      <c r="E19" s="11"/>
      <c r="F19" s="11"/>
    </row>
    <row r="20" spans="3:6" ht="13.8">
      <c r="C20" s="15"/>
      <c r="D20" s="11"/>
      <c r="E20" s="11"/>
      <c r="F20" s="11"/>
    </row>
    <row r="21" spans="3:6" ht="13.8">
      <c r="C21" s="15"/>
      <c r="D21" s="11"/>
      <c r="E21" s="11"/>
      <c r="F21" s="11"/>
    </row>
    <row r="22" spans="3:6" ht="14.4" thickBot="1">
      <c r="C22" s="15"/>
      <c r="D22" s="11"/>
      <c r="E22" s="11"/>
      <c r="F22" s="11"/>
    </row>
    <row r="23" spans="3:6" s="23" customFormat="1" ht="13.8" collapsed="1">
      <c r="C23" s="44" t="s">
        <v>205</v>
      </c>
      <c r="D23" s="45"/>
      <c r="E23" s="45"/>
      <c r="F23" s="45"/>
    </row>
    <row r="24" spans="3:6" ht="13.8" hidden="1" outlineLevel="1">
      <c r="C24" s="16" t="s">
        <v>712</v>
      </c>
      <c r="D24" s="6"/>
      <c r="E24" s="6"/>
      <c r="F24" s="6"/>
    </row>
    <row r="25" spans="3:6" ht="13.8" hidden="1" outlineLevel="1">
      <c r="C25" s="197" t="str">
        <f>Settings_Ending_Period</f>
        <v>Period ending 3/31/2020</v>
      </c>
      <c r="D25" s="3"/>
      <c r="E25" s="3"/>
      <c r="F25" s="3"/>
    </row>
    <row r="26" spans="3:6" hidden="1" outlineLevel="1">
      <c r="C26" s="858"/>
      <c r="D26" s="858"/>
      <c r="E26" s="10"/>
      <c r="F26" s="77"/>
    </row>
    <row r="27" spans="3:6" hidden="1" outlineLevel="1">
      <c r="C27" s="2"/>
      <c r="D27" s="2"/>
      <c r="E27" s="2"/>
      <c r="F27" s="2"/>
    </row>
    <row r="28" spans="3:6" ht="15.6" hidden="1" outlineLevel="1">
      <c r="C28" s="857" t="s">
        <v>0</v>
      </c>
      <c r="D28" s="857"/>
      <c r="E28" s="667"/>
      <c r="F28" s="667"/>
    </row>
    <row r="29" spans="3:6" ht="13.8" hidden="1" outlineLevel="1">
      <c r="C29" s="668" t="str">
        <f>C3</f>
        <v>Period ending 3/31/2020</v>
      </c>
      <c r="D29" s="668"/>
      <c r="E29" s="669" t="s">
        <v>317</v>
      </c>
      <c r="F29" s="670" t="s">
        <v>318</v>
      </c>
    </row>
    <row r="30" spans="3:6" ht="13.8" hidden="1" outlineLevel="1">
      <c r="C30" s="671" t="s">
        <v>1</v>
      </c>
      <c r="D30" s="671" t="s">
        <v>6</v>
      </c>
      <c r="E30" s="671" t="s">
        <v>462</v>
      </c>
      <c r="F30" s="672" t="s">
        <v>319</v>
      </c>
    </row>
    <row r="31" spans="3:6" ht="13.8" hidden="1" outlineLevel="1">
      <c r="C31" s="673" t="s">
        <v>2</v>
      </c>
      <c r="D31" s="674">
        <f ca="1">Category_calc!AC70</f>
        <v>-15.76426708255948</v>
      </c>
      <c r="E31" s="675">
        <f ca="1">Category_calc!AH70</f>
        <v>-12.620973282078024</v>
      </c>
      <c r="F31" s="676"/>
    </row>
    <row r="32" spans="3:6" ht="13.8" hidden="1" outlineLevel="1">
      <c r="C32" s="106" t="s">
        <v>3</v>
      </c>
      <c r="D32" s="524">
        <f ca="1">Category_calc!AD70</f>
        <v>-15.024348928007255</v>
      </c>
      <c r="E32" s="523">
        <f ca="1">Category_calc!AI70</f>
        <v>-13.209215146064681</v>
      </c>
      <c r="F32" s="521">
        <f ca="1">Category_calc!$Y$69 / Category_calc!$X$69</f>
        <v>0.67804914571792219</v>
      </c>
    </row>
    <row r="33" spans="3:6" ht="13.8" hidden="1" outlineLevel="1">
      <c r="C33" s="108" t="s">
        <v>5</v>
      </c>
      <c r="D33" s="793">
        <f ca="1">Category_calc!AE70</f>
        <v>-18.312874059350492</v>
      </c>
      <c r="E33" s="526">
        <f ca="1">Category_calc!AJ70</f>
        <v>-11.382098192769494</v>
      </c>
      <c r="F33" s="527">
        <f ca="1">Category_calc!$Z$69 / Category_calc!$X$69</f>
        <v>0.32195085428207765</v>
      </c>
    </row>
    <row r="34" spans="3:6" hidden="1" outlineLevel="1"/>
    <row r="35" spans="3:6" ht="13.8" hidden="1" outlineLevel="1">
      <c r="C35" s="567" t="s">
        <v>463</v>
      </c>
    </row>
    <row r="36" spans="3:6" ht="13.8" hidden="1" outlineLevel="1">
      <c r="C36" s="568" t="s">
        <v>464</v>
      </c>
    </row>
  </sheetData>
  <mergeCells count="4">
    <mergeCell ref="C28:D28"/>
    <mergeCell ref="C26:D26"/>
    <mergeCell ref="A1:C1"/>
    <mergeCell ref="C5:D5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09375" defaultRowHeight="13.8" outlineLevelCol="1"/>
  <cols>
    <col min="1" max="1" width="3.5546875" style="18" customWidth="1"/>
    <col min="2" max="2" width="5.5546875" style="18" customWidth="1"/>
    <col min="3" max="3" width="37.33203125" style="18" customWidth="1"/>
    <col min="4" max="9" width="9.6640625" style="18" customWidth="1"/>
    <col min="10" max="10" width="4.88671875" style="18" customWidth="1" collapsed="1"/>
    <col min="11" max="11" width="13" style="215" hidden="1" customWidth="1" outlineLevel="1"/>
    <col min="12" max="12" width="9.109375" style="18" collapsed="1"/>
    <col min="13" max="16384" width="9.109375" style="18"/>
  </cols>
  <sheetData>
    <row r="1" spans="1:3">
      <c r="A1" s="852" t="s">
        <v>408</v>
      </c>
      <c r="B1" s="855"/>
      <c r="C1" s="856"/>
    </row>
    <row r="2" spans="1:3" ht="18">
      <c r="B2" s="161" t="s">
        <v>101</v>
      </c>
    </row>
    <row r="3" spans="1:3">
      <c r="C3" s="198" t="s">
        <v>713</v>
      </c>
    </row>
    <row r="19" spans="2:11">
      <c r="B19" s="11"/>
      <c r="C19" s="16"/>
      <c r="D19" s="16"/>
      <c r="E19" s="16"/>
      <c r="F19" s="16"/>
      <c r="G19" s="16"/>
      <c r="H19" s="16"/>
      <c r="I19" s="11"/>
      <c r="J19" s="11"/>
      <c r="K19" s="216"/>
    </row>
    <row r="20" spans="2:11">
      <c r="C20" s="193"/>
      <c r="D20" s="194">
        <v>2015</v>
      </c>
      <c r="E20" s="194">
        <v>2016</v>
      </c>
      <c r="F20" s="194">
        <v>2017</v>
      </c>
      <c r="G20" s="194">
        <v>2018</v>
      </c>
      <c r="H20" s="194">
        <v>2019</v>
      </c>
      <c r="I20" s="618" t="s">
        <v>714</v>
      </c>
      <c r="J20" s="16"/>
      <c r="K20" s="288" t="s">
        <v>405</v>
      </c>
    </row>
    <row r="21" spans="2:11">
      <c r="C21" s="515" t="s">
        <v>59</v>
      </c>
      <c r="D21" s="516"/>
      <c r="E21" s="638">
        <v>17.440000000000001</v>
      </c>
      <c r="F21" s="638">
        <v>11.72</v>
      </c>
      <c r="G21" s="638">
        <v>3.67</v>
      </c>
      <c r="H21" s="638">
        <v>25.79</v>
      </c>
      <c r="I21" s="517">
        <f>'I. Index'!$D$8</f>
        <v>-13.59</v>
      </c>
      <c r="J21" s="25"/>
      <c r="K21" s="289"/>
    </row>
    <row r="22" spans="2:11">
      <c r="C22" s="510" t="s">
        <v>60</v>
      </c>
      <c r="D22" s="639">
        <v>100</v>
      </c>
      <c r="E22" s="511">
        <f xml:space="preserve"> D22 * ( 1 + ( E21 / 100 ) )</f>
        <v>117.43999999999998</v>
      </c>
      <c r="F22" s="511">
        <f t="shared" ref="F22" si="0" xml:space="preserve"> E22 * ( 1 + ( F21 / 100 ) )</f>
        <v>131.20396799999997</v>
      </c>
      <c r="G22" s="511">
        <f t="shared" ref="G22:H22" si="1" xml:space="preserve"> F22 * ( 1 + ( G21 / 100 ) )</f>
        <v>136.01915362559996</v>
      </c>
      <c r="H22" s="511">
        <f t="shared" ref="H22" si="2" xml:space="preserve"> G22 * ( 1 + ( H21 / 100 ) )</f>
        <v>171.0984933456422</v>
      </c>
      <c r="I22" s="511">
        <f t="shared" ref="I22" si="3" xml:space="preserve"> H22 * ( 1 + ( I21 / 100 ) )</f>
        <v>147.84620809996943</v>
      </c>
      <c r="J22" s="25"/>
      <c r="K22" s="290" t="s">
        <v>2</v>
      </c>
    </row>
    <row r="23" spans="2:11">
      <c r="C23" s="512" t="s">
        <v>61</v>
      </c>
      <c r="D23" s="513"/>
      <c r="E23" s="641">
        <v>11.96</v>
      </c>
      <c r="F23" s="641">
        <v>21.83</v>
      </c>
      <c r="G23" s="641">
        <v>-4.38</v>
      </c>
      <c r="H23" s="641">
        <v>31.49</v>
      </c>
      <c r="I23" s="514">
        <f>'I. Index'!$D$10</f>
        <v>-19.600000000000001</v>
      </c>
      <c r="J23" s="25"/>
      <c r="K23" s="290"/>
    </row>
    <row r="24" spans="2:11">
      <c r="C24" s="510" t="s">
        <v>62</v>
      </c>
      <c r="D24" s="639">
        <v>100</v>
      </c>
      <c r="E24" s="511">
        <f t="shared" ref="E24" si="4" xml:space="preserve"> D24 * ( 1 + ( E23 / 100 ) )</f>
        <v>111.96</v>
      </c>
      <c r="F24" s="511">
        <f xml:space="preserve"> E24 * ( 1 + ( F23 / 100 ) )</f>
        <v>136.40086799999997</v>
      </c>
      <c r="G24" s="511">
        <f xml:space="preserve"> F24 * ( 1 + ( G23 / 100 ) )</f>
        <v>130.42650998159999</v>
      </c>
      <c r="H24" s="511">
        <f t="shared" ref="H24" si="5" xml:space="preserve"> G24 * ( 1 + ( H23 / 100 ) )</f>
        <v>171.49781797480583</v>
      </c>
      <c r="I24" s="511">
        <f xml:space="preserve"> H24 * ( 1 + ( I23 / 100 ) )</f>
        <v>137.8842456517439</v>
      </c>
      <c r="J24" s="25"/>
      <c r="K24" s="290" t="s">
        <v>385</v>
      </c>
    </row>
    <row r="25" spans="2:11">
      <c r="C25" s="512" t="s">
        <v>63</v>
      </c>
      <c r="D25" s="513"/>
      <c r="E25" s="641">
        <v>16.5</v>
      </c>
      <c r="F25" s="641">
        <v>28.11</v>
      </c>
      <c r="G25" s="641">
        <v>-3.48</v>
      </c>
      <c r="H25" s="641">
        <v>25.34</v>
      </c>
      <c r="I25" s="514">
        <f>'I. Index'!$D$9</f>
        <v>-22.73</v>
      </c>
      <c r="J25" s="25"/>
      <c r="K25" s="290"/>
    </row>
    <row r="26" spans="2:11">
      <c r="C26" s="518" t="s">
        <v>64</v>
      </c>
      <c r="D26" s="640">
        <v>100</v>
      </c>
      <c r="E26" s="519">
        <f t="shared" ref="E26" si="6" xml:space="preserve"> D26 * ( 1 + ( E25 / 100 ) )</f>
        <v>116.5</v>
      </c>
      <c r="F26" s="519">
        <f t="shared" ref="F26" si="7" xml:space="preserve"> E26 * ( 1 + ( F25 / 100 ) )</f>
        <v>149.24814999999998</v>
      </c>
      <c r="G26" s="511">
        <f t="shared" ref="G26" si="8" xml:space="preserve"> F26 * ( 1 + ( G25 / 100 ) )</f>
        <v>144.05431437999999</v>
      </c>
      <c r="H26" s="511">
        <f t="shared" ref="H26" si="9" xml:space="preserve"> G26 * ( 1 + ( H25 / 100 ) )</f>
        <v>180.55767764389199</v>
      </c>
      <c r="I26" s="511">
        <f t="shared" ref="I26" si="10" xml:space="preserve"> H26 * ( 1 + ( I25 / 100 ) )</f>
        <v>139.51691751543532</v>
      </c>
      <c r="J26" s="25"/>
      <c r="K26" s="290" t="s">
        <v>386</v>
      </c>
    </row>
    <row r="27" spans="2:11">
      <c r="B27" s="11"/>
      <c r="C27" s="25"/>
      <c r="D27" s="25"/>
      <c r="E27" s="25"/>
      <c r="F27" s="25"/>
      <c r="G27" s="25"/>
      <c r="H27" s="25"/>
      <c r="I27" s="25"/>
      <c r="J27" s="25"/>
      <c r="K27" s="217"/>
    </row>
    <row r="28" spans="2:11">
      <c r="B28" s="11"/>
      <c r="C28" s="25"/>
      <c r="D28" s="25"/>
      <c r="E28" s="25"/>
      <c r="F28" s="25"/>
      <c r="G28" s="25"/>
      <c r="H28" s="25"/>
      <c r="I28" s="25"/>
      <c r="J28" s="25"/>
      <c r="K28" s="217"/>
    </row>
    <row r="29" spans="2:11">
      <c r="B29" s="11"/>
      <c r="C29" s="25"/>
      <c r="D29" s="25"/>
      <c r="E29" s="25"/>
      <c r="F29" s="25"/>
      <c r="G29" s="25"/>
      <c r="H29" s="25"/>
      <c r="I29" s="25"/>
      <c r="J29" s="25"/>
      <c r="K29" s="217"/>
    </row>
    <row r="30" spans="2:11">
      <c r="C30" s="15" t="s">
        <v>658</v>
      </c>
    </row>
  </sheetData>
  <mergeCells count="1">
    <mergeCell ref="A1:C1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25" right="0.25" top="0.36" bottom="0.38" header="0.2" footer="0.21"/>
  <pageSetup scale="90" orientation="portrait" r:id="rId1"/>
  <headerFooter alignWithMargins="0"/>
  <ignoredErrors>
    <ignoredError sqref="I23 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 summaryRight="0"/>
  </sheetPr>
  <dimension ref="A1:F832"/>
  <sheetViews>
    <sheetView showGridLines="0" zoomScaleNormal="100" workbookViewId="0">
      <selection sqref="A1:B1"/>
    </sheetView>
  </sheetViews>
  <sheetFormatPr defaultColWidth="9.109375" defaultRowHeight="12.6" outlineLevelRow="1"/>
  <cols>
    <col min="1" max="1" width="3.5546875" style="7" customWidth="1"/>
    <col min="2" max="2" width="10.44140625" style="7" bestFit="1" customWidth="1"/>
    <col min="3" max="3" width="9.33203125" style="7" bestFit="1" customWidth="1"/>
    <col min="4" max="4" width="12.109375" style="7" customWidth="1"/>
    <col min="5" max="16384" width="9.109375" style="7"/>
  </cols>
  <sheetData>
    <row r="1" spans="1:3" ht="13.2">
      <c r="A1" s="852" t="s">
        <v>408</v>
      </c>
      <c r="B1" s="855"/>
    </row>
    <row r="2" spans="1:3" ht="18">
      <c r="B2" s="161" t="s">
        <v>96</v>
      </c>
      <c r="C2" s="47"/>
    </row>
    <row r="4" spans="1:3" ht="13.8">
      <c r="C4" s="18"/>
    </row>
    <row r="5" spans="1:3" ht="13.8">
      <c r="C5" s="18"/>
    </row>
    <row r="6" spans="1:3" ht="13.8">
      <c r="C6" s="18"/>
    </row>
    <row r="7" spans="1:3" ht="13.8">
      <c r="C7" s="18"/>
    </row>
    <row r="8" spans="1:3" ht="13.8">
      <c r="C8" s="18"/>
    </row>
    <row r="9" spans="1:3" ht="13.8">
      <c r="C9" s="18"/>
    </row>
    <row r="10" spans="1:3" ht="13.8">
      <c r="C10" s="18"/>
    </row>
    <row r="11" spans="1:3" ht="13.8">
      <c r="C11" s="18"/>
    </row>
    <row r="12" spans="1:3" ht="13.8">
      <c r="C12" s="18"/>
    </row>
    <row r="13" spans="1:3" ht="13.8">
      <c r="C13" s="18"/>
    </row>
    <row r="14" spans="1:3" ht="13.8">
      <c r="C14" s="18"/>
    </row>
    <row r="15" spans="1:3" ht="13.8">
      <c r="C15" s="18"/>
    </row>
    <row r="16" spans="1:3" ht="13.8">
      <c r="C16" s="18"/>
    </row>
    <row r="17" spans="2:6" ht="13.8">
      <c r="C17" s="18"/>
    </row>
    <row r="18" spans="2:6" ht="13.8">
      <c r="C18" s="18"/>
    </row>
    <row r="19" spans="2:6" ht="13.8">
      <c r="C19" s="18"/>
    </row>
    <row r="20" spans="2:6" ht="13.8">
      <c r="C20" s="18"/>
    </row>
    <row r="21" spans="2:6" ht="13.8">
      <c r="C21" s="18"/>
    </row>
    <row r="22" spans="2:6" ht="13.8">
      <c r="C22" s="18" t="s">
        <v>176</v>
      </c>
    </row>
    <row r="23" spans="2:6" ht="13.8">
      <c r="C23" s="98" t="s">
        <v>211</v>
      </c>
    </row>
    <row r="24" spans="2:6" ht="13.8">
      <c r="C24" s="18"/>
    </row>
    <row r="25" spans="2:6" ht="13.8">
      <c r="C25" s="18"/>
    </row>
    <row r="28" spans="2:6" collapsed="1">
      <c r="B28" s="195" t="s">
        <v>341</v>
      </c>
      <c r="C28" s="196" t="s">
        <v>342</v>
      </c>
      <c r="D28" s="196" t="s">
        <v>343</v>
      </c>
    </row>
    <row r="29" spans="2:6" ht="13.8" hidden="1" outlineLevel="1">
      <c r="B29" s="200">
        <v>19450</v>
      </c>
      <c r="C29" s="188">
        <v>2.83</v>
      </c>
      <c r="D29" s="104">
        <f t="shared" ref="D29:D91" si="0">C29/100</f>
        <v>2.8300000000000002E-2</v>
      </c>
      <c r="E29" s="18"/>
      <c r="F29" s="99"/>
    </row>
    <row r="30" spans="2:6" ht="13.8" hidden="1" outlineLevel="1">
      <c r="B30" s="200">
        <v>19480</v>
      </c>
      <c r="C30" s="188">
        <v>3.05</v>
      </c>
      <c r="D30" s="104">
        <f t="shared" si="0"/>
        <v>3.0499999999999999E-2</v>
      </c>
      <c r="E30" s="18"/>
      <c r="F30" s="99"/>
    </row>
    <row r="31" spans="2:6" ht="13.8" hidden="1" outlineLevel="1">
      <c r="B31" s="200">
        <v>19511</v>
      </c>
      <c r="C31" s="188">
        <v>3.11</v>
      </c>
      <c r="D31" s="104">
        <f t="shared" si="0"/>
        <v>3.1099999999999999E-2</v>
      </c>
      <c r="E31" s="18"/>
      <c r="F31" s="99"/>
    </row>
    <row r="32" spans="2:6" ht="13.8" hidden="1" outlineLevel="1">
      <c r="B32" s="200">
        <v>19541</v>
      </c>
      <c r="C32" s="188">
        <v>2.93</v>
      </c>
      <c r="D32" s="104">
        <f t="shared" si="0"/>
        <v>2.9300000000000003E-2</v>
      </c>
      <c r="E32" s="18"/>
      <c r="F32" s="99"/>
    </row>
    <row r="33" spans="2:6" ht="13.8" hidden="1" outlineLevel="1">
      <c r="B33" s="200">
        <v>19572</v>
      </c>
      <c r="C33" s="188">
        <v>2.95</v>
      </c>
      <c r="D33" s="104">
        <f t="shared" si="0"/>
        <v>2.9500000000000002E-2</v>
      </c>
      <c r="E33" s="18"/>
      <c r="F33" s="99"/>
    </row>
    <row r="34" spans="2:6" ht="13.8" hidden="1" outlineLevel="1">
      <c r="B34" s="200">
        <v>19603</v>
      </c>
      <c r="C34" s="188">
        <v>2.87</v>
      </c>
      <c r="D34" s="104">
        <f t="shared" si="0"/>
        <v>2.87E-2</v>
      </c>
      <c r="E34" s="18"/>
      <c r="F34" s="99"/>
    </row>
    <row r="35" spans="2:6" ht="13.8" hidden="1" outlineLevel="1">
      <c r="B35" s="200">
        <v>19633</v>
      </c>
      <c r="C35" s="188">
        <v>2.66</v>
      </c>
      <c r="D35" s="104">
        <f t="shared" si="0"/>
        <v>2.6600000000000002E-2</v>
      </c>
      <c r="E35" s="18"/>
      <c r="F35" s="99"/>
    </row>
    <row r="36" spans="2:6" ht="13.8" hidden="1" outlineLevel="1">
      <c r="B36" s="200">
        <v>19664</v>
      </c>
      <c r="C36" s="188">
        <v>2.68</v>
      </c>
      <c r="D36" s="104">
        <f t="shared" si="0"/>
        <v>2.6800000000000001E-2</v>
      </c>
      <c r="E36" s="18"/>
      <c r="F36" s="99"/>
    </row>
    <row r="37" spans="2:6" ht="13.8" hidden="1" outlineLevel="1">
      <c r="B37" s="200">
        <v>19694</v>
      </c>
      <c r="C37" s="188">
        <v>2.59</v>
      </c>
      <c r="D37" s="104">
        <f t="shared" si="0"/>
        <v>2.5899999999999999E-2</v>
      </c>
      <c r="E37" s="18"/>
      <c r="F37" s="99"/>
    </row>
    <row r="38" spans="2:6" ht="13.8" hidden="1" outlineLevel="1">
      <c r="B38" s="200">
        <v>19725</v>
      </c>
      <c r="C38" s="188">
        <v>2.48</v>
      </c>
      <c r="D38" s="104">
        <f t="shared" si="0"/>
        <v>2.4799999999999999E-2</v>
      </c>
      <c r="E38" s="18"/>
      <c r="F38" s="99"/>
    </row>
    <row r="39" spans="2:6" ht="13.8" hidden="1" outlineLevel="1">
      <c r="B39" s="200">
        <v>19756</v>
      </c>
      <c r="C39" s="188">
        <v>2.4700000000000002</v>
      </c>
      <c r="D39" s="104">
        <f t="shared" si="0"/>
        <v>2.4700000000000003E-2</v>
      </c>
      <c r="E39" s="18"/>
      <c r="F39" s="99"/>
    </row>
    <row r="40" spans="2:6" ht="13.8" hidden="1" outlineLevel="1">
      <c r="B40" s="200">
        <v>19784</v>
      </c>
      <c r="C40" s="188">
        <v>2.37</v>
      </c>
      <c r="D40" s="104">
        <f t="shared" si="0"/>
        <v>2.3700000000000002E-2</v>
      </c>
      <c r="E40" s="18"/>
      <c r="F40" s="99"/>
    </row>
    <row r="41" spans="2:6" ht="13.8" hidden="1" outlineLevel="1">
      <c r="B41" s="200">
        <v>19815</v>
      </c>
      <c r="C41" s="188">
        <v>2.29</v>
      </c>
      <c r="D41" s="104">
        <f t="shared" si="0"/>
        <v>2.29E-2</v>
      </c>
      <c r="E41" s="18"/>
      <c r="F41" s="99"/>
    </row>
    <row r="42" spans="2:6" ht="13.8" hidden="1" outlineLevel="1">
      <c r="B42" s="200">
        <v>19845</v>
      </c>
      <c r="C42" s="188">
        <v>2.37</v>
      </c>
      <c r="D42" s="104">
        <f t="shared" si="0"/>
        <v>2.3700000000000002E-2</v>
      </c>
      <c r="E42" s="18"/>
      <c r="F42" s="99"/>
    </row>
    <row r="43" spans="2:6" ht="13.8" hidden="1" outlineLevel="1">
      <c r="B43" s="200">
        <v>19876</v>
      </c>
      <c r="C43" s="188">
        <v>2.38</v>
      </c>
      <c r="D43" s="104">
        <f t="shared" si="0"/>
        <v>2.3799999999999998E-2</v>
      </c>
      <c r="E43" s="18"/>
      <c r="F43" s="99"/>
    </row>
    <row r="44" spans="2:6" ht="13.8" hidden="1" outlineLevel="1">
      <c r="B44" s="200">
        <v>19906</v>
      </c>
      <c r="C44" s="188">
        <v>2.2999999999999998</v>
      </c>
      <c r="D44" s="104">
        <f t="shared" si="0"/>
        <v>2.3E-2</v>
      </c>
      <c r="E44" s="18"/>
      <c r="F44" s="99"/>
    </row>
    <row r="45" spans="2:6" ht="13.8" hidden="1" outlineLevel="1">
      <c r="B45" s="200">
        <v>19937</v>
      </c>
      <c r="C45" s="188">
        <v>2.36</v>
      </c>
      <c r="D45" s="104">
        <f t="shared" si="0"/>
        <v>2.3599999999999999E-2</v>
      </c>
      <c r="E45" s="18"/>
      <c r="F45" s="99"/>
    </row>
    <row r="46" spans="2:6" ht="13.8" hidden="1" outlineLevel="1">
      <c r="B46" s="200">
        <v>19968</v>
      </c>
      <c r="C46" s="188">
        <v>2.38</v>
      </c>
      <c r="D46" s="104">
        <f t="shared" si="0"/>
        <v>2.3799999999999998E-2</v>
      </c>
      <c r="E46" s="18"/>
      <c r="F46" s="99"/>
    </row>
    <row r="47" spans="2:6" ht="13.8" hidden="1" outlineLevel="1">
      <c r="B47" s="200">
        <v>19998</v>
      </c>
      <c r="C47" s="188">
        <v>2.4300000000000002</v>
      </c>
      <c r="D47" s="104">
        <f t="shared" si="0"/>
        <v>2.4300000000000002E-2</v>
      </c>
      <c r="E47" s="18"/>
      <c r="F47" s="99"/>
    </row>
    <row r="48" spans="2:6" ht="13.8" hidden="1" outlineLevel="1">
      <c r="B48" s="200">
        <v>20029</v>
      </c>
      <c r="C48" s="188">
        <v>2.48</v>
      </c>
      <c r="D48" s="104">
        <f t="shared" si="0"/>
        <v>2.4799999999999999E-2</v>
      </c>
      <c r="E48" s="18"/>
      <c r="F48" s="99"/>
    </row>
    <row r="49" spans="2:6" ht="13.8" hidden="1" outlineLevel="1">
      <c r="B49" s="200">
        <v>20059</v>
      </c>
      <c r="C49" s="188">
        <v>2.5099999999999998</v>
      </c>
      <c r="D49" s="104">
        <f t="shared" si="0"/>
        <v>2.5099999999999997E-2</v>
      </c>
      <c r="E49" s="18"/>
      <c r="F49" s="99"/>
    </row>
    <row r="50" spans="2:6" ht="13.8" hidden="1" outlineLevel="1">
      <c r="B50" s="200">
        <v>20090</v>
      </c>
      <c r="C50" s="188">
        <v>2.61</v>
      </c>
      <c r="D50" s="104">
        <f t="shared" si="0"/>
        <v>2.6099999999999998E-2</v>
      </c>
      <c r="E50" s="18"/>
      <c r="F50" s="99"/>
    </row>
    <row r="51" spans="2:6" ht="13.8" hidden="1" outlineLevel="1">
      <c r="B51" s="200">
        <v>20121</v>
      </c>
      <c r="C51" s="188">
        <v>2.65</v>
      </c>
      <c r="D51" s="104">
        <f t="shared" si="0"/>
        <v>2.6499999999999999E-2</v>
      </c>
      <c r="E51" s="18"/>
      <c r="F51" s="99"/>
    </row>
    <row r="52" spans="2:6" ht="13.8" hidden="1" outlineLevel="1">
      <c r="B52" s="200">
        <v>20149</v>
      </c>
      <c r="C52" s="188">
        <v>2.68</v>
      </c>
      <c r="D52" s="104">
        <f t="shared" si="0"/>
        <v>2.6800000000000001E-2</v>
      </c>
      <c r="E52" s="18"/>
      <c r="F52" s="99"/>
    </row>
    <row r="53" spans="2:6" ht="13.8" hidden="1" outlineLevel="1">
      <c r="B53" s="200">
        <v>20180</v>
      </c>
      <c r="C53" s="188">
        <v>2.75</v>
      </c>
      <c r="D53" s="104">
        <f t="shared" si="0"/>
        <v>2.75E-2</v>
      </c>
      <c r="E53" s="18"/>
      <c r="F53" s="99"/>
    </row>
    <row r="54" spans="2:6" ht="13.8" hidden="1" outlineLevel="1">
      <c r="B54" s="200">
        <v>20210</v>
      </c>
      <c r="C54" s="188">
        <v>2.76</v>
      </c>
      <c r="D54" s="104">
        <f t="shared" si="0"/>
        <v>2.76E-2</v>
      </c>
      <c r="E54" s="18"/>
      <c r="F54" s="99"/>
    </row>
    <row r="55" spans="2:6" ht="13.8" hidden="1" outlineLevel="1">
      <c r="B55" s="200">
        <v>20241</v>
      </c>
      <c r="C55" s="188">
        <v>2.78</v>
      </c>
      <c r="D55" s="104">
        <f t="shared" si="0"/>
        <v>2.7799999999999998E-2</v>
      </c>
      <c r="E55" s="18"/>
      <c r="F55" s="99"/>
    </row>
    <row r="56" spans="2:6" ht="13.8" hidden="1" outlineLevel="1">
      <c r="B56" s="200">
        <v>20271</v>
      </c>
      <c r="C56" s="188">
        <v>2.9</v>
      </c>
      <c r="D56" s="104">
        <f t="shared" si="0"/>
        <v>2.8999999999999998E-2</v>
      </c>
      <c r="E56" s="18"/>
      <c r="F56" s="99"/>
    </row>
    <row r="57" spans="2:6" ht="13.8" hidden="1" outlineLevel="1">
      <c r="B57" s="200">
        <v>20302</v>
      </c>
      <c r="C57" s="188">
        <v>2.97</v>
      </c>
      <c r="D57" s="104">
        <f t="shared" si="0"/>
        <v>2.9700000000000001E-2</v>
      </c>
      <c r="E57" s="18"/>
      <c r="F57" s="99"/>
    </row>
    <row r="58" spans="2:6" ht="13.8" hidden="1" outlineLevel="1">
      <c r="B58" s="200">
        <v>20333</v>
      </c>
      <c r="C58" s="188">
        <v>2.97</v>
      </c>
      <c r="D58" s="104">
        <f t="shared" si="0"/>
        <v>2.9700000000000001E-2</v>
      </c>
      <c r="E58" s="18"/>
      <c r="F58" s="99"/>
    </row>
    <row r="59" spans="2:6" ht="13.8" hidden="1" outlineLevel="1">
      <c r="B59" s="200">
        <v>20363</v>
      </c>
      <c r="C59" s="188">
        <v>2.88</v>
      </c>
      <c r="D59" s="104">
        <f t="shared" si="0"/>
        <v>2.8799999999999999E-2</v>
      </c>
      <c r="E59" s="18"/>
      <c r="F59" s="99"/>
    </row>
    <row r="60" spans="2:6" ht="13.8" hidden="1" outlineLevel="1">
      <c r="B60" s="200">
        <v>20394</v>
      </c>
      <c r="C60" s="188">
        <v>2.89</v>
      </c>
      <c r="D60" s="104">
        <f t="shared" si="0"/>
        <v>2.8900000000000002E-2</v>
      </c>
      <c r="E60" s="18"/>
      <c r="F60" s="99"/>
    </row>
    <row r="61" spans="2:6" ht="13.8" hidden="1" outlineLevel="1">
      <c r="B61" s="200">
        <v>20424</v>
      </c>
      <c r="C61" s="188">
        <v>2.96</v>
      </c>
      <c r="D61" s="104">
        <f t="shared" si="0"/>
        <v>2.9600000000000001E-2</v>
      </c>
      <c r="E61" s="18"/>
      <c r="F61" s="99"/>
    </row>
    <row r="62" spans="2:6" ht="13.8" hidden="1" outlineLevel="1">
      <c r="B62" s="200">
        <v>20455</v>
      </c>
      <c r="C62" s="188">
        <v>2.9</v>
      </c>
      <c r="D62" s="104">
        <f t="shared" si="0"/>
        <v>2.8999999999999998E-2</v>
      </c>
      <c r="E62" s="18"/>
      <c r="F62" s="99"/>
    </row>
    <row r="63" spans="2:6" ht="13.8" hidden="1" outlineLevel="1">
      <c r="B63" s="200">
        <v>20486</v>
      </c>
      <c r="C63" s="188">
        <v>2.84</v>
      </c>
      <c r="D63" s="104">
        <f t="shared" si="0"/>
        <v>2.8399999999999998E-2</v>
      </c>
      <c r="E63" s="18"/>
      <c r="F63" s="99"/>
    </row>
    <row r="64" spans="2:6" ht="13.8" hidden="1" outlineLevel="1">
      <c r="B64" s="200">
        <v>20515</v>
      </c>
      <c r="C64" s="188">
        <v>2.96</v>
      </c>
      <c r="D64" s="104">
        <f t="shared" si="0"/>
        <v>2.9600000000000001E-2</v>
      </c>
      <c r="E64" s="18"/>
      <c r="F64" s="99"/>
    </row>
    <row r="65" spans="2:6" ht="13.8" hidden="1" outlineLevel="1">
      <c r="B65" s="200">
        <v>20546</v>
      </c>
      <c r="C65" s="188">
        <v>3.18</v>
      </c>
      <c r="D65" s="104">
        <f t="shared" si="0"/>
        <v>3.1800000000000002E-2</v>
      </c>
      <c r="E65" s="18"/>
      <c r="F65" s="99"/>
    </row>
    <row r="66" spans="2:6" ht="13.8" hidden="1" outlineLevel="1">
      <c r="B66" s="200">
        <v>20576</v>
      </c>
      <c r="C66" s="188">
        <v>3.07</v>
      </c>
      <c r="D66" s="104">
        <f t="shared" si="0"/>
        <v>3.0699999999999998E-2</v>
      </c>
      <c r="E66" s="18"/>
      <c r="F66" s="99"/>
    </row>
    <row r="67" spans="2:6" ht="13.8" hidden="1" outlineLevel="1">
      <c r="B67" s="200">
        <v>20607</v>
      </c>
      <c r="C67" s="188">
        <v>3</v>
      </c>
      <c r="D67" s="104">
        <f t="shared" si="0"/>
        <v>0.03</v>
      </c>
      <c r="E67" s="18"/>
      <c r="F67" s="99"/>
    </row>
    <row r="68" spans="2:6" ht="13.8" hidden="1" outlineLevel="1">
      <c r="B68" s="200">
        <v>20637</v>
      </c>
      <c r="C68" s="188">
        <v>3.11</v>
      </c>
      <c r="D68" s="104">
        <f t="shared" si="0"/>
        <v>3.1099999999999999E-2</v>
      </c>
      <c r="E68" s="18"/>
      <c r="F68" s="99"/>
    </row>
    <row r="69" spans="2:6" ht="13.8" hidden="1" outlineLevel="1">
      <c r="B69" s="200">
        <v>20668</v>
      </c>
      <c r="C69" s="188">
        <v>3.33</v>
      </c>
      <c r="D69" s="104">
        <f t="shared" si="0"/>
        <v>3.3300000000000003E-2</v>
      </c>
      <c r="E69" s="18"/>
      <c r="F69" s="99"/>
    </row>
    <row r="70" spans="2:6" ht="13.8" hidden="1" outlineLevel="1">
      <c r="B70" s="200">
        <v>20699</v>
      </c>
      <c r="C70" s="188">
        <v>3.38</v>
      </c>
      <c r="D70" s="104">
        <f t="shared" si="0"/>
        <v>3.3799999999999997E-2</v>
      </c>
      <c r="E70" s="18"/>
      <c r="F70" s="99"/>
    </row>
    <row r="71" spans="2:6" ht="13.8" hidden="1" outlineLevel="1">
      <c r="B71" s="200">
        <v>20729</v>
      </c>
      <c r="C71" s="188">
        <v>3.34</v>
      </c>
      <c r="D71" s="104">
        <f t="shared" si="0"/>
        <v>3.3399999999999999E-2</v>
      </c>
      <c r="E71" s="18"/>
      <c r="F71" s="99"/>
    </row>
    <row r="72" spans="2:6" ht="13.8" hidden="1" outlineLevel="1">
      <c r="B72" s="200">
        <v>20760</v>
      </c>
      <c r="C72" s="188">
        <v>3.49</v>
      </c>
      <c r="D72" s="104">
        <f t="shared" si="0"/>
        <v>3.49E-2</v>
      </c>
      <c r="E72" s="18"/>
      <c r="F72" s="99"/>
    </row>
    <row r="73" spans="2:6" ht="13.8" hidden="1" outlineLevel="1">
      <c r="B73" s="200">
        <v>20790</v>
      </c>
      <c r="C73" s="188">
        <v>3.59</v>
      </c>
      <c r="D73" s="104">
        <f t="shared" si="0"/>
        <v>3.5900000000000001E-2</v>
      </c>
      <c r="E73" s="18"/>
      <c r="F73" s="99"/>
    </row>
    <row r="74" spans="2:6" ht="13.8" hidden="1" outlineLevel="1">
      <c r="B74" s="200">
        <v>20821</v>
      </c>
      <c r="C74" s="188">
        <v>3.46</v>
      </c>
      <c r="D74" s="104">
        <f t="shared" si="0"/>
        <v>3.4599999999999999E-2</v>
      </c>
      <c r="E74" s="18"/>
      <c r="F74" s="99"/>
    </row>
    <row r="75" spans="2:6" ht="13.8" hidden="1" outlineLevel="1">
      <c r="B75" s="200">
        <v>20852</v>
      </c>
      <c r="C75" s="188">
        <v>3.34</v>
      </c>
      <c r="D75" s="104">
        <f t="shared" si="0"/>
        <v>3.3399999999999999E-2</v>
      </c>
      <c r="E75" s="18"/>
      <c r="F75" s="99"/>
    </row>
    <row r="76" spans="2:6" ht="13.8" hidden="1" outlineLevel="1">
      <c r="B76" s="200">
        <v>20880</v>
      </c>
      <c r="C76" s="188">
        <v>3.41</v>
      </c>
      <c r="D76" s="104">
        <f t="shared" si="0"/>
        <v>3.4099999999999998E-2</v>
      </c>
      <c r="E76" s="18"/>
      <c r="F76" s="99"/>
    </row>
    <row r="77" spans="2:6" ht="13.8" hidden="1" outlineLevel="1">
      <c r="B77" s="200">
        <v>20911</v>
      </c>
      <c r="C77" s="188">
        <v>3.48</v>
      </c>
      <c r="D77" s="104">
        <f t="shared" si="0"/>
        <v>3.4799999999999998E-2</v>
      </c>
      <c r="E77" s="18"/>
      <c r="F77" s="99"/>
    </row>
    <row r="78" spans="2:6" ht="13.8" hidden="1" outlineLevel="1">
      <c r="B78" s="200">
        <v>20941</v>
      </c>
      <c r="C78" s="188">
        <v>3.6</v>
      </c>
      <c r="D78" s="104">
        <f t="shared" si="0"/>
        <v>3.6000000000000004E-2</v>
      </c>
      <c r="E78" s="18"/>
      <c r="F78" s="99"/>
    </row>
    <row r="79" spans="2:6" ht="13.8" hidden="1" outlineLevel="1">
      <c r="B79" s="200">
        <v>20972</v>
      </c>
      <c r="C79" s="188">
        <v>3.8</v>
      </c>
      <c r="D79" s="104">
        <f t="shared" si="0"/>
        <v>3.7999999999999999E-2</v>
      </c>
      <c r="E79" s="18"/>
      <c r="F79" s="99"/>
    </row>
    <row r="80" spans="2:6" ht="13.8" hidden="1" outlineLevel="1">
      <c r="B80" s="200">
        <v>21002</v>
      </c>
      <c r="C80" s="188">
        <v>3.93</v>
      </c>
      <c r="D80" s="104">
        <f t="shared" si="0"/>
        <v>3.9300000000000002E-2</v>
      </c>
      <c r="E80" s="18"/>
      <c r="F80" s="99"/>
    </row>
    <row r="81" spans="2:6" ht="13.8" hidden="1" outlineLevel="1">
      <c r="B81" s="200">
        <v>21033</v>
      </c>
      <c r="C81" s="188">
        <v>3.93</v>
      </c>
      <c r="D81" s="104">
        <f t="shared" si="0"/>
        <v>3.9300000000000002E-2</v>
      </c>
      <c r="E81" s="18"/>
      <c r="F81" s="99"/>
    </row>
    <row r="82" spans="2:6" ht="13.8" hidden="1" outlineLevel="1">
      <c r="B82" s="200">
        <v>21064</v>
      </c>
      <c r="C82" s="188">
        <v>3.92</v>
      </c>
      <c r="D82" s="104">
        <f t="shared" si="0"/>
        <v>3.9199999999999999E-2</v>
      </c>
      <c r="E82" s="18"/>
      <c r="F82" s="99"/>
    </row>
    <row r="83" spans="2:6" ht="13.8" hidden="1" outlineLevel="1">
      <c r="B83" s="200">
        <v>21094</v>
      </c>
      <c r="C83" s="188">
        <v>3.97</v>
      </c>
      <c r="D83" s="104">
        <f t="shared" si="0"/>
        <v>3.9699999999999999E-2</v>
      </c>
      <c r="E83" s="18"/>
      <c r="F83" s="99"/>
    </row>
    <row r="84" spans="2:6" ht="13.8" hidden="1" outlineLevel="1">
      <c r="B84" s="200">
        <v>21125</v>
      </c>
      <c r="C84" s="188">
        <v>3.72</v>
      </c>
      <c r="D84" s="104">
        <f t="shared" si="0"/>
        <v>3.7200000000000004E-2</v>
      </c>
      <c r="E84" s="18"/>
      <c r="F84" s="99"/>
    </row>
    <row r="85" spans="2:6" ht="13.8" hidden="1" outlineLevel="1">
      <c r="B85" s="200">
        <v>21155</v>
      </c>
      <c r="C85" s="188">
        <v>3.21</v>
      </c>
      <c r="D85" s="104">
        <f t="shared" si="0"/>
        <v>3.2099999999999997E-2</v>
      </c>
      <c r="E85" s="18"/>
      <c r="F85" s="99"/>
    </row>
    <row r="86" spans="2:6" ht="13.8" hidden="1" outlineLevel="1">
      <c r="B86" s="200">
        <v>21186</v>
      </c>
      <c r="C86" s="188">
        <v>3.09</v>
      </c>
      <c r="D86" s="104">
        <f t="shared" si="0"/>
        <v>3.0899999999999997E-2</v>
      </c>
      <c r="E86" s="18"/>
      <c r="F86" s="99"/>
    </row>
    <row r="87" spans="2:6" ht="13.8" hidden="1" outlineLevel="1">
      <c r="B87" s="200">
        <v>21217</v>
      </c>
      <c r="C87" s="188">
        <v>3.05</v>
      </c>
      <c r="D87" s="104">
        <f t="shared" si="0"/>
        <v>3.0499999999999999E-2</v>
      </c>
      <c r="E87" s="18"/>
      <c r="F87" s="99"/>
    </row>
    <row r="88" spans="2:6" ht="13.8" hidden="1" outlineLevel="1">
      <c r="B88" s="200">
        <v>21245</v>
      </c>
      <c r="C88" s="188">
        <v>2.98</v>
      </c>
      <c r="D88" s="104">
        <f t="shared" si="0"/>
        <v>2.98E-2</v>
      </c>
      <c r="E88" s="18"/>
      <c r="F88" s="99"/>
    </row>
    <row r="89" spans="2:6" ht="13.8" hidden="1" outlineLevel="1">
      <c r="B89" s="200">
        <v>21276</v>
      </c>
      <c r="C89" s="188">
        <v>2.88</v>
      </c>
      <c r="D89" s="104">
        <f t="shared" si="0"/>
        <v>2.8799999999999999E-2</v>
      </c>
      <c r="E89" s="18"/>
      <c r="F89" s="99"/>
    </row>
    <row r="90" spans="2:6" ht="13.8" hidden="1" outlineLevel="1">
      <c r="B90" s="200">
        <v>21306</v>
      </c>
      <c r="C90" s="188">
        <v>2.92</v>
      </c>
      <c r="D90" s="104">
        <f t="shared" si="0"/>
        <v>2.92E-2</v>
      </c>
      <c r="E90" s="18"/>
      <c r="F90" s="99"/>
    </row>
    <row r="91" spans="2:6" ht="13.8" hidden="1" outlineLevel="1">
      <c r="B91" s="200">
        <v>21337</v>
      </c>
      <c r="C91" s="188">
        <v>2.97</v>
      </c>
      <c r="D91" s="104">
        <f t="shared" si="0"/>
        <v>2.9700000000000001E-2</v>
      </c>
      <c r="E91" s="18"/>
      <c r="F91" s="99"/>
    </row>
    <row r="92" spans="2:6" ht="13.8" hidden="1" outlineLevel="1">
      <c r="B92" s="200">
        <v>21367</v>
      </c>
      <c r="C92" s="188">
        <v>3.2</v>
      </c>
      <c r="D92" s="104">
        <f t="shared" ref="D92:D155" si="1">C92/100</f>
        <v>3.2000000000000001E-2</v>
      </c>
      <c r="E92" s="18"/>
      <c r="F92" s="99"/>
    </row>
    <row r="93" spans="2:6" ht="13.8" hidden="1" outlineLevel="1">
      <c r="B93" s="200">
        <v>21398</v>
      </c>
      <c r="C93" s="188">
        <v>3.54</v>
      </c>
      <c r="D93" s="104">
        <f t="shared" si="1"/>
        <v>3.5400000000000001E-2</v>
      </c>
      <c r="E93" s="18"/>
      <c r="F93" s="99"/>
    </row>
    <row r="94" spans="2:6" ht="13.8" hidden="1" outlineLevel="1">
      <c r="B94" s="200">
        <v>21429</v>
      </c>
      <c r="C94" s="188">
        <v>3.76</v>
      </c>
      <c r="D94" s="104">
        <f t="shared" si="1"/>
        <v>3.7599999999999995E-2</v>
      </c>
      <c r="E94" s="18"/>
      <c r="F94" s="99"/>
    </row>
    <row r="95" spans="2:6" ht="13.8" hidden="1" outlineLevel="1">
      <c r="B95" s="200">
        <v>21459</v>
      </c>
      <c r="C95" s="188">
        <v>3.8</v>
      </c>
      <c r="D95" s="104">
        <f t="shared" si="1"/>
        <v>3.7999999999999999E-2</v>
      </c>
      <c r="E95" s="18"/>
      <c r="F95" s="99"/>
    </row>
    <row r="96" spans="2:6" ht="13.8" hidden="1" outlineLevel="1">
      <c r="B96" s="200">
        <v>21490</v>
      </c>
      <c r="C96" s="188">
        <v>3.74</v>
      </c>
      <c r="D96" s="104">
        <f t="shared" si="1"/>
        <v>3.7400000000000003E-2</v>
      </c>
      <c r="E96" s="18"/>
      <c r="F96" s="99"/>
    </row>
    <row r="97" spans="2:6" ht="13.8" hidden="1" outlineLevel="1">
      <c r="B97" s="200">
        <v>21520</v>
      </c>
      <c r="C97" s="188">
        <v>3.86</v>
      </c>
      <c r="D97" s="104">
        <f t="shared" si="1"/>
        <v>3.8599999999999995E-2</v>
      </c>
      <c r="E97" s="18"/>
      <c r="F97" s="99"/>
    </row>
    <row r="98" spans="2:6" ht="13.8" hidden="1" outlineLevel="1">
      <c r="B98" s="200">
        <v>21551</v>
      </c>
      <c r="C98" s="188">
        <v>4.0199999999999996</v>
      </c>
      <c r="D98" s="104">
        <f t="shared" si="1"/>
        <v>4.0199999999999993E-2</v>
      </c>
      <c r="E98" s="18"/>
      <c r="F98" s="99"/>
    </row>
    <row r="99" spans="2:6" ht="13.8" hidden="1" outlineLevel="1">
      <c r="B99" s="200">
        <v>21582</v>
      </c>
      <c r="C99" s="188">
        <v>3.96</v>
      </c>
      <c r="D99" s="104">
        <f t="shared" si="1"/>
        <v>3.9599999999999996E-2</v>
      </c>
      <c r="E99" s="18"/>
      <c r="F99" s="99"/>
    </row>
    <row r="100" spans="2:6" ht="13.8" hidden="1" outlineLevel="1">
      <c r="B100" s="200">
        <v>21610</v>
      </c>
      <c r="C100" s="188">
        <v>3.99</v>
      </c>
      <c r="D100" s="104">
        <f t="shared" si="1"/>
        <v>3.9900000000000005E-2</v>
      </c>
      <c r="E100" s="18"/>
      <c r="F100" s="99"/>
    </row>
    <row r="101" spans="2:6" ht="13.8" hidden="1" outlineLevel="1">
      <c r="B101" s="200">
        <v>21641</v>
      </c>
      <c r="C101" s="188">
        <v>4.12</v>
      </c>
      <c r="D101" s="104">
        <f t="shared" si="1"/>
        <v>4.1200000000000001E-2</v>
      </c>
      <c r="E101" s="18"/>
      <c r="F101" s="99"/>
    </row>
    <row r="102" spans="2:6" ht="13.8" hidden="1" outlineLevel="1">
      <c r="B102" s="200">
        <v>21671</v>
      </c>
      <c r="C102" s="188">
        <v>4.3099999999999996</v>
      </c>
      <c r="D102" s="104">
        <f t="shared" si="1"/>
        <v>4.3099999999999999E-2</v>
      </c>
      <c r="E102" s="18"/>
      <c r="F102" s="99"/>
    </row>
    <row r="103" spans="2:6" ht="13.8" hidden="1" outlineLevel="1">
      <c r="B103" s="200">
        <v>21702</v>
      </c>
      <c r="C103" s="188">
        <v>4.34</v>
      </c>
      <c r="D103" s="104">
        <f t="shared" si="1"/>
        <v>4.3400000000000001E-2</v>
      </c>
      <c r="E103" s="18"/>
      <c r="F103" s="99"/>
    </row>
    <row r="104" spans="2:6" ht="13.8" hidden="1" outlineLevel="1">
      <c r="B104" s="200">
        <v>21732</v>
      </c>
      <c r="C104" s="188">
        <v>4.4000000000000004</v>
      </c>
      <c r="D104" s="104">
        <f t="shared" si="1"/>
        <v>4.4000000000000004E-2</v>
      </c>
      <c r="E104" s="18"/>
      <c r="F104" s="99"/>
    </row>
    <row r="105" spans="2:6" ht="13.8" hidden="1" outlineLevel="1">
      <c r="B105" s="200">
        <v>21763</v>
      </c>
      <c r="C105" s="188">
        <v>4.43</v>
      </c>
      <c r="D105" s="104">
        <f t="shared" si="1"/>
        <v>4.4299999999999999E-2</v>
      </c>
      <c r="E105" s="18"/>
      <c r="F105" s="99"/>
    </row>
    <row r="106" spans="2:6" ht="13.8" hidden="1" outlineLevel="1">
      <c r="B106" s="200">
        <v>21794</v>
      </c>
      <c r="C106" s="188">
        <v>4.68</v>
      </c>
      <c r="D106" s="104">
        <f t="shared" si="1"/>
        <v>4.6799999999999994E-2</v>
      </c>
      <c r="E106" s="18"/>
      <c r="F106" s="99"/>
    </row>
    <row r="107" spans="2:6" ht="13.8" hidden="1" outlineLevel="1">
      <c r="B107" s="200">
        <v>21824</v>
      </c>
      <c r="C107" s="188">
        <v>4.53</v>
      </c>
      <c r="D107" s="104">
        <f t="shared" si="1"/>
        <v>4.53E-2</v>
      </c>
      <c r="E107" s="18"/>
      <c r="F107" s="99"/>
    </row>
    <row r="108" spans="2:6" ht="13.8" hidden="1" outlineLevel="1">
      <c r="B108" s="200">
        <v>21855</v>
      </c>
      <c r="C108" s="188">
        <v>4.53</v>
      </c>
      <c r="D108" s="104">
        <f t="shared" si="1"/>
        <v>4.53E-2</v>
      </c>
      <c r="E108" s="18"/>
      <c r="F108" s="99"/>
    </row>
    <row r="109" spans="2:6" ht="13.8" hidden="1" outlineLevel="1">
      <c r="B109" s="200">
        <v>21885</v>
      </c>
      <c r="C109" s="188">
        <v>4.6900000000000004</v>
      </c>
      <c r="D109" s="104">
        <f t="shared" si="1"/>
        <v>4.6900000000000004E-2</v>
      </c>
      <c r="E109" s="18"/>
      <c r="F109" s="99"/>
    </row>
    <row r="110" spans="2:6" ht="13.8" hidden="1" outlineLevel="1">
      <c r="B110" s="200">
        <v>21916</v>
      </c>
      <c r="C110" s="188">
        <v>4.72</v>
      </c>
      <c r="D110" s="104">
        <f t="shared" si="1"/>
        <v>4.7199999999999999E-2</v>
      </c>
      <c r="E110" s="18"/>
      <c r="F110" s="99"/>
    </row>
    <row r="111" spans="2:6" ht="13.8" hidden="1" outlineLevel="1">
      <c r="B111" s="200">
        <v>21947</v>
      </c>
      <c r="C111" s="188">
        <v>4.49</v>
      </c>
      <c r="D111" s="104">
        <f t="shared" si="1"/>
        <v>4.4900000000000002E-2</v>
      </c>
      <c r="E111" s="18"/>
      <c r="F111" s="99"/>
    </row>
    <row r="112" spans="2:6" ht="13.8" hidden="1" outlineLevel="1">
      <c r="B112" s="200">
        <v>21976</v>
      </c>
      <c r="C112" s="188">
        <v>4.25</v>
      </c>
      <c r="D112" s="104">
        <f t="shared" si="1"/>
        <v>4.2500000000000003E-2</v>
      </c>
      <c r="E112" s="18"/>
      <c r="F112" s="99"/>
    </row>
    <row r="113" spans="2:6" ht="13.8" hidden="1" outlineLevel="1">
      <c r="B113" s="200">
        <v>22007</v>
      </c>
      <c r="C113" s="188">
        <v>4.28</v>
      </c>
      <c r="D113" s="104">
        <f t="shared" si="1"/>
        <v>4.2800000000000005E-2</v>
      </c>
      <c r="E113" s="18"/>
      <c r="F113" s="99"/>
    </row>
    <row r="114" spans="2:6" ht="13.8" hidden="1" outlineLevel="1">
      <c r="B114" s="200">
        <v>22037</v>
      </c>
      <c r="C114" s="188">
        <v>4.3499999999999996</v>
      </c>
      <c r="D114" s="104">
        <f t="shared" si="1"/>
        <v>4.3499999999999997E-2</v>
      </c>
      <c r="E114" s="18"/>
      <c r="F114" s="99"/>
    </row>
    <row r="115" spans="2:6" ht="13.8" hidden="1" outlineLevel="1">
      <c r="B115" s="200">
        <v>22068</v>
      </c>
      <c r="C115" s="188">
        <v>4.1500000000000004</v>
      </c>
      <c r="D115" s="104">
        <f t="shared" si="1"/>
        <v>4.1500000000000002E-2</v>
      </c>
      <c r="E115" s="18"/>
      <c r="F115" s="99"/>
    </row>
    <row r="116" spans="2:6" ht="13.8" hidden="1" outlineLevel="1">
      <c r="B116" s="200">
        <v>22098</v>
      </c>
      <c r="C116" s="188">
        <v>3.9</v>
      </c>
      <c r="D116" s="104">
        <f t="shared" si="1"/>
        <v>3.9E-2</v>
      </c>
      <c r="E116" s="18"/>
      <c r="F116" s="99"/>
    </row>
    <row r="117" spans="2:6" ht="13.8" hidden="1" outlineLevel="1">
      <c r="B117" s="200">
        <v>22129</v>
      </c>
      <c r="C117" s="188">
        <v>3.8</v>
      </c>
      <c r="D117" s="104">
        <f t="shared" si="1"/>
        <v>3.7999999999999999E-2</v>
      </c>
      <c r="E117" s="18"/>
      <c r="F117" s="99"/>
    </row>
    <row r="118" spans="2:6" ht="13.8" hidden="1" outlineLevel="1">
      <c r="B118" s="200">
        <v>22160</v>
      </c>
      <c r="C118" s="188">
        <v>3.8</v>
      </c>
      <c r="D118" s="104">
        <f t="shared" si="1"/>
        <v>3.7999999999999999E-2</v>
      </c>
      <c r="E118" s="18"/>
      <c r="F118" s="99"/>
    </row>
    <row r="119" spans="2:6" ht="13.8" hidden="1" outlineLevel="1">
      <c r="B119" s="200">
        <v>22190</v>
      </c>
      <c r="C119" s="188">
        <v>3.89</v>
      </c>
      <c r="D119" s="104">
        <f t="shared" si="1"/>
        <v>3.8900000000000004E-2</v>
      </c>
      <c r="E119" s="18"/>
      <c r="F119" s="99"/>
    </row>
    <row r="120" spans="2:6" ht="13.8" hidden="1" outlineLevel="1">
      <c r="B120" s="200">
        <v>22221</v>
      </c>
      <c r="C120" s="188">
        <v>3.93</v>
      </c>
      <c r="D120" s="104">
        <f t="shared" si="1"/>
        <v>3.9300000000000002E-2</v>
      </c>
      <c r="E120" s="18"/>
      <c r="F120" s="99"/>
    </row>
    <row r="121" spans="2:6" ht="13.8" hidden="1" outlineLevel="1">
      <c r="B121" s="200">
        <v>22251</v>
      </c>
      <c r="C121" s="188">
        <v>3.84</v>
      </c>
      <c r="D121" s="104">
        <f t="shared" si="1"/>
        <v>3.8399999999999997E-2</v>
      </c>
      <c r="E121" s="18"/>
      <c r="F121" s="99"/>
    </row>
    <row r="122" spans="2:6" ht="13.8" hidden="1" outlineLevel="1">
      <c r="B122" s="200">
        <v>22282</v>
      </c>
      <c r="C122" s="188">
        <v>3.84</v>
      </c>
      <c r="D122" s="104">
        <f t="shared" si="1"/>
        <v>3.8399999999999997E-2</v>
      </c>
      <c r="E122" s="18"/>
      <c r="F122" s="99"/>
    </row>
    <row r="123" spans="2:6" ht="13.8" hidden="1" outlineLevel="1">
      <c r="B123" s="200">
        <v>22313</v>
      </c>
      <c r="C123" s="188">
        <v>3.78</v>
      </c>
      <c r="D123" s="104">
        <f t="shared" si="1"/>
        <v>3.78E-2</v>
      </c>
      <c r="E123" s="18"/>
      <c r="F123" s="99"/>
    </row>
    <row r="124" spans="2:6" ht="13.8" hidden="1" outlineLevel="1">
      <c r="B124" s="200">
        <v>22341</v>
      </c>
      <c r="C124" s="188">
        <v>3.74</v>
      </c>
      <c r="D124" s="104">
        <f t="shared" si="1"/>
        <v>3.7400000000000003E-2</v>
      </c>
      <c r="E124" s="18"/>
      <c r="F124" s="99"/>
    </row>
    <row r="125" spans="2:6" ht="13.8" hidden="1" outlineLevel="1">
      <c r="B125" s="200">
        <v>22372</v>
      </c>
      <c r="C125" s="188">
        <v>3.78</v>
      </c>
      <c r="D125" s="104">
        <f t="shared" si="1"/>
        <v>3.78E-2</v>
      </c>
      <c r="E125" s="18"/>
      <c r="F125" s="99"/>
    </row>
    <row r="126" spans="2:6" ht="13.8" hidden="1" outlineLevel="1">
      <c r="B126" s="200">
        <v>22402</v>
      </c>
      <c r="C126" s="188">
        <v>3.71</v>
      </c>
      <c r="D126" s="104">
        <f t="shared" si="1"/>
        <v>3.7100000000000001E-2</v>
      </c>
      <c r="E126" s="18"/>
      <c r="F126" s="99"/>
    </row>
    <row r="127" spans="2:6" ht="13.8" hidden="1" outlineLevel="1">
      <c r="B127" s="200">
        <v>22433</v>
      </c>
      <c r="C127" s="188">
        <v>3.88</v>
      </c>
      <c r="D127" s="104">
        <f t="shared" si="1"/>
        <v>3.8800000000000001E-2</v>
      </c>
      <c r="E127" s="18"/>
      <c r="F127" s="99"/>
    </row>
    <row r="128" spans="2:6" ht="13.8" hidden="1" outlineLevel="1">
      <c r="B128" s="200">
        <v>22463</v>
      </c>
      <c r="C128" s="188">
        <v>3.92</v>
      </c>
      <c r="D128" s="104">
        <f t="shared" si="1"/>
        <v>3.9199999999999999E-2</v>
      </c>
      <c r="E128" s="18"/>
      <c r="F128" s="99"/>
    </row>
    <row r="129" spans="2:6" ht="13.8" hidden="1" outlineLevel="1">
      <c r="B129" s="200">
        <v>22494</v>
      </c>
      <c r="C129" s="188">
        <v>4.04</v>
      </c>
      <c r="D129" s="104">
        <f t="shared" si="1"/>
        <v>4.0399999999999998E-2</v>
      </c>
      <c r="E129" s="18"/>
      <c r="F129" s="99"/>
    </row>
    <row r="130" spans="2:6" ht="13.8" hidden="1" outlineLevel="1">
      <c r="B130" s="200">
        <v>22525</v>
      </c>
      <c r="C130" s="188">
        <v>3.98</v>
      </c>
      <c r="D130" s="104">
        <f t="shared" si="1"/>
        <v>3.9800000000000002E-2</v>
      </c>
      <c r="E130" s="18"/>
      <c r="F130" s="99"/>
    </row>
    <row r="131" spans="2:6" ht="13.8" hidden="1" outlineLevel="1">
      <c r="B131" s="200">
        <v>22555</v>
      </c>
      <c r="C131" s="188">
        <v>3.92</v>
      </c>
      <c r="D131" s="104">
        <f t="shared" si="1"/>
        <v>3.9199999999999999E-2</v>
      </c>
      <c r="E131" s="18"/>
      <c r="F131" s="99"/>
    </row>
    <row r="132" spans="2:6" ht="13.8" hidden="1" outlineLevel="1">
      <c r="B132" s="200">
        <v>22586</v>
      </c>
      <c r="C132" s="188">
        <v>3.94</v>
      </c>
      <c r="D132" s="104">
        <f t="shared" si="1"/>
        <v>3.9399999999999998E-2</v>
      </c>
      <c r="E132" s="18"/>
      <c r="F132" s="99"/>
    </row>
    <row r="133" spans="2:6" ht="13.8" hidden="1" outlineLevel="1">
      <c r="B133" s="200">
        <v>22616</v>
      </c>
      <c r="C133" s="188">
        <v>4.0599999999999996</v>
      </c>
      <c r="D133" s="104">
        <f t="shared" si="1"/>
        <v>4.0599999999999997E-2</v>
      </c>
      <c r="E133" s="18"/>
      <c r="F133" s="99"/>
    </row>
    <row r="134" spans="2:6" ht="13.8" hidden="1" outlineLevel="1">
      <c r="B134" s="200">
        <v>22647</v>
      </c>
      <c r="C134" s="188">
        <v>4.08</v>
      </c>
      <c r="D134" s="104">
        <f t="shared" si="1"/>
        <v>4.0800000000000003E-2</v>
      </c>
      <c r="E134" s="18"/>
      <c r="F134" s="99"/>
    </row>
    <row r="135" spans="2:6" ht="13.8" hidden="1" outlineLevel="1">
      <c r="B135" s="200">
        <v>22678</v>
      </c>
      <c r="C135" s="188">
        <v>4.04</v>
      </c>
      <c r="D135" s="104">
        <f t="shared" si="1"/>
        <v>4.0399999999999998E-2</v>
      </c>
      <c r="E135" s="18"/>
      <c r="F135" s="99"/>
    </row>
    <row r="136" spans="2:6" ht="13.8" hidden="1" outlineLevel="1">
      <c r="B136" s="200">
        <v>22706</v>
      </c>
      <c r="C136" s="188">
        <v>3.93</v>
      </c>
      <c r="D136" s="104">
        <f t="shared" si="1"/>
        <v>3.9300000000000002E-2</v>
      </c>
      <c r="E136" s="18"/>
      <c r="F136" s="99"/>
    </row>
    <row r="137" spans="2:6" ht="13.8" hidden="1" outlineLevel="1">
      <c r="B137" s="200">
        <v>22737</v>
      </c>
      <c r="C137" s="188">
        <v>3.84</v>
      </c>
      <c r="D137" s="104">
        <f t="shared" si="1"/>
        <v>3.8399999999999997E-2</v>
      </c>
      <c r="E137" s="18"/>
      <c r="F137" s="99"/>
    </row>
    <row r="138" spans="2:6" ht="13.8" hidden="1" outlineLevel="1">
      <c r="B138" s="200">
        <v>22767</v>
      </c>
      <c r="C138" s="188">
        <v>3.87</v>
      </c>
      <c r="D138" s="104">
        <f t="shared" si="1"/>
        <v>3.8699999999999998E-2</v>
      </c>
      <c r="E138" s="18"/>
      <c r="F138" s="99"/>
    </row>
    <row r="139" spans="2:6" ht="13.8" hidden="1" outlineLevel="1">
      <c r="B139" s="200">
        <v>22798</v>
      </c>
      <c r="C139" s="188">
        <v>3.91</v>
      </c>
      <c r="D139" s="104">
        <f t="shared" si="1"/>
        <v>3.9100000000000003E-2</v>
      </c>
      <c r="E139" s="18"/>
      <c r="F139" s="99"/>
    </row>
    <row r="140" spans="2:6" ht="13.8" hidden="1" outlineLevel="1">
      <c r="B140" s="200">
        <v>22828</v>
      </c>
      <c r="C140" s="188">
        <v>4.01</v>
      </c>
      <c r="D140" s="104">
        <f t="shared" si="1"/>
        <v>4.0099999999999997E-2</v>
      </c>
      <c r="E140" s="18"/>
      <c r="F140" s="99"/>
    </row>
    <row r="141" spans="2:6" ht="13.8" hidden="1" outlineLevel="1">
      <c r="B141" s="200">
        <v>22859</v>
      </c>
      <c r="C141" s="188">
        <v>3.98</v>
      </c>
      <c r="D141" s="104">
        <f t="shared" si="1"/>
        <v>3.9800000000000002E-2</v>
      </c>
      <c r="E141" s="18"/>
      <c r="F141" s="99"/>
    </row>
    <row r="142" spans="2:6" ht="13.8" hidden="1" outlineLevel="1">
      <c r="B142" s="200">
        <v>22890</v>
      </c>
      <c r="C142" s="188">
        <v>3.98</v>
      </c>
      <c r="D142" s="104">
        <f t="shared" si="1"/>
        <v>3.9800000000000002E-2</v>
      </c>
      <c r="E142" s="18"/>
      <c r="F142" s="99"/>
    </row>
    <row r="143" spans="2:6" ht="13.8" hidden="1" outlineLevel="1">
      <c r="B143" s="200">
        <v>22920</v>
      </c>
      <c r="C143" s="188">
        <v>3.93</v>
      </c>
      <c r="D143" s="104">
        <f t="shared" si="1"/>
        <v>3.9300000000000002E-2</v>
      </c>
      <c r="E143" s="18"/>
      <c r="F143" s="99"/>
    </row>
    <row r="144" spans="2:6" ht="13.8" hidden="1" outlineLevel="1">
      <c r="B144" s="200">
        <v>22951</v>
      </c>
      <c r="C144" s="188">
        <v>3.92</v>
      </c>
      <c r="D144" s="104">
        <f t="shared" si="1"/>
        <v>3.9199999999999999E-2</v>
      </c>
      <c r="E144" s="18"/>
      <c r="F144" s="99"/>
    </row>
    <row r="145" spans="2:6" ht="13.8" hidden="1" outlineLevel="1">
      <c r="B145" s="200">
        <v>22981</v>
      </c>
      <c r="C145" s="188">
        <v>3.86</v>
      </c>
      <c r="D145" s="104">
        <f t="shared" si="1"/>
        <v>3.8599999999999995E-2</v>
      </c>
      <c r="E145" s="18"/>
      <c r="F145" s="99"/>
    </row>
    <row r="146" spans="2:6" ht="13.8" hidden="1" outlineLevel="1">
      <c r="B146" s="200">
        <v>23012</v>
      </c>
      <c r="C146" s="188">
        <v>3.83</v>
      </c>
      <c r="D146" s="104">
        <f t="shared" si="1"/>
        <v>3.8300000000000001E-2</v>
      </c>
      <c r="E146" s="18"/>
      <c r="F146" s="99"/>
    </row>
    <row r="147" spans="2:6" ht="13.8" hidden="1" outlineLevel="1">
      <c r="B147" s="200">
        <v>23043</v>
      </c>
      <c r="C147" s="188">
        <v>3.92</v>
      </c>
      <c r="D147" s="104">
        <f t="shared" si="1"/>
        <v>3.9199999999999999E-2</v>
      </c>
      <c r="E147" s="18"/>
      <c r="F147" s="99"/>
    </row>
    <row r="148" spans="2:6" ht="13.8" hidden="1" outlineLevel="1">
      <c r="B148" s="200">
        <v>23071</v>
      </c>
      <c r="C148" s="188">
        <v>3.93</v>
      </c>
      <c r="D148" s="104">
        <f t="shared" si="1"/>
        <v>3.9300000000000002E-2</v>
      </c>
      <c r="E148" s="18"/>
      <c r="F148" s="99"/>
    </row>
    <row r="149" spans="2:6" ht="13.8" hidden="1" outlineLevel="1">
      <c r="B149" s="200">
        <v>23102</v>
      </c>
      <c r="C149" s="188">
        <v>3.97</v>
      </c>
      <c r="D149" s="104">
        <f t="shared" si="1"/>
        <v>3.9699999999999999E-2</v>
      </c>
      <c r="E149" s="18"/>
      <c r="F149" s="99"/>
    </row>
    <row r="150" spans="2:6" ht="13.8" hidden="1" outlineLevel="1">
      <c r="B150" s="200">
        <v>23132</v>
      </c>
      <c r="C150" s="188">
        <v>3.93</v>
      </c>
      <c r="D150" s="104">
        <f t="shared" si="1"/>
        <v>3.9300000000000002E-2</v>
      </c>
      <c r="E150" s="18"/>
      <c r="F150" s="99"/>
    </row>
    <row r="151" spans="2:6" ht="13.8" hidden="1" outlineLevel="1">
      <c r="B151" s="200">
        <v>23163</v>
      </c>
      <c r="C151" s="188">
        <v>3.99</v>
      </c>
      <c r="D151" s="104">
        <f t="shared" si="1"/>
        <v>3.9900000000000005E-2</v>
      </c>
      <c r="E151" s="18"/>
      <c r="F151" s="99"/>
    </row>
    <row r="152" spans="2:6" ht="13.8" hidden="1" outlineLevel="1">
      <c r="B152" s="200">
        <v>23193</v>
      </c>
      <c r="C152" s="188">
        <v>4.0199999999999996</v>
      </c>
      <c r="D152" s="104">
        <f t="shared" si="1"/>
        <v>4.0199999999999993E-2</v>
      </c>
      <c r="E152" s="18"/>
      <c r="F152" s="99"/>
    </row>
    <row r="153" spans="2:6" ht="13.8" hidden="1" outlineLevel="1">
      <c r="B153" s="200">
        <v>23224</v>
      </c>
      <c r="C153" s="188">
        <v>4</v>
      </c>
      <c r="D153" s="104">
        <f t="shared" si="1"/>
        <v>0.04</v>
      </c>
      <c r="E153" s="18"/>
      <c r="F153" s="99"/>
    </row>
    <row r="154" spans="2:6" ht="13.8" hidden="1" outlineLevel="1">
      <c r="B154" s="200">
        <v>23255</v>
      </c>
      <c r="C154" s="188">
        <v>4.08</v>
      </c>
      <c r="D154" s="104">
        <f t="shared" si="1"/>
        <v>4.0800000000000003E-2</v>
      </c>
      <c r="E154" s="18"/>
      <c r="F154" s="99"/>
    </row>
    <row r="155" spans="2:6" ht="13.8" hidden="1" outlineLevel="1">
      <c r="B155" s="200">
        <v>23285</v>
      </c>
      <c r="C155" s="188">
        <v>4.1100000000000003</v>
      </c>
      <c r="D155" s="104">
        <f t="shared" si="1"/>
        <v>4.1100000000000005E-2</v>
      </c>
      <c r="E155" s="18"/>
      <c r="F155" s="99"/>
    </row>
    <row r="156" spans="2:6" ht="13.8" hidden="1" outlineLevel="1">
      <c r="B156" s="200">
        <v>23316</v>
      </c>
      <c r="C156" s="188">
        <v>4.12</v>
      </c>
      <c r="D156" s="104">
        <f t="shared" ref="D156:D219" si="2">C156/100</f>
        <v>4.1200000000000001E-2</v>
      </c>
      <c r="E156" s="18"/>
      <c r="F156" s="99"/>
    </row>
    <row r="157" spans="2:6" ht="13.8" hidden="1" outlineLevel="1">
      <c r="B157" s="200">
        <v>23346</v>
      </c>
      <c r="C157" s="188">
        <v>4.13</v>
      </c>
      <c r="D157" s="104">
        <f t="shared" si="2"/>
        <v>4.1299999999999996E-2</v>
      </c>
      <c r="E157" s="18"/>
      <c r="F157" s="99"/>
    </row>
    <row r="158" spans="2:6" ht="13.8" hidden="1" outlineLevel="1">
      <c r="B158" s="200">
        <v>23377</v>
      </c>
      <c r="C158" s="188">
        <v>4.17</v>
      </c>
      <c r="D158" s="104">
        <f t="shared" si="2"/>
        <v>4.1700000000000001E-2</v>
      </c>
      <c r="E158" s="18"/>
      <c r="F158" s="99"/>
    </row>
    <row r="159" spans="2:6" ht="13.8" hidden="1" outlineLevel="1">
      <c r="B159" s="200">
        <v>23408</v>
      </c>
      <c r="C159" s="188">
        <v>4.1500000000000004</v>
      </c>
      <c r="D159" s="104">
        <f t="shared" si="2"/>
        <v>4.1500000000000002E-2</v>
      </c>
      <c r="E159" s="18"/>
      <c r="F159" s="99"/>
    </row>
    <row r="160" spans="2:6" ht="13.8" hidden="1" outlineLevel="1">
      <c r="B160" s="200">
        <v>23437</v>
      </c>
      <c r="C160" s="188">
        <v>4.22</v>
      </c>
      <c r="D160" s="104">
        <f t="shared" si="2"/>
        <v>4.2199999999999994E-2</v>
      </c>
      <c r="E160" s="18"/>
      <c r="F160" s="99"/>
    </row>
    <row r="161" spans="2:6" ht="13.8" hidden="1" outlineLevel="1">
      <c r="B161" s="200">
        <v>23468</v>
      </c>
      <c r="C161" s="188">
        <v>4.2300000000000004</v>
      </c>
      <c r="D161" s="104">
        <f t="shared" si="2"/>
        <v>4.2300000000000004E-2</v>
      </c>
      <c r="E161" s="18"/>
      <c r="F161" s="99"/>
    </row>
    <row r="162" spans="2:6" ht="13.8" hidden="1" outlineLevel="1">
      <c r="B162" s="200">
        <v>23498</v>
      </c>
      <c r="C162" s="188">
        <v>4.2</v>
      </c>
      <c r="D162" s="104">
        <f t="shared" si="2"/>
        <v>4.2000000000000003E-2</v>
      </c>
      <c r="E162" s="18"/>
      <c r="F162" s="99"/>
    </row>
    <row r="163" spans="2:6" ht="13.8" hidden="1" outlineLevel="1">
      <c r="B163" s="200">
        <v>23529</v>
      </c>
      <c r="C163" s="188">
        <v>4.17</v>
      </c>
      <c r="D163" s="104">
        <f t="shared" si="2"/>
        <v>4.1700000000000001E-2</v>
      </c>
      <c r="E163" s="18"/>
      <c r="F163" s="99"/>
    </row>
    <row r="164" spans="2:6" ht="13.8" hidden="1" outlineLevel="1">
      <c r="B164" s="200">
        <v>23559</v>
      </c>
      <c r="C164" s="188">
        <v>4.1900000000000004</v>
      </c>
      <c r="D164" s="104">
        <f t="shared" si="2"/>
        <v>4.1900000000000007E-2</v>
      </c>
      <c r="E164" s="18"/>
      <c r="F164" s="99"/>
    </row>
    <row r="165" spans="2:6" ht="13.8" hidden="1" outlineLevel="1">
      <c r="B165" s="200">
        <v>23590</v>
      </c>
      <c r="C165" s="188">
        <v>4.1900000000000004</v>
      </c>
      <c r="D165" s="104">
        <f t="shared" si="2"/>
        <v>4.1900000000000007E-2</v>
      </c>
      <c r="E165" s="18"/>
      <c r="F165" s="99"/>
    </row>
    <row r="166" spans="2:6" ht="13.8" hidden="1" outlineLevel="1">
      <c r="B166" s="200">
        <v>23621</v>
      </c>
      <c r="C166" s="188">
        <v>4.2</v>
      </c>
      <c r="D166" s="104">
        <f t="shared" si="2"/>
        <v>4.2000000000000003E-2</v>
      </c>
      <c r="E166" s="18"/>
      <c r="F166" s="99"/>
    </row>
    <row r="167" spans="2:6" ht="13.8" hidden="1" outlineLevel="1">
      <c r="B167" s="200">
        <v>23651</v>
      </c>
      <c r="C167" s="188">
        <v>4.1900000000000004</v>
      </c>
      <c r="D167" s="104">
        <f t="shared" si="2"/>
        <v>4.1900000000000007E-2</v>
      </c>
      <c r="E167" s="18"/>
      <c r="F167" s="99"/>
    </row>
    <row r="168" spans="2:6" ht="13.8" hidden="1" outlineLevel="1">
      <c r="B168" s="200">
        <v>23682</v>
      </c>
      <c r="C168" s="188">
        <v>4.1500000000000004</v>
      </c>
      <c r="D168" s="104">
        <f t="shared" si="2"/>
        <v>4.1500000000000002E-2</v>
      </c>
      <c r="E168" s="18"/>
      <c r="F168" s="99"/>
    </row>
    <row r="169" spans="2:6" ht="13.8" hidden="1" outlineLevel="1">
      <c r="B169" s="200">
        <v>23712</v>
      </c>
      <c r="C169" s="188">
        <v>4.18</v>
      </c>
      <c r="D169" s="104">
        <f t="shared" si="2"/>
        <v>4.1799999999999997E-2</v>
      </c>
      <c r="E169" s="18"/>
      <c r="F169" s="99"/>
    </row>
    <row r="170" spans="2:6" ht="13.8" hidden="1" outlineLevel="1">
      <c r="B170" s="200">
        <v>23743</v>
      </c>
      <c r="C170" s="188">
        <v>4.1900000000000004</v>
      </c>
      <c r="D170" s="104">
        <f t="shared" si="2"/>
        <v>4.1900000000000007E-2</v>
      </c>
      <c r="E170" s="18"/>
      <c r="F170" s="99"/>
    </row>
    <row r="171" spans="2:6" ht="13.8" hidden="1" outlineLevel="1">
      <c r="B171" s="200">
        <v>23774</v>
      </c>
      <c r="C171" s="188">
        <v>4.21</v>
      </c>
      <c r="D171" s="104">
        <f t="shared" si="2"/>
        <v>4.2099999999999999E-2</v>
      </c>
      <c r="E171" s="18"/>
      <c r="F171" s="99"/>
    </row>
    <row r="172" spans="2:6" ht="13.8" hidden="1" outlineLevel="1">
      <c r="B172" s="200">
        <v>23802</v>
      </c>
      <c r="C172" s="188">
        <v>4.21</v>
      </c>
      <c r="D172" s="104">
        <f t="shared" si="2"/>
        <v>4.2099999999999999E-2</v>
      </c>
      <c r="E172" s="18"/>
      <c r="F172" s="99"/>
    </row>
    <row r="173" spans="2:6" ht="13.8" hidden="1" outlineLevel="1">
      <c r="B173" s="200">
        <v>23833</v>
      </c>
      <c r="C173" s="188">
        <v>4.2</v>
      </c>
      <c r="D173" s="104">
        <f t="shared" si="2"/>
        <v>4.2000000000000003E-2</v>
      </c>
      <c r="E173" s="18"/>
      <c r="F173" s="99"/>
    </row>
    <row r="174" spans="2:6" ht="13.8" hidden="1" outlineLevel="1">
      <c r="B174" s="200">
        <v>23863</v>
      </c>
      <c r="C174" s="188">
        <v>4.21</v>
      </c>
      <c r="D174" s="104">
        <f t="shared" si="2"/>
        <v>4.2099999999999999E-2</v>
      </c>
      <c r="E174" s="18"/>
      <c r="F174" s="99"/>
    </row>
    <row r="175" spans="2:6" ht="13.8" hidden="1" outlineLevel="1">
      <c r="B175" s="200">
        <v>23894</v>
      </c>
      <c r="C175" s="188">
        <v>4.21</v>
      </c>
      <c r="D175" s="104">
        <f t="shared" si="2"/>
        <v>4.2099999999999999E-2</v>
      </c>
      <c r="E175" s="18"/>
      <c r="F175" s="99"/>
    </row>
    <row r="176" spans="2:6" ht="13.8" hidden="1" outlineLevel="1">
      <c r="B176" s="200">
        <v>23924</v>
      </c>
      <c r="C176" s="188">
        <v>4.2</v>
      </c>
      <c r="D176" s="104">
        <f t="shared" si="2"/>
        <v>4.2000000000000003E-2</v>
      </c>
      <c r="E176" s="18"/>
      <c r="F176" s="99"/>
    </row>
    <row r="177" spans="2:6" ht="13.8" hidden="1" outlineLevel="1">
      <c r="B177" s="200">
        <v>23955</v>
      </c>
      <c r="C177" s="188">
        <v>4.25</v>
      </c>
      <c r="D177" s="104">
        <f t="shared" si="2"/>
        <v>4.2500000000000003E-2</v>
      </c>
      <c r="E177" s="18"/>
      <c r="F177" s="99"/>
    </row>
    <row r="178" spans="2:6" ht="13.8" hidden="1" outlineLevel="1">
      <c r="B178" s="200">
        <v>23986</v>
      </c>
      <c r="C178" s="188">
        <v>4.29</v>
      </c>
      <c r="D178" s="104">
        <f t="shared" si="2"/>
        <v>4.2900000000000001E-2</v>
      </c>
      <c r="E178" s="18"/>
      <c r="F178" s="99"/>
    </row>
    <row r="179" spans="2:6" ht="13.8" hidden="1" outlineLevel="1">
      <c r="B179" s="200">
        <v>24016</v>
      </c>
      <c r="C179" s="188">
        <v>4.3499999999999996</v>
      </c>
      <c r="D179" s="104">
        <f t="shared" si="2"/>
        <v>4.3499999999999997E-2</v>
      </c>
      <c r="E179" s="18"/>
      <c r="F179" s="99"/>
    </row>
    <row r="180" spans="2:6" ht="13.8" hidden="1" outlineLevel="1">
      <c r="B180" s="200">
        <v>24047</v>
      </c>
      <c r="C180" s="188">
        <v>4.45</v>
      </c>
      <c r="D180" s="104">
        <f t="shared" si="2"/>
        <v>4.4500000000000005E-2</v>
      </c>
      <c r="E180" s="18"/>
      <c r="F180" s="99"/>
    </row>
    <row r="181" spans="2:6" ht="13.8" hidden="1" outlineLevel="1">
      <c r="B181" s="200">
        <v>24077</v>
      </c>
      <c r="C181" s="188">
        <v>4.62</v>
      </c>
      <c r="D181" s="104">
        <f t="shared" si="2"/>
        <v>4.6199999999999998E-2</v>
      </c>
      <c r="E181" s="18"/>
      <c r="F181" s="99"/>
    </row>
    <row r="182" spans="2:6" ht="13.8" hidden="1" outlineLevel="1">
      <c r="B182" s="200">
        <v>24108</v>
      </c>
      <c r="C182" s="188">
        <v>4.6100000000000003</v>
      </c>
      <c r="D182" s="104">
        <f t="shared" si="2"/>
        <v>4.6100000000000002E-2</v>
      </c>
      <c r="E182" s="18"/>
      <c r="F182" s="99"/>
    </row>
    <row r="183" spans="2:6" ht="13.8" hidden="1" outlineLevel="1">
      <c r="B183" s="200">
        <v>24139</v>
      </c>
      <c r="C183" s="188">
        <v>4.83</v>
      </c>
      <c r="D183" s="104">
        <f t="shared" si="2"/>
        <v>4.8300000000000003E-2</v>
      </c>
      <c r="E183" s="18"/>
      <c r="F183" s="99"/>
    </row>
    <row r="184" spans="2:6" ht="13.8" hidden="1" outlineLevel="1">
      <c r="B184" s="200">
        <v>24167</v>
      </c>
      <c r="C184" s="188">
        <v>4.87</v>
      </c>
      <c r="D184" s="104">
        <f t="shared" si="2"/>
        <v>4.87E-2</v>
      </c>
      <c r="E184" s="18"/>
      <c r="F184" s="99"/>
    </row>
    <row r="185" spans="2:6" ht="13.8" hidden="1" outlineLevel="1">
      <c r="B185" s="200">
        <v>24198</v>
      </c>
      <c r="C185" s="188">
        <v>4.75</v>
      </c>
      <c r="D185" s="104">
        <f t="shared" si="2"/>
        <v>4.7500000000000001E-2</v>
      </c>
      <c r="E185" s="18"/>
      <c r="F185" s="99"/>
    </row>
    <row r="186" spans="2:6" ht="13.8" hidden="1" outlineLevel="1">
      <c r="B186" s="200">
        <v>24228</v>
      </c>
      <c r="C186" s="188">
        <v>4.78</v>
      </c>
      <c r="D186" s="104">
        <f t="shared" si="2"/>
        <v>4.7800000000000002E-2</v>
      </c>
      <c r="E186" s="18"/>
      <c r="F186" s="99"/>
    </row>
    <row r="187" spans="2:6" ht="13.8" hidden="1" outlineLevel="1">
      <c r="B187" s="200">
        <v>24259</v>
      </c>
      <c r="C187" s="188">
        <v>4.8099999999999996</v>
      </c>
      <c r="D187" s="104">
        <f t="shared" si="2"/>
        <v>4.8099999999999997E-2</v>
      </c>
      <c r="E187" s="18"/>
      <c r="F187" s="99"/>
    </row>
    <row r="188" spans="2:6" ht="13.8" hidden="1" outlineLevel="1">
      <c r="B188" s="200">
        <v>24289</v>
      </c>
      <c r="C188" s="188">
        <v>5.0199999999999996</v>
      </c>
      <c r="D188" s="104">
        <f t="shared" si="2"/>
        <v>5.0199999999999995E-2</v>
      </c>
      <c r="E188" s="18"/>
      <c r="F188" s="99"/>
    </row>
    <row r="189" spans="2:6" ht="13.8" hidden="1" outlineLevel="1">
      <c r="B189" s="200">
        <v>24320</v>
      </c>
      <c r="C189" s="188">
        <v>5.22</v>
      </c>
      <c r="D189" s="104">
        <f t="shared" si="2"/>
        <v>5.2199999999999996E-2</v>
      </c>
      <c r="E189" s="18"/>
      <c r="F189" s="99"/>
    </row>
    <row r="190" spans="2:6" ht="13.8" hidden="1" outlineLevel="1">
      <c r="B190" s="200">
        <v>24351</v>
      </c>
      <c r="C190" s="188">
        <v>5.18</v>
      </c>
      <c r="D190" s="104">
        <f t="shared" si="2"/>
        <v>5.1799999999999999E-2</v>
      </c>
      <c r="E190" s="18"/>
      <c r="F190" s="99"/>
    </row>
    <row r="191" spans="2:6" ht="13.8" hidden="1" outlineLevel="1">
      <c r="B191" s="200">
        <v>24381</v>
      </c>
      <c r="C191" s="188">
        <v>5.01</v>
      </c>
      <c r="D191" s="104">
        <f t="shared" si="2"/>
        <v>5.0099999999999999E-2</v>
      </c>
      <c r="E191" s="18"/>
      <c r="F191" s="99"/>
    </row>
    <row r="192" spans="2:6" ht="13.8" hidden="1" outlineLevel="1">
      <c r="B192" s="200">
        <v>24412</v>
      </c>
      <c r="C192" s="188">
        <v>5.16</v>
      </c>
      <c r="D192" s="104">
        <f t="shared" si="2"/>
        <v>5.16E-2</v>
      </c>
      <c r="E192" s="18"/>
      <c r="F192" s="99"/>
    </row>
    <row r="193" spans="2:6" ht="13.8" hidden="1" outlineLevel="1">
      <c r="B193" s="200">
        <v>24442</v>
      </c>
      <c r="C193" s="188">
        <v>4.84</v>
      </c>
      <c r="D193" s="104">
        <f t="shared" si="2"/>
        <v>4.8399999999999999E-2</v>
      </c>
      <c r="E193" s="18"/>
      <c r="F193" s="99"/>
    </row>
    <row r="194" spans="2:6" ht="13.8" hidden="1" outlineLevel="1">
      <c r="B194" s="200">
        <v>24473</v>
      </c>
      <c r="C194" s="188">
        <v>4.58</v>
      </c>
      <c r="D194" s="104">
        <f t="shared" si="2"/>
        <v>4.58E-2</v>
      </c>
      <c r="E194" s="18"/>
      <c r="F194" s="99"/>
    </row>
    <row r="195" spans="2:6" ht="13.8" hidden="1" outlineLevel="1">
      <c r="B195" s="200">
        <v>24504</v>
      </c>
      <c r="C195" s="188">
        <v>4.63</v>
      </c>
      <c r="D195" s="104">
        <f t="shared" si="2"/>
        <v>4.6300000000000001E-2</v>
      </c>
      <c r="E195" s="18"/>
      <c r="F195" s="99"/>
    </row>
    <row r="196" spans="2:6" ht="13.8" hidden="1" outlineLevel="1">
      <c r="B196" s="200">
        <v>24532</v>
      </c>
      <c r="C196" s="188">
        <v>4.54</v>
      </c>
      <c r="D196" s="104">
        <f t="shared" si="2"/>
        <v>4.5400000000000003E-2</v>
      </c>
      <c r="E196" s="18"/>
      <c r="F196" s="99"/>
    </row>
    <row r="197" spans="2:6" ht="13.8" hidden="1" outlineLevel="1">
      <c r="B197" s="200">
        <v>24563</v>
      </c>
      <c r="C197" s="188">
        <v>4.59</v>
      </c>
      <c r="D197" s="104">
        <f t="shared" si="2"/>
        <v>4.5899999999999996E-2</v>
      </c>
      <c r="E197" s="18"/>
      <c r="F197" s="99"/>
    </row>
    <row r="198" spans="2:6" ht="13.8" hidden="1" outlineLevel="1">
      <c r="B198" s="200">
        <v>24593</v>
      </c>
      <c r="C198" s="188">
        <v>4.8499999999999996</v>
      </c>
      <c r="D198" s="104">
        <f t="shared" si="2"/>
        <v>4.8499999999999995E-2</v>
      </c>
      <c r="E198" s="18"/>
      <c r="F198" s="99"/>
    </row>
    <row r="199" spans="2:6" ht="13.8" hidden="1" outlineLevel="1">
      <c r="B199" s="200">
        <v>24624</v>
      </c>
      <c r="C199" s="188">
        <v>5.0199999999999996</v>
      </c>
      <c r="D199" s="104">
        <f t="shared" si="2"/>
        <v>5.0199999999999995E-2</v>
      </c>
      <c r="E199" s="18"/>
      <c r="F199" s="99"/>
    </row>
    <row r="200" spans="2:6" ht="13.8" hidden="1" outlineLevel="1">
      <c r="B200" s="200">
        <v>24654</v>
      </c>
      <c r="C200" s="188">
        <v>5.16</v>
      </c>
      <c r="D200" s="104">
        <f t="shared" si="2"/>
        <v>5.16E-2</v>
      </c>
      <c r="E200" s="18"/>
      <c r="F200" s="99"/>
    </row>
    <row r="201" spans="2:6" ht="13.8" hidden="1" outlineLevel="1">
      <c r="B201" s="200">
        <v>24685</v>
      </c>
      <c r="C201" s="188">
        <v>5.28</v>
      </c>
      <c r="D201" s="104">
        <f t="shared" si="2"/>
        <v>5.28E-2</v>
      </c>
      <c r="E201" s="18"/>
      <c r="F201" s="99"/>
    </row>
    <row r="202" spans="2:6" ht="13.8" hidden="1" outlineLevel="1">
      <c r="B202" s="200">
        <v>24716</v>
      </c>
      <c r="C202" s="188">
        <v>5.3</v>
      </c>
      <c r="D202" s="104">
        <f t="shared" si="2"/>
        <v>5.2999999999999999E-2</v>
      </c>
      <c r="E202" s="18"/>
      <c r="F202" s="99"/>
    </row>
    <row r="203" spans="2:6" ht="13.8" hidden="1" outlineLevel="1">
      <c r="B203" s="200">
        <v>24746</v>
      </c>
      <c r="C203" s="188">
        <v>5.48</v>
      </c>
      <c r="D203" s="104">
        <f t="shared" si="2"/>
        <v>5.4800000000000001E-2</v>
      </c>
      <c r="E203" s="18"/>
      <c r="F203" s="99"/>
    </row>
    <row r="204" spans="2:6" ht="13.8" hidden="1" outlineLevel="1">
      <c r="B204" s="200">
        <v>24777</v>
      </c>
      <c r="C204" s="188">
        <v>5.75</v>
      </c>
      <c r="D204" s="104">
        <f t="shared" si="2"/>
        <v>5.7500000000000002E-2</v>
      </c>
      <c r="E204" s="18"/>
      <c r="F204" s="99"/>
    </row>
    <row r="205" spans="2:6" ht="13.8" hidden="1" outlineLevel="1">
      <c r="B205" s="200">
        <v>24807</v>
      </c>
      <c r="C205" s="188">
        <v>5.7</v>
      </c>
      <c r="D205" s="104">
        <f t="shared" si="2"/>
        <v>5.7000000000000002E-2</v>
      </c>
      <c r="E205" s="18"/>
      <c r="F205" s="99"/>
    </row>
    <row r="206" spans="2:6" ht="13.8" hidden="1" outlineLevel="1">
      <c r="B206" s="200">
        <v>24838</v>
      </c>
      <c r="C206" s="188">
        <v>5.53</v>
      </c>
      <c r="D206" s="104">
        <f t="shared" si="2"/>
        <v>5.5300000000000002E-2</v>
      </c>
      <c r="E206" s="18"/>
      <c r="F206" s="99"/>
    </row>
    <row r="207" spans="2:6" ht="13.8" hidden="1" outlineLevel="1">
      <c r="B207" s="200">
        <v>24869</v>
      </c>
      <c r="C207" s="188">
        <v>5.56</v>
      </c>
      <c r="D207" s="104">
        <f t="shared" si="2"/>
        <v>5.5599999999999997E-2</v>
      </c>
      <c r="E207" s="18"/>
      <c r="F207" s="99"/>
    </row>
    <row r="208" spans="2:6" ht="13.8" hidden="1" outlineLevel="1">
      <c r="B208" s="200">
        <v>24898</v>
      </c>
      <c r="C208" s="188">
        <v>5.74</v>
      </c>
      <c r="D208" s="104">
        <f t="shared" si="2"/>
        <v>5.74E-2</v>
      </c>
      <c r="E208" s="18"/>
      <c r="F208" s="99"/>
    </row>
    <row r="209" spans="2:6" ht="13.8" hidden="1" outlineLevel="1">
      <c r="B209" s="200">
        <v>24929</v>
      </c>
      <c r="C209" s="188">
        <v>5.64</v>
      </c>
      <c r="D209" s="104">
        <f t="shared" si="2"/>
        <v>5.6399999999999999E-2</v>
      </c>
      <c r="E209" s="18"/>
      <c r="F209" s="99"/>
    </row>
    <row r="210" spans="2:6" ht="13.8" hidden="1" outlineLevel="1">
      <c r="B210" s="200">
        <v>24959</v>
      </c>
      <c r="C210" s="188">
        <v>5.87</v>
      </c>
      <c r="D210" s="104">
        <f t="shared" si="2"/>
        <v>5.8700000000000002E-2</v>
      </c>
      <c r="E210" s="18"/>
      <c r="F210" s="99"/>
    </row>
    <row r="211" spans="2:6" ht="13.8" hidden="1" outlineLevel="1">
      <c r="B211" s="200">
        <v>24990</v>
      </c>
      <c r="C211" s="188">
        <v>5.72</v>
      </c>
      <c r="D211" s="104">
        <f t="shared" si="2"/>
        <v>5.7200000000000001E-2</v>
      </c>
      <c r="E211" s="18"/>
      <c r="F211" s="99"/>
    </row>
    <row r="212" spans="2:6" ht="13.8" hidden="1" outlineLevel="1">
      <c r="B212" s="200">
        <v>25020</v>
      </c>
      <c r="C212" s="188">
        <v>5.5</v>
      </c>
      <c r="D212" s="104">
        <f t="shared" si="2"/>
        <v>5.5E-2</v>
      </c>
      <c r="E212" s="18"/>
      <c r="F212" s="99"/>
    </row>
    <row r="213" spans="2:6" ht="13.8" hidden="1" outlineLevel="1">
      <c r="B213" s="200">
        <v>25051</v>
      </c>
      <c r="C213" s="188">
        <v>5.42</v>
      </c>
      <c r="D213" s="104">
        <f t="shared" si="2"/>
        <v>5.4199999999999998E-2</v>
      </c>
      <c r="E213" s="18"/>
      <c r="F213" s="99"/>
    </row>
    <row r="214" spans="2:6" ht="13.8" hidden="1" outlineLevel="1">
      <c r="B214" s="200">
        <v>25082</v>
      </c>
      <c r="C214" s="188">
        <v>5.46</v>
      </c>
      <c r="D214" s="104">
        <f t="shared" si="2"/>
        <v>5.4600000000000003E-2</v>
      </c>
      <c r="E214" s="18"/>
      <c r="F214" s="99"/>
    </row>
    <row r="215" spans="2:6" ht="13.8" hidden="1" outlineLevel="1">
      <c r="B215" s="200">
        <v>25112</v>
      </c>
      <c r="C215" s="188">
        <v>5.58</v>
      </c>
      <c r="D215" s="104">
        <f t="shared" si="2"/>
        <v>5.5800000000000002E-2</v>
      </c>
      <c r="E215" s="18"/>
      <c r="F215" s="99"/>
    </row>
    <row r="216" spans="2:6" ht="13.8" hidden="1" outlineLevel="1">
      <c r="B216" s="200">
        <v>25143</v>
      </c>
      <c r="C216" s="188">
        <v>5.7</v>
      </c>
      <c r="D216" s="104">
        <f t="shared" si="2"/>
        <v>5.7000000000000002E-2</v>
      </c>
      <c r="E216" s="18"/>
      <c r="F216" s="99"/>
    </row>
    <row r="217" spans="2:6" ht="13.8" hidden="1" outlineLevel="1">
      <c r="B217" s="200">
        <v>25173</v>
      </c>
      <c r="C217" s="188">
        <v>6.03</v>
      </c>
      <c r="D217" s="104">
        <f t="shared" si="2"/>
        <v>6.0299999999999999E-2</v>
      </c>
      <c r="E217" s="18"/>
      <c r="F217" s="99"/>
    </row>
    <row r="218" spans="2:6" ht="13.8" hidden="1" outlineLevel="1">
      <c r="B218" s="200">
        <v>25204</v>
      </c>
      <c r="C218" s="188">
        <v>6.04</v>
      </c>
      <c r="D218" s="104">
        <f t="shared" si="2"/>
        <v>6.0400000000000002E-2</v>
      </c>
      <c r="E218" s="18"/>
      <c r="F218" s="99"/>
    </row>
    <row r="219" spans="2:6" ht="13.8" hidden="1" outlineLevel="1">
      <c r="B219" s="200">
        <v>25235</v>
      </c>
      <c r="C219" s="188">
        <v>6.19</v>
      </c>
      <c r="D219" s="104">
        <f t="shared" si="2"/>
        <v>6.1900000000000004E-2</v>
      </c>
      <c r="E219" s="18"/>
      <c r="F219" s="99"/>
    </row>
    <row r="220" spans="2:6" ht="13.8" hidden="1" outlineLevel="1">
      <c r="B220" s="200">
        <v>25263</v>
      </c>
      <c r="C220" s="188">
        <v>6.3</v>
      </c>
      <c r="D220" s="104">
        <f t="shared" ref="D220:D283" si="3">C220/100</f>
        <v>6.3E-2</v>
      </c>
      <c r="E220" s="18"/>
      <c r="F220" s="99"/>
    </row>
    <row r="221" spans="2:6" ht="13.8" hidden="1" outlineLevel="1">
      <c r="B221" s="200">
        <v>25294</v>
      </c>
      <c r="C221" s="188">
        <v>6.17</v>
      </c>
      <c r="D221" s="104">
        <f t="shared" si="3"/>
        <v>6.1699999999999998E-2</v>
      </c>
      <c r="E221" s="18"/>
      <c r="F221" s="99"/>
    </row>
    <row r="222" spans="2:6" ht="13.8" hidden="1" outlineLevel="1">
      <c r="B222" s="200">
        <v>25324</v>
      </c>
      <c r="C222" s="188">
        <v>6.32</v>
      </c>
      <c r="D222" s="104">
        <f t="shared" si="3"/>
        <v>6.3200000000000006E-2</v>
      </c>
      <c r="E222" s="18"/>
      <c r="F222" s="99"/>
    </row>
    <row r="223" spans="2:6" ht="13.8" hidden="1" outlineLevel="1">
      <c r="B223" s="200">
        <v>25355</v>
      </c>
      <c r="C223" s="188">
        <v>6.57</v>
      </c>
      <c r="D223" s="104">
        <f t="shared" si="3"/>
        <v>6.5700000000000008E-2</v>
      </c>
      <c r="E223" s="18"/>
      <c r="F223" s="99"/>
    </row>
    <row r="224" spans="2:6" ht="13.8" hidden="1" outlineLevel="1">
      <c r="B224" s="200">
        <v>25385</v>
      </c>
      <c r="C224" s="188">
        <v>6.72</v>
      </c>
      <c r="D224" s="104">
        <f t="shared" si="3"/>
        <v>6.7199999999999996E-2</v>
      </c>
      <c r="E224" s="18"/>
      <c r="F224" s="99"/>
    </row>
    <row r="225" spans="2:6" ht="13.8" hidden="1" outlineLevel="1">
      <c r="B225" s="200">
        <v>25416</v>
      </c>
      <c r="C225" s="188">
        <v>6.69</v>
      </c>
      <c r="D225" s="104">
        <f t="shared" si="3"/>
        <v>6.6900000000000001E-2</v>
      </c>
      <c r="E225" s="18"/>
      <c r="F225" s="99"/>
    </row>
    <row r="226" spans="2:6" ht="13.8" hidden="1" outlineLevel="1">
      <c r="B226" s="200">
        <v>25447</v>
      </c>
      <c r="C226" s="188">
        <v>7.16</v>
      </c>
      <c r="D226" s="104">
        <f t="shared" si="3"/>
        <v>7.1599999999999997E-2</v>
      </c>
      <c r="E226" s="18"/>
      <c r="F226" s="99"/>
    </row>
    <row r="227" spans="2:6" ht="13.8" hidden="1" outlineLevel="1">
      <c r="B227" s="200">
        <v>25477</v>
      </c>
      <c r="C227" s="188">
        <v>7.1</v>
      </c>
      <c r="D227" s="104">
        <f t="shared" si="3"/>
        <v>7.0999999999999994E-2</v>
      </c>
      <c r="E227" s="18"/>
      <c r="F227" s="99"/>
    </row>
    <row r="228" spans="2:6" ht="13.8" hidden="1" outlineLevel="1">
      <c r="B228" s="200">
        <v>25508</v>
      </c>
      <c r="C228" s="188">
        <v>7.14</v>
      </c>
      <c r="D228" s="104">
        <f t="shared" si="3"/>
        <v>7.1399999999999991E-2</v>
      </c>
      <c r="E228" s="18"/>
      <c r="F228" s="99"/>
    </row>
    <row r="229" spans="2:6" ht="13.8" hidden="1" outlineLevel="1">
      <c r="B229" s="200">
        <v>25538</v>
      </c>
      <c r="C229" s="188">
        <v>7.65</v>
      </c>
      <c r="D229" s="104">
        <f t="shared" si="3"/>
        <v>7.6499999999999999E-2</v>
      </c>
      <c r="E229" s="18"/>
      <c r="F229" s="99"/>
    </row>
    <row r="230" spans="2:6" ht="13.8" hidden="1" outlineLevel="1">
      <c r="B230" s="200">
        <v>25569</v>
      </c>
      <c r="C230" s="188">
        <v>7.79</v>
      </c>
      <c r="D230" s="104">
        <f t="shared" si="3"/>
        <v>7.7899999999999997E-2</v>
      </c>
      <c r="E230" s="18"/>
      <c r="F230" s="99"/>
    </row>
    <row r="231" spans="2:6" ht="13.8" hidden="1" outlineLevel="1">
      <c r="B231" s="200">
        <v>25600</v>
      </c>
      <c r="C231" s="188">
        <v>7.24</v>
      </c>
      <c r="D231" s="104">
        <f t="shared" si="3"/>
        <v>7.2400000000000006E-2</v>
      </c>
      <c r="E231" s="18"/>
      <c r="F231" s="99"/>
    </row>
    <row r="232" spans="2:6" ht="13.8" hidden="1" outlineLevel="1">
      <c r="B232" s="200">
        <v>25628</v>
      </c>
      <c r="C232" s="188">
        <v>7.07</v>
      </c>
      <c r="D232" s="104">
        <f t="shared" si="3"/>
        <v>7.0699999999999999E-2</v>
      </c>
      <c r="E232" s="18"/>
      <c r="F232" s="99"/>
    </row>
    <row r="233" spans="2:6" ht="13.8" hidden="1" outlineLevel="1">
      <c r="B233" s="200">
        <v>25659</v>
      </c>
      <c r="C233" s="188">
        <v>7.39</v>
      </c>
      <c r="D233" s="104">
        <f t="shared" si="3"/>
        <v>7.3899999999999993E-2</v>
      </c>
      <c r="E233" s="18"/>
      <c r="F233" s="99"/>
    </row>
    <row r="234" spans="2:6" ht="13.8" hidden="1" outlineLevel="1">
      <c r="B234" s="200">
        <v>25689</v>
      </c>
      <c r="C234" s="188">
        <v>7.91</v>
      </c>
      <c r="D234" s="104">
        <f t="shared" si="3"/>
        <v>7.9100000000000004E-2</v>
      </c>
      <c r="E234" s="18"/>
      <c r="F234" s="99"/>
    </row>
    <row r="235" spans="2:6" ht="13.8" hidden="1" outlineLevel="1">
      <c r="B235" s="200">
        <v>25720</v>
      </c>
      <c r="C235" s="188">
        <v>7.84</v>
      </c>
      <c r="D235" s="104">
        <f t="shared" si="3"/>
        <v>7.8399999999999997E-2</v>
      </c>
      <c r="E235" s="18"/>
      <c r="F235" s="99"/>
    </row>
    <row r="236" spans="2:6" ht="13.8" hidden="1" outlineLevel="1">
      <c r="B236" s="200">
        <v>25750</v>
      </c>
      <c r="C236" s="188">
        <v>7.46</v>
      </c>
      <c r="D236" s="104">
        <f t="shared" si="3"/>
        <v>7.46E-2</v>
      </c>
      <c r="E236" s="18"/>
      <c r="F236" s="99"/>
    </row>
    <row r="237" spans="2:6" ht="13.8" hidden="1" outlineLevel="1">
      <c r="B237" s="200">
        <v>25781</v>
      </c>
      <c r="C237" s="188">
        <v>7.53</v>
      </c>
      <c r="D237" s="104">
        <f t="shared" si="3"/>
        <v>7.5300000000000006E-2</v>
      </c>
      <c r="E237" s="18"/>
      <c r="F237" s="99"/>
    </row>
    <row r="238" spans="2:6" ht="13.8" hidden="1" outlineLevel="1">
      <c r="B238" s="200">
        <v>25812</v>
      </c>
      <c r="C238" s="188">
        <v>7.39</v>
      </c>
      <c r="D238" s="104">
        <f t="shared" si="3"/>
        <v>7.3899999999999993E-2</v>
      </c>
      <c r="E238" s="18"/>
      <c r="F238" s="99"/>
    </row>
    <row r="239" spans="2:6" ht="13.8" hidden="1" outlineLevel="1">
      <c r="B239" s="200">
        <v>25842</v>
      </c>
      <c r="C239" s="188">
        <v>7.33</v>
      </c>
      <c r="D239" s="104">
        <f t="shared" si="3"/>
        <v>7.3300000000000004E-2</v>
      </c>
      <c r="E239" s="18"/>
      <c r="F239" s="99"/>
    </row>
    <row r="240" spans="2:6" ht="13.8" hidden="1" outlineLevel="1">
      <c r="B240" s="200">
        <v>25873</v>
      </c>
      <c r="C240" s="188">
        <v>6.84</v>
      </c>
      <c r="D240" s="104">
        <f t="shared" si="3"/>
        <v>6.8400000000000002E-2</v>
      </c>
      <c r="E240" s="18"/>
      <c r="F240" s="99"/>
    </row>
    <row r="241" spans="2:6" ht="13.8" hidden="1" outlineLevel="1">
      <c r="B241" s="200">
        <v>25903</v>
      </c>
      <c r="C241" s="188">
        <v>6.39</v>
      </c>
      <c r="D241" s="104">
        <f t="shared" si="3"/>
        <v>6.3899999999999998E-2</v>
      </c>
      <c r="E241" s="18"/>
      <c r="F241" s="99"/>
    </row>
    <row r="242" spans="2:6" ht="13.8" hidden="1" outlineLevel="1">
      <c r="B242" s="200">
        <v>25934</v>
      </c>
      <c r="C242" s="188">
        <v>6.24</v>
      </c>
      <c r="D242" s="104">
        <f t="shared" si="3"/>
        <v>6.2400000000000004E-2</v>
      </c>
      <c r="E242" s="18"/>
      <c r="F242" s="99"/>
    </row>
    <row r="243" spans="2:6" ht="13.8" hidden="1" outlineLevel="1">
      <c r="B243" s="200">
        <v>25965</v>
      </c>
      <c r="C243" s="188">
        <v>6.11</v>
      </c>
      <c r="D243" s="104">
        <f t="shared" si="3"/>
        <v>6.1100000000000002E-2</v>
      </c>
      <c r="E243" s="18"/>
      <c r="F243" s="99"/>
    </row>
    <row r="244" spans="2:6" ht="13.8" hidden="1" outlineLevel="1">
      <c r="B244" s="200">
        <v>25993</v>
      </c>
      <c r="C244" s="188">
        <v>5.7</v>
      </c>
      <c r="D244" s="104">
        <f t="shared" si="3"/>
        <v>5.7000000000000002E-2</v>
      </c>
      <c r="E244" s="18"/>
      <c r="F244" s="99"/>
    </row>
    <row r="245" spans="2:6" ht="13.8" hidden="1" outlineLevel="1">
      <c r="B245" s="200">
        <v>26024</v>
      </c>
      <c r="C245" s="188">
        <v>5.83</v>
      </c>
      <c r="D245" s="104">
        <f t="shared" si="3"/>
        <v>5.8299999999999998E-2</v>
      </c>
      <c r="E245" s="18"/>
      <c r="F245" s="99"/>
    </row>
    <row r="246" spans="2:6" ht="13.8" hidden="1" outlineLevel="1">
      <c r="B246" s="200">
        <v>26054</v>
      </c>
      <c r="C246" s="188">
        <v>6.39</v>
      </c>
      <c r="D246" s="104">
        <f t="shared" si="3"/>
        <v>6.3899999999999998E-2</v>
      </c>
      <c r="E246" s="18"/>
      <c r="F246" s="99"/>
    </row>
    <row r="247" spans="2:6" ht="13.8" hidden="1" outlineLevel="1">
      <c r="B247" s="200">
        <v>26085</v>
      </c>
      <c r="C247" s="188">
        <v>6.52</v>
      </c>
      <c r="D247" s="104">
        <f t="shared" si="3"/>
        <v>6.5199999999999994E-2</v>
      </c>
      <c r="E247" s="18"/>
      <c r="F247" s="99"/>
    </row>
    <row r="248" spans="2:6" ht="13.8" hidden="1" outlineLevel="1">
      <c r="B248" s="200">
        <v>26115</v>
      </c>
      <c r="C248" s="188">
        <v>6.73</v>
      </c>
      <c r="D248" s="104">
        <f t="shared" si="3"/>
        <v>6.7299999999999999E-2</v>
      </c>
      <c r="E248" s="18"/>
      <c r="F248" s="99"/>
    </row>
    <row r="249" spans="2:6" ht="13.8" hidden="1" outlineLevel="1">
      <c r="B249" s="200">
        <v>26146</v>
      </c>
      <c r="C249" s="188">
        <v>6.58</v>
      </c>
      <c r="D249" s="104">
        <f t="shared" si="3"/>
        <v>6.5799999999999997E-2</v>
      </c>
      <c r="E249" s="18"/>
      <c r="F249" s="99"/>
    </row>
    <row r="250" spans="2:6" ht="13.8" hidden="1" outlineLevel="1">
      <c r="B250" s="200">
        <v>26177</v>
      </c>
      <c r="C250" s="188">
        <v>6.14</v>
      </c>
      <c r="D250" s="104">
        <f t="shared" si="3"/>
        <v>6.1399999999999996E-2</v>
      </c>
      <c r="E250" s="18"/>
      <c r="F250" s="99"/>
    </row>
    <row r="251" spans="2:6" ht="13.8" hidden="1" outlineLevel="1">
      <c r="B251" s="200">
        <v>26207</v>
      </c>
      <c r="C251" s="188">
        <v>5.93</v>
      </c>
      <c r="D251" s="104">
        <f t="shared" si="3"/>
        <v>5.9299999999999999E-2</v>
      </c>
      <c r="E251" s="18"/>
      <c r="F251" s="99"/>
    </row>
    <row r="252" spans="2:6" ht="13.8" hidden="1" outlineLevel="1">
      <c r="B252" s="200">
        <v>26238</v>
      </c>
      <c r="C252" s="188">
        <v>5.81</v>
      </c>
      <c r="D252" s="104">
        <f t="shared" si="3"/>
        <v>5.8099999999999999E-2</v>
      </c>
      <c r="E252" s="18"/>
      <c r="F252" s="99"/>
    </row>
    <row r="253" spans="2:6" ht="13.8" hidden="1" outlineLevel="1">
      <c r="B253" s="200">
        <v>26268</v>
      </c>
      <c r="C253" s="188">
        <v>5.93</v>
      </c>
      <c r="D253" s="104">
        <f t="shared" si="3"/>
        <v>5.9299999999999999E-2</v>
      </c>
      <c r="E253" s="18"/>
      <c r="F253" s="99"/>
    </row>
    <row r="254" spans="2:6" ht="13.8" hidden="1" outlineLevel="1">
      <c r="B254" s="200">
        <v>26299</v>
      </c>
      <c r="C254" s="188">
        <v>5.95</v>
      </c>
      <c r="D254" s="104">
        <f t="shared" si="3"/>
        <v>5.9500000000000004E-2</v>
      </c>
      <c r="E254" s="18"/>
      <c r="F254" s="99"/>
    </row>
    <row r="255" spans="2:6" ht="13.8" hidden="1" outlineLevel="1">
      <c r="B255" s="200">
        <v>26330</v>
      </c>
      <c r="C255" s="188">
        <v>6.08</v>
      </c>
      <c r="D255" s="104">
        <f t="shared" si="3"/>
        <v>6.08E-2</v>
      </c>
      <c r="E255" s="18"/>
      <c r="F255" s="99"/>
    </row>
    <row r="256" spans="2:6" ht="13.8" hidden="1" outlineLevel="1">
      <c r="B256" s="200">
        <v>26359</v>
      </c>
      <c r="C256" s="188">
        <v>6.07</v>
      </c>
      <c r="D256" s="104">
        <f t="shared" si="3"/>
        <v>6.0700000000000004E-2</v>
      </c>
      <c r="E256" s="18"/>
      <c r="F256" s="99"/>
    </row>
    <row r="257" spans="2:6" ht="13.8" hidden="1" outlineLevel="1">
      <c r="B257" s="200">
        <v>26390</v>
      </c>
      <c r="C257" s="188">
        <v>6.19</v>
      </c>
      <c r="D257" s="104">
        <f t="shared" si="3"/>
        <v>6.1900000000000004E-2</v>
      </c>
      <c r="E257" s="18"/>
      <c r="F257" s="99"/>
    </row>
    <row r="258" spans="2:6" ht="13.8" hidden="1" outlineLevel="1">
      <c r="B258" s="200">
        <v>26420</v>
      </c>
      <c r="C258" s="188">
        <v>6.13</v>
      </c>
      <c r="D258" s="104">
        <f t="shared" si="3"/>
        <v>6.13E-2</v>
      </c>
      <c r="E258" s="18"/>
      <c r="F258" s="99"/>
    </row>
    <row r="259" spans="2:6" ht="13.8" hidden="1" outlineLevel="1">
      <c r="B259" s="200">
        <v>26451</v>
      </c>
      <c r="C259" s="188">
        <v>6.11</v>
      </c>
      <c r="D259" s="104">
        <f t="shared" si="3"/>
        <v>6.1100000000000002E-2</v>
      </c>
      <c r="E259" s="18"/>
      <c r="F259" s="99"/>
    </row>
    <row r="260" spans="2:6" ht="13.8" hidden="1" outlineLevel="1">
      <c r="B260" s="200">
        <v>26481</v>
      </c>
      <c r="C260" s="188">
        <v>6.11</v>
      </c>
      <c r="D260" s="104">
        <f t="shared" si="3"/>
        <v>6.1100000000000002E-2</v>
      </c>
      <c r="E260" s="18"/>
      <c r="F260" s="99"/>
    </row>
    <row r="261" spans="2:6" ht="13.8" hidden="1" outlineLevel="1">
      <c r="B261" s="200">
        <v>26512</v>
      </c>
      <c r="C261" s="188">
        <v>6.21</v>
      </c>
      <c r="D261" s="104">
        <f t="shared" si="3"/>
        <v>6.2100000000000002E-2</v>
      </c>
      <c r="E261" s="18"/>
      <c r="F261" s="99"/>
    </row>
    <row r="262" spans="2:6" ht="13.8" hidden="1" outlineLevel="1">
      <c r="B262" s="200">
        <v>26543</v>
      </c>
      <c r="C262" s="188">
        <v>6.55</v>
      </c>
      <c r="D262" s="104">
        <f t="shared" si="3"/>
        <v>6.5500000000000003E-2</v>
      </c>
      <c r="E262" s="18"/>
      <c r="F262" s="99"/>
    </row>
    <row r="263" spans="2:6" ht="13.8" hidden="1" outlineLevel="1">
      <c r="B263" s="200">
        <v>26573</v>
      </c>
      <c r="C263" s="188">
        <v>6.48</v>
      </c>
      <c r="D263" s="104">
        <f t="shared" si="3"/>
        <v>6.480000000000001E-2</v>
      </c>
      <c r="E263" s="18"/>
      <c r="F263" s="99"/>
    </row>
    <row r="264" spans="2:6" ht="13.8" hidden="1" outlineLevel="1">
      <c r="B264" s="200">
        <v>26604</v>
      </c>
      <c r="C264" s="188">
        <v>6.28</v>
      </c>
      <c r="D264" s="104">
        <f t="shared" si="3"/>
        <v>6.2800000000000009E-2</v>
      </c>
      <c r="E264" s="18"/>
      <c r="F264" s="99"/>
    </row>
    <row r="265" spans="2:6" ht="13.8" hidden="1" outlineLevel="1">
      <c r="B265" s="200">
        <v>26634</v>
      </c>
      <c r="C265" s="188">
        <v>6.36</v>
      </c>
      <c r="D265" s="104">
        <f t="shared" si="3"/>
        <v>6.3600000000000004E-2</v>
      </c>
      <c r="E265" s="18"/>
      <c r="F265" s="99"/>
    </row>
    <row r="266" spans="2:6" ht="13.8" hidden="1" outlineLevel="1">
      <c r="B266" s="200">
        <v>26665</v>
      </c>
      <c r="C266" s="188">
        <v>6.46</v>
      </c>
      <c r="D266" s="104">
        <f t="shared" si="3"/>
        <v>6.4600000000000005E-2</v>
      </c>
      <c r="E266" s="18"/>
      <c r="F266" s="99"/>
    </row>
    <row r="267" spans="2:6" ht="13.8" hidden="1" outlineLevel="1">
      <c r="B267" s="200">
        <v>26696</v>
      </c>
      <c r="C267" s="188">
        <v>6.64</v>
      </c>
      <c r="D267" s="104">
        <f t="shared" si="3"/>
        <v>6.6400000000000001E-2</v>
      </c>
      <c r="E267" s="18"/>
      <c r="F267" s="99"/>
    </row>
    <row r="268" spans="2:6" ht="13.8" hidden="1" outlineLevel="1">
      <c r="B268" s="200">
        <v>26724</v>
      </c>
      <c r="C268" s="188">
        <v>6.71</v>
      </c>
      <c r="D268" s="104">
        <f t="shared" si="3"/>
        <v>6.7099999999999993E-2</v>
      </c>
      <c r="E268" s="18"/>
      <c r="F268" s="99"/>
    </row>
    <row r="269" spans="2:6" ht="13.8" hidden="1" outlineLevel="1">
      <c r="B269" s="200">
        <v>26755</v>
      </c>
      <c r="C269" s="188">
        <v>6.67</v>
      </c>
      <c r="D269" s="104">
        <f t="shared" si="3"/>
        <v>6.6699999999999995E-2</v>
      </c>
      <c r="E269" s="18"/>
      <c r="F269" s="99"/>
    </row>
    <row r="270" spans="2:6" ht="13.8" hidden="1" outlineLevel="1">
      <c r="B270" s="200">
        <v>26785</v>
      </c>
      <c r="C270" s="188">
        <v>6.85</v>
      </c>
      <c r="D270" s="104">
        <f t="shared" si="3"/>
        <v>6.8499999999999991E-2</v>
      </c>
      <c r="E270" s="18"/>
      <c r="F270" s="99"/>
    </row>
    <row r="271" spans="2:6" ht="13.8" hidden="1" outlineLevel="1">
      <c r="B271" s="200">
        <v>26816</v>
      </c>
      <c r="C271" s="188">
        <v>6.9</v>
      </c>
      <c r="D271" s="104">
        <f t="shared" si="3"/>
        <v>6.9000000000000006E-2</v>
      </c>
      <c r="E271" s="18"/>
      <c r="F271" s="99"/>
    </row>
    <row r="272" spans="2:6" ht="13.8" hidden="1" outlineLevel="1">
      <c r="B272" s="200">
        <v>26846</v>
      </c>
      <c r="C272" s="188">
        <v>7.13</v>
      </c>
      <c r="D272" s="104">
        <f t="shared" si="3"/>
        <v>7.1300000000000002E-2</v>
      </c>
      <c r="E272" s="18"/>
      <c r="F272" s="99"/>
    </row>
    <row r="273" spans="2:6" ht="13.8" hidden="1" outlineLevel="1">
      <c r="B273" s="200">
        <v>26877</v>
      </c>
      <c r="C273" s="188">
        <v>7.4</v>
      </c>
      <c r="D273" s="104">
        <f t="shared" si="3"/>
        <v>7.400000000000001E-2</v>
      </c>
      <c r="E273" s="18"/>
      <c r="F273" s="99"/>
    </row>
    <row r="274" spans="2:6" ht="13.8" hidden="1" outlineLevel="1">
      <c r="B274" s="200">
        <v>26908</v>
      </c>
      <c r="C274" s="188">
        <v>7.09</v>
      </c>
      <c r="D274" s="104">
        <f t="shared" si="3"/>
        <v>7.0900000000000005E-2</v>
      </c>
      <c r="E274" s="18"/>
      <c r="F274" s="99"/>
    </row>
    <row r="275" spans="2:6" ht="13.8" hidden="1" outlineLevel="1">
      <c r="B275" s="200">
        <v>26938</v>
      </c>
      <c r="C275" s="188">
        <v>6.79</v>
      </c>
      <c r="D275" s="104">
        <f t="shared" si="3"/>
        <v>6.7900000000000002E-2</v>
      </c>
      <c r="E275" s="18"/>
      <c r="F275" s="99"/>
    </row>
    <row r="276" spans="2:6" ht="13.8" hidden="1" outlineLevel="1">
      <c r="B276" s="200">
        <v>26969</v>
      </c>
      <c r="C276" s="188">
        <v>6.73</v>
      </c>
      <c r="D276" s="104">
        <f t="shared" si="3"/>
        <v>6.7299999999999999E-2</v>
      </c>
      <c r="E276" s="18"/>
      <c r="F276" s="99"/>
    </row>
    <row r="277" spans="2:6" ht="13.8" hidden="1" outlineLevel="1">
      <c r="B277" s="200">
        <v>26999</v>
      </c>
      <c r="C277" s="188">
        <v>6.74</v>
      </c>
      <c r="D277" s="104">
        <f t="shared" si="3"/>
        <v>6.7400000000000002E-2</v>
      </c>
      <c r="E277" s="18"/>
      <c r="F277" s="99"/>
    </row>
    <row r="278" spans="2:6" ht="13.8" hidden="1" outlineLevel="1">
      <c r="B278" s="200">
        <v>27030</v>
      </c>
      <c r="C278" s="188">
        <v>6.99</v>
      </c>
      <c r="D278" s="104">
        <f t="shared" si="3"/>
        <v>6.9900000000000004E-2</v>
      </c>
      <c r="E278" s="18"/>
      <c r="F278" s="99"/>
    </row>
    <row r="279" spans="2:6" ht="13.8" hidden="1" outlineLevel="1">
      <c r="B279" s="200">
        <v>27061</v>
      </c>
      <c r="C279" s="188">
        <v>6.96</v>
      </c>
      <c r="D279" s="104">
        <f t="shared" si="3"/>
        <v>6.9599999999999995E-2</v>
      </c>
      <c r="E279" s="18"/>
      <c r="F279" s="99"/>
    </row>
    <row r="280" spans="2:6" ht="13.8" hidden="1" outlineLevel="1">
      <c r="B280" s="200">
        <v>27089</v>
      </c>
      <c r="C280" s="188">
        <v>7.21</v>
      </c>
      <c r="D280" s="104">
        <f t="shared" si="3"/>
        <v>7.2099999999999997E-2</v>
      </c>
      <c r="E280" s="18"/>
      <c r="F280" s="99"/>
    </row>
    <row r="281" spans="2:6" ht="13.8" hidden="1" outlineLevel="1">
      <c r="B281" s="200">
        <v>27120</v>
      </c>
      <c r="C281" s="188">
        <v>7.51</v>
      </c>
      <c r="D281" s="104">
        <f t="shared" si="3"/>
        <v>7.51E-2</v>
      </c>
      <c r="E281" s="18"/>
      <c r="F281" s="99"/>
    </row>
    <row r="282" spans="2:6" ht="13.8" hidden="1" outlineLevel="1">
      <c r="B282" s="200">
        <v>27150</v>
      </c>
      <c r="C282" s="188">
        <v>7.58</v>
      </c>
      <c r="D282" s="104">
        <f t="shared" si="3"/>
        <v>7.5800000000000006E-2</v>
      </c>
      <c r="E282" s="18"/>
      <c r="F282" s="99"/>
    </row>
    <row r="283" spans="2:6" ht="13.8" hidden="1" outlineLevel="1">
      <c r="B283" s="200">
        <v>27181</v>
      </c>
      <c r="C283" s="188">
        <v>7.54</v>
      </c>
      <c r="D283" s="104">
        <f t="shared" si="3"/>
        <v>7.5399999999999995E-2</v>
      </c>
      <c r="E283" s="18"/>
      <c r="F283" s="99"/>
    </row>
    <row r="284" spans="2:6" ht="13.8" hidden="1" outlineLevel="1">
      <c r="B284" s="200">
        <v>27211</v>
      </c>
      <c r="C284" s="188">
        <v>7.81</v>
      </c>
      <c r="D284" s="104">
        <f t="shared" ref="D284:D347" si="4">C284/100</f>
        <v>7.8100000000000003E-2</v>
      </c>
      <c r="E284" s="18"/>
      <c r="F284" s="99"/>
    </row>
    <row r="285" spans="2:6" ht="13.8" hidden="1" outlineLevel="1">
      <c r="B285" s="200">
        <v>27242</v>
      </c>
      <c r="C285" s="188">
        <v>8.0399999999999991</v>
      </c>
      <c r="D285" s="104">
        <f t="shared" si="4"/>
        <v>8.0399999999999985E-2</v>
      </c>
      <c r="E285" s="18"/>
      <c r="F285" s="99"/>
    </row>
    <row r="286" spans="2:6" ht="13.8" hidden="1" outlineLevel="1">
      <c r="B286" s="200">
        <v>27273</v>
      </c>
      <c r="C286" s="188">
        <v>8.0399999999999991</v>
      </c>
      <c r="D286" s="104">
        <f t="shared" si="4"/>
        <v>8.0399999999999985E-2</v>
      </c>
      <c r="E286" s="18"/>
      <c r="F286" s="99"/>
    </row>
    <row r="287" spans="2:6" ht="13.8" hidden="1" outlineLevel="1">
      <c r="B287" s="200">
        <v>27303</v>
      </c>
      <c r="C287" s="188">
        <v>7.9</v>
      </c>
      <c r="D287" s="104">
        <f t="shared" si="4"/>
        <v>7.9000000000000001E-2</v>
      </c>
      <c r="E287" s="18"/>
      <c r="F287" s="99"/>
    </row>
    <row r="288" spans="2:6" ht="13.8" hidden="1" outlineLevel="1">
      <c r="B288" s="200">
        <v>27334</v>
      </c>
      <c r="C288" s="188">
        <v>7.68</v>
      </c>
      <c r="D288" s="104">
        <f t="shared" si="4"/>
        <v>7.6799999999999993E-2</v>
      </c>
      <c r="E288" s="18"/>
      <c r="F288" s="99"/>
    </row>
    <row r="289" spans="2:6" ht="13.8" hidden="1" outlineLevel="1">
      <c r="B289" s="200">
        <v>27364</v>
      </c>
      <c r="C289" s="188">
        <v>7.43</v>
      </c>
      <c r="D289" s="104">
        <f t="shared" si="4"/>
        <v>7.4299999999999991E-2</v>
      </c>
      <c r="E289" s="18"/>
      <c r="F289" s="99"/>
    </row>
    <row r="290" spans="2:6" ht="13.8" hidden="1" outlineLevel="1">
      <c r="B290" s="200">
        <v>27395</v>
      </c>
      <c r="C290" s="188">
        <v>7.5</v>
      </c>
      <c r="D290" s="104">
        <f t="shared" si="4"/>
        <v>7.4999999999999997E-2</v>
      </c>
      <c r="E290" s="18"/>
      <c r="F290" s="99"/>
    </row>
    <row r="291" spans="2:6" ht="13.8" hidden="1" outlineLevel="1">
      <c r="B291" s="200">
        <v>27426</v>
      </c>
      <c r="C291" s="188">
        <v>7.39</v>
      </c>
      <c r="D291" s="104">
        <f t="shared" si="4"/>
        <v>7.3899999999999993E-2</v>
      </c>
      <c r="E291" s="18"/>
      <c r="F291" s="99"/>
    </row>
    <row r="292" spans="2:6" ht="13.8" hidden="1" outlineLevel="1">
      <c r="B292" s="200">
        <v>27454</v>
      </c>
      <c r="C292" s="188">
        <v>7.73</v>
      </c>
      <c r="D292" s="104">
        <f t="shared" si="4"/>
        <v>7.7300000000000008E-2</v>
      </c>
      <c r="E292" s="18"/>
      <c r="F292" s="99"/>
    </row>
    <row r="293" spans="2:6" ht="13.8" hidden="1" outlineLevel="1">
      <c r="B293" s="200">
        <v>27485</v>
      </c>
      <c r="C293" s="188">
        <v>8.23</v>
      </c>
      <c r="D293" s="104">
        <f t="shared" si="4"/>
        <v>8.2299999999999998E-2</v>
      </c>
      <c r="E293" s="18"/>
      <c r="F293" s="99"/>
    </row>
    <row r="294" spans="2:6" ht="13.8" hidden="1" outlineLevel="1">
      <c r="B294" s="200">
        <v>27515</v>
      </c>
      <c r="C294" s="188">
        <v>8.06</v>
      </c>
      <c r="D294" s="104">
        <f t="shared" si="4"/>
        <v>8.0600000000000005E-2</v>
      </c>
      <c r="E294" s="18"/>
      <c r="F294" s="99"/>
    </row>
    <row r="295" spans="2:6" ht="13.8" hidden="1" outlineLevel="1">
      <c r="B295" s="200">
        <v>27546</v>
      </c>
      <c r="C295" s="188">
        <v>7.86</v>
      </c>
      <c r="D295" s="104">
        <f t="shared" si="4"/>
        <v>7.8600000000000003E-2</v>
      </c>
      <c r="E295" s="18"/>
      <c r="F295" s="99"/>
    </row>
    <row r="296" spans="2:6" ht="13.8" hidden="1" outlineLevel="1">
      <c r="B296" s="200">
        <v>27576</v>
      </c>
      <c r="C296" s="188">
        <v>8.06</v>
      </c>
      <c r="D296" s="104">
        <f t="shared" si="4"/>
        <v>8.0600000000000005E-2</v>
      </c>
      <c r="E296" s="18"/>
      <c r="F296" s="99"/>
    </row>
    <row r="297" spans="2:6" ht="13.8" hidden="1" outlineLevel="1">
      <c r="B297" s="200">
        <v>27607</v>
      </c>
      <c r="C297" s="188">
        <v>8.4</v>
      </c>
      <c r="D297" s="104">
        <f t="shared" si="4"/>
        <v>8.4000000000000005E-2</v>
      </c>
      <c r="E297" s="18"/>
      <c r="F297" s="99"/>
    </row>
    <row r="298" spans="2:6" ht="13.8" hidden="1" outlineLevel="1">
      <c r="B298" s="200">
        <v>27638</v>
      </c>
      <c r="C298" s="188">
        <v>8.43</v>
      </c>
      <c r="D298" s="104">
        <f t="shared" si="4"/>
        <v>8.43E-2</v>
      </c>
      <c r="E298" s="18"/>
      <c r="F298" s="99"/>
    </row>
    <row r="299" spans="2:6" ht="13.8" hidden="1" outlineLevel="1">
      <c r="B299" s="200">
        <v>27668</v>
      </c>
      <c r="C299" s="188">
        <v>8.14</v>
      </c>
      <c r="D299" s="104">
        <f t="shared" si="4"/>
        <v>8.14E-2</v>
      </c>
      <c r="E299" s="18"/>
      <c r="F299" s="99"/>
    </row>
    <row r="300" spans="2:6" ht="13.8" hidden="1" outlineLevel="1">
      <c r="B300" s="200">
        <v>27699</v>
      </c>
      <c r="C300" s="188">
        <v>8.0500000000000007</v>
      </c>
      <c r="D300" s="104">
        <f t="shared" si="4"/>
        <v>8.0500000000000002E-2</v>
      </c>
      <c r="E300" s="18"/>
      <c r="F300" s="99"/>
    </row>
    <row r="301" spans="2:6" ht="13.8" hidden="1" outlineLevel="1">
      <c r="B301" s="200">
        <v>27729</v>
      </c>
      <c r="C301" s="188">
        <v>8</v>
      </c>
      <c r="D301" s="104">
        <f t="shared" si="4"/>
        <v>0.08</v>
      </c>
      <c r="E301" s="18"/>
      <c r="F301" s="99"/>
    </row>
    <row r="302" spans="2:6" ht="13.8" hidden="1" outlineLevel="1">
      <c r="B302" s="200">
        <v>27760</v>
      </c>
      <c r="C302" s="188">
        <v>7.74</v>
      </c>
      <c r="D302" s="104">
        <f t="shared" si="4"/>
        <v>7.7399999999999997E-2</v>
      </c>
      <c r="E302" s="18"/>
      <c r="F302" s="99"/>
    </row>
    <row r="303" spans="2:6" ht="13.8" hidden="1" outlineLevel="1">
      <c r="B303" s="200">
        <v>27791</v>
      </c>
      <c r="C303" s="188">
        <v>7.79</v>
      </c>
      <c r="D303" s="104">
        <f t="shared" si="4"/>
        <v>7.7899999999999997E-2</v>
      </c>
      <c r="E303" s="18"/>
      <c r="F303" s="99"/>
    </row>
    <row r="304" spans="2:6" ht="13.8" hidden="1" outlineLevel="1">
      <c r="B304" s="200">
        <v>27820</v>
      </c>
      <c r="C304" s="188">
        <v>7.73</v>
      </c>
      <c r="D304" s="104">
        <f t="shared" si="4"/>
        <v>7.7300000000000008E-2</v>
      </c>
      <c r="E304" s="18"/>
      <c r="F304" s="99"/>
    </row>
    <row r="305" spans="2:6" ht="13.8" hidden="1" outlineLevel="1">
      <c r="B305" s="200">
        <v>27851</v>
      </c>
      <c r="C305" s="188">
        <v>7.56</v>
      </c>
      <c r="D305" s="104">
        <f t="shared" si="4"/>
        <v>7.5600000000000001E-2</v>
      </c>
      <c r="E305" s="18"/>
      <c r="F305" s="99"/>
    </row>
    <row r="306" spans="2:6" ht="13.8" hidden="1" outlineLevel="1">
      <c r="B306" s="200">
        <v>27881</v>
      </c>
      <c r="C306" s="188">
        <v>7.9</v>
      </c>
      <c r="D306" s="104">
        <f t="shared" si="4"/>
        <v>7.9000000000000001E-2</v>
      </c>
      <c r="E306" s="18"/>
      <c r="F306" s="99"/>
    </row>
    <row r="307" spans="2:6" ht="13.8" hidden="1" outlineLevel="1">
      <c r="B307" s="200">
        <v>27912</v>
      </c>
      <c r="C307" s="188">
        <v>7.86</v>
      </c>
      <c r="D307" s="104">
        <f t="shared" si="4"/>
        <v>7.8600000000000003E-2</v>
      </c>
      <c r="E307" s="18"/>
      <c r="F307" s="99"/>
    </row>
    <row r="308" spans="2:6" ht="13.8" hidden="1" outlineLevel="1">
      <c r="B308" s="200">
        <v>27942</v>
      </c>
      <c r="C308" s="188">
        <v>7.83</v>
      </c>
      <c r="D308" s="104">
        <f t="shared" si="4"/>
        <v>7.8299999999999995E-2</v>
      </c>
      <c r="E308" s="18"/>
      <c r="F308" s="99"/>
    </row>
    <row r="309" spans="2:6" ht="13.8" hidden="1" outlineLevel="1">
      <c r="B309" s="200">
        <v>27973</v>
      </c>
      <c r="C309" s="188">
        <v>7.77</v>
      </c>
      <c r="D309" s="104">
        <f t="shared" si="4"/>
        <v>7.7699999999999991E-2</v>
      </c>
      <c r="E309" s="18"/>
      <c r="F309" s="99"/>
    </row>
    <row r="310" spans="2:6" ht="13.8" hidden="1" outlineLevel="1">
      <c r="B310" s="200">
        <v>28004</v>
      </c>
      <c r="C310" s="188">
        <v>7.59</v>
      </c>
      <c r="D310" s="104">
        <f t="shared" si="4"/>
        <v>7.5899999999999995E-2</v>
      </c>
      <c r="E310" s="18"/>
      <c r="F310" s="99"/>
    </row>
    <row r="311" spans="2:6" ht="13.8" hidden="1" outlineLevel="1">
      <c r="B311" s="200">
        <v>28034</v>
      </c>
      <c r="C311" s="188">
        <v>7.41</v>
      </c>
      <c r="D311" s="104">
        <f t="shared" si="4"/>
        <v>7.4099999999999999E-2</v>
      </c>
      <c r="E311" s="18"/>
      <c r="F311" s="99"/>
    </row>
    <row r="312" spans="2:6" ht="13.8" hidden="1" outlineLevel="1">
      <c r="B312" s="200">
        <v>28065</v>
      </c>
      <c r="C312" s="188">
        <v>7.29</v>
      </c>
      <c r="D312" s="104">
        <f t="shared" si="4"/>
        <v>7.2900000000000006E-2</v>
      </c>
      <c r="E312" s="18"/>
      <c r="F312" s="99"/>
    </row>
    <row r="313" spans="2:6" ht="13.8" hidden="1" outlineLevel="1">
      <c r="B313" s="200">
        <v>28095</v>
      </c>
      <c r="C313" s="188">
        <v>6.87</v>
      </c>
      <c r="D313" s="104">
        <f t="shared" si="4"/>
        <v>6.8699999999999997E-2</v>
      </c>
      <c r="E313" s="18"/>
      <c r="F313" s="99"/>
    </row>
    <row r="314" spans="2:6" ht="13.8" hidden="1" outlineLevel="1">
      <c r="B314" s="200">
        <v>28126</v>
      </c>
      <c r="C314" s="188">
        <v>7.21</v>
      </c>
      <c r="D314" s="104">
        <f t="shared" si="4"/>
        <v>7.2099999999999997E-2</v>
      </c>
      <c r="E314" s="18"/>
      <c r="F314" s="99"/>
    </row>
    <row r="315" spans="2:6" ht="13.8" hidden="1" outlineLevel="1">
      <c r="B315" s="200">
        <v>28157</v>
      </c>
      <c r="C315" s="188">
        <v>7.39</v>
      </c>
      <c r="D315" s="104">
        <f t="shared" si="4"/>
        <v>7.3899999999999993E-2</v>
      </c>
      <c r="E315" s="18"/>
      <c r="F315" s="99"/>
    </row>
    <row r="316" spans="2:6" ht="13.8" hidden="1" outlineLevel="1">
      <c r="B316" s="200">
        <v>28185</v>
      </c>
      <c r="C316" s="188">
        <v>7.46</v>
      </c>
      <c r="D316" s="104">
        <f t="shared" si="4"/>
        <v>7.46E-2</v>
      </c>
      <c r="E316" s="18"/>
      <c r="F316" s="99"/>
    </row>
    <row r="317" spans="2:6" ht="13.8" hidden="1" outlineLevel="1">
      <c r="B317" s="200">
        <v>28216</v>
      </c>
      <c r="C317" s="188">
        <v>7.37</v>
      </c>
      <c r="D317" s="104">
        <f t="shared" si="4"/>
        <v>7.3700000000000002E-2</v>
      </c>
      <c r="E317" s="18"/>
      <c r="F317" s="99"/>
    </row>
    <row r="318" spans="2:6" ht="13.8" hidden="1" outlineLevel="1">
      <c r="B318" s="200">
        <v>28246</v>
      </c>
      <c r="C318" s="188">
        <v>7.46</v>
      </c>
      <c r="D318" s="104">
        <f t="shared" si="4"/>
        <v>7.46E-2</v>
      </c>
      <c r="E318" s="18"/>
      <c r="F318" s="99"/>
    </row>
    <row r="319" spans="2:6" ht="13.8" hidden="1" outlineLevel="1">
      <c r="B319" s="200">
        <v>28277</v>
      </c>
      <c r="C319" s="188">
        <v>7.28</v>
      </c>
      <c r="D319" s="104">
        <f t="shared" si="4"/>
        <v>7.2800000000000004E-2</v>
      </c>
      <c r="E319" s="18"/>
      <c r="F319" s="99"/>
    </row>
    <row r="320" spans="2:6" ht="13.8" hidden="1" outlineLevel="1">
      <c r="B320" s="200">
        <v>28307</v>
      </c>
      <c r="C320" s="188">
        <v>7.33</v>
      </c>
      <c r="D320" s="104">
        <f t="shared" si="4"/>
        <v>7.3300000000000004E-2</v>
      </c>
      <c r="E320" s="18"/>
      <c r="F320" s="99"/>
    </row>
    <row r="321" spans="2:6" ht="13.8" hidden="1" outlineLevel="1">
      <c r="B321" s="200">
        <v>28338</v>
      </c>
      <c r="C321" s="188">
        <v>7.4</v>
      </c>
      <c r="D321" s="104">
        <f t="shared" si="4"/>
        <v>7.400000000000001E-2</v>
      </c>
      <c r="E321" s="18"/>
      <c r="F321" s="99"/>
    </row>
    <row r="322" spans="2:6" ht="13.8" hidden="1" outlineLevel="1">
      <c r="B322" s="200">
        <v>28369</v>
      </c>
      <c r="C322" s="188">
        <v>7.34</v>
      </c>
      <c r="D322" s="104">
        <f t="shared" si="4"/>
        <v>7.3399999999999993E-2</v>
      </c>
      <c r="E322" s="18"/>
      <c r="F322" s="99"/>
    </row>
    <row r="323" spans="2:6" ht="13.8" hidden="1" outlineLevel="1">
      <c r="B323" s="200">
        <v>28399</v>
      </c>
      <c r="C323" s="188">
        <v>7.52</v>
      </c>
      <c r="D323" s="104">
        <f t="shared" si="4"/>
        <v>7.5199999999999989E-2</v>
      </c>
      <c r="E323" s="18"/>
      <c r="F323" s="99"/>
    </row>
    <row r="324" spans="2:6" ht="13.8" hidden="1" outlineLevel="1">
      <c r="B324" s="200">
        <v>28430</v>
      </c>
      <c r="C324" s="188">
        <v>7.58</v>
      </c>
      <c r="D324" s="104">
        <f t="shared" si="4"/>
        <v>7.5800000000000006E-2</v>
      </c>
      <c r="E324" s="18"/>
      <c r="F324" s="99"/>
    </row>
    <row r="325" spans="2:6" ht="13.8" hidden="1" outlineLevel="1">
      <c r="B325" s="200">
        <v>28460</v>
      </c>
      <c r="C325" s="188">
        <v>7.69</v>
      </c>
      <c r="D325" s="104">
        <f t="shared" si="4"/>
        <v>7.690000000000001E-2</v>
      </c>
      <c r="E325" s="18"/>
      <c r="F325" s="99"/>
    </row>
    <row r="326" spans="2:6" ht="13.8" hidden="1" outlineLevel="1">
      <c r="B326" s="200">
        <v>28491</v>
      </c>
      <c r="C326" s="188">
        <v>7.96</v>
      </c>
      <c r="D326" s="104">
        <f t="shared" si="4"/>
        <v>7.9600000000000004E-2</v>
      </c>
      <c r="E326" s="18"/>
      <c r="F326" s="99"/>
    </row>
    <row r="327" spans="2:6" ht="13.8" hidden="1" outlineLevel="1">
      <c r="B327" s="200">
        <v>28522</v>
      </c>
      <c r="C327" s="188">
        <v>8.0299999999999994</v>
      </c>
      <c r="D327" s="104">
        <f t="shared" si="4"/>
        <v>8.0299999999999996E-2</v>
      </c>
      <c r="E327" s="18"/>
      <c r="F327" s="99"/>
    </row>
    <row r="328" spans="2:6" ht="13.8" hidden="1" outlineLevel="1">
      <c r="B328" s="200">
        <v>28550</v>
      </c>
      <c r="C328" s="188">
        <v>8.0399999999999991</v>
      </c>
      <c r="D328" s="104">
        <f t="shared" si="4"/>
        <v>8.0399999999999985E-2</v>
      </c>
      <c r="E328" s="18"/>
      <c r="F328" s="99"/>
    </row>
    <row r="329" spans="2:6" ht="13.8" hidden="1" outlineLevel="1">
      <c r="B329" s="200">
        <v>28581</v>
      </c>
      <c r="C329" s="188">
        <v>8.15</v>
      </c>
      <c r="D329" s="104">
        <f t="shared" si="4"/>
        <v>8.1500000000000003E-2</v>
      </c>
      <c r="E329" s="18"/>
      <c r="F329" s="99"/>
    </row>
    <row r="330" spans="2:6" ht="13.8" hidden="1" outlineLevel="1">
      <c r="B330" s="200">
        <v>28611</v>
      </c>
      <c r="C330" s="188">
        <v>8.35</v>
      </c>
      <c r="D330" s="104">
        <f t="shared" si="4"/>
        <v>8.3499999999999991E-2</v>
      </c>
      <c r="E330" s="18"/>
      <c r="F330" s="99"/>
    </row>
    <row r="331" spans="2:6" ht="13.8" hidden="1" outlineLevel="1">
      <c r="B331" s="200">
        <v>28642</v>
      </c>
      <c r="C331" s="188">
        <v>8.4600000000000009</v>
      </c>
      <c r="D331" s="104">
        <f t="shared" si="4"/>
        <v>8.4600000000000009E-2</v>
      </c>
      <c r="E331" s="18"/>
      <c r="F331" s="99"/>
    </row>
    <row r="332" spans="2:6" ht="13.8" hidden="1" outlineLevel="1">
      <c r="B332" s="200">
        <v>28672</v>
      </c>
      <c r="C332" s="188">
        <v>8.64</v>
      </c>
      <c r="D332" s="104">
        <f t="shared" si="4"/>
        <v>8.6400000000000005E-2</v>
      </c>
      <c r="E332" s="18"/>
      <c r="F332" s="99"/>
    </row>
    <row r="333" spans="2:6" ht="13.8" hidden="1" outlineLevel="1">
      <c r="B333" s="200">
        <v>28703</v>
      </c>
      <c r="C333" s="188">
        <v>8.41</v>
      </c>
      <c r="D333" s="104">
        <f t="shared" si="4"/>
        <v>8.4100000000000008E-2</v>
      </c>
      <c r="E333" s="18"/>
      <c r="F333" s="99"/>
    </row>
    <row r="334" spans="2:6" ht="13.8" hidden="1" outlineLevel="1">
      <c r="B334" s="200">
        <v>28734</v>
      </c>
      <c r="C334" s="188">
        <v>8.42</v>
      </c>
      <c r="D334" s="104">
        <f t="shared" si="4"/>
        <v>8.4199999999999997E-2</v>
      </c>
      <c r="E334" s="18"/>
      <c r="F334" s="99"/>
    </row>
    <row r="335" spans="2:6" ht="13.8" hidden="1" outlineLevel="1">
      <c r="B335" s="200">
        <v>28764</v>
      </c>
      <c r="C335" s="188">
        <v>8.64</v>
      </c>
      <c r="D335" s="104">
        <f t="shared" si="4"/>
        <v>8.6400000000000005E-2</v>
      </c>
      <c r="E335" s="18"/>
      <c r="F335" s="99"/>
    </row>
    <row r="336" spans="2:6" ht="13.8" hidden="1" outlineLevel="1">
      <c r="B336" s="200">
        <v>28795</v>
      </c>
      <c r="C336" s="188">
        <v>8.81</v>
      </c>
      <c r="D336" s="104">
        <f t="shared" si="4"/>
        <v>8.8100000000000012E-2</v>
      </c>
      <c r="E336" s="18"/>
      <c r="F336" s="99"/>
    </row>
    <row r="337" spans="2:6" ht="13.8" hidden="1" outlineLevel="1">
      <c r="B337" s="200">
        <v>28825</v>
      </c>
      <c r="C337" s="188">
        <v>9.01</v>
      </c>
      <c r="D337" s="104">
        <f t="shared" si="4"/>
        <v>9.01E-2</v>
      </c>
      <c r="E337" s="18"/>
      <c r="F337" s="99"/>
    </row>
    <row r="338" spans="2:6" ht="13.8" hidden="1" outlineLevel="1">
      <c r="B338" s="200">
        <v>28856</v>
      </c>
      <c r="C338" s="188">
        <v>9.1</v>
      </c>
      <c r="D338" s="104">
        <f t="shared" si="4"/>
        <v>9.0999999999999998E-2</v>
      </c>
      <c r="E338" s="18"/>
      <c r="F338" s="99"/>
    </row>
    <row r="339" spans="2:6" ht="13.8" hidden="1" outlineLevel="1">
      <c r="B339" s="200">
        <v>28887</v>
      </c>
      <c r="C339" s="188">
        <v>9.1</v>
      </c>
      <c r="D339" s="104">
        <f t="shared" si="4"/>
        <v>9.0999999999999998E-2</v>
      </c>
      <c r="E339" s="18"/>
      <c r="F339" s="99"/>
    </row>
    <row r="340" spans="2:6" ht="13.8" hidden="1" outlineLevel="1">
      <c r="B340" s="200">
        <v>28915</v>
      </c>
      <c r="C340" s="188">
        <v>9.1199999999999992</v>
      </c>
      <c r="D340" s="104">
        <f t="shared" si="4"/>
        <v>9.1199999999999989E-2</v>
      </c>
      <c r="E340" s="18"/>
      <c r="F340" s="99"/>
    </row>
    <row r="341" spans="2:6" ht="13.8" hidden="1" outlineLevel="1">
      <c r="B341" s="200">
        <v>28946</v>
      </c>
      <c r="C341" s="188">
        <v>9.18</v>
      </c>
      <c r="D341" s="104">
        <f t="shared" si="4"/>
        <v>9.1799999999999993E-2</v>
      </c>
      <c r="E341" s="18"/>
      <c r="F341" s="99"/>
    </row>
    <row r="342" spans="2:6" ht="13.8" hidden="1" outlineLevel="1">
      <c r="B342" s="200">
        <v>28976</v>
      </c>
      <c r="C342" s="188">
        <v>9.25</v>
      </c>
      <c r="D342" s="104">
        <f t="shared" si="4"/>
        <v>9.2499999999999999E-2</v>
      </c>
      <c r="E342" s="18"/>
      <c r="F342" s="99"/>
    </row>
    <row r="343" spans="2:6" ht="13.8" hidden="1" outlineLevel="1">
      <c r="B343" s="200">
        <v>29007</v>
      </c>
      <c r="C343" s="188">
        <v>8.91</v>
      </c>
      <c r="D343" s="104">
        <f t="shared" si="4"/>
        <v>8.9099999999999999E-2</v>
      </c>
      <c r="E343" s="18"/>
      <c r="F343" s="99"/>
    </row>
    <row r="344" spans="2:6" ht="13.8" hidden="1" outlineLevel="1">
      <c r="B344" s="200">
        <v>29037</v>
      </c>
      <c r="C344" s="188">
        <v>8.9499999999999993</v>
      </c>
      <c r="D344" s="104">
        <f t="shared" si="4"/>
        <v>8.9499999999999996E-2</v>
      </c>
      <c r="E344" s="18"/>
      <c r="F344" s="99"/>
    </row>
    <row r="345" spans="2:6" ht="13.8" hidden="1" outlineLevel="1">
      <c r="B345" s="200">
        <v>29068</v>
      </c>
      <c r="C345" s="188">
        <v>9.0299999999999994</v>
      </c>
      <c r="D345" s="104">
        <f t="shared" si="4"/>
        <v>9.0299999999999991E-2</v>
      </c>
      <c r="E345" s="18"/>
      <c r="F345" s="99"/>
    </row>
    <row r="346" spans="2:6" ht="13.8" hidden="1" outlineLevel="1">
      <c r="B346" s="200">
        <v>29099</v>
      </c>
      <c r="C346" s="188">
        <v>9.33</v>
      </c>
      <c r="D346" s="104">
        <f t="shared" si="4"/>
        <v>9.3299999999999994E-2</v>
      </c>
      <c r="E346" s="18"/>
      <c r="F346" s="99"/>
    </row>
    <row r="347" spans="2:6" ht="13.8" hidden="1" outlineLevel="1">
      <c r="B347" s="200">
        <v>29129</v>
      </c>
      <c r="C347" s="188">
        <v>10.3</v>
      </c>
      <c r="D347" s="104">
        <f t="shared" si="4"/>
        <v>0.10300000000000001</v>
      </c>
      <c r="E347" s="18"/>
      <c r="F347" s="99"/>
    </row>
    <row r="348" spans="2:6" ht="13.8" hidden="1" outlineLevel="1">
      <c r="B348" s="200">
        <v>29160</v>
      </c>
      <c r="C348" s="188">
        <v>10.65</v>
      </c>
      <c r="D348" s="104">
        <f t="shared" ref="D348:D411" si="5">C348/100</f>
        <v>0.1065</v>
      </c>
      <c r="E348" s="18"/>
      <c r="F348" s="99"/>
    </row>
    <row r="349" spans="2:6" ht="13.8" hidden="1" outlineLevel="1">
      <c r="B349" s="200">
        <v>29190</v>
      </c>
      <c r="C349" s="188">
        <v>10.39</v>
      </c>
      <c r="D349" s="104">
        <f t="shared" si="5"/>
        <v>0.10390000000000001</v>
      </c>
      <c r="E349" s="18"/>
      <c r="F349" s="99"/>
    </row>
    <row r="350" spans="2:6" ht="13.8" collapsed="1">
      <c r="B350" s="200">
        <v>29221</v>
      </c>
      <c r="C350" s="188">
        <v>10.8</v>
      </c>
      <c r="D350" s="104">
        <f t="shared" si="5"/>
        <v>0.10800000000000001</v>
      </c>
      <c r="E350" s="18"/>
      <c r="F350" s="99"/>
    </row>
    <row r="351" spans="2:6" ht="13.8">
      <c r="B351" s="200">
        <v>29252</v>
      </c>
      <c r="C351" s="188">
        <v>12.41</v>
      </c>
      <c r="D351" s="104">
        <f t="shared" si="5"/>
        <v>0.1241</v>
      </c>
      <c r="E351" s="18"/>
      <c r="F351" s="99"/>
    </row>
    <row r="352" spans="2:6" ht="13.8">
      <c r="B352" s="200">
        <v>29281</v>
      </c>
      <c r="C352" s="188">
        <v>12.75</v>
      </c>
      <c r="D352" s="104">
        <f t="shared" si="5"/>
        <v>0.1275</v>
      </c>
      <c r="E352" s="18"/>
      <c r="F352" s="99"/>
    </row>
    <row r="353" spans="2:6" ht="13.8">
      <c r="B353" s="200">
        <v>29312</v>
      </c>
      <c r="C353" s="188">
        <v>11.47</v>
      </c>
      <c r="D353" s="104">
        <f t="shared" si="5"/>
        <v>0.11470000000000001</v>
      </c>
      <c r="E353" s="18"/>
      <c r="F353" s="99"/>
    </row>
    <row r="354" spans="2:6" ht="13.8">
      <c r="B354" s="200">
        <v>29342</v>
      </c>
      <c r="C354" s="188">
        <v>10.18</v>
      </c>
      <c r="D354" s="104">
        <f t="shared" si="5"/>
        <v>0.1018</v>
      </c>
      <c r="E354" s="18"/>
      <c r="F354" s="99"/>
    </row>
    <row r="355" spans="2:6" ht="13.8">
      <c r="B355" s="200">
        <v>29373</v>
      </c>
      <c r="C355" s="188">
        <v>9.7799999999999994</v>
      </c>
      <c r="D355" s="104">
        <f t="shared" si="5"/>
        <v>9.7799999999999998E-2</v>
      </c>
      <c r="E355" s="18"/>
      <c r="F355" s="99"/>
    </row>
    <row r="356" spans="2:6" ht="13.8">
      <c r="B356" s="200">
        <v>29403</v>
      </c>
      <c r="C356" s="188">
        <v>10.25</v>
      </c>
      <c r="D356" s="104">
        <f t="shared" si="5"/>
        <v>0.10249999999999999</v>
      </c>
      <c r="E356" s="18"/>
      <c r="F356" s="99"/>
    </row>
    <row r="357" spans="2:6" ht="13.8">
      <c r="B357" s="200">
        <v>29434</v>
      </c>
      <c r="C357" s="188">
        <v>11.1</v>
      </c>
      <c r="D357" s="104">
        <f t="shared" si="5"/>
        <v>0.111</v>
      </c>
      <c r="E357" s="18"/>
      <c r="F357" s="99"/>
    </row>
    <row r="358" spans="2:6" ht="13.8">
      <c r="B358" s="200">
        <v>29465</v>
      </c>
      <c r="C358" s="188">
        <v>11.51</v>
      </c>
      <c r="D358" s="104">
        <f t="shared" si="5"/>
        <v>0.11509999999999999</v>
      </c>
      <c r="E358" s="18"/>
      <c r="F358" s="99"/>
    </row>
    <row r="359" spans="2:6" ht="13.8">
      <c r="B359" s="200">
        <v>29495</v>
      </c>
      <c r="C359" s="188">
        <v>11.75</v>
      </c>
      <c r="D359" s="104">
        <f t="shared" si="5"/>
        <v>0.11749999999999999</v>
      </c>
      <c r="E359" s="18"/>
      <c r="F359" s="99"/>
    </row>
    <row r="360" spans="2:6" ht="13.8">
      <c r="B360" s="200">
        <v>29526</v>
      </c>
      <c r="C360" s="188">
        <v>12.68</v>
      </c>
      <c r="D360" s="104">
        <f t="shared" si="5"/>
        <v>0.1268</v>
      </c>
      <c r="E360" s="18"/>
      <c r="F360" s="99"/>
    </row>
    <row r="361" spans="2:6" ht="13.8">
      <c r="B361" s="200">
        <v>29556</v>
      </c>
      <c r="C361" s="188">
        <v>12.84</v>
      </c>
      <c r="D361" s="104">
        <f t="shared" si="5"/>
        <v>0.12839999999999999</v>
      </c>
      <c r="E361" s="18"/>
      <c r="F361" s="99"/>
    </row>
    <row r="362" spans="2:6" ht="13.8">
      <c r="B362" s="200">
        <v>29587</v>
      </c>
      <c r="C362" s="188">
        <v>12.57</v>
      </c>
      <c r="D362" s="104">
        <f t="shared" si="5"/>
        <v>0.12570000000000001</v>
      </c>
      <c r="E362" s="18"/>
      <c r="F362" s="99"/>
    </row>
    <row r="363" spans="2:6" ht="13.8">
      <c r="B363" s="200">
        <v>29618</v>
      </c>
      <c r="C363" s="188">
        <v>13.19</v>
      </c>
      <c r="D363" s="104">
        <f t="shared" si="5"/>
        <v>0.13189999999999999</v>
      </c>
      <c r="E363" s="18"/>
      <c r="F363" s="99"/>
    </row>
    <row r="364" spans="2:6" ht="13.8">
      <c r="B364" s="200">
        <v>29646</v>
      </c>
      <c r="C364" s="188">
        <v>13.12</v>
      </c>
      <c r="D364" s="104">
        <f t="shared" si="5"/>
        <v>0.13119999999999998</v>
      </c>
      <c r="E364" s="18"/>
      <c r="F364" s="99"/>
    </row>
    <row r="365" spans="2:6" ht="13.8">
      <c r="B365" s="200">
        <v>29677</v>
      </c>
      <c r="C365" s="188">
        <v>13.68</v>
      </c>
      <c r="D365" s="104">
        <f t="shared" si="5"/>
        <v>0.1368</v>
      </c>
      <c r="E365" s="18"/>
      <c r="F365" s="99"/>
    </row>
    <row r="366" spans="2:6" ht="13.8">
      <c r="B366" s="200">
        <v>29707</v>
      </c>
      <c r="C366" s="188">
        <v>14.1</v>
      </c>
      <c r="D366" s="104">
        <f t="shared" si="5"/>
        <v>0.14099999999999999</v>
      </c>
      <c r="E366" s="18"/>
      <c r="F366" s="99"/>
    </row>
    <row r="367" spans="2:6" ht="13.8">
      <c r="B367" s="200">
        <v>29738</v>
      </c>
      <c r="C367" s="188">
        <v>13.47</v>
      </c>
      <c r="D367" s="104">
        <f t="shared" si="5"/>
        <v>0.13470000000000001</v>
      </c>
      <c r="E367" s="18"/>
      <c r="F367" s="99"/>
    </row>
    <row r="368" spans="2:6" ht="13.8">
      <c r="B368" s="200">
        <v>29768</v>
      </c>
      <c r="C368" s="188">
        <v>14.28</v>
      </c>
      <c r="D368" s="104">
        <f t="shared" si="5"/>
        <v>0.14279999999999998</v>
      </c>
      <c r="E368" s="18"/>
      <c r="F368" s="99"/>
    </row>
    <row r="369" spans="2:6" ht="13.8">
      <c r="B369" s="200">
        <v>29799</v>
      </c>
      <c r="C369" s="188">
        <v>14.94</v>
      </c>
      <c r="D369" s="104">
        <f t="shared" si="5"/>
        <v>0.14940000000000001</v>
      </c>
      <c r="E369" s="18"/>
      <c r="F369" s="99"/>
    </row>
    <row r="370" spans="2:6" ht="13.8">
      <c r="B370" s="200">
        <v>29830</v>
      </c>
      <c r="C370" s="188">
        <v>15.32</v>
      </c>
      <c r="D370" s="104">
        <f t="shared" si="5"/>
        <v>0.1532</v>
      </c>
      <c r="E370" s="18"/>
      <c r="F370" s="99"/>
    </row>
    <row r="371" spans="2:6" ht="13.8">
      <c r="B371" s="200">
        <v>29860</v>
      </c>
      <c r="C371" s="188">
        <v>15.15</v>
      </c>
      <c r="D371" s="104">
        <f t="shared" si="5"/>
        <v>0.1515</v>
      </c>
      <c r="E371" s="18"/>
      <c r="F371" s="99"/>
    </row>
    <row r="372" spans="2:6" ht="13.8">
      <c r="B372" s="200">
        <v>29891</v>
      </c>
      <c r="C372" s="188">
        <v>13.39</v>
      </c>
      <c r="D372" s="104">
        <f t="shared" si="5"/>
        <v>0.13390000000000002</v>
      </c>
      <c r="E372" s="18"/>
      <c r="F372" s="99"/>
    </row>
    <row r="373" spans="2:6" ht="13.8">
      <c r="B373" s="200">
        <v>29921</v>
      </c>
      <c r="C373" s="188">
        <v>13.72</v>
      </c>
      <c r="D373" s="104">
        <f t="shared" si="5"/>
        <v>0.13720000000000002</v>
      </c>
      <c r="E373" s="18"/>
      <c r="F373" s="99"/>
    </row>
    <row r="374" spans="2:6" ht="13.8">
      <c r="B374" s="200">
        <v>29952</v>
      </c>
      <c r="C374" s="188">
        <v>14.59</v>
      </c>
      <c r="D374" s="104">
        <f t="shared" si="5"/>
        <v>0.1459</v>
      </c>
      <c r="E374" s="18"/>
      <c r="F374" s="99"/>
    </row>
    <row r="375" spans="2:6" ht="13.8">
      <c r="B375" s="200">
        <v>29983</v>
      </c>
      <c r="C375" s="188">
        <v>14.43</v>
      </c>
      <c r="D375" s="104">
        <f t="shared" si="5"/>
        <v>0.14429999999999998</v>
      </c>
      <c r="E375" s="18"/>
      <c r="F375" s="99"/>
    </row>
    <row r="376" spans="2:6" ht="13.8">
      <c r="B376" s="200">
        <v>30011</v>
      </c>
      <c r="C376" s="188">
        <v>13.86</v>
      </c>
      <c r="D376" s="104">
        <f t="shared" si="5"/>
        <v>0.1386</v>
      </c>
      <c r="E376" s="18"/>
      <c r="F376" s="99"/>
    </row>
    <row r="377" spans="2:6" ht="13.8">
      <c r="B377" s="200">
        <v>30042</v>
      </c>
      <c r="C377" s="188">
        <v>13.87</v>
      </c>
      <c r="D377" s="104">
        <f t="shared" si="5"/>
        <v>0.13869999999999999</v>
      </c>
      <c r="E377" s="18"/>
      <c r="F377" s="99"/>
    </row>
    <row r="378" spans="2:6" ht="13.8">
      <c r="B378" s="200">
        <v>30072</v>
      </c>
      <c r="C378" s="188">
        <v>13.62</v>
      </c>
      <c r="D378" s="104">
        <f t="shared" si="5"/>
        <v>0.13619999999999999</v>
      </c>
      <c r="E378" s="18"/>
      <c r="F378" s="99"/>
    </row>
    <row r="379" spans="2:6" ht="13.8">
      <c r="B379" s="200">
        <v>30103</v>
      </c>
      <c r="C379" s="188">
        <v>14.3</v>
      </c>
      <c r="D379" s="104">
        <f t="shared" si="5"/>
        <v>0.14300000000000002</v>
      </c>
      <c r="E379" s="18"/>
      <c r="F379" s="99"/>
    </row>
    <row r="380" spans="2:6" ht="13.8">
      <c r="B380" s="200">
        <v>30133</v>
      </c>
      <c r="C380" s="188">
        <v>13.95</v>
      </c>
      <c r="D380" s="104">
        <f t="shared" si="5"/>
        <v>0.13949999999999999</v>
      </c>
      <c r="E380" s="18"/>
      <c r="F380" s="99"/>
    </row>
    <row r="381" spans="2:6" ht="13.8">
      <c r="B381" s="200">
        <v>30164</v>
      </c>
      <c r="C381" s="188">
        <v>13.06</v>
      </c>
      <c r="D381" s="104">
        <f t="shared" si="5"/>
        <v>0.13059999999999999</v>
      </c>
      <c r="E381" s="18"/>
      <c r="F381" s="99"/>
    </row>
    <row r="382" spans="2:6" ht="13.8">
      <c r="B382" s="200">
        <v>30195</v>
      </c>
      <c r="C382" s="188">
        <v>12.34</v>
      </c>
      <c r="D382" s="104">
        <f t="shared" si="5"/>
        <v>0.1234</v>
      </c>
      <c r="E382" s="18"/>
      <c r="F382" s="99"/>
    </row>
    <row r="383" spans="2:6" ht="13.8">
      <c r="B383" s="200">
        <v>30225</v>
      </c>
      <c r="C383" s="188">
        <v>10.91</v>
      </c>
      <c r="D383" s="104">
        <f t="shared" si="5"/>
        <v>0.1091</v>
      </c>
      <c r="E383" s="18"/>
      <c r="F383" s="99"/>
    </row>
    <row r="384" spans="2:6" ht="13.8">
      <c r="B384" s="200">
        <v>30256</v>
      </c>
      <c r="C384" s="188">
        <v>10.55</v>
      </c>
      <c r="D384" s="104">
        <f t="shared" si="5"/>
        <v>0.10550000000000001</v>
      </c>
      <c r="E384" s="18"/>
      <c r="F384" s="99"/>
    </row>
    <row r="385" spans="2:6" ht="13.8">
      <c r="B385" s="200">
        <v>30286</v>
      </c>
      <c r="C385" s="188">
        <v>10.54</v>
      </c>
      <c r="D385" s="104">
        <f t="shared" si="5"/>
        <v>0.10539999999999999</v>
      </c>
      <c r="E385" s="18"/>
      <c r="F385" s="99"/>
    </row>
    <row r="386" spans="2:6" ht="13.8">
      <c r="B386" s="200">
        <v>30317</v>
      </c>
      <c r="C386" s="188">
        <v>10.46</v>
      </c>
      <c r="D386" s="104">
        <f t="shared" si="5"/>
        <v>0.10460000000000001</v>
      </c>
      <c r="E386" s="18"/>
      <c r="F386" s="99"/>
    </row>
    <row r="387" spans="2:6" ht="13.8">
      <c r="B387" s="200">
        <v>30348</v>
      </c>
      <c r="C387" s="188">
        <v>10.72</v>
      </c>
      <c r="D387" s="104">
        <f t="shared" si="5"/>
        <v>0.1072</v>
      </c>
      <c r="E387" s="18"/>
      <c r="F387" s="99"/>
    </row>
    <row r="388" spans="2:6" ht="13.8">
      <c r="B388" s="200">
        <v>30376</v>
      </c>
      <c r="C388" s="188">
        <v>10.51</v>
      </c>
      <c r="D388" s="104">
        <f t="shared" si="5"/>
        <v>0.1051</v>
      </c>
      <c r="E388" s="18"/>
      <c r="F388" s="99"/>
    </row>
    <row r="389" spans="2:6" ht="13.8">
      <c r="B389" s="200">
        <v>30407</v>
      </c>
      <c r="C389" s="188">
        <v>10.4</v>
      </c>
      <c r="D389" s="104">
        <f t="shared" si="5"/>
        <v>0.10400000000000001</v>
      </c>
      <c r="E389" s="18"/>
      <c r="F389" s="99"/>
    </row>
    <row r="390" spans="2:6" ht="13.8">
      <c r="B390" s="200">
        <v>30437</v>
      </c>
      <c r="C390" s="188">
        <v>10.38</v>
      </c>
      <c r="D390" s="104">
        <f t="shared" si="5"/>
        <v>0.1038</v>
      </c>
      <c r="E390" s="18"/>
      <c r="F390" s="99"/>
    </row>
    <row r="391" spans="2:6" ht="13.8">
      <c r="B391" s="200">
        <v>30468</v>
      </c>
      <c r="C391" s="188">
        <v>10.85</v>
      </c>
      <c r="D391" s="104">
        <f t="shared" si="5"/>
        <v>0.1085</v>
      </c>
      <c r="E391" s="18"/>
      <c r="F391" s="99"/>
    </row>
    <row r="392" spans="2:6" ht="13.8">
      <c r="B392" s="200">
        <v>30498</v>
      </c>
      <c r="C392" s="188">
        <v>11.38</v>
      </c>
      <c r="D392" s="104">
        <f t="shared" si="5"/>
        <v>0.11380000000000001</v>
      </c>
      <c r="E392" s="18"/>
      <c r="F392" s="99"/>
    </row>
    <row r="393" spans="2:6" ht="13.8">
      <c r="B393" s="200">
        <v>30529</v>
      </c>
      <c r="C393" s="188">
        <v>11.85</v>
      </c>
      <c r="D393" s="104">
        <f t="shared" si="5"/>
        <v>0.11849999999999999</v>
      </c>
      <c r="E393" s="18"/>
      <c r="F393" s="99"/>
    </row>
    <row r="394" spans="2:6" ht="13.8">
      <c r="B394" s="200">
        <v>30560</v>
      </c>
      <c r="C394" s="188">
        <v>11.65</v>
      </c>
      <c r="D394" s="104">
        <f t="shared" si="5"/>
        <v>0.11650000000000001</v>
      </c>
      <c r="E394" s="18"/>
      <c r="F394" s="99"/>
    </row>
    <row r="395" spans="2:6" ht="13.8">
      <c r="B395" s="200">
        <v>30590</v>
      </c>
      <c r="C395" s="188">
        <v>11.54</v>
      </c>
      <c r="D395" s="104">
        <f t="shared" si="5"/>
        <v>0.11539999999999999</v>
      </c>
      <c r="E395" s="18"/>
      <c r="F395" s="99"/>
    </row>
    <row r="396" spans="2:6" ht="13.8">
      <c r="B396" s="200">
        <v>30621</v>
      </c>
      <c r="C396" s="188">
        <v>11.69</v>
      </c>
      <c r="D396" s="104">
        <f t="shared" si="5"/>
        <v>0.11689999999999999</v>
      </c>
      <c r="E396" s="18"/>
      <c r="F396" s="99"/>
    </row>
    <row r="397" spans="2:6" ht="13.8">
      <c r="B397" s="200">
        <v>30651</v>
      </c>
      <c r="C397" s="188">
        <v>11.83</v>
      </c>
      <c r="D397" s="104">
        <f t="shared" si="5"/>
        <v>0.1183</v>
      </c>
      <c r="E397" s="18"/>
      <c r="F397" s="99"/>
    </row>
    <row r="398" spans="2:6" ht="13.8">
      <c r="B398" s="200">
        <v>30682</v>
      </c>
      <c r="C398" s="188">
        <v>11.67</v>
      </c>
      <c r="D398" s="104">
        <f t="shared" si="5"/>
        <v>0.1167</v>
      </c>
      <c r="E398" s="18"/>
      <c r="F398" s="99"/>
    </row>
    <row r="399" spans="2:6" ht="13.8">
      <c r="B399" s="200">
        <v>30713</v>
      </c>
      <c r="C399" s="188">
        <v>11.84</v>
      </c>
      <c r="D399" s="104">
        <f t="shared" si="5"/>
        <v>0.11840000000000001</v>
      </c>
      <c r="E399" s="18"/>
      <c r="F399" s="99"/>
    </row>
    <row r="400" spans="2:6" ht="13.8">
      <c r="B400" s="200">
        <v>30742</v>
      </c>
      <c r="C400" s="188">
        <v>12.32</v>
      </c>
      <c r="D400" s="104">
        <f t="shared" si="5"/>
        <v>0.1232</v>
      </c>
      <c r="E400" s="18"/>
      <c r="F400" s="99"/>
    </row>
    <row r="401" spans="2:6" ht="13.8">
      <c r="B401" s="200">
        <v>30773</v>
      </c>
      <c r="C401" s="188">
        <v>12.63</v>
      </c>
      <c r="D401" s="104">
        <f t="shared" si="5"/>
        <v>0.1263</v>
      </c>
      <c r="E401" s="18"/>
      <c r="F401" s="99"/>
    </row>
    <row r="402" spans="2:6" ht="13.8">
      <c r="B402" s="200">
        <v>30803</v>
      </c>
      <c r="C402" s="188">
        <v>13.41</v>
      </c>
      <c r="D402" s="104">
        <f t="shared" si="5"/>
        <v>0.1341</v>
      </c>
      <c r="E402" s="18"/>
      <c r="F402" s="99"/>
    </row>
    <row r="403" spans="2:6" ht="13.8">
      <c r="B403" s="200">
        <v>30834</v>
      </c>
      <c r="C403" s="188">
        <v>13.56</v>
      </c>
      <c r="D403" s="104">
        <f t="shared" si="5"/>
        <v>0.1356</v>
      </c>
      <c r="E403" s="18"/>
      <c r="F403" s="99"/>
    </row>
    <row r="404" spans="2:6" ht="13.8">
      <c r="B404" s="200">
        <v>30864</v>
      </c>
      <c r="C404" s="188">
        <v>13.36</v>
      </c>
      <c r="D404" s="104">
        <f t="shared" si="5"/>
        <v>0.1336</v>
      </c>
      <c r="E404" s="18"/>
      <c r="F404" s="99"/>
    </row>
    <row r="405" spans="2:6" ht="13.8">
      <c r="B405" s="200">
        <v>30895</v>
      </c>
      <c r="C405" s="188">
        <v>12.72</v>
      </c>
      <c r="D405" s="104">
        <f t="shared" si="5"/>
        <v>0.12720000000000001</v>
      </c>
      <c r="E405" s="18"/>
      <c r="F405" s="99"/>
    </row>
    <row r="406" spans="2:6" ht="13.8">
      <c r="B406" s="200">
        <v>30926</v>
      </c>
      <c r="C406" s="188">
        <v>12.52</v>
      </c>
      <c r="D406" s="104">
        <f t="shared" si="5"/>
        <v>0.12520000000000001</v>
      </c>
      <c r="E406" s="18"/>
      <c r="F406" s="99"/>
    </row>
    <row r="407" spans="2:6" ht="13.8">
      <c r="B407" s="200">
        <v>30956</v>
      </c>
      <c r="C407" s="188">
        <v>12.16</v>
      </c>
      <c r="D407" s="104">
        <f t="shared" si="5"/>
        <v>0.1216</v>
      </c>
      <c r="E407" s="18"/>
      <c r="F407" s="99"/>
    </row>
    <row r="408" spans="2:6" ht="13.8">
      <c r="B408" s="200">
        <v>30987</v>
      </c>
      <c r="C408" s="188">
        <v>11.57</v>
      </c>
      <c r="D408" s="104">
        <f t="shared" si="5"/>
        <v>0.1157</v>
      </c>
      <c r="E408" s="18"/>
      <c r="F408" s="99"/>
    </row>
    <row r="409" spans="2:6" ht="13.8">
      <c r="B409" s="200">
        <v>31017</v>
      </c>
      <c r="C409" s="188">
        <v>11.5</v>
      </c>
      <c r="D409" s="104">
        <f t="shared" si="5"/>
        <v>0.115</v>
      </c>
      <c r="E409" s="18"/>
      <c r="F409" s="99"/>
    </row>
    <row r="410" spans="2:6" ht="13.8">
      <c r="B410" s="200">
        <v>31048</v>
      </c>
      <c r="C410" s="188">
        <v>11.38</v>
      </c>
      <c r="D410" s="104">
        <f t="shared" si="5"/>
        <v>0.11380000000000001</v>
      </c>
      <c r="E410" s="18"/>
      <c r="F410" s="99"/>
    </row>
    <row r="411" spans="2:6" ht="13.8">
      <c r="B411" s="200">
        <v>31079</v>
      </c>
      <c r="C411" s="188">
        <v>11.51</v>
      </c>
      <c r="D411" s="104">
        <f t="shared" si="5"/>
        <v>0.11509999999999999</v>
      </c>
      <c r="E411" s="18"/>
      <c r="F411" s="99"/>
    </row>
    <row r="412" spans="2:6" ht="13.8">
      <c r="B412" s="200">
        <v>31107</v>
      </c>
      <c r="C412" s="188">
        <v>11.86</v>
      </c>
      <c r="D412" s="104">
        <f t="shared" ref="D412:D475" si="6">C412/100</f>
        <v>0.1186</v>
      </c>
      <c r="E412" s="18"/>
      <c r="F412" s="99"/>
    </row>
    <row r="413" spans="2:6" ht="13.8">
      <c r="B413" s="200">
        <v>31138</v>
      </c>
      <c r="C413" s="188">
        <v>11.43</v>
      </c>
      <c r="D413" s="104">
        <f t="shared" si="6"/>
        <v>0.1143</v>
      </c>
      <c r="E413" s="18"/>
      <c r="F413" s="99"/>
    </row>
    <row r="414" spans="2:6" ht="13.8">
      <c r="B414" s="200">
        <v>31168</v>
      </c>
      <c r="C414" s="188">
        <v>10.85</v>
      </c>
      <c r="D414" s="104">
        <f t="shared" si="6"/>
        <v>0.1085</v>
      </c>
      <c r="E414" s="18"/>
      <c r="F414" s="99"/>
    </row>
    <row r="415" spans="2:6" ht="13.8">
      <c r="B415" s="200">
        <v>31199</v>
      </c>
      <c r="C415" s="188">
        <v>10.16</v>
      </c>
      <c r="D415" s="104">
        <f t="shared" si="6"/>
        <v>0.1016</v>
      </c>
      <c r="E415" s="18"/>
      <c r="F415" s="99"/>
    </row>
    <row r="416" spans="2:6" ht="13.8">
      <c r="B416" s="200">
        <v>31229</v>
      </c>
      <c r="C416" s="188">
        <v>10.31</v>
      </c>
      <c r="D416" s="104">
        <f t="shared" si="6"/>
        <v>0.10310000000000001</v>
      </c>
      <c r="E416" s="18"/>
      <c r="F416" s="99"/>
    </row>
    <row r="417" spans="2:6" ht="13.8">
      <c r="B417" s="200">
        <v>31260</v>
      </c>
      <c r="C417" s="188">
        <v>10.33</v>
      </c>
      <c r="D417" s="104">
        <f t="shared" si="6"/>
        <v>0.1033</v>
      </c>
      <c r="E417" s="18"/>
      <c r="F417" s="99"/>
    </row>
    <row r="418" spans="2:6" ht="13.8">
      <c r="B418" s="200">
        <v>31291</v>
      </c>
      <c r="C418" s="188">
        <v>10.37</v>
      </c>
      <c r="D418" s="104">
        <f t="shared" si="6"/>
        <v>0.10369999999999999</v>
      </c>
      <c r="E418" s="18"/>
      <c r="F418" s="99"/>
    </row>
    <row r="419" spans="2:6" ht="13.8">
      <c r="B419" s="200">
        <v>31321</v>
      </c>
      <c r="C419" s="188">
        <v>10.24</v>
      </c>
      <c r="D419" s="104">
        <f t="shared" si="6"/>
        <v>0.1024</v>
      </c>
      <c r="E419" s="18"/>
      <c r="F419" s="99"/>
    </row>
    <row r="420" spans="2:6" ht="13.8">
      <c r="B420" s="200">
        <v>31352</v>
      </c>
      <c r="C420" s="188">
        <v>9.7799999999999994</v>
      </c>
      <c r="D420" s="104">
        <f t="shared" si="6"/>
        <v>9.7799999999999998E-2</v>
      </c>
      <c r="E420" s="18"/>
      <c r="F420" s="99"/>
    </row>
    <row r="421" spans="2:6" ht="13.8">
      <c r="B421" s="200">
        <v>31382</v>
      </c>
      <c r="C421" s="188">
        <v>9.26</v>
      </c>
      <c r="D421" s="104">
        <f t="shared" si="6"/>
        <v>9.2600000000000002E-2</v>
      </c>
      <c r="E421" s="18"/>
      <c r="F421" s="99"/>
    </row>
    <row r="422" spans="2:6" ht="13.8">
      <c r="B422" s="200">
        <v>31413</v>
      </c>
      <c r="C422" s="188">
        <v>9.19</v>
      </c>
      <c r="D422" s="104">
        <f t="shared" si="6"/>
        <v>9.1899999999999996E-2</v>
      </c>
      <c r="E422" s="18"/>
      <c r="F422" s="99"/>
    </row>
    <row r="423" spans="2:6" ht="13.8">
      <c r="B423" s="200">
        <v>31444</v>
      </c>
      <c r="C423" s="188">
        <v>8.6999999999999993</v>
      </c>
      <c r="D423" s="104">
        <f t="shared" si="6"/>
        <v>8.6999999999999994E-2</v>
      </c>
      <c r="E423" s="18"/>
      <c r="F423" s="99"/>
    </row>
    <row r="424" spans="2:6" ht="13.8">
      <c r="B424" s="200">
        <v>31472</v>
      </c>
      <c r="C424" s="188">
        <v>7.78</v>
      </c>
      <c r="D424" s="104">
        <f t="shared" si="6"/>
        <v>7.7800000000000008E-2</v>
      </c>
      <c r="E424" s="18"/>
      <c r="F424" s="99"/>
    </row>
    <row r="425" spans="2:6" ht="13.8">
      <c r="B425" s="200">
        <v>31503</v>
      </c>
      <c r="C425" s="188">
        <v>7.3</v>
      </c>
      <c r="D425" s="104">
        <f t="shared" si="6"/>
        <v>7.2999999999999995E-2</v>
      </c>
      <c r="E425" s="18"/>
      <c r="F425" s="99"/>
    </row>
    <row r="426" spans="2:6" ht="13.8">
      <c r="B426" s="200">
        <v>31533</v>
      </c>
      <c r="C426" s="188">
        <v>7.71</v>
      </c>
      <c r="D426" s="104">
        <f t="shared" si="6"/>
        <v>7.7100000000000002E-2</v>
      </c>
      <c r="E426" s="18"/>
      <c r="F426" s="99"/>
    </row>
    <row r="427" spans="2:6" ht="13.8">
      <c r="B427" s="200">
        <v>31564</v>
      </c>
      <c r="C427" s="188">
        <v>7.8</v>
      </c>
      <c r="D427" s="104">
        <f t="shared" si="6"/>
        <v>7.8E-2</v>
      </c>
      <c r="E427" s="18"/>
      <c r="F427" s="99"/>
    </row>
    <row r="428" spans="2:6" ht="13.8">
      <c r="B428" s="200">
        <v>31594</v>
      </c>
      <c r="C428" s="188">
        <v>7.3</v>
      </c>
      <c r="D428" s="104">
        <f t="shared" si="6"/>
        <v>7.2999999999999995E-2</v>
      </c>
      <c r="E428" s="18"/>
      <c r="F428" s="99"/>
    </row>
    <row r="429" spans="2:6" ht="13.8">
      <c r="B429" s="200">
        <v>31625</v>
      </c>
      <c r="C429" s="188">
        <v>7.17</v>
      </c>
      <c r="D429" s="104">
        <f t="shared" si="6"/>
        <v>7.17E-2</v>
      </c>
      <c r="E429" s="18"/>
      <c r="F429" s="99"/>
    </row>
    <row r="430" spans="2:6" ht="13.8">
      <c r="B430" s="200">
        <v>31656</v>
      </c>
      <c r="C430" s="188">
        <v>7.45</v>
      </c>
      <c r="D430" s="104">
        <f t="shared" si="6"/>
        <v>7.4499999999999997E-2</v>
      </c>
      <c r="E430" s="18"/>
      <c r="F430" s="99"/>
    </row>
    <row r="431" spans="2:6" ht="13.8">
      <c r="B431" s="200">
        <v>31686</v>
      </c>
      <c r="C431" s="188">
        <v>7.43</v>
      </c>
      <c r="D431" s="104">
        <f t="shared" si="6"/>
        <v>7.4299999999999991E-2</v>
      </c>
      <c r="E431" s="18"/>
      <c r="F431" s="99"/>
    </row>
    <row r="432" spans="2:6" ht="13.8">
      <c r="B432" s="200">
        <v>31717</v>
      </c>
      <c r="C432" s="188">
        <v>7.25</v>
      </c>
      <c r="D432" s="104">
        <f t="shared" si="6"/>
        <v>7.2499999999999995E-2</v>
      </c>
      <c r="E432" s="18"/>
      <c r="F432" s="99"/>
    </row>
    <row r="433" spans="2:6" ht="13.8">
      <c r="B433" s="200">
        <v>31747</v>
      </c>
      <c r="C433" s="188">
        <v>7.11</v>
      </c>
      <c r="D433" s="104">
        <f t="shared" si="6"/>
        <v>7.1099999999999997E-2</v>
      </c>
      <c r="E433" s="18"/>
      <c r="F433" s="99"/>
    </row>
    <row r="434" spans="2:6" ht="13.8">
      <c r="B434" s="200">
        <v>31778</v>
      </c>
      <c r="C434" s="188">
        <v>7.08</v>
      </c>
      <c r="D434" s="104">
        <f t="shared" si="6"/>
        <v>7.0800000000000002E-2</v>
      </c>
      <c r="E434" s="18"/>
      <c r="F434" s="99"/>
    </row>
    <row r="435" spans="2:6" ht="13.8">
      <c r="B435" s="200">
        <v>31809</v>
      </c>
      <c r="C435" s="188">
        <v>7.25</v>
      </c>
      <c r="D435" s="104">
        <f t="shared" si="6"/>
        <v>7.2499999999999995E-2</v>
      </c>
      <c r="E435" s="18"/>
      <c r="F435" s="99"/>
    </row>
    <row r="436" spans="2:6" ht="13.8">
      <c r="B436" s="200">
        <v>31837</v>
      </c>
      <c r="C436" s="188">
        <v>7.25</v>
      </c>
      <c r="D436" s="104">
        <f t="shared" si="6"/>
        <v>7.2499999999999995E-2</v>
      </c>
      <c r="E436" s="18"/>
      <c r="F436" s="99"/>
    </row>
    <row r="437" spans="2:6" ht="13.8">
      <c r="B437" s="200">
        <v>31868</v>
      </c>
      <c r="C437" s="188">
        <v>8.02</v>
      </c>
      <c r="D437" s="104">
        <f t="shared" si="6"/>
        <v>8.0199999999999994E-2</v>
      </c>
      <c r="E437" s="18"/>
      <c r="F437" s="99"/>
    </row>
    <row r="438" spans="2:6" ht="13.8">
      <c r="B438" s="200">
        <v>31898</v>
      </c>
      <c r="C438" s="188">
        <v>8.61</v>
      </c>
      <c r="D438" s="104">
        <f t="shared" si="6"/>
        <v>8.6099999999999996E-2</v>
      </c>
      <c r="E438" s="18"/>
      <c r="F438" s="99"/>
    </row>
    <row r="439" spans="2:6" ht="13.8">
      <c r="B439" s="200">
        <v>31929</v>
      </c>
      <c r="C439" s="188">
        <v>8.4</v>
      </c>
      <c r="D439" s="104">
        <f t="shared" si="6"/>
        <v>8.4000000000000005E-2</v>
      </c>
      <c r="E439" s="18"/>
      <c r="F439" s="99"/>
    </row>
    <row r="440" spans="2:6" ht="13.8">
      <c r="B440" s="200">
        <v>31959</v>
      </c>
      <c r="C440" s="188">
        <v>8.4499999999999993</v>
      </c>
      <c r="D440" s="104">
        <f t="shared" si="6"/>
        <v>8.4499999999999992E-2</v>
      </c>
      <c r="E440" s="18"/>
      <c r="F440" s="99"/>
    </row>
    <row r="441" spans="2:6" ht="13.8">
      <c r="B441" s="200">
        <v>31990</v>
      </c>
      <c r="C441" s="188">
        <v>8.76</v>
      </c>
      <c r="D441" s="104">
        <f t="shared" si="6"/>
        <v>8.7599999999999997E-2</v>
      </c>
      <c r="E441" s="18"/>
      <c r="F441" s="99"/>
    </row>
    <row r="442" spans="2:6" ht="13.8">
      <c r="B442" s="200">
        <v>32021</v>
      </c>
      <c r="C442" s="188">
        <v>9.42</v>
      </c>
      <c r="D442" s="104">
        <f t="shared" si="6"/>
        <v>9.4200000000000006E-2</v>
      </c>
      <c r="E442" s="18"/>
      <c r="F442" s="99"/>
    </row>
    <row r="443" spans="2:6" ht="13.8">
      <c r="B443" s="200">
        <v>32051</v>
      </c>
      <c r="C443" s="188">
        <v>9.52</v>
      </c>
      <c r="D443" s="104">
        <f t="shared" si="6"/>
        <v>9.5199999999999993E-2</v>
      </c>
      <c r="E443" s="18"/>
      <c r="F443" s="99"/>
    </row>
    <row r="444" spans="2:6" ht="13.8">
      <c r="B444" s="200">
        <v>32082</v>
      </c>
      <c r="C444" s="188">
        <v>8.86</v>
      </c>
      <c r="D444" s="104">
        <f t="shared" si="6"/>
        <v>8.8599999999999998E-2</v>
      </c>
      <c r="E444" s="18"/>
      <c r="F444" s="99"/>
    </row>
    <row r="445" spans="2:6" ht="13.8">
      <c r="B445" s="200">
        <v>32112</v>
      </c>
      <c r="C445" s="188">
        <v>8.99</v>
      </c>
      <c r="D445" s="104">
        <f t="shared" si="6"/>
        <v>8.9900000000000008E-2</v>
      </c>
      <c r="E445" s="18"/>
      <c r="F445" s="99"/>
    </row>
    <row r="446" spans="2:6" ht="13.8">
      <c r="B446" s="200">
        <v>32143</v>
      </c>
      <c r="C446" s="188">
        <v>8.67</v>
      </c>
      <c r="D446" s="104">
        <f t="shared" si="6"/>
        <v>8.6699999999999999E-2</v>
      </c>
      <c r="E446" s="18"/>
      <c r="F446" s="99"/>
    </row>
    <row r="447" spans="2:6" ht="13.8">
      <c r="B447" s="200">
        <v>32174</v>
      </c>
      <c r="C447" s="188">
        <v>8.2100000000000009</v>
      </c>
      <c r="D447" s="104">
        <f t="shared" si="6"/>
        <v>8.2100000000000006E-2</v>
      </c>
      <c r="E447" s="18"/>
      <c r="F447" s="99"/>
    </row>
    <row r="448" spans="2:6" ht="13.8">
      <c r="B448" s="200">
        <v>32203</v>
      </c>
      <c r="C448" s="188">
        <v>8.3699999999999992</v>
      </c>
      <c r="D448" s="104">
        <f t="shared" si="6"/>
        <v>8.3699999999999997E-2</v>
      </c>
      <c r="E448" s="18"/>
      <c r="F448" s="99"/>
    </row>
    <row r="449" spans="2:6" ht="13.8">
      <c r="B449" s="200">
        <v>32234</v>
      </c>
      <c r="C449" s="188">
        <v>8.7200000000000006</v>
      </c>
      <c r="D449" s="104">
        <f t="shared" si="6"/>
        <v>8.72E-2</v>
      </c>
      <c r="E449" s="18"/>
      <c r="F449" s="99"/>
    </row>
    <row r="450" spans="2:6" ht="13.8">
      <c r="B450" s="200">
        <v>32264</v>
      </c>
      <c r="C450" s="188">
        <v>9.09</v>
      </c>
      <c r="D450" s="104">
        <f t="shared" si="6"/>
        <v>9.0899999999999995E-2</v>
      </c>
      <c r="E450" s="18"/>
      <c r="F450" s="99"/>
    </row>
    <row r="451" spans="2:6" ht="13.8">
      <c r="B451" s="200">
        <v>32295</v>
      </c>
      <c r="C451" s="188">
        <v>8.92</v>
      </c>
      <c r="D451" s="104">
        <f t="shared" si="6"/>
        <v>8.9200000000000002E-2</v>
      </c>
      <c r="E451" s="18"/>
      <c r="F451" s="99"/>
    </row>
    <row r="452" spans="2:6" ht="13.8">
      <c r="B452" s="200">
        <v>32325</v>
      </c>
      <c r="C452" s="188">
        <v>9.06</v>
      </c>
      <c r="D452" s="104">
        <f t="shared" si="6"/>
        <v>9.06E-2</v>
      </c>
      <c r="E452" s="18"/>
      <c r="F452" s="99"/>
    </row>
    <row r="453" spans="2:6" ht="13.8">
      <c r="B453" s="200">
        <v>32356</v>
      </c>
      <c r="C453" s="188">
        <v>9.26</v>
      </c>
      <c r="D453" s="104">
        <f t="shared" si="6"/>
        <v>9.2600000000000002E-2</v>
      </c>
      <c r="E453" s="18"/>
      <c r="F453" s="99"/>
    </row>
    <row r="454" spans="2:6" ht="13.8">
      <c r="B454" s="200">
        <v>32387</v>
      </c>
      <c r="C454" s="188">
        <v>8.98</v>
      </c>
      <c r="D454" s="104">
        <f t="shared" si="6"/>
        <v>8.9800000000000005E-2</v>
      </c>
      <c r="E454" s="18"/>
      <c r="F454" s="99"/>
    </row>
    <row r="455" spans="2:6" ht="13.8">
      <c r="B455" s="200">
        <v>32417</v>
      </c>
      <c r="C455" s="188">
        <v>8.8000000000000007</v>
      </c>
      <c r="D455" s="104">
        <f t="shared" si="6"/>
        <v>8.8000000000000009E-2</v>
      </c>
      <c r="E455" s="18"/>
      <c r="F455" s="99"/>
    </row>
    <row r="456" spans="2:6" ht="13.8">
      <c r="B456" s="200">
        <v>32448</v>
      </c>
      <c r="C456" s="188">
        <v>8.9600000000000009</v>
      </c>
      <c r="D456" s="104">
        <f t="shared" si="6"/>
        <v>8.9600000000000013E-2</v>
      </c>
      <c r="E456" s="18"/>
      <c r="F456" s="99"/>
    </row>
    <row r="457" spans="2:6" ht="13.8">
      <c r="B457" s="200">
        <v>32478</v>
      </c>
      <c r="C457" s="188">
        <v>9.11</v>
      </c>
      <c r="D457" s="104">
        <f t="shared" si="6"/>
        <v>9.11E-2</v>
      </c>
      <c r="E457" s="18"/>
      <c r="F457" s="99"/>
    </row>
    <row r="458" spans="2:6" ht="13.8">
      <c r="B458" s="200">
        <v>32509</v>
      </c>
      <c r="C458" s="188">
        <v>9.09</v>
      </c>
      <c r="D458" s="104">
        <f t="shared" si="6"/>
        <v>9.0899999999999995E-2</v>
      </c>
      <c r="E458" s="18"/>
      <c r="F458" s="99"/>
    </row>
    <row r="459" spans="2:6" ht="13.8">
      <c r="B459" s="200">
        <v>32540</v>
      </c>
      <c r="C459" s="188">
        <v>9.17</v>
      </c>
      <c r="D459" s="104">
        <f t="shared" si="6"/>
        <v>9.1700000000000004E-2</v>
      </c>
      <c r="E459" s="18"/>
      <c r="F459" s="99"/>
    </row>
    <row r="460" spans="2:6" ht="13.8">
      <c r="B460" s="200">
        <v>32568</v>
      </c>
      <c r="C460" s="188">
        <v>9.36</v>
      </c>
      <c r="D460" s="104">
        <f t="shared" si="6"/>
        <v>9.3599999999999989E-2</v>
      </c>
      <c r="E460" s="18"/>
      <c r="F460" s="99"/>
    </row>
    <row r="461" spans="2:6" ht="13.8">
      <c r="B461" s="200">
        <v>32599</v>
      </c>
      <c r="C461" s="188">
        <v>9.18</v>
      </c>
      <c r="D461" s="104">
        <f t="shared" si="6"/>
        <v>9.1799999999999993E-2</v>
      </c>
      <c r="E461" s="18"/>
      <c r="F461" s="99"/>
    </row>
    <row r="462" spans="2:6" ht="13.8">
      <c r="B462" s="200">
        <v>32629</v>
      </c>
      <c r="C462" s="188">
        <v>8.86</v>
      </c>
      <c r="D462" s="104">
        <f t="shared" si="6"/>
        <v>8.8599999999999998E-2</v>
      </c>
      <c r="E462" s="18"/>
      <c r="F462" s="99"/>
    </row>
    <row r="463" spans="2:6" ht="13.8">
      <c r="B463" s="200">
        <v>32660</v>
      </c>
      <c r="C463" s="188">
        <v>8.2799999999999994</v>
      </c>
      <c r="D463" s="104">
        <f t="shared" si="6"/>
        <v>8.2799999999999999E-2</v>
      </c>
      <c r="E463" s="18"/>
      <c r="F463" s="99"/>
    </row>
    <row r="464" spans="2:6" ht="13.8">
      <c r="B464" s="200">
        <v>32690</v>
      </c>
      <c r="C464" s="188">
        <v>8.02</v>
      </c>
      <c r="D464" s="104">
        <f t="shared" si="6"/>
        <v>8.0199999999999994E-2</v>
      </c>
      <c r="E464" s="18"/>
      <c r="F464" s="99"/>
    </row>
    <row r="465" spans="2:6" ht="13.8">
      <c r="B465" s="200">
        <v>32721</v>
      </c>
      <c r="C465" s="188">
        <v>8.11</v>
      </c>
      <c r="D465" s="104">
        <f t="shared" si="6"/>
        <v>8.1099999999999992E-2</v>
      </c>
      <c r="E465" s="18"/>
      <c r="F465" s="99"/>
    </row>
    <row r="466" spans="2:6" ht="13.8">
      <c r="B466" s="200">
        <v>32752</v>
      </c>
      <c r="C466" s="188">
        <v>8.19</v>
      </c>
      <c r="D466" s="104">
        <f t="shared" si="6"/>
        <v>8.1900000000000001E-2</v>
      </c>
      <c r="E466" s="18"/>
      <c r="F466" s="99"/>
    </row>
    <row r="467" spans="2:6" ht="13.8">
      <c r="B467" s="200">
        <v>32782</v>
      </c>
      <c r="C467" s="188">
        <v>8.01</v>
      </c>
      <c r="D467" s="104">
        <f t="shared" si="6"/>
        <v>8.0100000000000005E-2</v>
      </c>
      <c r="E467" s="18"/>
      <c r="F467" s="99"/>
    </row>
    <row r="468" spans="2:6" ht="13.8">
      <c r="B468" s="200">
        <v>32813</v>
      </c>
      <c r="C468" s="188">
        <v>7.87</v>
      </c>
      <c r="D468" s="104">
        <f t="shared" si="6"/>
        <v>7.8700000000000006E-2</v>
      </c>
      <c r="E468" s="18"/>
      <c r="F468" s="99"/>
    </row>
    <row r="469" spans="2:6" ht="13.8">
      <c r="B469" s="200">
        <v>32843</v>
      </c>
      <c r="C469" s="188">
        <v>7.84</v>
      </c>
      <c r="D469" s="104">
        <f t="shared" si="6"/>
        <v>7.8399999999999997E-2</v>
      </c>
      <c r="E469" s="18"/>
      <c r="F469" s="99"/>
    </row>
    <row r="470" spans="2:6" ht="13.8">
      <c r="B470" s="200">
        <v>32874</v>
      </c>
      <c r="C470" s="188">
        <v>8.2100000000000009</v>
      </c>
      <c r="D470" s="104">
        <f t="shared" si="6"/>
        <v>8.2100000000000006E-2</v>
      </c>
      <c r="E470" s="18"/>
      <c r="F470" s="99"/>
    </row>
    <row r="471" spans="2:6" ht="13.8">
      <c r="B471" s="200">
        <v>32905</v>
      </c>
      <c r="C471" s="188">
        <v>8.4700000000000006</v>
      </c>
      <c r="D471" s="104">
        <f t="shared" si="6"/>
        <v>8.4700000000000011E-2</v>
      </c>
      <c r="E471" s="18"/>
      <c r="F471" s="99"/>
    </row>
    <row r="472" spans="2:6" ht="13.8">
      <c r="B472" s="200">
        <v>32933</v>
      </c>
      <c r="C472" s="188">
        <v>8.59</v>
      </c>
      <c r="D472" s="104">
        <f t="shared" si="6"/>
        <v>8.5900000000000004E-2</v>
      </c>
      <c r="E472" s="18"/>
      <c r="F472" s="99"/>
    </row>
    <row r="473" spans="2:6" ht="13.8">
      <c r="B473" s="200">
        <v>32964</v>
      </c>
      <c r="C473" s="188">
        <v>8.7899999999999991</v>
      </c>
      <c r="D473" s="104">
        <f t="shared" si="6"/>
        <v>8.7899999999999992E-2</v>
      </c>
      <c r="E473" s="18"/>
      <c r="F473" s="99"/>
    </row>
    <row r="474" spans="2:6" ht="13.8">
      <c r="B474" s="200">
        <v>32994</v>
      </c>
      <c r="C474" s="188">
        <v>8.76</v>
      </c>
      <c r="D474" s="104">
        <f t="shared" si="6"/>
        <v>8.7599999999999997E-2</v>
      </c>
      <c r="E474" s="18"/>
      <c r="F474" s="99"/>
    </row>
    <row r="475" spans="2:6" ht="13.8">
      <c r="B475" s="200">
        <v>33025</v>
      </c>
      <c r="C475" s="188">
        <v>8.48</v>
      </c>
      <c r="D475" s="104">
        <f t="shared" si="6"/>
        <v>8.48E-2</v>
      </c>
      <c r="E475" s="18"/>
      <c r="F475" s="99"/>
    </row>
    <row r="476" spans="2:6" ht="13.8">
      <c r="B476" s="200">
        <v>33055</v>
      </c>
      <c r="C476" s="188">
        <v>8.4700000000000006</v>
      </c>
      <c r="D476" s="104">
        <f t="shared" ref="D476:D539" si="7">C476/100</f>
        <v>8.4700000000000011E-2</v>
      </c>
      <c r="E476" s="18"/>
      <c r="F476" s="99"/>
    </row>
    <row r="477" spans="2:6" ht="13.8">
      <c r="B477" s="200">
        <v>33086</v>
      </c>
      <c r="C477" s="188">
        <v>8.75</v>
      </c>
      <c r="D477" s="104">
        <f t="shared" si="7"/>
        <v>8.7499999999999994E-2</v>
      </c>
      <c r="E477" s="18"/>
      <c r="F477" s="99"/>
    </row>
    <row r="478" spans="2:6" ht="13.8">
      <c r="B478" s="200">
        <v>33117</v>
      </c>
      <c r="C478" s="188">
        <v>8.89</v>
      </c>
      <c r="D478" s="104">
        <f t="shared" si="7"/>
        <v>8.8900000000000007E-2</v>
      </c>
      <c r="E478" s="18"/>
      <c r="F478" s="99"/>
    </row>
    <row r="479" spans="2:6" ht="13.8">
      <c r="B479" s="200">
        <v>33147</v>
      </c>
      <c r="C479" s="188">
        <v>8.7200000000000006</v>
      </c>
      <c r="D479" s="104">
        <f t="shared" si="7"/>
        <v>8.72E-2</v>
      </c>
      <c r="E479" s="18"/>
      <c r="F479" s="99"/>
    </row>
    <row r="480" spans="2:6" ht="13.8">
      <c r="B480" s="200">
        <v>33178</v>
      </c>
      <c r="C480" s="188">
        <v>8.39</v>
      </c>
      <c r="D480" s="104">
        <f t="shared" si="7"/>
        <v>8.3900000000000002E-2</v>
      </c>
      <c r="E480" s="18"/>
      <c r="F480" s="99"/>
    </row>
    <row r="481" spans="2:6" ht="13.8">
      <c r="B481" s="200">
        <v>33208</v>
      </c>
      <c r="C481" s="188">
        <v>8.08</v>
      </c>
      <c r="D481" s="104">
        <f t="shared" si="7"/>
        <v>8.0799999999999997E-2</v>
      </c>
      <c r="E481" s="18"/>
      <c r="F481" s="99"/>
    </row>
    <row r="482" spans="2:6" ht="13.8">
      <c r="B482" s="200">
        <v>33239</v>
      </c>
      <c r="C482" s="188">
        <v>8.09</v>
      </c>
      <c r="D482" s="104">
        <f t="shared" si="7"/>
        <v>8.09E-2</v>
      </c>
      <c r="E482" s="18"/>
      <c r="F482" s="99"/>
    </row>
    <row r="483" spans="2:6" ht="13.8">
      <c r="B483" s="200">
        <v>33270</v>
      </c>
      <c r="C483" s="188">
        <v>7.85</v>
      </c>
      <c r="D483" s="104">
        <f t="shared" si="7"/>
        <v>7.85E-2</v>
      </c>
      <c r="E483" s="18"/>
      <c r="F483" s="99"/>
    </row>
    <row r="484" spans="2:6" ht="13.8">
      <c r="B484" s="200">
        <v>33298</v>
      </c>
      <c r="C484" s="188">
        <v>8.11</v>
      </c>
      <c r="D484" s="104">
        <f t="shared" si="7"/>
        <v>8.1099999999999992E-2</v>
      </c>
      <c r="E484" s="18"/>
      <c r="F484" s="99"/>
    </row>
    <row r="485" spans="2:6" ht="13.8">
      <c r="B485" s="200">
        <v>33329</v>
      </c>
      <c r="C485" s="188">
        <v>8.0399999999999991</v>
      </c>
      <c r="D485" s="104">
        <f t="shared" si="7"/>
        <v>8.0399999999999985E-2</v>
      </c>
      <c r="E485" s="18"/>
      <c r="F485" s="99"/>
    </row>
    <row r="486" spans="2:6" ht="13.8">
      <c r="B486" s="200">
        <v>33359</v>
      </c>
      <c r="C486" s="188">
        <v>8.07</v>
      </c>
      <c r="D486" s="104">
        <f t="shared" si="7"/>
        <v>8.0700000000000008E-2</v>
      </c>
      <c r="E486" s="18"/>
      <c r="F486" s="99"/>
    </row>
    <row r="487" spans="2:6" ht="13.8">
      <c r="B487" s="200">
        <v>33390</v>
      </c>
      <c r="C487" s="188">
        <v>8.2799999999999994</v>
      </c>
      <c r="D487" s="104">
        <f t="shared" si="7"/>
        <v>8.2799999999999999E-2</v>
      </c>
      <c r="E487" s="18"/>
      <c r="F487" s="99"/>
    </row>
    <row r="488" spans="2:6" ht="13.8">
      <c r="B488" s="200">
        <v>33420</v>
      </c>
      <c r="C488" s="188">
        <v>8.27</v>
      </c>
      <c r="D488" s="104">
        <f t="shared" si="7"/>
        <v>8.2699999999999996E-2</v>
      </c>
      <c r="E488" s="18"/>
      <c r="F488" s="99"/>
    </row>
    <row r="489" spans="2:6" ht="13.8">
      <c r="B489" s="200">
        <v>33451</v>
      </c>
      <c r="C489" s="188">
        <v>7.9</v>
      </c>
      <c r="D489" s="104">
        <f t="shared" si="7"/>
        <v>7.9000000000000001E-2</v>
      </c>
      <c r="E489" s="18"/>
      <c r="F489" s="99"/>
    </row>
    <row r="490" spans="2:6" ht="13.8">
      <c r="B490" s="200">
        <v>33482</v>
      </c>
      <c r="C490" s="188">
        <v>7.65</v>
      </c>
      <c r="D490" s="104">
        <f t="shared" si="7"/>
        <v>7.6499999999999999E-2</v>
      </c>
      <c r="E490" s="18"/>
      <c r="F490" s="99"/>
    </row>
    <row r="491" spans="2:6" ht="13.8">
      <c r="B491" s="200">
        <v>33512</v>
      </c>
      <c r="C491" s="188">
        <v>7.53</v>
      </c>
      <c r="D491" s="104">
        <f t="shared" si="7"/>
        <v>7.5300000000000006E-2</v>
      </c>
      <c r="E491" s="18"/>
      <c r="F491" s="99"/>
    </row>
    <row r="492" spans="2:6" ht="13.8">
      <c r="B492" s="200">
        <v>33543</v>
      </c>
      <c r="C492" s="188">
        <v>7.42</v>
      </c>
      <c r="D492" s="104">
        <f t="shared" si="7"/>
        <v>7.4200000000000002E-2</v>
      </c>
      <c r="E492" s="18"/>
      <c r="F492" s="99"/>
    </row>
    <row r="493" spans="2:6" ht="13.8">
      <c r="B493" s="200">
        <v>33573</v>
      </c>
      <c r="C493" s="188">
        <v>7.09</v>
      </c>
      <c r="D493" s="104">
        <f t="shared" si="7"/>
        <v>7.0900000000000005E-2</v>
      </c>
      <c r="E493" s="18"/>
      <c r="F493" s="99"/>
    </row>
    <row r="494" spans="2:6" ht="13.8">
      <c r="B494" s="200">
        <v>33604</v>
      </c>
      <c r="C494" s="188">
        <v>7.03</v>
      </c>
      <c r="D494" s="104">
        <f t="shared" si="7"/>
        <v>7.0300000000000001E-2</v>
      </c>
      <c r="E494" s="18"/>
      <c r="F494" s="99"/>
    </row>
    <row r="495" spans="2:6" ht="13.8">
      <c r="B495" s="200">
        <v>33635</v>
      </c>
      <c r="C495" s="188">
        <v>7.34</v>
      </c>
      <c r="D495" s="104">
        <f t="shared" si="7"/>
        <v>7.3399999999999993E-2</v>
      </c>
      <c r="E495" s="18"/>
      <c r="F495" s="99"/>
    </row>
    <row r="496" spans="2:6" ht="13.8">
      <c r="B496" s="200">
        <v>33664</v>
      </c>
      <c r="C496" s="188">
        <v>7.54</v>
      </c>
      <c r="D496" s="104">
        <f t="shared" si="7"/>
        <v>7.5399999999999995E-2</v>
      </c>
      <c r="E496" s="18"/>
      <c r="F496" s="99"/>
    </row>
    <row r="497" spans="2:6" ht="13.8">
      <c r="B497" s="200">
        <v>33695</v>
      </c>
      <c r="C497" s="188">
        <v>7.48</v>
      </c>
      <c r="D497" s="104">
        <f t="shared" si="7"/>
        <v>7.4800000000000005E-2</v>
      </c>
      <c r="E497" s="18"/>
      <c r="F497" s="99"/>
    </row>
    <row r="498" spans="2:6" ht="13.8">
      <c r="B498" s="200">
        <v>33725</v>
      </c>
      <c r="C498" s="188">
        <v>7.39</v>
      </c>
      <c r="D498" s="104">
        <f t="shared" si="7"/>
        <v>7.3899999999999993E-2</v>
      </c>
      <c r="E498" s="18"/>
      <c r="F498" s="99"/>
    </row>
    <row r="499" spans="2:6" ht="13.8">
      <c r="B499" s="200">
        <v>33756</v>
      </c>
      <c r="C499" s="188">
        <v>7.26</v>
      </c>
      <c r="D499" s="104">
        <f t="shared" si="7"/>
        <v>7.2599999999999998E-2</v>
      </c>
      <c r="E499" s="18"/>
      <c r="F499" s="99"/>
    </row>
    <row r="500" spans="2:6" ht="13.8">
      <c r="B500" s="200">
        <v>33786</v>
      </c>
      <c r="C500" s="188">
        <v>6.84</v>
      </c>
      <c r="D500" s="104">
        <f t="shared" si="7"/>
        <v>6.8400000000000002E-2</v>
      </c>
      <c r="E500" s="18"/>
      <c r="F500" s="99"/>
    </row>
    <row r="501" spans="2:6" ht="13.8">
      <c r="B501" s="200">
        <v>33817</v>
      </c>
      <c r="C501" s="188">
        <v>6.59</v>
      </c>
      <c r="D501" s="104">
        <f t="shared" si="7"/>
        <v>6.59E-2</v>
      </c>
      <c r="E501" s="18"/>
      <c r="F501" s="99"/>
    </row>
    <row r="502" spans="2:6" ht="13.8">
      <c r="B502" s="200">
        <v>33848</v>
      </c>
      <c r="C502" s="188">
        <v>6.42</v>
      </c>
      <c r="D502" s="104">
        <f t="shared" si="7"/>
        <v>6.4199999999999993E-2</v>
      </c>
      <c r="E502" s="18"/>
      <c r="F502" s="99"/>
    </row>
    <row r="503" spans="2:6" ht="13.8">
      <c r="B503" s="200">
        <v>33878</v>
      </c>
      <c r="C503" s="188">
        <v>6.59</v>
      </c>
      <c r="D503" s="104">
        <f t="shared" si="7"/>
        <v>6.59E-2</v>
      </c>
      <c r="E503" s="18"/>
      <c r="F503" s="99"/>
    </row>
    <row r="504" spans="2:6" ht="13.8">
      <c r="B504" s="200">
        <v>33909</v>
      </c>
      <c r="C504" s="188">
        <v>6.87</v>
      </c>
      <c r="D504" s="104">
        <f t="shared" si="7"/>
        <v>6.8699999999999997E-2</v>
      </c>
      <c r="E504" s="18"/>
      <c r="F504" s="99"/>
    </row>
    <row r="505" spans="2:6" ht="13.8">
      <c r="B505" s="200">
        <v>33939</v>
      </c>
      <c r="C505" s="188">
        <v>6.77</v>
      </c>
      <c r="D505" s="104">
        <f t="shared" si="7"/>
        <v>6.7699999999999996E-2</v>
      </c>
      <c r="E505" s="18"/>
      <c r="F505" s="99"/>
    </row>
    <row r="506" spans="2:6" ht="13.8">
      <c r="B506" s="200">
        <v>33970</v>
      </c>
      <c r="C506" s="188">
        <v>6.6</v>
      </c>
      <c r="D506" s="104">
        <f t="shared" si="7"/>
        <v>6.6000000000000003E-2</v>
      </c>
      <c r="E506" s="18"/>
      <c r="F506" s="99"/>
    </row>
    <row r="507" spans="2:6" ht="13.8">
      <c r="B507" s="200">
        <v>34001</v>
      </c>
      <c r="C507" s="188">
        <v>6.26</v>
      </c>
      <c r="D507" s="104">
        <f t="shared" si="7"/>
        <v>6.2600000000000003E-2</v>
      </c>
      <c r="E507" s="18"/>
      <c r="F507" s="99"/>
    </row>
    <row r="508" spans="2:6" ht="13.8">
      <c r="B508" s="200">
        <v>34029</v>
      </c>
      <c r="C508" s="188">
        <v>5.98</v>
      </c>
      <c r="D508" s="104">
        <f t="shared" si="7"/>
        <v>5.9800000000000006E-2</v>
      </c>
      <c r="E508" s="18"/>
      <c r="F508" s="99"/>
    </row>
    <row r="509" spans="2:6" ht="13.8">
      <c r="B509" s="200">
        <v>34060</v>
      </c>
      <c r="C509" s="188">
        <v>5.97</v>
      </c>
      <c r="D509" s="104">
        <f t="shared" si="7"/>
        <v>5.9699999999999996E-2</v>
      </c>
      <c r="E509" s="18"/>
      <c r="F509" s="99"/>
    </row>
    <row r="510" spans="2:6" ht="13.8">
      <c r="B510" s="200">
        <v>34090</v>
      </c>
      <c r="C510" s="188">
        <v>6.04</v>
      </c>
      <c r="D510" s="104">
        <f t="shared" si="7"/>
        <v>6.0400000000000002E-2</v>
      </c>
      <c r="E510" s="18"/>
      <c r="F510" s="99"/>
    </row>
    <row r="511" spans="2:6" ht="13.8">
      <c r="B511" s="200">
        <v>34121</v>
      </c>
      <c r="C511" s="188">
        <v>5.96</v>
      </c>
      <c r="D511" s="104">
        <f t="shared" si="7"/>
        <v>5.96E-2</v>
      </c>
      <c r="E511" s="18"/>
      <c r="F511" s="99"/>
    </row>
    <row r="512" spans="2:6" ht="13.8">
      <c r="B512" s="200">
        <v>34151</v>
      </c>
      <c r="C512" s="188">
        <v>5.81</v>
      </c>
      <c r="D512" s="104">
        <f t="shared" si="7"/>
        <v>5.8099999999999999E-2</v>
      </c>
      <c r="E512" s="18"/>
      <c r="F512" s="99"/>
    </row>
    <row r="513" spans="2:6" ht="13.8">
      <c r="B513" s="200">
        <v>34182</v>
      </c>
      <c r="C513" s="188">
        <v>5.68</v>
      </c>
      <c r="D513" s="104">
        <f t="shared" si="7"/>
        <v>5.6799999999999996E-2</v>
      </c>
      <c r="E513" s="18"/>
      <c r="F513" s="99"/>
    </row>
    <row r="514" spans="2:6" ht="13.8">
      <c r="B514" s="200">
        <v>34213</v>
      </c>
      <c r="C514" s="188">
        <v>5.36</v>
      </c>
      <c r="D514" s="104">
        <f t="shared" si="7"/>
        <v>5.3600000000000002E-2</v>
      </c>
      <c r="E514" s="18"/>
      <c r="F514" s="99"/>
    </row>
    <row r="515" spans="2:6" ht="13.8">
      <c r="B515" s="200">
        <v>34243</v>
      </c>
      <c r="C515" s="188">
        <v>5.33</v>
      </c>
      <c r="D515" s="104">
        <f t="shared" si="7"/>
        <v>5.33E-2</v>
      </c>
      <c r="E515" s="18"/>
      <c r="F515" s="99"/>
    </row>
    <row r="516" spans="2:6" ht="13.8">
      <c r="B516" s="200">
        <v>34274</v>
      </c>
      <c r="C516" s="188">
        <v>5.72</v>
      </c>
      <c r="D516" s="104">
        <f t="shared" si="7"/>
        <v>5.7200000000000001E-2</v>
      </c>
      <c r="E516" s="18"/>
      <c r="F516" s="99"/>
    </row>
    <row r="517" spans="2:6" ht="13.8">
      <c r="B517" s="200">
        <v>34304</v>
      </c>
      <c r="C517" s="188">
        <v>5.77</v>
      </c>
      <c r="D517" s="104">
        <f t="shared" si="7"/>
        <v>5.7699999999999994E-2</v>
      </c>
      <c r="E517" s="18"/>
      <c r="F517" s="99"/>
    </row>
    <row r="518" spans="2:6" ht="13.8">
      <c r="B518" s="200">
        <v>34335</v>
      </c>
      <c r="C518" s="188">
        <v>5.75</v>
      </c>
      <c r="D518" s="104">
        <f t="shared" si="7"/>
        <v>5.7500000000000002E-2</v>
      </c>
      <c r="E518" s="18"/>
      <c r="F518" s="99"/>
    </row>
    <row r="519" spans="2:6" ht="13.8">
      <c r="B519" s="200">
        <v>34366</v>
      </c>
      <c r="C519" s="188">
        <v>5.97</v>
      </c>
      <c r="D519" s="104">
        <f t="shared" si="7"/>
        <v>5.9699999999999996E-2</v>
      </c>
      <c r="E519" s="18"/>
      <c r="F519" s="99"/>
    </row>
    <row r="520" spans="2:6" ht="13.8">
      <c r="B520" s="200">
        <v>34394</v>
      </c>
      <c r="C520" s="188">
        <v>6.48</v>
      </c>
      <c r="D520" s="104">
        <f t="shared" si="7"/>
        <v>6.480000000000001E-2</v>
      </c>
      <c r="E520" s="18"/>
      <c r="F520" s="99"/>
    </row>
    <row r="521" spans="2:6" ht="13.8">
      <c r="B521" s="200">
        <v>34425</v>
      </c>
      <c r="C521" s="188">
        <v>6.97</v>
      </c>
      <c r="D521" s="104">
        <f t="shared" si="7"/>
        <v>6.9699999999999998E-2</v>
      </c>
      <c r="E521" s="18"/>
      <c r="F521" s="99"/>
    </row>
    <row r="522" spans="2:6" ht="13.8">
      <c r="B522" s="200">
        <v>34455</v>
      </c>
      <c r="C522" s="188">
        <v>7.18</v>
      </c>
      <c r="D522" s="104">
        <f t="shared" si="7"/>
        <v>7.1800000000000003E-2</v>
      </c>
      <c r="E522" s="18"/>
      <c r="F522" s="99"/>
    </row>
    <row r="523" spans="2:6" ht="13.8">
      <c r="B523" s="200">
        <v>34486</v>
      </c>
      <c r="C523" s="188">
        <v>7.1</v>
      </c>
      <c r="D523" s="104">
        <f t="shared" si="7"/>
        <v>7.0999999999999994E-2</v>
      </c>
      <c r="E523" s="18"/>
      <c r="F523" s="99"/>
    </row>
    <row r="524" spans="2:6" ht="13.8">
      <c r="B524" s="200">
        <v>34516</v>
      </c>
      <c r="C524" s="188">
        <v>7.3</v>
      </c>
      <c r="D524" s="104">
        <f t="shared" si="7"/>
        <v>7.2999999999999995E-2</v>
      </c>
      <c r="E524" s="18"/>
      <c r="F524" s="99"/>
    </row>
    <row r="525" spans="2:6" ht="13.8">
      <c r="B525" s="200">
        <v>34547</v>
      </c>
      <c r="C525" s="188">
        <v>7.24</v>
      </c>
      <c r="D525" s="104">
        <f t="shared" si="7"/>
        <v>7.2400000000000006E-2</v>
      </c>
      <c r="E525" s="18"/>
      <c r="F525" s="99"/>
    </row>
    <row r="526" spans="2:6" ht="13.8">
      <c r="B526" s="200">
        <v>34578</v>
      </c>
      <c r="C526" s="188">
        <v>7.46</v>
      </c>
      <c r="D526" s="104">
        <f t="shared" si="7"/>
        <v>7.46E-2</v>
      </c>
      <c r="E526" s="18"/>
      <c r="F526" s="99"/>
    </row>
    <row r="527" spans="2:6" ht="13.8">
      <c r="B527" s="200">
        <v>34608</v>
      </c>
      <c r="C527" s="188">
        <v>7.74</v>
      </c>
      <c r="D527" s="104">
        <f t="shared" si="7"/>
        <v>7.7399999999999997E-2</v>
      </c>
      <c r="E527" s="18"/>
      <c r="F527" s="99"/>
    </row>
    <row r="528" spans="2:6" ht="13.8">
      <c r="B528" s="200">
        <v>34639</v>
      </c>
      <c r="C528" s="188">
        <v>7.96</v>
      </c>
      <c r="D528" s="104">
        <f t="shared" si="7"/>
        <v>7.9600000000000004E-2</v>
      </c>
      <c r="E528" s="18"/>
      <c r="F528" s="99"/>
    </row>
    <row r="529" spans="2:6" ht="13.8">
      <c r="B529" s="200">
        <v>34669</v>
      </c>
      <c r="C529" s="188">
        <v>7.81</v>
      </c>
      <c r="D529" s="104">
        <f t="shared" si="7"/>
        <v>7.8100000000000003E-2</v>
      </c>
      <c r="E529" s="18"/>
      <c r="F529" s="99"/>
    </row>
    <row r="530" spans="2:6" ht="13.8">
      <c r="B530" s="200">
        <v>34700</v>
      </c>
      <c r="C530" s="188">
        <v>7.78</v>
      </c>
      <c r="D530" s="104">
        <f t="shared" si="7"/>
        <v>7.7800000000000008E-2</v>
      </c>
      <c r="E530" s="18"/>
      <c r="F530" s="99"/>
    </row>
    <row r="531" spans="2:6" ht="13.8">
      <c r="B531" s="200">
        <v>34731</v>
      </c>
      <c r="C531" s="188">
        <v>7.47</v>
      </c>
      <c r="D531" s="104">
        <f t="shared" si="7"/>
        <v>7.4700000000000003E-2</v>
      </c>
      <c r="E531" s="18"/>
      <c r="F531" s="99"/>
    </row>
    <row r="532" spans="2:6" ht="13.8">
      <c r="B532" s="200">
        <v>34759</v>
      </c>
      <c r="C532" s="188">
        <v>7.2</v>
      </c>
      <c r="D532" s="104">
        <f t="shared" si="7"/>
        <v>7.2000000000000008E-2</v>
      </c>
      <c r="E532" s="18"/>
      <c r="F532" s="99"/>
    </row>
    <row r="533" spans="2:6" ht="13.8">
      <c r="B533" s="200">
        <v>34790</v>
      </c>
      <c r="C533" s="188">
        <v>7.06</v>
      </c>
      <c r="D533" s="104">
        <f t="shared" si="7"/>
        <v>7.0599999999999996E-2</v>
      </c>
      <c r="E533" s="18"/>
      <c r="F533" s="99"/>
    </row>
    <row r="534" spans="2:6" ht="13.8">
      <c r="B534" s="200">
        <v>34820</v>
      </c>
      <c r="C534" s="188">
        <v>6.63</v>
      </c>
      <c r="D534" s="104">
        <f t="shared" si="7"/>
        <v>6.6299999999999998E-2</v>
      </c>
      <c r="E534" s="18"/>
      <c r="F534" s="99"/>
    </row>
    <row r="535" spans="2:6" ht="13.8">
      <c r="B535" s="200">
        <v>34851</v>
      </c>
      <c r="C535" s="188">
        <v>6.17</v>
      </c>
      <c r="D535" s="104">
        <f t="shared" si="7"/>
        <v>6.1699999999999998E-2</v>
      </c>
      <c r="E535" s="18"/>
      <c r="F535" s="99"/>
    </row>
    <row r="536" spans="2:6" ht="13.8">
      <c r="B536" s="200">
        <v>34881</v>
      </c>
      <c r="C536" s="188">
        <v>6.28</v>
      </c>
      <c r="D536" s="104">
        <f t="shared" si="7"/>
        <v>6.2800000000000009E-2</v>
      </c>
      <c r="E536" s="18"/>
      <c r="F536" s="99"/>
    </row>
    <row r="537" spans="2:6" ht="13.8">
      <c r="B537" s="200">
        <v>34912</v>
      </c>
      <c r="C537" s="188">
        <v>6.49</v>
      </c>
      <c r="D537" s="104">
        <f t="shared" si="7"/>
        <v>6.4899999999999999E-2</v>
      </c>
      <c r="E537" s="18"/>
      <c r="F537" s="99"/>
    </row>
    <row r="538" spans="2:6" ht="13.8">
      <c r="B538" s="200">
        <v>34943</v>
      </c>
      <c r="C538" s="188">
        <v>6.2</v>
      </c>
      <c r="D538" s="104">
        <f t="shared" si="7"/>
        <v>6.2E-2</v>
      </c>
      <c r="E538" s="18"/>
      <c r="F538" s="99"/>
    </row>
    <row r="539" spans="2:6" ht="13.8">
      <c r="B539" s="200">
        <v>34973</v>
      </c>
      <c r="C539" s="188">
        <v>6.04</v>
      </c>
      <c r="D539" s="104">
        <f t="shared" si="7"/>
        <v>6.0400000000000002E-2</v>
      </c>
      <c r="E539" s="18"/>
      <c r="F539" s="99"/>
    </row>
    <row r="540" spans="2:6" ht="13.8">
      <c r="B540" s="200">
        <v>35004</v>
      </c>
      <c r="C540" s="188">
        <v>5.93</v>
      </c>
      <c r="D540" s="104">
        <f t="shared" ref="D540:D589" si="8">C540/100</f>
        <v>5.9299999999999999E-2</v>
      </c>
      <c r="E540" s="18"/>
      <c r="F540" s="99"/>
    </row>
    <row r="541" spans="2:6" ht="13.8">
      <c r="B541" s="200">
        <v>35034</v>
      </c>
      <c r="C541" s="188">
        <v>5.71</v>
      </c>
      <c r="D541" s="104">
        <f t="shared" si="8"/>
        <v>5.7099999999999998E-2</v>
      </c>
      <c r="E541" s="18"/>
      <c r="F541" s="99"/>
    </row>
    <row r="542" spans="2:6" ht="13.8">
      <c r="B542" s="200">
        <v>35065</v>
      </c>
      <c r="C542" s="188">
        <v>5.65</v>
      </c>
      <c r="D542" s="104">
        <f t="shared" si="8"/>
        <v>5.6500000000000002E-2</v>
      </c>
      <c r="E542" s="18"/>
      <c r="F542" s="99"/>
    </row>
    <row r="543" spans="2:6" ht="13.8">
      <c r="B543" s="200">
        <v>35096</v>
      </c>
      <c r="C543" s="188">
        <v>5.81</v>
      </c>
      <c r="D543" s="104">
        <f t="shared" si="8"/>
        <v>5.8099999999999999E-2</v>
      </c>
      <c r="E543" s="18"/>
      <c r="F543" s="99"/>
    </row>
    <row r="544" spans="2:6" ht="13.8">
      <c r="B544" s="200">
        <v>35125</v>
      </c>
      <c r="C544" s="188">
        <v>6.27</v>
      </c>
      <c r="D544" s="104">
        <f t="shared" si="8"/>
        <v>6.2699999999999992E-2</v>
      </c>
      <c r="E544" s="18"/>
      <c r="F544" s="99"/>
    </row>
    <row r="545" spans="2:6" ht="13.8">
      <c r="B545" s="200">
        <v>35156</v>
      </c>
      <c r="C545" s="188">
        <v>6.51</v>
      </c>
      <c r="D545" s="104">
        <f t="shared" si="8"/>
        <v>6.5099999999999991E-2</v>
      </c>
      <c r="E545" s="18"/>
      <c r="F545" s="99"/>
    </row>
    <row r="546" spans="2:6" ht="13.8">
      <c r="B546" s="200">
        <v>35186</v>
      </c>
      <c r="C546" s="188">
        <v>6.74</v>
      </c>
      <c r="D546" s="104">
        <f t="shared" si="8"/>
        <v>6.7400000000000002E-2</v>
      </c>
      <c r="E546" s="18"/>
      <c r="F546" s="99"/>
    </row>
    <row r="547" spans="2:6" ht="13.8">
      <c r="B547" s="200">
        <v>35217</v>
      </c>
      <c r="C547" s="188">
        <v>6.91</v>
      </c>
      <c r="D547" s="104">
        <f t="shared" si="8"/>
        <v>6.9099999999999995E-2</v>
      </c>
      <c r="E547" s="18"/>
      <c r="F547" s="99"/>
    </row>
    <row r="548" spans="2:6" ht="13.8">
      <c r="B548" s="200">
        <v>35247</v>
      </c>
      <c r="C548" s="188">
        <v>6.87</v>
      </c>
      <c r="D548" s="104">
        <f t="shared" si="8"/>
        <v>6.8699999999999997E-2</v>
      </c>
      <c r="E548" s="18"/>
      <c r="F548" s="99"/>
    </row>
    <row r="549" spans="2:6" ht="13.8">
      <c r="B549" s="200">
        <v>35278</v>
      </c>
      <c r="C549" s="188">
        <v>6.64</v>
      </c>
      <c r="D549" s="104">
        <f t="shared" si="8"/>
        <v>6.6400000000000001E-2</v>
      </c>
      <c r="E549" s="18"/>
      <c r="F549" s="99"/>
    </row>
    <row r="550" spans="2:6" ht="13.8">
      <c r="B550" s="200">
        <v>35309</v>
      </c>
      <c r="C550" s="188">
        <v>6.83</v>
      </c>
      <c r="D550" s="104">
        <f t="shared" si="8"/>
        <v>6.83E-2</v>
      </c>
      <c r="E550" s="18"/>
      <c r="F550" s="99"/>
    </row>
    <row r="551" spans="2:6" ht="13.8">
      <c r="B551" s="200">
        <v>35339</v>
      </c>
      <c r="C551" s="188">
        <v>6.53</v>
      </c>
      <c r="D551" s="104">
        <f t="shared" si="8"/>
        <v>6.5299999999999997E-2</v>
      </c>
      <c r="E551" s="18"/>
      <c r="F551" s="99"/>
    </row>
    <row r="552" spans="2:6" ht="13.8">
      <c r="B552" s="200">
        <v>35370</v>
      </c>
      <c r="C552" s="188">
        <v>6.2</v>
      </c>
      <c r="D552" s="104">
        <f t="shared" si="8"/>
        <v>6.2E-2</v>
      </c>
      <c r="E552" s="18"/>
      <c r="F552" s="99"/>
    </row>
    <row r="553" spans="2:6" ht="13.8">
      <c r="B553" s="200">
        <v>35400</v>
      </c>
      <c r="C553" s="188">
        <v>6.3</v>
      </c>
      <c r="D553" s="104">
        <f t="shared" si="8"/>
        <v>6.3E-2</v>
      </c>
      <c r="E553" s="18"/>
      <c r="F553" s="99"/>
    </row>
    <row r="554" spans="2:6" ht="13.8">
      <c r="B554" s="200">
        <v>35431</v>
      </c>
      <c r="C554" s="188">
        <v>6.58</v>
      </c>
      <c r="D554" s="104">
        <f t="shared" si="8"/>
        <v>6.5799999999999997E-2</v>
      </c>
      <c r="E554" s="18"/>
      <c r="F554" s="99"/>
    </row>
    <row r="555" spans="2:6" ht="13.8">
      <c r="B555" s="200">
        <v>35462</v>
      </c>
      <c r="C555" s="188">
        <v>6.42</v>
      </c>
      <c r="D555" s="104">
        <f t="shared" si="8"/>
        <v>6.4199999999999993E-2</v>
      </c>
      <c r="E555" s="18"/>
      <c r="F555" s="99"/>
    </row>
    <row r="556" spans="2:6" ht="13.8">
      <c r="B556" s="200">
        <v>35490</v>
      </c>
      <c r="C556" s="188">
        <v>6.69</v>
      </c>
      <c r="D556" s="104">
        <f t="shared" si="8"/>
        <v>6.6900000000000001E-2</v>
      </c>
      <c r="E556" s="18"/>
      <c r="F556" s="99"/>
    </row>
    <row r="557" spans="2:6" ht="13.8">
      <c r="B557" s="200">
        <v>35521</v>
      </c>
      <c r="C557" s="188">
        <v>6.89</v>
      </c>
      <c r="D557" s="104">
        <f t="shared" si="8"/>
        <v>6.8900000000000003E-2</v>
      </c>
      <c r="E557" s="18"/>
      <c r="F557" s="99"/>
    </row>
    <row r="558" spans="2:6" ht="13.8">
      <c r="B558" s="200">
        <v>35551</v>
      </c>
      <c r="C558" s="188">
        <v>6.71</v>
      </c>
      <c r="D558" s="104">
        <f t="shared" si="8"/>
        <v>6.7099999999999993E-2</v>
      </c>
      <c r="E558" s="18"/>
      <c r="F558" s="99"/>
    </row>
    <row r="559" spans="2:6" ht="13.8">
      <c r="B559" s="200">
        <v>35582</v>
      </c>
      <c r="C559" s="188">
        <v>6.49</v>
      </c>
      <c r="D559" s="104">
        <f t="shared" si="8"/>
        <v>6.4899999999999999E-2</v>
      </c>
      <c r="E559" s="18"/>
      <c r="F559" s="99"/>
    </row>
    <row r="560" spans="2:6" ht="13.8">
      <c r="B560" s="200">
        <v>35612</v>
      </c>
      <c r="C560" s="188">
        <v>6.22</v>
      </c>
      <c r="D560" s="104">
        <f t="shared" si="8"/>
        <v>6.2199999999999998E-2</v>
      </c>
      <c r="E560" s="18"/>
      <c r="F560" s="99"/>
    </row>
    <row r="561" spans="2:6" ht="13.8">
      <c r="B561" s="200">
        <v>35643</v>
      </c>
      <c r="C561" s="188">
        <v>6.3</v>
      </c>
      <c r="D561" s="104">
        <f t="shared" si="8"/>
        <v>6.3E-2</v>
      </c>
      <c r="E561" s="18"/>
      <c r="F561" s="99"/>
    </row>
    <row r="562" spans="2:6" ht="13.8">
      <c r="B562" s="200">
        <v>35674</v>
      </c>
      <c r="C562" s="188">
        <v>6.21</v>
      </c>
      <c r="D562" s="104">
        <f t="shared" si="8"/>
        <v>6.2100000000000002E-2</v>
      </c>
      <c r="E562" s="18"/>
      <c r="F562" s="99"/>
    </row>
    <row r="563" spans="2:6" ht="13.8">
      <c r="B563" s="200">
        <v>35704</v>
      </c>
      <c r="C563" s="188">
        <v>6.03</v>
      </c>
      <c r="D563" s="104">
        <f t="shared" si="8"/>
        <v>6.0299999999999999E-2</v>
      </c>
      <c r="E563" s="18"/>
      <c r="F563" s="99"/>
    </row>
    <row r="564" spans="2:6" ht="13.8">
      <c r="B564" s="200">
        <v>35735</v>
      </c>
      <c r="C564" s="188">
        <v>5.88</v>
      </c>
      <c r="D564" s="104">
        <f t="shared" si="8"/>
        <v>5.8799999999999998E-2</v>
      </c>
      <c r="E564" s="18"/>
      <c r="F564" s="99"/>
    </row>
    <row r="565" spans="2:6" ht="13.8">
      <c r="B565" s="200">
        <v>35765</v>
      </c>
      <c r="C565" s="188">
        <v>5.81</v>
      </c>
      <c r="D565" s="104">
        <f t="shared" si="8"/>
        <v>5.8099999999999999E-2</v>
      </c>
      <c r="E565" s="18"/>
      <c r="F565" s="99"/>
    </row>
    <row r="566" spans="2:6" ht="13.8">
      <c r="B566" s="200">
        <v>35796</v>
      </c>
      <c r="C566" s="188">
        <v>5.54</v>
      </c>
      <c r="D566" s="104">
        <f t="shared" si="8"/>
        <v>5.5399999999999998E-2</v>
      </c>
      <c r="E566" s="18"/>
      <c r="F566" s="99"/>
    </row>
    <row r="567" spans="2:6" ht="13.8">
      <c r="B567" s="200">
        <v>35827</v>
      </c>
      <c r="C567" s="188">
        <v>5.57</v>
      </c>
      <c r="D567" s="104">
        <f t="shared" si="8"/>
        <v>5.57E-2</v>
      </c>
      <c r="E567" s="18"/>
      <c r="F567" s="99"/>
    </row>
    <row r="568" spans="2:6" ht="13.8">
      <c r="B568" s="200">
        <v>35855</v>
      </c>
      <c r="C568" s="188">
        <v>5.65</v>
      </c>
      <c r="D568" s="104">
        <f t="shared" si="8"/>
        <v>5.6500000000000002E-2</v>
      </c>
      <c r="E568" s="18"/>
      <c r="F568" s="99"/>
    </row>
    <row r="569" spans="2:6" ht="13.8">
      <c r="B569" s="200">
        <v>35886</v>
      </c>
      <c r="C569" s="188">
        <v>5.64</v>
      </c>
      <c r="D569" s="104">
        <f t="shared" si="8"/>
        <v>5.6399999999999999E-2</v>
      </c>
      <c r="E569" s="18"/>
      <c r="F569" s="99"/>
    </row>
    <row r="570" spans="2:6" ht="13.8">
      <c r="B570" s="200">
        <v>35916</v>
      </c>
      <c r="C570" s="188">
        <v>5.65</v>
      </c>
      <c r="D570" s="104">
        <f t="shared" si="8"/>
        <v>5.6500000000000002E-2</v>
      </c>
      <c r="E570" s="18"/>
      <c r="F570" s="99"/>
    </row>
    <row r="571" spans="2:6" ht="13.8">
      <c r="B571" s="200">
        <v>35947</v>
      </c>
      <c r="C571" s="188">
        <v>5.5</v>
      </c>
      <c r="D571" s="104">
        <f t="shared" si="8"/>
        <v>5.5E-2</v>
      </c>
      <c r="E571" s="18"/>
      <c r="F571" s="99"/>
    </row>
    <row r="572" spans="2:6" ht="13.8">
      <c r="B572" s="200">
        <v>35977</v>
      </c>
      <c r="C572" s="188">
        <v>5.46</v>
      </c>
      <c r="D572" s="104">
        <f t="shared" si="8"/>
        <v>5.4600000000000003E-2</v>
      </c>
      <c r="E572" s="18"/>
      <c r="F572" s="99"/>
    </row>
    <row r="573" spans="2:6" ht="13.8">
      <c r="B573" s="200">
        <v>36008</v>
      </c>
      <c r="C573" s="188">
        <v>5.34</v>
      </c>
      <c r="D573" s="104">
        <f t="shared" si="8"/>
        <v>5.3399999999999996E-2</v>
      </c>
      <c r="E573" s="18"/>
      <c r="F573" s="99"/>
    </row>
    <row r="574" spans="2:6" ht="13.8">
      <c r="B574" s="200">
        <v>36039</v>
      </c>
      <c r="C574" s="188">
        <v>4.8099999999999996</v>
      </c>
      <c r="D574" s="104">
        <f t="shared" si="8"/>
        <v>4.8099999999999997E-2</v>
      </c>
      <c r="E574" s="18"/>
      <c r="F574" s="99"/>
    </row>
    <row r="575" spans="2:6" ht="13.8">
      <c r="B575" s="200">
        <v>36069</v>
      </c>
      <c r="C575" s="188">
        <v>4.53</v>
      </c>
      <c r="D575" s="104">
        <f t="shared" si="8"/>
        <v>4.53E-2</v>
      </c>
      <c r="E575" s="18"/>
      <c r="F575" s="99"/>
    </row>
    <row r="576" spans="2:6" ht="13.8">
      <c r="B576" s="200">
        <v>36100</v>
      </c>
      <c r="C576" s="188">
        <v>4.83</v>
      </c>
      <c r="D576" s="104">
        <f t="shared" si="8"/>
        <v>4.8300000000000003E-2</v>
      </c>
      <c r="E576" s="18"/>
      <c r="F576" s="99"/>
    </row>
    <row r="577" spans="2:6" ht="13.8">
      <c r="B577" s="200">
        <v>36130</v>
      </c>
      <c r="C577" s="188">
        <v>4.6500000000000004</v>
      </c>
      <c r="D577" s="104">
        <f t="shared" si="8"/>
        <v>4.6500000000000007E-2</v>
      </c>
      <c r="E577" s="18"/>
      <c r="F577" s="99"/>
    </row>
    <row r="578" spans="2:6" ht="13.8">
      <c r="B578" s="200">
        <v>36161</v>
      </c>
      <c r="C578" s="188">
        <v>4.72</v>
      </c>
      <c r="D578" s="104">
        <f t="shared" si="8"/>
        <v>4.7199999999999999E-2</v>
      </c>
      <c r="E578" s="18"/>
      <c r="F578" s="99"/>
    </row>
    <row r="579" spans="2:6" ht="13.8">
      <c r="B579" s="200">
        <v>36192</v>
      </c>
      <c r="C579" s="188">
        <v>5</v>
      </c>
      <c r="D579" s="104">
        <f t="shared" si="8"/>
        <v>0.05</v>
      </c>
      <c r="E579" s="18"/>
      <c r="F579" s="99"/>
    </row>
    <row r="580" spans="2:6" ht="13.8">
      <c r="B580" s="200">
        <v>36220</v>
      </c>
      <c r="C580" s="188">
        <v>5.23</v>
      </c>
      <c r="D580" s="104">
        <f t="shared" si="8"/>
        <v>5.2300000000000006E-2</v>
      </c>
      <c r="E580" s="18"/>
      <c r="F580" s="99"/>
    </row>
    <row r="581" spans="2:6" ht="13.8">
      <c r="B581" s="200">
        <v>36251</v>
      </c>
      <c r="C581" s="188">
        <v>5.18</v>
      </c>
      <c r="D581" s="104">
        <f t="shared" si="8"/>
        <v>5.1799999999999999E-2</v>
      </c>
      <c r="E581" s="18"/>
      <c r="F581" s="99"/>
    </row>
    <row r="582" spans="2:6" ht="13.8">
      <c r="B582" s="200">
        <v>36281</v>
      </c>
      <c r="C582" s="188">
        <v>5.54</v>
      </c>
      <c r="D582" s="104">
        <f t="shared" si="8"/>
        <v>5.5399999999999998E-2</v>
      </c>
      <c r="E582" s="18"/>
      <c r="F582" s="99"/>
    </row>
    <row r="583" spans="2:6" ht="13.8">
      <c r="B583" s="200">
        <v>36312</v>
      </c>
      <c r="C583" s="188">
        <v>5.9</v>
      </c>
      <c r="D583" s="104">
        <f t="shared" si="8"/>
        <v>5.9000000000000004E-2</v>
      </c>
      <c r="E583" s="18"/>
      <c r="F583" s="99"/>
    </row>
    <row r="584" spans="2:6" ht="13.8">
      <c r="B584" s="200">
        <v>36342</v>
      </c>
      <c r="C584" s="188">
        <v>5.79</v>
      </c>
      <c r="D584" s="104">
        <f t="shared" si="8"/>
        <v>5.79E-2</v>
      </c>
      <c r="E584" s="18"/>
      <c r="F584" s="99"/>
    </row>
    <row r="585" spans="2:6" ht="13.8">
      <c r="B585" s="200">
        <v>36373</v>
      </c>
      <c r="C585" s="188">
        <v>5.94</v>
      </c>
      <c r="D585" s="104">
        <f t="shared" si="8"/>
        <v>5.9400000000000001E-2</v>
      </c>
      <c r="E585" s="18"/>
      <c r="F585" s="99"/>
    </row>
    <row r="586" spans="2:6" ht="13.8">
      <c r="B586" s="200">
        <v>36404</v>
      </c>
      <c r="C586" s="188">
        <v>5.92</v>
      </c>
      <c r="D586" s="104">
        <f t="shared" si="8"/>
        <v>5.9200000000000003E-2</v>
      </c>
      <c r="E586" s="18"/>
      <c r="F586" s="99"/>
    </row>
    <row r="587" spans="2:6" ht="13.8">
      <c r="B587" s="200">
        <v>36434</v>
      </c>
      <c r="C587" s="188">
        <v>6.11</v>
      </c>
      <c r="D587" s="104">
        <f t="shared" si="8"/>
        <v>6.1100000000000002E-2</v>
      </c>
      <c r="E587" s="18"/>
      <c r="F587" s="99"/>
    </row>
    <row r="588" spans="2:6" ht="13.8">
      <c r="B588" s="200">
        <v>36465</v>
      </c>
      <c r="C588" s="188">
        <v>6.03</v>
      </c>
      <c r="D588" s="104">
        <f t="shared" si="8"/>
        <v>6.0299999999999999E-2</v>
      </c>
      <c r="E588" s="18"/>
      <c r="F588" s="99"/>
    </row>
    <row r="589" spans="2:6" ht="13.8">
      <c r="B589" s="200">
        <v>36495</v>
      </c>
      <c r="C589" s="188">
        <v>6.28</v>
      </c>
      <c r="D589" s="104">
        <f t="shared" si="8"/>
        <v>6.2800000000000009E-2</v>
      </c>
      <c r="E589" s="18"/>
      <c r="F589" s="99"/>
    </row>
    <row r="590" spans="2:6" ht="13.8">
      <c r="B590" s="200">
        <v>36526</v>
      </c>
      <c r="C590" s="188">
        <v>6.66</v>
      </c>
      <c r="D590" s="104">
        <f>C590/100</f>
        <v>6.6600000000000006E-2</v>
      </c>
      <c r="E590" s="18"/>
      <c r="F590" s="99"/>
    </row>
    <row r="591" spans="2:6" ht="13.8">
      <c r="B591" s="201">
        <v>36557</v>
      </c>
      <c r="C591" s="189">
        <v>6.52</v>
      </c>
      <c r="D591" s="105">
        <f t="shared" ref="D591:D654" si="9">C591/100</f>
        <v>6.5199999999999994E-2</v>
      </c>
      <c r="E591" s="18"/>
    </row>
    <row r="592" spans="2:6" ht="13.8">
      <c r="B592" s="201">
        <v>36586</v>
      </c>
      <c r="C592" s="189">
        <v>6.26</v>
      </c>
      <c r="D592" s="105">
        <f t="shared" si="9"/>
        <v>6.2600000000000003E-2</v>
      </c>
      <c r="E592" s="18"/>
    </row>
    <row r="593" spans="2:5" ht="13.8">
      <c r="B593" s="201">
        <v>36617</v>
      </c>
      <c r="C593" s="189">
        <v>5.99</v>
      </c>
      <c r="D593" s="105">
        <f t="shared" si="9"/>
        <v>5.9900000000000002E-2</v>
      </c>
      <c r="E593" s="18"/>
    </row>
    <row r="594" spans="2:5" ht="13.8">
      <c r="B594" s="201">
        <v>36647</v>
      </c>
      <c r="C594" s="189">
        <v>6.44</v>
      </c>
      <c r="D594" s="105">
        <f t="shared" si="9"/>
        <v>6.4399999999999999E-2</v>
      </c>
      <c r="E594" s="18"/>
    </row>
    <row r="595" spans="2:5" ht="13.8">
      <c r="B595" s="201">
        <v>36678</v>
      </c>
      <c r="C595" s="189">
        <v>6.1</v>
      </c>
      <c r="D595" s="105">
        <f t="shared" si="9"/>
        <v>6.0999999999999999E-2</v>
      </c>
      <c r="E595" s="18"/>
    </row>
    <row r="596" spans="2:5" ht="13.8">
      <c r="B596" s="201">
        <v>36708</v>
      </c>
      <c r="C596" s="189">
        <v>6.05</v>
      </c>
      <c r="D596" s="105">
        <f t="shared" si="9"/>
        <v>6.0499999999999998E-2</v>
      </c>
      <c r="E596" s="18"/>
    </row>
    <row r="597" spans="2:5" ht="13.8">
      <c r="B597" s="201">
        <v>36739</v>
      </c>
      <c r="C597" s="189">
        <v>5.83</v>
      </c>
      <c r="D597" s="105">
        <f t="shared" si="9"/>
        <v>5.8299999999999998E-2</v>
      </c>
      <c r="E597" s="18"/>
    </row>
    <row r="598" spans="2:5" ht="13.8">
      <c r="B598" s="201">
        <v>36770</v>
      </c>
      <c r="C598" s="189">
        <v>5.8</v>
      </c>
      <c r="D598" s="105">
        <f t="shared" si="9"/>
        <v>5.7999999999999996E-2</v>
      </c>
      <c r="E598" s="18"/>
    </row>
    <row r="599" spans="2:5" ht="13.8">
      <c r="B599" s="201">
        <v>36800</v>
      </c>
      <c r="C599" s="189">
        <v>5.74</v>
      </c>
      <c r="D599" s="105">
        <f t="shared" si="9"/>
        <v>5.74E-2</v>
      </c>
      <c r="E599" s="18"/>
    </row>
    <row r="600" spans="2:5" ht="13.8">
      <c r="B600" s="201">
        <v>36831</v>
      </c>
      <c r="C600" s="189">
        <v>5.72</v>
      </c>
      <c r="D600" s="105">
        <f t="shared" si="9"/>
        <v>5.7200000000000001E-2</v>
      </c>
      <c r="E600" s="18"/>
    </row>
    <row r="601" spans="2:5" ht="13.8">
      <c r="B601" s="201">
        <v>36861</v>
      </c>
      <c r="C601" s="189">
        <v>5.24</v>
      </c>
      <c r="D601" s="105">
        <f t="shared" si="9"/>
        <v>5.2400000000000002E-2</v>
      </c>
      <c r="E601" s="18"/>
    </row>
    <row r="602" spans="2:5" ht="13.8">
      <c r="B602" s="201">
        <v>36892</v>
      </c>
      <c r="C602" s="189">
        <v>5.16</v>
      </c>
      <c r="D602" s="105">
        <f t="shared" si="9"/>
        <v>5.16E-2</v>
      </c>
      <c r="E602" s="18"/>
    </row>
    <row r="603" spans="2:5" ht="13.8">
      <c r="B603" s="201">
        <v>36923</v>
      </c>
      <c r="C603" s="189">
        <v>5.0999999999999996</v>
      </c>
      <c r="D603" s="105">
        <f t="shared" si="9"/>
        <v>5.0999999999999997E-2</v>
      </c>
      <c r="E603" s="18"/>
    </row>
    <row r="604" spans="2:5" ht="13.8">
      <c r="B604" s="201">
        <v>36951</v>
      </c>
      <c r="C604" s="189">
        <v>4.8899999999999997</v>
      </c>
      <c r="D604" s="105">
        <f t="shared" si="9"/>
        <v>4.8899999999999999E-2</v>
      </c>
      <c r="E604" s="18"/>
    </row>
    <row r="605" spans="2:5" ht="13.8">
      <c r="B605" s="201">
        <v>36982</v>
      </c>
      <c r="C605" s="189">
        <v>5.14</v>
      </c>
      <c r="D605" s="105">
        <f t="shared" si="9"/>
        <v>5.1399999999999994E-2</v>
      </c>
      <c r="E605" s="18"/>
    </row>
    <row r="606" spans="2:5" ht="13.8">
      <c r="B606" s="201">
        <v>37012</v>
      </c>
      <c r="C606" s="189">
        <v>5.39</v>
      </c>
      <c r="D606" s="105">
        <f t="shared" si="9"/>
        <v>5.3899999999999997E-2</v>
      </c>
      <c r="E606" s="18"/>
    </row>
    <row r="607" spans="2:5" ht="13.8">
      <c r="B607" s="201">
        <v>37043</v>
      </c>
      <c r="C607" s="189">
        <v>5.28</v>
      </c>
      <c r="D607" s="105">
        <f t="shared" si="9"/>
        <v>5.28E-2</v>
      </c>
      <c r="E607" s="18"/>
    </row>
    <row r="608" spans="2:5" ht="13.8">
      <c r="B608" s="201">
        <v>37073</v>
      </c>
      <c r="C608" s="189">
        <v>5.24</v>
      </c>
      <c r="D608" s="105">
        <f t="shared" si="9"/>
        <v>5.2400000000000002E-2</v>
      </c>
      <c r="E608" s="18"/>
    </row>
    <row r="609" spans="2:6" ht="13.8">
      <c r="B609" s="201">
        <v>37104</v>
      </c>
      <c r="C609" s="189">
        <v>4.97</v>
      </c>
      <c r="D609" s="105">
        <f t="shared" si="9"/>
        <v>4.9699999999999994E-2</v>
      </c>
      <c r="E609" s="18"/>
    </row>
    <row r="610" spans="2:6" ht="13.8">
      <c r="B610" s="201">
        <v>37135</v>
      </c>
      <c r="C610" s="189">
        <v>4.7300000000000004</v>
      </c>
      <c r="D610" s="105">
        <f t="shared" si="9"/>
        <v>4.7300000000000002E-2</v>
      </c>
      <c r="E610" s="18"/>
    </row>
    <row r="611" spans="2:6" ht="13.8">
      <c r="B611" s="201">
        <v>37165</v>
      </c>
      <c r="C611" s="189">
        <v>4.57</v>
      </c>
      <c r="D611" s="105">
        <f t="shared" si="9"/>
        <v>4.5700000000000005E-2</v>
      </c>
      <c r="E611" s="18"/>
    </row>
    <row r="612" spans="2:6" ht="13.8">
      <c r="B612" s="201">
        <v>37196</v>
      </c>
      <c r="C612" s="189">
        <v>4.6500000000000004</v>
      </c>
      <c r="D612" s="105">
        <f t="shared" si="9"/>
        <v>4.6500000000000007E-2</v>
      </c>
      <c r="E612" s="18"/>
    </row>
    <row r="613" spans="2:6" ht="13.8">
      <c r="B613" s="201">
        <v>37226</v>
      </c>
      <c r="C613" s="189">
        <v>5.09</v>
      </c>
      <c r="D613" s="105">
        <f t="shared" si="9"/>
        <v>5.0900000000000001E-2</v>
      </c>
      <c r="E613" s="18"/>
    </row>
    <row r="614" spans="2:6" ht="13.8">
      <c r="B614" s="201">
        <v>37257</v>
      </c>
      <c r="C614" s="189">
        <v>5.04</v>
      </c>
      <c r="D614" s="105">
        <f t="shared" si="9"/>
        <v>5.04E-2</v>
      </c>
      <c r="E614" s="18"/>
      <c r="F614" s="18"/>
    </row>
    <row r="615" spans="2:6" ht="13.8">
      <c r="B615" s="201">
        <v>37288</v>
      </c>
      <c r="C615" s="189">
        <v>4.91</v>
      </c>
      <c r="D615" s="105">
        <f t="shared" si="9"/>
        <v>4.9100000000000005E-2</v>
      </c>
      <c r="E615" s="18"/>
      <c r="F615" s="18"/>
    </row>
    <row r="616" spans="2:6" ht="13.8">
      <c r="B616" s="201">
        <v>37316</v>
      </c>
      <c r="C616" s="189">
        <v>5.28</v>
      </c>
      <c r="D616" s="105">
        <f t="shared" si="9"/>
        <v>5.28E-2</v>
      </c>
      <c r="E616" s="18"/>
      <c r="F616" s="18"/>
    </row>
    <row r="617" spans="2:6" ht="13.8">
      <c r="B617" s="201">
        <v>37347</v>
      </c>
      <c r="C617" s="189">
        <v>5.21</v>
      </c>
      <c r="D617" s="105">
        <f t="shared" si="9"/>
        <v>5.21E-2</v>
      </c>
      <c r="E617" s="18"/>
      <c r="F617" s="18"/>
    </row>
    <row r="618" spans="2:6" ht="13.8">
      <c r="B618" s="201">
        <v>37377</v>
      </c>
      <c r="C618" s="189">
        <v>5.16</v>
      </c>
      <c r="D618" s="105">
        <f t="shared" si="9"/>
        <v>5.16E-2</v>
      </c>
      <c r="E618" s="18"/>
      <c r="F618" s="18"/>
    </row>
    <row r="619" spans="2:6" ht="13.8">
      <c r="B619" s="201">
        <v>37408</v>
      </c>
      <c r="C619" s="189">
        <v>4.93</v>
      </c>
      <c r="D619" s="105">
        <f t="shared" si="9"/>
        <v>4.9299999999999997E-2</v>
      </c>
      <c r="E619" s="18"/>
      <c r="F619" s="18"/>
    </row>
    <row r="620" spans="2:6" ht="13.8">
      <c r="B620" s="201">
        <v>37438</v>
      </c>
      <c r="C620" s="189">
        <v>4.6500000000000004</v>
      </c>
      <c r="D620" s="105">
        <f t="shared" si="9"/>
        <v>4.6500000000000007E-2</v>
      </c>
      <c r="E620" s="18"/>
      <c r="F620" s="18"/>
    </row>
    <row r="621" spans="2:6" ht="13.8">
      <c r="B621" s="201">
        <v>37469</v>
      </c>
      <c r="C621" s="189">
        <v>4.26</v>
      </c>
      <c r="D621" s="105">
        <f t="shared" si="9"/>
        <v>4.2599999999999999E-2</v>
      </c>
      <c r="E621" s="18"/>
      <c r="F621" s="18"/>
    </row>
    <row r="622" spans="2:6" ht="13.8">
      <c r="B622" s="201">
        <v>37500</v>
      </c>
      <c r="C622" s="189">
        <v>3.87</v>
      </c>
      <c r="D622" s="105">
        <f t="shared" si="9"/>
        <v>3.8699999999999998E-2</v>
      </c>
      <c r="E622" s="18"/>
      <c r="F622" s="18"/>
    </row>
    <row r="623" spans="2:6" ht="13.8">
      <c r="B623" s="201">
        <v>37530</v>
      </c>
      <c r="C623" s="189">
        <v>3.94</v>
      </c>
      <c r="D623" s="105">
        <f t="shared" si="9"/>
        <v>3.9399999999999998E-2</v>
      </c>
      <c r="E623" s="18"/>
      <c r="F623" s="18"/>
    </row>
    <row r="624" spans="2:6" ht="13.8">
      <c r="B624" s="201">
        <v>37561</v>
      </c>
      <c r="C624" s="189">
        <v>4.05</v>
      </c>
      <c r="D624" s="105">
        <f t="shared" si="9"/>
        <v>4.0500000000000001E-2</v>
      </c>
      <c r="E624" s="18"/>
      <c r="F624" s="18"/>
    </row>
    <row r="625" spans="2:6" ht="13.8">
      <c r="B625" s="201">
        <v>37591</v>
      </c>
      <c r="C625" s="189">
        <v>4.03</v>
      </c>
      <c r="D625" s="105">
        <f t="shared" si="9"/>
        <v>4.0300000000000002E-2</v>
      </c>
      <c r="E625" s="18"/>
      <c r="F625" s="18"/>
    </row>
    <row r="626" spans="2:6" ht="13.8">
      <c r="B626" s="201">
        <v>37622</v>
      </c>
      <c r="C626" s="189">
        <v>4.05</v>
      </c>
      <c r="D626" s="105">
        <f t="shared" si="9"/>
        <v>4.0500000000000001E-2</v>
      </c>
      <c r="E626" s="18"/>
      <c r="F626" s="18"/>
    </row>
    <row r="627" spans="2:6" ht="13.8">
      <c r="B627" s="201">
        <v>37653</v>
      </c>
      <c r="C627" s="189">
        <v>3.9</v>
      </c>
      <c r="D627" s="105">
        <f t="shared" si="9"/>
        <v>3.9E-2</v>
      </c>
      <c r="E627" s="18"/>
      <c r="F627" s="18"/>
    </row>
    <row r="628" spans="2:6" ht="13.8">
      <c r="B628" s="201">
        <v>37681</v>
      </c>
      <c r="C628" s="189">
        <v>3.81</v>
      </c>
      <c r="D628" s="105">
        <f t="shared" si="9"/>
        <v>3.8100000000000002E-2</v>
      </c>
      <c r="E628" s="18"/>
      <c r="F628" s="18"/>
    </row>
    <row r="629" spans="2:6" ht="13.8">
      <c r="B629" s="201">
        <v>37712</v>
      </c>
      <c r="C629" s="189">
        <v>3.96</v>
      </c>
      <c r="D629" s="105">
        <f t="shared" si="9"/>
        <v>3.9599999999999996E-2</v>
      </c>
      <c r="E629" s="18"/>
      <c r="F629" s="18"/>
    </row>
    <row r="630" spans="2:6" ht="13.8">
      <c r="B630" s="201">
        <v>37742</v>
      </c>
      <c r="C630" s="189">
        <v>3.57</v>
      </c>
      <c r="D630" s="105">
        <f t="shared" si="9"/>
        <v>3.5699999999999996E-2</v>
      </c>
      <c r="E630" s="18"/>
      <c r="F630" s="18"/>
    </row>
    <row r="631" spans="2:6" ht="13.8">
      <c r="B631" s="201">
        <v>37773</v>
      </c>
      <c r="C631" s="189">
        <v>3.33</v>
      </c>
      <c r="D631" s="105">
        <f t="shared" si="9"/>
        <v>3.3300000000000003E-2</v>
      </c>
      <c r="E631" s="18"/>
      <c r="F631" s="18"/>
    </row>
    <row r="632" spans="2:6" ht="13.8">
      <c r="B632" s="201">
        <v>37803</v>
      </c>
      <c r="C632" s="189">
        <v>3.98</v>
      </c>
      <c r="D632" s="105">
        <f t="shared" si="9"/>
        <v>3.9800000000000002E-2</v>
      </c>
      <c r="E632" s="18"/>
      <c r="F632" s="18"/>
    </row>
    <row r="633" spans="2:6" ht="13.8">
      <c r="B633" s="201">
        <v>37834</v>
      </c>
      <c r="C633" s="189">
        <v>4.45</v>
      </c>
      <c r="D633" s="105">
        <f t="shared" si="9"/>
        <v>4.4500000000000005E-2</v>
      </c>
      <c r="E633" s="18"/>
      <c r="F633" s="18"/>
    </row>
    <row r="634" spans="2:6" ht="13.8">
      <c r="B634" s="201">
        <v>37865</v>
      </c>
      <c r="C634" s="189">
        <v>4.2699999999999996</v>
      </c>
      <c r="D634" s="105">
        <f t="shared" si="9"/>
        <v>4.2699999999999995E-2</v>
      </c>
      <c r="E634" s="18"/>
      <c r="F634" s="18"/>
    </row>
    <row r="635" spans="2:6" ht="13.8">
      <c r="B635" s="201">
        <v>37895</v>
      </c>
      <c r="C635" s="189">
        <v>4.29</v>
      </c>
      <c r="D635" s="105">
        <f t="shared" si="9"/>
        <v>4.2900000000000001E-2</v>
      </c>
      <c r="E635" s="18"/>
      <c r="F635" s="18"/>
    </row>
    <row r="636" spans="2:6" ht="13.8">
      <c r="B636" s="201">
        <v>37926</v>
      </c>
      <c r="C636" s="189">
        <v>4.3</v>
      </c>
      <c r="D636" s="105">
        <f t="shared" si="9"/>
        <v>4.2999999999999997E-2</v>
      </c>
      <c r="E636" s="18"/>
      <c r="F636" s="18"/>
    </row>
    <row r="637" spans="2:6" ht="13.8">
      <c r="B637" s="201">
        <v>37956</v>
      </c>
      <c r="C637" s="189">
        <v>4.2699999999999996</v>
      </c>
      <c r="D637" s="105">
        <f t="shared" si="9"/>
        <v>4.2699999999999995E-2</v>
      </c>
      <c r="E637" s="18"/>
      <c r="F637" s="18"/>
    </row>
    <row r="638" spans="2:6" ht="13.8">
      <c r="B638" s="201">
        <v>37987</v>
      </c>
      <c r="C638" s="189">
        <v>4.1500000000000004</v>
      </c>
      <c r="D638" s="105">
        <f t="shared" si="9"/>
        <v>4.1500000000000002E-2</v>
      </c>
      <c r="E638" s="18"/>
      <c r="F638" s="18"/>
    </row>
    <row r="639" spans="2:6" ht="13.8">
      <c r="B639" s="201">
        <v>38018</v>
      </c>
      <c r="C639" s="189">
        <v>4.08</v>
      </c>
      <c r="D639" s="105">
        <f t="shared" si="9"/>
        <v>4.0800000000000003E-2</v>
      </c>
      <c r="E639" s="18"/>
      <c r="F639" s="18"/>
    </row>
    <row r="640" spans="2:6" ht="13.8">
      <c r="B640" s="201">
        <v>38047</v>
      </c>
      <c r="C640" s="189">
        <v>3.83</v>
      </c>
      <c r="D640" s="105">
        <f t="shared" si="9"/>
        <v>3.8300000000000001E-2</v>
      </c>
      <c r="E640" s="18"/>
      <c r="F640" s="18"/>
    </row>
    <row r="641" spans="2:6" ht="13.8">
      <c r="B641" s="201">
        <v>38078</v>
      </c>
      <c r="C641" s="189">
        <v>4.3499999999999996</v>
      </c>
      <c r="D641" s="105">
        <f t="shared" si="9"/>
        <v>4.3499999999999997E-2</v>
      </c>
      <c r="E641" s="18"/>
      <c r="F641" s="18"/>
    </row>
    <row r="642" spans="2:6" ht="13.8">
      <c r="B642" s="201">
        <v>38108</v>
      </c>
      <c r="C642" s="189">
        <v>4.72</v>
      </c>
      <c r="D642" s="105">
        <f t="shared" si="9"/>
        <v>4.7199999999999999E-2</v>
      </c>
      <c r="E642" s="18"/>
      <c r="F642" s="18"/>
    </row>
    <row r="643" spans="2:6" ht="13.8">
      <c r="B643" s="201">
        <v>38139</v>
      </c>
      <c r="C643" s="189">
        <v>4.7300000000000004</v>
      </c>
      <c r="D643" s="105">
        <f t="shared" si="9"/>
        <v>4.7300000000000002E-2</v>
      </c>
      <c r="E643" s="18"/>
      <c r="F643" s="18"/>
    </row>
    <row r="644" spans="2:6" ht="13.8">
      <c r="B644" s="201">
        <v>38169</v>
      </c>
      <c r="C644" s="189">
        <v>4.5</v>
      </c>
      <c r="D644" s="105">
        <f t="shared" si="9"/>
        <v>4.4999999999999998E-2</v>
      </c>
      <c r="E644" s="18"/>
      <c r="F644" s="18"/>
    </row>
    <row r="645" spans="2:6" ht="13.8">
      <c r="B645" s="201">
        <v>38200</v>
      </c>
      <c r="C645" s="189">
        <v>4.28</v>
      </c>
      <c r="D645" s="105">
        <f t="shared" si="9"/>
        <v>4.2800000000000005E-2</v>
      </c>
      <c r="E645" s="18"/>
      <c r="F645" s="18"/>
    </row>
    <row r="646" spans="2:6" ht="13.8">
      <c r="B646" s="201">
        <v>38231</v>
      </c>
      <c r="C646" s="189">
        <v>4.13</v>
      </c>
      <c r="D646" s="105">
        <f t="shared" si="9"/>
        <v>4.1299999999999996E-2</v>
      </c>
      <c r="E646" s="18"/>
      <c r="F646" s="18"/>
    </row>
    <row r="647" spans="2:6" ht="13.8">
      <c r="B647" s="201">
        <v>38261</v>
      </c>
      <c r="C647" s="189">
        <v>4.0999999999999996</v>
      </c>
      <c r="D647" s="105">
        <f t="shared" si="9"/>
        <v>4.0999999999999995E-2</v>
      </c>
      <c r="E647" s="18"/>
      <c r="F647" s="18"/>
    </row>
    <row r="648" spans="2:6" ht="13.8">
      <c r="B648" s="201">
        <v>38292</v>
      </c>
      <c r="C648" s="189">
        <v>4.1900000000000004</v>
      </c>
      <c r="D648" s="105">
        <f t="shared" si="9"/>
        <v>4.1900000000000007E-2</v>
      </c>
      <c r="E648" s="18"/>
      <c r="F648" s="18"/>
    </row>
    <row r="649" spans="2:6" ht="13.8">
      <c r="B649" s="201">
        <v>38322</v>
      </c>
      <c r="C649" s="189">
        <v>4.2300000000000004</v>
      </c>
      <c r="D649" s="105">
        <f t="shared" si="9"/>
        <v>4.2300000000000004E-2</v>
      </c>
      <c r="E649" s="18"/>
      <c r="F649" s="18"/>
    </row>
    <row r="650" spans="2:6" ht="13.8">
      <c r="B650" s="201">
        <v>38353</v>
      </c>
      <c r="C650" s="189">
        <v>4.22</v>
      </c>
      <c r="D650" s="105">
        <f t="shared" si="9"/>
        <v>4.2199999999999994E-2</v>
      </c>
      <c r="E650" s="18"/>
      <c r="F650" s="18"/>
    </row>
    <row r="651" spans="2:6" ht="13.8">
      <c r="B651" s="201">
        <v>38384</v>
      </c>
      <c r="C651" s="189">
        <v>4.17</v>
      </c>
      <c r="D651" s="105">
        <f t="shared" si="9"/>
        <v>4.1700000000000001E-2</v>
      </c>
      <c r="E651" s="18"/>
      <c r="F651" s="18"/>
    </row>
    <row r="652" spans="2:6" ht="13.8">
      <c r="B652" s="201">
        <v>38412</v>
      </c>
      <c r="C652" s="189">
        <v>4.5</v>
      </c>
      <c r="D652" s="105">
        <f t="shared" si="9"/>
        <v>4.4999999999999998E-2</v>
      </c>
      <c r="E652" s="18"/>
      <c r="F652" s="18"/>
    </row>
    <row r="653" spans="2:6" ht="13.8">
      <c r="B653" s="201">
        <v>38443</v>
      </c>
      <c r="C653" s="189">
        <v>4.34</v>
      </c>
      <c r="D653" s="105">
        <f t="shared" si="9"/>
        <v>4.3400000000000001E-2</v>
      </c>
      <c r="E653" s="18"/>
      <c r="F653" s="18"/>
    </row>
    <row r="654" spans="2:6" ht="13.8">
      <c r="B654" s="201">
        <v>38473</v>
      </c>
      <c r="C654" s="189">
        <v>4.1399999999999997</v>
      </c>
      <c r="D654" s="105">
        <f t="shared" si="9"/>
        <v>4.1399999999999999E-2</v>
      </c>
      <c r="E654" s="18"/>
      <c r="F654" s="18"/>
    </row>
    <row r="655" spans="2:6" ht="13.8">
      <c r="B655" s="201">
        <v>38504</v>
      </c>
      <c r="C655" s="189">
        <v>4</v>
      </c>
      <c r="D655" s="105">
        <f t="shared" ref="D655:D718" si="10">C655/100</f>
        <v>0.04</v>
      </c>
      <c r="E655" s="18"/>
      <c r="F655" s="18"/>
    </row>
    <row r="656" spans="2:6" ht="13.8">
      <c r="B656" s="201">
        <v>38534</v>
      </c>
      <c r="C656" s="189">
        <v>4.18</v>
      </c>
      <c r="D656" s="105">
        <f t="shared" si="10"/>
        <v>4.1799999999999997E-2</v>
      </c>
      <c r="E656" s="18"/>
      <c r="F656" s="18"/>
    </row>
    <row r="657" spans="2:6" ht="13.8">
      <c r="B657" s="201">
        <v>38565</v>
      </c>
      <c r="C657" s="189">
        <v>4.26</v>
      </c>
      <c r="D657" s="105">
        <f t="shared" si="10"/>
        <v>4.2599999999999999E-2</v>
      </c>
      <c r="E657" s="18"/>
      <c r="F657" s="18"/>
    </row>
    <row r="658" spans="2:6" ht="13.8">
      <c r="B658" s="201">
        <v>38596</v>
      </c>
      <c r="C658" s="190">
        <v>4.2</v>
      </c>
      <c r="D658" s="105">
        <f t="shared" si="10"/>
        <v>4.2000000000000003E-2</v>
      </c>
      <c r="E658" s="18"/>
      <c r="F658" s="18"/>
    </row>
    <row r="659" spans="2:6" ht="13.8">
      <c r="B659" s="202">
        <v>38626</v>
      </c>
      <c r="C659" s="190">
        <v>4.46</v>
      </c>
      <c r="D659" s="105">
        <f t="shared" si="10"/>
        <v>4.4600000000000001E-2</v>
      </c>
      <c r="E659" s="18"/>
      <c r="F659" s="18"/>
    </row>
    <row r="660" spans="2:6" ht="13.8">
      <c r="B660" s="202">
        <v>38657</v>
      </c>
      <c r="C660" s="190">
        <v>4.54</v>
      </c>
      <c r="D660" s="105">
        <f t="shared" si="10"/>
        <v>4.5400000000000003E-2</v>
      </c>
      <c r="E660" s="18"/>
      <c r="F660" s="18"/>
    </row>
    <row r="661" spans="2:6" ht="13.8">
      <c r="B661" s="202">
        <v>38687</v>
      </c>
      <c r="C661" s="190">
        <v>4.47</v>
      </c>
      <c r="D661" s="105">
        <f t="shared" si="10"/>
        <v>4.4699999999999997E-2</v>
      </c>
      <c r="E661" s="18"/>
      <c r="F661" s="18"/>
    </row>
    <row r="662" spans="2:6" ht="13.8">
      <c r="B662" s="202">
        <v>38723</v>
      </c>
      <c r="C662" s="190">
        <v>4.42</v>
      </c>
      <c r="D662" s="105">
        <f t="shared" si="10"/>
        <v>4.4199999999999996E-2</v>
      </c>
      <c r="E662" s="18"/>
      <c r="F662" s="18"/>
    </row>
    <row r="663" spans="2:6" ht="13.8">
      <c r="B663" s="201">
        <v>38749</v>
      </c>
      <c r="C663" s="189">
        <v>4.57</v>
      </c>
      <c r="D663" s="105">
        <f t="shared" si="10"/>
        <v>4.5700000000000005E-2</v>
      </c>
      <c r="E663" s="18"/>
      <c r="F663" s="18"/>
    </row>
    <row r="664" spans="2:6" ht="13.8">
      <c r="B664" s="201">
        <v>38777</v>
      </c>
      <c r="C664" s="189">
        <v>4.72</v>
      </c>
      <c r="D664" s="105">
        <f t="shared" si="10"/>
        <v>4.7199999999999999E-2</v>
      </c>
      <c r="E664" s="18"/>
      <c r="F664" s="18"/>
    </row>
    <row r="665" spans="2:6" ht="13.8">
      <c r="B665" s="201">
        <v>38808</v>
      </c>
      <c r="C665" s="189">
        <v>4.99</v>
      </c>
      <c r="D665" s="105">
        <f t="shared" si="10"/>
        <v>4.99E-2</v>
      </c>
      <c r="E665" s="18"/>
      <c r="F665" s="18"/>
    </row>
    <row r="666" spans="2:6" ht="13.8">
      <c r="B666" s="201">
        <v>38838</v>
      </c>
      <c r="C666" s="189">
        <v>5.1100000000000003</v>
      </c>
      <c r="D666" s="105">
        <f t="shared" si="10"/>
        <v>5.1100000000000007E-2</v>
      </c>
      <c r="E666" s="18"/>
      <c r="F666" s="18"/>
    </row>
    <row r="667" spans="2:6" ht="13.8">
      <c r="B667" s="201">
        <v>38869</v>
      </c>
      <c r="C667" s="189">
        <v>5.1100000000000003</v>
      </c>
      <c r="D667" s="105">
        <f t="shared" si="10"/>
        <v>5.1100000000000007E-2</v>
      </c>
      <c r="E667" s="18"/>
      <c r="F667" s="18"/>
    </row>
    <row r="668" spans="2:6" ht="13.8">
      <c r="B668" s="201">
        <v>38899</v>
      </c>
      <c r="C668" s="191">
        <v>5.09</v>
      </c>
      <c r="D668" s="105">
        <f t="shared" si="10"/>
        <v>5.0900000000000001E-2</v>
      </c>
      <c r="E668" s="18"/>
      <c r="F668" s="18"/>
    </row>
    <row r="669" spans="2:6" ht="13.8">
      <c r="B669" s="201">
        <v>38930</v>
      </c>
      <c r="C669" s="191">
        <v>4.88</v>
      </c>
      <c r="D669" s="105">
        <f t="shared" si="10"/>
        <v>4.8799999999999996E-2</v>
      </c>
      <c r="E669" s="18"/>
      <c r="F669" s="18"/>
    </row>
    <row r="670" spans="2:6" ht="13.8">
      <c r="B670" s="201">
        <v>38961</v>
      </c>
      <c r="C670" s="191">
        <v>4.7160000000000002</v>
      </c>
      <c r="D670" s="105">
        <f t="shared" si="10"/>
        <v>4.7160000000000001E-2</v>
      </c>
      <c r="E670" s="18"/>
      <c r="F670" s="18"/>
    </row>
    <row r="671" spans="2:6" ht="13.8">
      <c r="B671" s="201">
        <v>38991</v>
      </c>
      <c r="C671" s="191">
        <v>4.7300000000000004</v>
      </c>
      <c r="D671" s="105">
        <f t="shared" si="10"/>
        <v>4.7300000000000002E-2</v>
      </c>
      <c r="E671" s="18"/>
      <c r="F671" s="18"/>
    </row>
    <row r="672" spans="2:6" ht="13.8">
      <c r="B672" s="201">
        <v>39022</v>
      </c>
      <c r="C672" s="191">
        <v>4.5999999999999996</v>
      </c>
      <c r="D672" s="105">
        <f t="shared" si="10"/>
        <v>4.5999999999999999E-2</v>
      </c>
      <c r="E672" s="18"/>
      <c r="F672" s="18"/>
    </row>
    <row r="673" spans="2:6" ht="13.8">
      <c r="B673" s="201">
        <v>39052</v>
      </c>
      <c r="C673" s="191">
        <v>4.5594999999999999</v>
      </c>
      <c r="D673" s="105">
        <f t="shared" si="10"/>
        <v>4.5594999999999997E-2</v>
      </c>
      <c r="E673" s="18"/>
      <c r="F673" s="18"/>
    </row>
    <row r="674" spans="2:6" ht="13.8">
      <c r="B674" s="203">
        <v>39083</v>
      </c>
      <c r="C674" s="191">
        <v>4.76</v>
      </c>
      <c r="D674" s="105">
        <f t="shared" si="10"/>
        <v>4.7599999999999996E-2</v>
      </c>
      <c r="E674" s="18"/>
      <c r="F674" s="18"/>
    </row>
    <row r="675" spans="2:6" ht="13.8">
      <c r="B675" s="203">
        <v>39114</v>
      </c>
      <c r="C675" s="191">
        <v>4.72</v>
      </c>
      <c r="D675" s="105">
        <f t="shared" si="10"/>
        <v>4.7199999999999999E-2</v>
      </c>
      <c r="E675" s="18"/>
      <c r="F675" s="18"/>
    </row>
    <row r="676" spans="2:6" ht="13.8">
      <c r="B676" s="203">
        <v>39142</v>
      </c>
      <c r="C676" s="191">
        <v>4.5599999999999996</v>
      </c>
      <c r="D676" s="105">
        <f t="shared" si="10"/>
        <v>4.5599999999999995E-2</v>
      </c>
      <c r="E676" s="18"/>
      <c r="F676" s="18"/>
    </row>
    <row r="677" spans="2:6" ht="13.8">
      <c r="B677" s="203">
        <v>39173</v>
      </c>
      <c r="C677" s="191">
        <v>4.6900000000000004</v>
      </c>
      <c r="D677" s="105">
        <f t="shared" si="10"/>
        <v>4.6900000000000004E-2</v>
      </c>
      <c r="E677" s="18"/>
      <c r="F677" s="18"/>
    </row>
    <row r="678" spans="2:6" ht="13.8">
      <c r="B678" s="203">
        <v>39203</v>
      </c>
      <c r="C678" s="191">
        <v>4.75</v>
      </c>
      <c r="D678" s="105">
        <f t="shared" si="10"/>
        <v>4.7500000000000001E-2</v>
      </c>
      <c r="E678" s="18"/>
      <c r="F678" s="18"/>
    </row>
    <row r="679" spans="2:6" ht="13.8">
      <c r="B679" s="203">
        <v>39234</v>
      </c>
      <c r="C679" s="191">
        <v>5.0999999999999996</v>
      </c>
      <c r="D679" s="105">
        <f t="shared" si="10"/>
        <v>5.0999999999999997E-2</v>
      </c>
      <c r="E679" s="18"/>
      <c r="F679" s="18"/>
    </row>
    <row r="680" spans="2:6" ht="13.8">
      <c r="B680" s="203">
        <v>39270</v>
      </c>
      <c r="C680" s="191">
        <v>5</v>
      </c>
      <c r="D680" s="105">
        <f t="shared" si="10"/>
        <v>0.05</v>
      </c>
      <c r="E680" s="18"/>
      <c r="F680" s="18"/>
    </row>
    <row r="681" spans="2:6" ht="13.8">
      <c r="B681" s="203">
        <v>39301</v>
      </c>
      <c r="C681" s="191">
        <v>4.67</v>
      </c>
      <c r="D681" s="105">
        <f t="shared" si="10"/>
        <v>4.6699999999999998E-2</v>
      </c>
      <c r="E681" s="18"/>
      <c r="F681" s="18"/>
    </row>
    <row r="682" spans="2:6" ht="13.8">
      <c r="B682" s="203">
        <v>39332</v>
      </c>
      <c r="C682" s="191">
        <v>4.5199999999999996</v>
      </c>
      <c r="D682" s="105">
        <f t="shared" si="10"/>
        <v>4.5199999999999997E-2</v>
      </c>
      <c r="E682" s="18"/>
      <c r="F682" s="18"/>
    </row>
    <row r="683" spans="2:6" ht="13.8">
      <c r="B683" s="203">
        <v>39362</v>
      </c>
      <c r="C683" s="191">
        <v>4.53</v>
      </c>
      <c r="D683" s="105">
        <f t="shared" si="10"/>
        <v>4.53E-2</v>
      </c>
      <c r="E683" s="18"/>
      <c r="F683" s="18"/>
    </row>
    <row r="684" spans="2:6" ht="13.8">
      <c r="B684" s="203">
        <v>39393</v>
      </c>
      <c r="C684" s="191">
        <v>4.1500000000000004</v>
      </c>
      <c r="D684" s="105">
        <f t="shared" si="10"/>
        <v>4.1500000000000002E-2</v>
      </c>
      <c r="E684" s="18"/>
      <c r="F684" s="18"/>
    </row>
    <row r="685" spans="2:6" ht="13.8">
      <c r="B685" s="203">
        <v>39423</v>
      </c>
      <c r="C685" s="191">
        <v>4.0999999999999996</v>
      </c>
      <c r="D685" s="105">
        <f t="shared" si="10"/>
        <v>4.0999999999999995E-2</v>
      </c>
      <c r="E685" s="18"/>
      <c r="F685" s="18"/>
    </row>
    <row r="686" spans="2:6" ht="13.8">
      <c r="B686" s="204">
        <v>39448</v>
      </c>
      <c r="C686" s="192">
        <v>3.74</v>
      </c>
      <c r="D686" s="105">
        <f t="shared" si="10"/>
        <v>3.7400000000000003E-2</v>
      </c>
      <c r="E686" s="18"/>
      <c r="F686" s="18"/>
    </row>
    <row r="687" spans="2:6" ht="13.8">
      <c r="B687" s="204">
        <v>39479</v>
      </c>
      <c r="C687" s="192">
        <v>3.74</v>
      </c>
      <c r="D687" s="105">
        <f t="shared" si="10"/>
        <v>3.7400000000000003E-2</v>
      </c>
      <c r="E687" s="18"/>
      <c r="F687" s="18"/>
    </row>
    <row r="688" spans="2:6" ht="13.8">
      <c r="B688" s="204">
        <v>39508</v>
      </c>
      <c r="C688" s="192">
        <v>3.51</v>
      </c>
      <c r="D688" s="105">
        <f t="shared" si="10"/>
        <v>3.5099999999999999E-2</v>
      </c>
      <c r="E688" s="18"/>
      <c r="F688" s="18"/>
    </row>
    <row r="689" spans="2:6" ht="13.8">
      <c r="B689" s="204">
        <v>39539</v>
      </c>
      <c r="C689" s="192">
        <v>3.68</v>
      </c>
      <c r="D689" s="105">
        <f t="shared" si="10"/>
        <v>3.6799999999999999E-2</v>
      </c>
      <c r="E689" s="18"/>
      <c r="F689" s="18"/>
    </row>
    <row r="690" spans="2:6" ht="13.8">
      <c r="B690" s="204">
        <v>39569</v>
      </c>
      <c r="C690" s="192">
        <v>3.88</v>
      </c>
      <c r="D690" s="105">
        <f t="shared" si="10"/>
        <v>3.8800000000000001E-2</v>
      </c>
      <c r="E690" s="18"/>
      <c r="F690" s="18"/>
    </row>
    <row r="691" spans="2:6" ht="13.8">
      <c r="B691" s="204">
        <v>39600</v>
      </c>
      <c r="C691" s="192">
        <v>4.0999999999999996</v>
      </c>
      <c r="D691" s="105">
        <f t="shared" si="10"/>
        <v>4.0999999999999995E-2</v>
      </c>
      <c r="E691" s="18"/>
      <c r="F691" s="18"/>
    </row>
    <row r="692" spans="2:6" ht="13.8">
      <c r="B692" s="204">
        <v>39630</v>
      </c>
      <c r="C692" s="192">
        <v>4.01</v>
      </c>
      <c r="D692" s="105">
        <f t="shared" si="10"/>
        <v>4.0099999999999997E-2</v>
      </c>
      <c r="E692" s="18"/>
      <c r="F692" s="18"/>
    </row>
    <row r="693" spans="2:6" ht="13.8">
      <c r="B693" s="204">
        <v>39661</v>
      </c>
      <c r="C693" s="192">
        <v>3.89</v>
      </c>
      <c r="D693" s="105">
        <f t="shared" si="10"/>
        <v>3.8900000000000004E-2</v>
      </c>
      <c r="E693" s="18"/>
      <c r="F693" s="18"/>
    </row>
    <row r="694" spans="2:6" ht="13.8">
      <c r="B694" s="204">
        <v>39692</v>
      </c>
      <c r="C694" s="192">
        <v>3.69</v>
      </c>
      <c r="D694" s="105">
        <f t="shared" si="10"/>
        <v>3.6900000000000002E-2</v>
      </c>
      <c r="E694" s="18"/>
      <c r="F694" s="18"/>
    </row>
    <row r="695" spans="2:6" ht="13.8">
      <c r="B695" s="204">
        <v>39722</v>
      </c>
      <c r="C695" s="192">
        <v>3.81</v>
      </c>
      <c r="D695" s="105">
        <f t="shared" si="10"/>
        <v>3.8100000000000002E-2</v>
      </c>
      <c r="E695" s="18"/>
      <c r="F695" s="18"/>
    </row>
    <row r="696" spans="2:6" ht="13.8">
      <c r="B696" s="204">
        <v>39753</v>
      </c>
      <c r="C696" s="192">
        <v>3.53</v>
      </c>
      <c r="D696" s="105">
        <f t="shared" si="10"/>
        <v>3.5299999999999998E-2</v>
      </c>
      <c r="E696" s="18"/>
      <c r="F696" s="18"/>
    </row>
    <row r="697" spans="2:6" ht="13.8">
      <c r="B697" s="204">
        <v>39783</v>
      </c>
      <c r="C697" s="192">
        <v>2.42</v>
      </c>
      <c r="D697" s="105">
        <f t="shared" si="10"/>
        <v>2.4199999999999999E-2</v>
      </c>
      <c r="E697" s="18"/>
      <c r="F697" s="18"/>
    </row>
    <row r="698" spans="2:6" ht="13.8">
      <c r="B698" s="204">
        <v>39814</v>
      </c>
      <c r="C698" s="192">
        <v>2.52</v>
      </c>
      <c r="D698" s="105">
        <f t="shared" si="10"/>
        <v>2.52E-2</v>
      </c>
      <c r="E698" s="18"/>
      <c r="F698" s="18"/>
    </row>
    <row r="699" spans="2:6" ht="13.8">
      <c r="B699" s="204">
        <v>39845</v>
      </c>
      <c r="C699" s="192">
        <v>2.87</v>
      </c>
      <c r="D699" s="105">
        <f t="shared" si="10"/>
        <v>2.87E-2</v>
      </c>
      <c r="E699" s="18"/>
      <c r="F699" s="18"/>
    </row>
    <row r="700" spans="2:6" ht="13.8">
      <c r="B700" s="204">
        <v>39873</v>
      </c>
      <c r="C700" s="192">
        <v>2.82</v>
      </c>
      <c r="D700" s="105">
        <f t="shared" si="10"/>
        <v>2.8199999999999999E-2</v>
      </c>
      <c r="E700" s="18"/>
      <c r="F700" s="18"/>
    </row>
    <row r="701" spans="2:6" ht="13.8">
      <c r="B701" s="204">
        <v>39904</v>
      </c>
      <c r="C701" s="192">
        <v>2.93</v>
      </c>
      <c r="D701" s="105">
        <f t="shared" si="10"/>
        <v>2.9300000000000003E-2</v>
      </c>
      <c r="E701" s="18"/>
      <c r="F701" s="18"/>
    </row>
    <row r="702" spans="2:6" ht="13.8">
      <c r="B702" s="204">
        <v>39934</v>
      </c>
      <c r="C702" s="192">
        <v>3.29</v>
      </c>
      <c r="D702" s="105">
        <f t="shared" si="10"/>
        <v>3.2899999999999999E-2</v>
      </c>
      <c r="E702" s="18"/>
      <c r="F702" s="18"/>
    </row>
    <row r="703" spans="2:6" ht="13.8">
      <c r="B703" s="204">
        <v>39965</v>
      </c>
      <c r="C703" s="192">
        <v>3.72</v>
      </c>
      <c r="D703" s="105">
        <f t="shared" si="10"/>
        <v>3.7200000000000004E-2</v>
      </c>
      <c r="E703" s="18"/>
      <c r="F703" s="18"/>
    </row>
    <row r="704" spans="2:6" ht="13.8">
      <c r="B704" s="204">
        <v>39995</v>
      </c>
      <c r="C704" s="192">
        <v>3.56</v>
      </c>
      <c r="D704" s="105">
        <f t="shared" si="10"/>
        <v>3.56E-2</v>
      </c>
      <c r="E704" s="18"/>
      <c r="F704" s="18"/>
    </row>
    <row r="705" spans="2:6" ht="13.8">
      <c r="B705" s="204">
        <v>40026</v>
      </c>
      <c r="C705" s="192">
        <v>3.59</v>
      </c>
      <c r="D705" s="105">
        <f t="shared" si="10"/>
        <v>3.5900000000000001E-2</v>
      </c>
      <c r="E705" s="18"/>
      <c r="F705" s="18"/>
    </row>
    <row r="706" spans="2:6" ht="13.8">
      <c r="B706" s="204">
        <v>40057</v>
      </c>
      <c r="C706" s="192">
        <v>3.4</v>
      </c>
      <c r="D706" s="105">
        <f t="shared" si="10"/>
        <v>3.4000000000000002E-2</v>
      </c>
      <c r="E706" s="18"/>
      <c r="F706" s="18"/>
    </row>
    <row r="707" spans="2:6" ht="13.8">
      <c r="B707" s="204">
        <v>40087</v>
      </c>
      <c r="C707" s="192">
        <v>3.39</v>
      </c>
      <c r="D707" s="105">
        <f t="shared" si="10"/>
        <v>3.39E-2</v>
      </c>
      <c r="E707" s="18"/>
      <c r="F707" s="18"/>
    </row>
    <row r="708" spans="2:6" ht="13.8">
      <c r="B708" s="204">
        <v>40118</v>
      </c>
      <c r="C708" s="192">
        <v>3.4</v>
      </c>
      <c r="D708" s="105">
        <f t="shared" si="10"/>
        <v>3.4000000000000002E-2</v>
      </c>
      <c r="E708" s="18"/>
      <c r="F708" s="18"/>
    </row>
    <row r="709" spans="2:6" ht="13.8">
      <c r="B709" s="204">
        <v>40148</v>
      </c>
      <c r="C709" s="192">
        <v>3.59</v>
      </c>
      <c r="D709" s="105">
        <f t="shared" si="10"/>
        <v>3.5900000000000001E-2</v>
      </c>
      <c r="E709" s="18"/>
      <c r="F709" s="18"/>
    </row>
    <row r="710" spans="2:6" ht="13.8">
      <c r="B710" s="204">
        <v>40179</v>
      </c>
      <c r="C710" s="192">
        <v>3.73</v>
      </c>
      <c r="D710" s="105">
        <f t="shared" si="10"/>
        <v>3.73E-2</v>
      </c>
      <c r="E710" s="18"/>
      <c r="F710" s="18"/>
    </row>
    <row r="711" spans="2:6" ht="13.8">
      <c r="B711" s="204">
        <v>40210</v>
      </c>
      <c r="C711" s="192">
        <v>3.69</v>
      </c>
      <c r="D711" s="105">
        <f t="shared" si="10"/>
        <v>3.6900000000000002E-2</v>
      </c>
      <c r="E711" s="18"/>
      <c r="F711" s="18"/>
    </row>
    <row r="712" spans="2:6" ht="13.8">
      <c r="B712" s="204">
        <v>40238</v>
      </c>
      <c r="C712" s="192">
        <v>3.73</v>
      </c>
      <c r="D712" s="105">
        <f t="shared" si="10"/>
        <v>3.73E-2</v>
      </c>
      <c r="E712" s="18"/>
      <c r="F712" s="18"/>
    </row>
    <row r="713" spans="2:6" ht="13.8">
      <c r="B713" s="204">
        <v>40269</v>
      </c>
      <c r="C713" s="192">
        <v>3.85</v>
      </c>
      <c r="D713" s="105">
        <f t="shared" si="10"/>
        <v>3.85E-2</v>
      </c>
      <c r="E713" s="18"/>
      <c r="F713" s="18"/>
    </row>
    <row r="714" spans="2:6" ht="13.8">
      <c r="B714" s="204">
        <v>40299</v>
      </c>
      <c r="C714" s="192">
        <v>3.42</v>
      </c>
      <c r="D714" s="105">
        <f t="shared" si="10"/>
        <v>3.4200000000000001E-2</v>
      </c>
      <c r="E714" s="18"/>
      <c r="F714" s="18"/>
    </row>
    <row r="715" spans="2:6" ht="13.8">
      <c r="B715" s="204">
        <v>40330</v>
      </c>
      <c r="C715" s="192">
        <v>3.2</v>
      </c>
      <c r="D715" s="105">
        <f t="shared" si="10"/>
        <v>3.2000000000000001E-2</v>
      </c>
      <c r="E715" s="18"/>
      <c r="F715" s="18"/>
    </row>
    <row r="716" spans="2:6" ht="13.8">
      <c r="B716" s="204">
        <v>40360</v>
      </c>
      <c r="C716" s="192">
        <v>3.01</v>
      </c>
      <c r="D716" s="105">
        <f t="shared" si="10"/>
        <v>3.0099999999999998E-2</v>
      </c>
      <c r="E716" s="18"/>
      <c r="F716" s="18"/>
    </row>
    <row r="717" spans="2:6" ht="13.8">
      <c r="B717" s="204">
        <v>40391</v>
      </c>
      <c r="C717" s="192">
        <v>2.7</v>
      </c>
      <c r="D717" s="105">
        <f t="shared" si="10"/>
        <v>2.7000000000000003E-2</v>
      </c>
      <c r="E717" s="18"/>
      <c r="F717" s="18"/>
    </row>
    <row r="718" spans="2:6" ht="13.8">
      <c r="B718" s="204">
        <v>40422</v>
      </c>
      <c r="C718" s="192">
        <v>2.65</v>
      </c>
      <c r="D718" s="105">
        <f t="shared" si="10"/>
        <v>2.6499999999999999E-2</v>
      </c>
      <c r="E718" s="18"/>
      <c r="F718" s="18"/>
    </row>
    <row r="719" spans="2:6" ht="13.8">
      <c r="B719" s="204">
        <v>40452</v>
      </c>
      <c r="C719" s="192">
        <v>2.54</v>
      </c>
      <c r="D719" s="105">
        <f t="shared" ref="D719:D738" si="11">C719/100</f>
        <v>2.5399999999999999E-2</v>
      </c>
      <c r="E719" s="18"/>
      <c r="F719" s="18"/>
    </row>
    <row r="720" spans="2:6" ht="13.8">
      <c r="B720" s="204">
        <v>40483</v>
      </c>
      <c r="C720" s="192">
        <v>2.76</v>
      </c>
      <c r="D720" s="105">
        <f t="shared" si="11"/>
        <v>2.76E-2</v>
      </c>
      <c r="E720" s="18"/>
      <c r="F720" s="18"/>
    </row>
    <row r="721" spans="2:6" ht="13.8">
      <c r="B721" s="204">
        <v>40513</v>
      </c>
      <c r="C721" s="192">
        <v>3.29</v>
      </c>
      <c r="D721" s="105">
        <f t="shared" si="11"/>
        <v>3.2899999999999999E-2</v>
      </c>
      <c r="E721" s="18"/>
      <c r="F721" s="18"/>
    </row>
    <row r="722" spans="2:6" ht="13.8">
      <c r="B722" s="204">
        <v>40544</v>
      </c>
      <c r="C722" s="192">
        <v>3.39</v>
      </c>
      <c r="D722" s="105">
        <f t="shared" si="11"/>
        <v>3.39E-2</v>
      </c>
      <c r="E722" s="18"/>
      <c r="F722" s="18"/>
    </row>
    <row r="723" spans="2:6" ht="13.8">
      <c r="B723" s="204">
        <v>40575</v>
      </c>
      <c r="C723" s="192">
        <v>3.58</v>
      </c>
      <c r="D723" s="105">
        <f t="shared" si="11"/>
        <v>3.5799999999999998E-2</v>
      </c>
      <c r="E723" s="18"/>
      <c r="F723" s="18"/>
    </row>
    <row r="724" spans="2:6" ht="13.8">
      <c r="B724" s="204">
        <v>40603</v>
      </c>
      <c r="C724" s="192">
        <v>3.41</v>
      </c>
      <c r="D724" s="105">
        <f t="shared" si="11"/>
        <v>3.4099999999999998E-2</v>
      </c>
      <c r="E724" s="18"/>
      <c r="F724" s="18"/>
    </row>
    <row r="725" spans="2:6" ht="13.8">
      <c r="B725" s="204">
        <v>40634</v>
      </c>
      <c r="C725" s="192">
        <v>3.46</v>
      </c>
      <c r="D725" s="105">
        <f t="shared" si="11"/>
        <v>3.4599999999999999E-2</v>
      </c>
      <c r="E725" s="18"/>
      <c r="F725" s="18"/>
    </row>
    <row r="726" spans="2:6" ht="13.8">
      <c r="B726" s="204">
        <v>40664</v>
      </c>
      <c r="C726" s="192">
        <v>3.17</v>
      </c>
      <c r="D726" s="105">
        <f t="shared" si="11"/>
        <v>3.1699999999999999E-2</v>
      </c>
      <c r="E726" s="18"/>
      <c r="F726" s="18"/>
    </row>
    <row r="727" spans="2:6" ht="13.8">
      <c r="B727" s="204">
        <v>40695</v>
      </c>
      <c r="C727" s="192">
        <v>3</v>
      </c>
      <c r="D727" s="105">
        <f t="shared" si="11"/>
        <v>0.03</v>
      </c>
      <c r="E727" s="18"/>
      <c r="F727" s="18"/>
    </row>
    <row r="728" spans="2:6" ht="13.8">
      <c r="B728" s="204">
        <v>40725</v>
      </c>
      <c r="C728" s="192">
        <v>3</v>
      </c>
      <c r="D728" s="105">
        <f t="shared" si="11"/>
        <v>0.03</v>
      </c>
      <c r="E728" s="18"/>
      <c r="F728" s="18"/>
    </row>
    <row r="729" spans="2:6" ht="13.8">
      <c r="B729" s="204">
        <v>40756</v>
      </c>
      <c r="C729" s="192">
        <v>2.2999999999999998</v>
      </c>
      <c r="D729" s="105">
        <f t="shared" si="11"/>
        <v>2.3E-2</v>
      </c>
      <c r="E729" s="18"/>
      <c r="F729" s="18"/>
    </row>
    <row r="730" spans="2:6" ht="13.8">
      <c r="B730" s="204">
        <f t="shared" ref="B730:B794" si="12">EOMONTH(B729, 0 ) + 1</f>
        <v>40787</v>
      </c>
      <c r="C730" s="192">
        <v>1.98</v>
      </c>
      <c r="D730" s="105">
        <f t="shared" si="11"/>
        <v>1.9799999999999998E-2</v>
      </c>
      <c r="E730" s="18"/>
      <c r="F730" s="18"/>
    </row>
    <row r="731" spans="2:6" ht="13.8">
      <c r="B731" s="204">
        <f t="shared" si="12"/>
        <v>40817</v>
      </c>
      <c r="C731" s="192">
        <v>2.15</v>
      </c>
      <c r="D731" s="105">
        <f t="shared" si="11"/>
        <v>2.1499999999999998E-2</v>
      </c>
      <c r="E731" s="18"/>
      <c r="F731" s="18"/>
    </row>
    <row r="732" spans="2:6" ht="13.8">
      <c r="B732" s="204">
        <f t="shared" si="12"/>
        <v>40848</v>
      </c>
      <c r="C732" s="192">
        <v>2.0099999999999998</v>
      </c>
      <c r="D732" s="105">
        <f t="shared" si="11"/>
        <v>2.0099999999999996E-2</v>
      </c>
      <c r="E732" s="18"/>
      <c r="F732" s="18"/>
    </row>
    <row r="733" spans="2:6" ht="13.8">
      <c r="B733" s="204">
        <f t="shared" si="12"/>
        <v>40878</v>
      </c>
      <c r="C733" s="192">
        <v>1.98</v>
      </c>
      <c r="D733" s="105">
        <f t="shared" si="11"/>
        <v>1.9799999999999998E-2</v>
      </c>
      <c r="E733" s="18"/>
      <c r="F733" s="18"/>
    </row>
    <row r="734" spans="2:6" ht="13.8">
      <c r="B734" s="204">
        <f t="shared" si="12"/>
        <v>40909</v>
      </c>
      <c r="C734" s="192">
        <v>1.97</v>
      </c>
      <c r="D734" s="105">
        <f t="shared" si="11"/>
        <v>1.9699999999999999E-2</v>
      </c>
      <c r="E734" s="18"/>
      <c r="F734" s="18"/>
    </row>
    <row r="735" spans="2:6" ht="13.8">
      <c r="B735" s="204">
        <f t="shared" si="12"/>
        <v>40940</v>
      </c>
      <c r="C735" s="192">
        <v>1.97</v>
      </c>
      <c r="D735" s="105">
        <f t="shared" si="11"/>
        <v>1.9699999999999999E-2</v>
      </c>
      <c r="E735" s="18"/>
      <c r="F735" s="18"/>
    </row>
    <row r="736" spans="2:6" ht="13.8">
      <c r="B736" s="204">
        <f t="shared" si="12"/>
        <v>40969</v>
      </c>
      <c r="C736" s="192">
        <v>2.17</v>
      </c>
      <c r="D736" s="105">
        <f t="shared" si="11"/>
        <v>2.1700000000000001E-2</v>
      </c>
      <c r="E736" s="18"/>
      <c r="F736" s="18"/>
    </row>
    <row r="737" spans="2:6" ht="13.8">
      <c r="B737" s="204">
        <f t="shared" si="12"/>
        <v>41000</v>
      </c>
      <c r="C737" s="192">
        <v>2.0499999999999998</v>
      </c>
      <c r="D737" s="105">
        <f t="shared" si="11"/>
        <v>2.0499999999999997E-2</v>
      </c>
      <c r="E737" s="18"/>
      <c r="F737" s="18"/>
    </row>
    <row r="738" spans="2:6" ht="13.8">
      <c r="B738" s="204">
        <f t="shared" si="12"/>
        <v>41030</v>
      </c>
      <c r="C738" s="192">
        <v>1.8</v>
      </c>
      <c r="D738" s="105">
        <f t="shared" si="11"/>
        <v>1.8000000000000002E-2</v>
      </c>
      <c r="E738" s="18"/>
      <c r="F738" s="18"/>
    </row>
    <row r="739" spans="2:6" ht="13.8">
      <c r="B739" s="204">
        <f t="shared" si="12"/>
        <v>41061</v>
      </c>
      <c r="C739" s="192">
        <v>1.62</v>
      </c>
      <c r="D739" s="105">
        <f t="shared" ref="D739:D757" si="13">C739/100</f>
        <v>1.6200000000000003E-2</v>
      </c>
      <c r="E739" s="18"/>
      <c r="F739" s="18"/>
    </row>
    <row r="740" spans="2:6" ht="13.8">
      <c r="B740" s="204">
        <f t="shared" si="12"/>
        <v>41091</v>
      </c>
      <c r="C740" s="192">
        <v>1.53</v>
      </c>
      <c r="D740" s="105">
        <f t="shared" si="13"/>
        <v>1.5300000000000001E-2</v>
      </c>
      <c r="E740" s="18"/>
      <c r="F740" s="18"/>
    </row>
    <row r="741" spans="2:6" ht="13.8">
      <c r="B741" s="204">
        <f t="shared" si="12"/>
        <v>41122</v>
      </c>
      <c r="C741" s="192">
        <v>1.68</v>
      </c>
      <c r="D741" s="105">
        <f t="shared" si="13"/>
        <v>1.6799999999999999E-2</v>
      </c>
      <c r="E741" s="18"/>
      <c r="F741" s="18"/>
    </row>
    <row r="742" spans="2:6" ht="13.8">
      <c r="B742" s="204">
        <f t="shared" si="12"/>
        <v>41153</v>
      </c>
      <c r="C742" s="192">
        <v>1.72</v>
      </c>
      <c r="D742" s="105">
        <f t="shared" si="13"/>
        <v>1.72E-2</v>
      </c>
      <c r="E742" s="18"/>
      <c r="F742" s="18"/>
    </row>
    <row r="743" spans="2:6" ht="13.8">
      <c r="B743" s="204">
        <f t="shared" si="12"/>
        <v>41183</v>
      </c>
      <c r="C743" s="192">
        <v>1.75</v>
      </c>
      <c r="D743" s="105">
        <f t="shared" si="13"/>
        <v>1.7500000000000002E-2</v>
      </c>
      <c r="E743" s="18"/>
      <c r="F743" s="18"/>
    </row>
    <row r="744" spans="2:6" ht="13.8">
      <c r="B744" s="204">
        <f t="shared" si="12"/>
        <v>41214</v>
      </c>
      <c r="C744" s="192">
        <v>1.65</v>
      </c>
      <c r="D744" s="105">
        <f t="shared" si="13"/>
        <v>1.6500000000000001E-2</v>
      </c>
      <c r="E744" s="18"/>
      <c r="F744" s="18"/>
    </row>
    <row r="745" spans="2:6" ht="13.8">
      <c r="B745" s="204">
        <f t="shared" si="12"/>
        <v>41244</v>
      </c>
      <c r="C745" s="192">
        <v>1.72</v>
      </c>
      <c r="D745" s="105">
        <f t="shared" ref="D745:D756" si="14">C745/100</f>
        <v>1.72E-2</v>
      </c>
      <c r="E745" s="18"/>
      <c r="F745" s="18"/>
    </row>
    <row r="746" spans="2:6" ht="13.8">
      <c r="B746" s="204">
        <f t="shared" si="12"/>
        <v>41275</v>
      </c>
      <c r="C746" s="192">
        <v>1.91</v>
      </c>
      <c r="D746" s="105">
        <f t="shared" si="14"/>
        <v>1.9099999999999999E-2</v>
      </c>
      <c r="E746" s="18"/>
      <c r="F746" s="18"/>
    </row>
    <row r="747" spans="2:6" ht="13.8">
      <c r="B747" s="204">
        <f t="shared" si="12"/>
        <v>41306</v>
      </c>
      <c r="C747" s="192">
        <v>1.98</v>
      </c>
      <c r="D747" s="105">
        <f t="shared" si="14"/>
        <v>1.9799999999999998E-2</v>
      </c>
      <c r="E747" s="18"/>
      <c r="F747" s="18"/>
    </row>
    <row r="748" spans="2:6" ht="13.8">
      <c r="B748" s="204">
        <f t="shared" si="12"/>
        <v>41334</v>
      </c>
      <c r="C748" s="192">
        <v>1.96</v>
      </c>
      <c r="D748" s="105">
        <f t="shared" si="14"/>
        <v>1.9599999999999999E-2</v>
      </c>
      <c r="E748" s="18"/>
      <c r="F748" s="18"/>
    </row>
    <row r="749" spans="2:6" ht="13.8">
      <c r="B749" s="204">
        <f t="shared" si="12"/>
        <v>41365</v>
      </c>
      <c r="C749" s="192">
        <v>1.76</v>
      </c>
      <c r="D749" s="105">
        <f t="shared" si="14"/>
        <v>1.7600000000000001E-2</v>
      </c>
      <c r="E749" s="18"/>
      <c r="F749" s="18"/>
    </row>
    <row r="750" spans="2:6" ht="13.8">
      <c r="B750" s="204">
        <f t="shared" si="12"/>
        <v>41395</v>
      </c>
      <c r="C750" s="192">
        <v>1.93</v>
      </c>
      <c r="D750" s="105">
        <f t="shared" si="14"/>
        <v>1.9299999999999998E-2</v>
      </c>
      <c r="E750" s="18"/>
      <c r="F750" s="18"/>
    </row>
    <row r="751" spans="2:6" ht="13.8">
      <c r="B751" s="204">
        <f t="shared" si="12"/>
        <v>41426</v>
      </c>
      <c r="C751" s="192">
        <v>2.2999999999999998</v>
      </c>
      <c r="D751" s="105">
        <f t="shared" si="14"/>
        <v>2.3E-2</v>
      </c>
      <c r="E751" s="18"/>
      <c r="F751" s="18"/>
    </row>
    <row r="752" spans="2:6" ht="13.8">
      <c r="B752" s="204">
        <f t="shared" si="12"/>
        <v>41456</v>
      </c>
      <c r="C752" s="192">
        <v>2.58</v>
      </c>
      <c r="D752" s="105">
        <f t="shared" si="14"/>
        <v>2.58E-2</v>
      </c>
      <c r="E752" s="18"/>
      <c r="F752" s="18"/>
    </row>
    <row r="753" spans="2:6" ht="13.8">
      <c r="B753" s="204">
        <f t="shared" si="12"/>
        <v>41487</v>
      </c>
      <c r="C753" s="192">
        <v>2.74</v>
      </c>
      <c r="D753" s="105">
        <f t="shared" si="14"/>
        <v>2.7400000000000001E-2</v>
      </c>
      <c r="E753" s="18"/>
      <c r="F753" s="18"/>
    </row>
    <row r="754" spans="2:6" ht="13.8">
      <c r="B754" s="204">
        <f t="shared" si="12"/>
        <v>41518</v>
      </c>
      <c r="C754" s="192">
        <v>2.81</v>
      </c>
      <c r="D754" s="105">
        <f t="shared" si="14"/>
        <v>2.81E-2</v>
      </c>
      <c r="E754" s="18"/>
      <c r="F754" s="18"/>
    </row>
    <row r="755" spans="2:6" ht="13.8">
      <c r="B755" s="204">
        <f t="shared" si="12"/>
        <v>41548</v>
      </c>
      <c r="C755" s="192">
        <v>2.62</v>
      </c>
      <c r="D755" s="105">
        <f t="shared" si="14"/>
        <v>2.6200000000000001E-2</v>
      </c>
      <c r="E755" s="18"/>
      <c r="F755" s="18"/>
    </row>
    <row r="756" spans="2:6" ht="13.8">
      <c r="B756" s="204">
        <f t="shared" si="12"/>
        <v>41579</v>
      </c>
      <c r="C756" s="192">
        <v>2.72</v>
      </c>
      <c r="D756" s="105">
        <f t="shared" si="14"/>
        <v>2.7200000000000002E-2</v>
      </c>
      <c r="E756" s="18"/>
      <c r="F756" s="18"/>
    </row>
    <row r="757" spans="2:6" ht="13.8">
      <c r="B757" s="204">
        <f t="shared" si="12"/>
        <v>41609</v>
      </c>
      <c r="C757" s="192">
        <v>2.9</v>
      </c>
      <c r="D757" s="105">
        <f t="shared" si="13"/>
        <v>2.8999999999999998E-2</v>
      </c>
      <c r="E757" s="18"/>
      <c r="F757" s="18"/>
    </row>
    <row r="758" spans="2:6" ht="13.8">
      <c r="B758" s="204">
        <f t="shared" si="12"/>
        <v>41640</v>
      </c>
      <c r="C758" s="192">
        <v>2.86</v>
      </c>
      <c r="D758" s="105">
        <f t="shared" ref="D758:D787" si="15">C758/100</f>
        <v>2.86E-2</v>
      </c>
      <c r="E758" s="18"/>
      <c r="F758" s="18"/>
    </row>
    <row r="759" spans="2:6" ht="13.8">
      <c r="B759" s="204">
        <f t="shared" si="12"/>
        <v>41671</v>
      </c>
      <c r="C759" s="192">
        <v>2.71</v>
      </c>
      <c r="D759" s="105">
        <f t="shared" si="15"/>
        <v>2.7099999999999999E-2</v>
      </c>
      <c r="E759" s="18"/>
      <c r="F759" s="18"/>
    </row>
    <row r="760" spans="2:6" ht="13.8">
      <c r="B760" s="204">
        <f t="shared" si="12"/>
        <v>41699</v>
      </c>
      <c r="C760" s="192">
        <v>2.72</v>
      </c>
      <c r="D760" s="105">
        <f t="shared" si="15"/>
        <v>2.7200000000000002E-2</v>
      </c>
      <c r="E760" s="18"/>
      <c r="F760" s="18"/>
    </row>
    <row r="761" spans="2:6" ht="13.8">
      <c r="B761" s="204">
        <f t="shared" si="12"/>
        <v>41730</v>
      </c>
      <c r="C761" s="192">
        <v>2.71</v>
      </c>
      <c r="D761" s="105">
        <f t="shared" si="15"/>
        <v>2.7099999999999999E-2</v>
      </c>
      <c r="E761" s="18"/>
      <c r="F761" s="18"/>
    </row>
    <row r="762" spans="2:6" ht="13.8">
      <c r="B762" s="204">
        <f t="shared" si="12"/>
        <v>41760</v>
      </c>
      <c r="C762" s="192">
        <v>2.56</v>
      </c>
      <c r="D762" s="105">
        <f t="shared" si="15"/>
        <v>2.5600000000000001E-2</v>
      </c>
      <c r="E762" s="18"/>
      <c r="F762" s="18"/>
    </row>
    <row r="763" spans="2:6" ht="13.8">
      <c r="B763" s="204">
        <f t="shared" si="12"/>
        <v>41791</v>
      </c>
      <c r="C763" s="192">
        <v>2.6</v>
      </c>
      <c r="D763" s="105">
        <f t="shared" ref="D763:D768" si="16">C763/100</f>
        <v>2.6000000000000002E-2</v>
      </c>
      <c r="E763" s="18"/>
      <c r="F763" s="18"/>
    </row>
    <row r="764" spans="2:6" ht="13.8">
      <c r="B764" s="204">
        <f t="shared" si="12"/>
        <v>41821</v>
      </c>
      <c r="C764" s="192">
        <v>2.54</v>
      </c>
      <c r="D764" s="105">
        <f t="shared" si="16"/>
        <v>2.5399999999999999E-2</v>
      </c>
      <c r="E764" s="18"/>
      <c r="F764" s="18"/>
    </row>
    <row r="765" spans="2:6" ht="13.8">
      <c r="B765" s="204">
        <f t="shared" si="12"/>
        <v>41852</v>
      </c>
      <c r="C765" s="192">
        <v>2.42</v>
      </c>
      <c r="D765" s="105">
        <f t="shared" si="16"/>
        <v>2.4199999999999999E-2</v>
      </c>
      <c r="E765" s="18"/>
      <c r="F765" s="18"/>
    </row>
    <row r="766" spans="2:6" ht="13.8">
      <c r="B766" s="204">
        <f t="shared" si="12"/>
        <v>41883</v>
      </c>
      <c r="C766" s="192">
        <v>2.5299999999999998</v>
      </c>
      <c r="D766" s="105">
        <f t="shared" si="16"/>
        <v>2.53E-2</v>
      </c>
      <c r="E766" s="18"/>
      <c r="F766" s="18"/>
    </row>
    <row r="767" spans="2:6" ht="13.8">
      <c r="B767" s="204">
        <f t="shared" si="12"/>
        <v>41913</v>
      </c>
      <c r="C767" s="192">
        <v>2.2999999999999998</v>
      </c>
      <c r="D767" s="105">
        <f t="shared" si="16"/>
        <v>2.3E-2</v>
      </c>
      <c r="E767" s="18"/>
      <c r="F767" s="18"/>
    </row>
    <row r="768" spans="2:6" ht="13.8">
      <c r="B768" s="204">
        <f t="shared" si="12"/>
        <v>41944</v>
      </c>
      <c r="C768" s="192">
        <v>2.33</v>
      </c>
      <c r="D768" s="105">
        <f t="shared" si="16"/>
        <v>2.3300000000000001E-2</v>
      </c>
      <c r="E768" s="18"/>
      <c r="F768" s="18"/>
    </row>
    <row r="769" spans="2:6" ht="13.8">
      <c r="B769" s="204">
        <f t="shared" si="12"/>
        <v>41974</v>
      </c>
      <c r="C769" s="192">
        <v>2.21</v>
      </c>
      <c r="D769" s="105">
        <f t="shared" si="15"/>
        <v>2.2099999999999998E-2</v>
      </c>
      <c r="E769" s="18"/>
      <c r="F769" s="18"/>
    </row>
    <row r="770" spans="2:6" ht="13.8">
      <c r="B770" s="204">
        <f t="shared" si="12"/>
        <v>42005</v>
      </c>
      <c r="C770" s="192">
        <v>1.88</v>
      </c>
      <c r="D770" s="105">
        <f t="shared" si="15"/>
        <v>1.8799999999999997E-2</v>
      </c>
    </row>
    <row r="771" spans="2:6" ht="13.8">
      <c r="B771" s="204">
        <f t="shared" si="12"/>
        <v>42036</v>
      </c>
      <c r="C771" s="192">
        <v>1.98</v>
      </c>
      <c r="D771" s="105">
        <f t="shared" si="15"/>
        <v>1.9799999999999998E-2</v>
      </c>
    </row>
    <row r="772" spans="2:6" ht="13.8">
      <c r="B772" s="204">
        <f t="shared" si="12"/>
        <v>42064</v>
      </c>
      <c r="C772" s="192">
        <v>2.04</v>
      </c>
      <c r="D772" s="105">
        <f t="shared" si="15"/>
        <v>2.0400000000000001E-2</v>
      </c>
    </row>
    <row r="773" spans="2:6" ht="13.8">
      <c r="B773" s="204">
        <f t="shared" si="12"/>
        <v>42095</v>
      </c>
      <c r="C773" s="192">
        <v>1.94</v>
      </c>
      <c r="D773" s="105">
        <f t="shared" si="15"/>
        <v>1.9400000000000001E-2</v>
      </c>
    </row>
    <row r="774" spans="2:6" ht="13.8">
      <c r="B774" s="204">
        <f t="shared" si="12"/>
        <v>42125</v>
      </c>
      <c r="C774" s="192">
        <v>2.2000000000000002</v>
      </c>
      <c r="D774" s="105">
        <f t="shared" si="15"/>
        <v>2.2000000000000002E-2</v>
      </c>
    </row>
    <row r="775" spans="2:6" ht="13.8">
      <c r="B775" s="204">
        <f t="shared" si="12"/>
        <v>42156</v>
      </c>
      <c r="C775" s="192">
        <v>2.36</v>
      </c>
      <c r="D775" s="105">
        <f t="shared" si="15"/>
        <v>2.3599999999999999E-2</v>
      </c>
    </row>
    <row r="776" spans="2:6" ht="13.8">
      <c r="B776" s="204">
        <f t="shared" si="12"/>
        <v>42186</v>
      </c>
      <c r="C776" s="192">
        <v>2.3199999999999998</v>
      </c>
      <c r="D776" s="105">
        <f t="shared" si="15"/>
        <v>2.3199999999999998E-2</v>
      </c>
    </row>
    <row r="777" spans="2:6" ht="13.8">
      <c r="B777" s="204">
        <f t="shared" si="12"/>
        <v>42217</v>
      </c>
      <c r="C777" s="192">
        <v>2.17</v>
      </c>
      <c r="D777" s="105">
        <f t="shared" si="15"/>
        <v>2.1700000000000001E-2</v>
      </c>
    </row>
    <row r="778" spans="2:6" ht="13.8">
      <c r="B778" s="204">
        <f t="shared" si="12"/>
        <v>42248</v>
      </c>
      <c r="C778" s="192">
        <v>2.17</v>
      </c>
      <c r="D778" s="105">
        <f t="shared" si="15"/>
        <v>2.1700000000000001E-2</v>
      </c>
    </row>
    <row r="779" spans="2:6" ht="13.8">
      <c r="B779" s="204">
        <f t="shared" si="12"/>
        <v>42278</v>
      </c>
      <c r="C779" s="192">
        <v>2.0699999999999998</v>
      </c>
      <c r="D779" s="105">
        <f t="shared" si="15"/>
        <v>2.07E-2</v>
      </c>
    </row>
    <row r="780" spans="2:6" ht="13.8">
      <c r="B780" s="204">
        <f t="shared" si="12"/>
        <v>42309</v>
      </c>
      <c r="C780" s="192">
        <v>2.2599999999999998</v>
      </c>
      <c r="D780" s="105">
        <f t="shared" si="15"/>
        <v>2.2599999999999999E-2</v>
      </c>
    </row>
    <row r="781" spans="2:6" ht="13.8">
      <c r="B781" s="204">
        <f t="shared" si="12"/>
        <v>42339</v>
      </c>
      <c r="C781" s="192">
        <v>2.2400000000000002</v>
      </c>
      <c r="D781" s="105">
        <f t="shared" si="15"/>
        <v>2.2400000000000003E-2</v>
      </c>
    </row>
    <row r="782" spans="2:6" ht="13.8">
      <c r="B782" s="204">
        <f t="shared" si="12"/>
        <v>42370</v>
      </c>
      <c r="C782" s="192">
        <v>2.09</v>
      </c>
      <c r="D782" s="105">
        <f t="shared" si="15"/>
        <v>2.0899999999999998E-2</v>
      </c>
    </row>
    <row r="783" spans="2:6" ht="13.8">
      <c r="B783" s="204">
        <f t="shared" si="12"/>
        <v>42401</v>
      </c>
      <c r="C783" s="192">
        <v>1.78</v>
      </c>
      <c r="D783" s="105">
        <f t="shared" si="15"/>
        <v>1.78E-2</v>
      </c>
    </row>
    <row r="784" spans="2:6" ht="13.8">
      <c r="B784" s="204">
        <f t="shared" si="12"/>
        <v>42430</v>
      </c>
      <c r="C784" s="192">
        <v>1.89</v>
      </c>
      <c r="D784" s="105">
        <f t="shared" si="15"/>
        <v>1.89E-2</v>
      </c>
    </row>
    <row r="785" spans="2:4" ht="13.8">
      <c r="B785" s="204">
        <f t="shared" si="12"/>
        <v>42461</v>
      </c>
      <c r="C785" s="192">
        <v>1.81</v>
      </c>
      <c r="D785" s="105">
        <f t="shared" si="15"/>
        <v>1.8100000000000002E-2</v>
      </c>
    </row>
    <row r="786" spans="2:4" ht="13.8">
      <c r="B786" s="204">
        <f t="shared" si="12"/>
        <v>42491</v>
      </c>
      <c r="C786" s="192">
        <v>1.81</v>
      </c>
      <c r="D786" s="105">
        <f t="shared" si="15"/>
        <v>1.8100000000000002E-2</v>
      </c>
    </row>
    <row r="787" spans="2:4" ht="13.8">
      <c r="B787" s="204">
        <f t="shared" si="12"/>
        <v>42522</v>
      </c>
      <c r="C787" s="192">
        <v>1.64</v>
      </c>
      <c r="D787" s="105">
        <f t="shared" si="15"/>
        <v>1.6399999999999998E-2</v>
      </c>
    </row>
    <row r="788" spans="2:4" ht="13.8">
      <c r="B788" s="204">
        <f t="shared" si="12"/>
        <v>42552</v>
      </c>
      <c r="C788" s="192">
        <v>1.5</v>
      </c>
      <c r="D788" s="105">
        <f t="shared" ref="D788:D832" si="17">C788/100</f>
        <v>1.4999999999999999E-2</v>
      </c>
    </row>
    <row r="789" spans="2:4" ht="13.8">
      <c r="B789" s="204">
        <f t="shared" si="12"/>
        <v>42583</v>
      </c>
      <c r="C789" s="192">
        <v>1.56</v>
      </c>
      <c r="D789" s="105">
        <f t="shared" si="17"/>
        <v>1.5600000000000001E-2</v>
      </c>
    </row>
    <row r="790" spans="2:4" ht="13.8">
      <c r="B790" s="204">
        <f t="shared" si="12"/>
        <v>42614</v>
      </c>
      <c r="C790" s="192">
        <v>1.63</v>
      </c>
      <c r="D790" s="105">
        <f t="shared" si="17"/>
        <v>1.6299999999999999E-2</v>
      </c>
    </row>
    <row r="791" spans="2:4" ht="13.8">
      <c r="B791" s="204">
        <f t="shared" si="12"/>
        <v>42644</v>
      </c>
      <c r="C791" s="192">
        <v>1.76</v>
      </c>
      <c r="D791" s="105">
        <f t="shared" si="17"/>
        <v>1.7600000000000001E-2</v>
      </c>
    </row>
    <row r="792" spans="2:4" ht="13.8">
      <c r="B792" s="204">
        <f t="shared" si="12"/>
        <v>42675</v>
      </c>
      <c r="C792" s="192">
        <v>2.14</v>
      </c>
      <c r="D792" s="105">
        <f t="shared" si="17"/>
        <v>2.1400000000000002E-2</v>
      </c>
    </row>
    <row r="793" spans="2:4" ht="13.8">
      <c r="B793" s="204">
        <f t="shared" si="12"/>
        <v>42705</v>
      </c>
      <c r="C793" s="192">
        <v>2.4900000000000002</v>
      </c>
      <c r="D793" s="105">
        <f t="shared" si="17"/>
        <v>2.4900000000000002E-2</v>
      </c>
    </row>
    <row r="794" spans="2:4" ht="13.8">
      <c r="B794" s="204">
        <f t="shared" si="12"/>
        <v>42736</v>
      </c>
      <c r="C794" s="192">
        <v>2.4300000000000002</v>
      </c>
      <c r="D794" s="105">
        <f t="shared" si="17"/>
        <v>2.4300000000000002E-2</v>
      </c>
    </row>
    <row r="795" spans="2:4" ht="13.8">
      <c r="B795" s="204">
        <f t="shared" ref="B795:B832" si="18">EOMONTH(B794, 0 ) + 1</f>
        <v>42767</v>
      </c>
      <c r="C795" s="192">
        <v>2.42</v>
      </c>
      <c r="D795" s="105">
        <f t="shared" si="17"/>
        <v>2.4199999999999999E-2</v>
      </c>
    </row>
    <row r="796" spans="2:4" ht="13.8">
      <c r="B796" s="204">
        <f t="shared" si="18"/>
        <v>42795</v>
      </c>
      <c r="C796" s="192">
        <v>2.48</v>
      </c>
      <c r="D796" s="105">
        <f t="shared" si="17"/>
        <v>2.4799999999999999E-2</v>
      </c>
    </row>
    <row r="797" spans="2:4" ht="13.8">
      <c r="B797" s="204">
        <f t="shared" si="18"/>
        <v>42826</v>
      </c>
      <c r="C797" s="192">
        <v>2.2999999999999998</v>
      </c>
      <c r="D797" s="105">
        <f t="shared" si="17"/>
        <v>2.3E-2</v>
      </c>
    </row>
    <row r="798" spans="2:4" ht="13.8">
      <c r="B798" s="204">
        <f t="shared" si="18"/>
        <v>42856</v>
      </c>
      <c r="C798" s="192">
        <v>2.2999999999999998</v>
      </c>
      <c r="D798" s="105">
        <f t="shared" si="17"/>
        <v>2.3E-2</v>
      </c>
    </row>
    <row r="799" spans="2:4" ht="13.8">
      <c r="B799" s="204">
        <f t="shared" si="18"/>
        <v>42887</v>
      </c>
      <c r="C799" s="192">
        <v>2.19</v>
      </c>
      <c r="D799" s="105">
        <f t="shared" si="17"/>
        <v>2.1899999999999999E-2</v>
      </c>
    </row>
    <row r="800" spans="2:4" ht="13.8">
      <c r="B800" s="204">
        <f t="shared" si="18"/>
        <v>42917</v>
      </c>
      <c r="C800" s="192">
        <v>2.3199999999999998</v>
      </c>
      <c r="D800" s="105">
        <f t="shared" si="17"/>
        <v>2.3199999999999998E-2</v>
      </c>
    </row>
    <row r="801" spans="2:4" ht="13.8">
      <c r="B801" s="204">
        <f t="shared" si="18"/>
        <v>42948</v>
      </c>
      <c r="C801" s="192">
        <v>2.21</v>
      </c>
      <c r="D801" s="105">
        <f t="shared" si="17"/>
        <v>2.2099999999999998E-2</v>
      </c>
    </row>
    <row r="802" spans="2:4" ht="13.8">
      <c r="B802" s="204">
        <f t="shared" si="18"/>
        <v>42979</v>
      </c>
      <c r="C802" s="192">
        <v>2.2000000000000002</v>
      </c>
      <c r="D802" s="105">
        <f t="shared" si="17"/>
        <v>2.2000000000000002E-2</v>
      </c>
    </row>
    <row r="803" spans="2:4" ht="13.8">
      <c r="B803" s="204">
        <f t="shared" si="18"/>
        <v>43009</v>
      </c>
      <c r="C803" s="192">
        <v>2.36</v>
      </c>
      <c r="D803" s="105">
        <f t="shared" si="17"/>
        <v>2.3599999999999999E-2</v>
      </c>
    </row>
    <row r="804" spans="2:4" ht="13.8">
      <c r="B804" s="204">
        <f t="shared" si="18"/>
        <v>43040</v>
      </c>
      <c r="C804" s="192">
        <v>2.35</v>
      </c>
      <c r="D804" s="105">
        <f t="shared" si="17"/>
        <v>2.35E-2</v>
      </c>
    </row>
    <row r="805" spans="2:4" ht="13.8">
      <c r="B805" s="204">
        <f t="shared" si="18"/>
        <v>43070</v>
      </c>
      <c r="C805" s="192">
        <v>2.4</v>
      </c>
      <c r="D805" s="105">
        <f t="shared" si="17"/>
        <v>2.4E-2</v>
      </c>
    </row>
    <row r="806" spans="2:4" ht="13.8">
      <c r="B806" s="204">
        <f t="shared" si="18"/>
        <v>43101</v>
      </c>
      <c r="C806" s="192">
        <v>2.58</v>
      </c>
      <c r="D806" s="105">
        <f t="shared" si="17"/>
        <v>2.58E-2</v>
      </c>
    </row>
    <row r="807" spans="2:4" ht="13.8">
      <c r="B807" s="204">
        <f t="shared" si="18"/>
        <v>43132</v>
      </c>
      <c r="C807" s="192">
        <v>2.86</v>
      </c>
      <c r="D807" s="105">
        <f t="shared" si="17"/>
        <v>2.86E-2</v>
      </c>
    </row>
    <row r="808" spans="2:4" ht="13.8">
      <c r="B808" s="204">
        <f t="shared" si="18"/>
        <v>43160</v>
      </c>
      <c r="C808" s="192">
        <v>2.84</v>
      </c>
      <c r="D808" s="105">
        <f t="shared" si="17"/>
        <v>2.8399999999999998E-2</v>
      </c>
    </row>
    <row r="809" spans="2:4" ht="13.8">
      <c r="B809" s="204">
        <f t="shared" si="18"/>
        <v>43191</v>
      </c>
      <c r="C809" s="192">
        <v>2.87</v>
      </c>
      <c r="D809" s="105">
        <f t="shared" si="17"/>
        <v>2.87E-2</v>
      </c>
    </row>
    <row r="810" spans="2:4" ht="13.8">
      <c r="B810" s="204">
        <f t="shared" si="18"/>
        <v>43221</v>
      </c>
      <c r="C810" s="192">
        <v>2.98</v>
      </c>
      <c r="D810" s="105">
        <f t="shared" si="17"/>
        <v>2.98E-2</v>
      </c>
    </row>
    <row r="811" spans="2:4" ht="13.8">
      <c r="B811" s="204">
        <f t="shared" si="18"/>
        <v>43252</v>
      </c>
      <c r="C811" s="192">
        <v>2.91</v>
      </c>
      <c r="D811" s="105">
        <f t="shared" si="17"/>
        <v>2.9100000000000001E-2</v>
      </c>
    </row>
    <row r="812" spans="2:4" ht="13.8">
      <c r="B812" s="204">
        <f t="shared" si="18"/>
        <v>43282</v>
      </c>
      <c r="C812" s="192">
        <v>2.89</v>
      </c>
      <c r="D812" s="105">
        <f t="shared" si="17"/>
        <v>2.8900000000000002E-2</v>
      </c>
    </row>
    <row r="813" spans="2:4" ht="13.8">
      <c r="B813" s="204">
        <f t="shared" si="18"/>
        <v>43313</v>
      </c>
      <c r="C813" s="192">
        <v>2.89</v>
      </c>
      <c r="D813" s="105">
        <f t="shared" si="17"/>
        <v>2.8900000000000002E-2</v>
      </c>
    </row>
    <row r="814" spans="2:4" ht="13.8">
      <c r="B814" s="204">
        <f t="shared" si="18"/>
        <v>43344</v>
      </c>
      <c r="C814" s="192">
        <v>3</v>
      </c>
      <c r="D814" s="105">
        <f t="shared" si="17"/>
        <v>0.03</v>
      </c>
    </row>
    <row r="815" spans="2:4" ht="13.8">
      <c r="B815" s="204">
        <f>EOMONTH(B814, 0 ) + 1</f>
        <v>43374</v>
      </c>
      <c r="C815" s="192">
        <v>3.15</v>
      </c>
      <c r="D815" s="105">
        <f t="shared" si="17"/>
        <v>3.15E-2</v>
      </c>
    </row>
    <row r="816" spans="2:4" ht="13.8">
      <c r="B816" s="204">
        <f t="shared" si="18"/>
        <v>43405</v>
      </c>
      <c r="C816" s="192">
        <v>3.12</v>
      </c>
      <c r="D816" s="105">
        <f t="shared" si="17"/>
        <v>3.1200000000000002E-2</v>
      </c>
    </row>
    <row r="817" spans="2:4" ht="13.8">
      <c r="B817" s="204">
        <f t="shared" si="18"/>
        <v>43435</v>
      </c>
      <c r="C817" s="192">
        <v>2.83</v>
      </c>
      <c r="D817" s="105">
        <f t="shared" si="17"/>
        <v>2.8300000000000002E-2</v>
      </c>
    </row>
    <row r="818" spans="2:4" ht="13.8">
      <c r="B818" s="204">
        <f t="shared" si="18"/>
        <v>43466</v>
      </c>
      <c r="C818" s="192">
        <v>2.71</v>
      </c>
      <c r="D818" s="105">
        <f t="shared" si="17"/>
        <v>2.7099999999999999E-2</v>
      </c>
    </row>
    <row r="819" spans="2:4" ht="13.8">
      <c r="B819" s="204">
        <f t="shared" si="18"/>
        <v>43497</v>
      </c>
      <c r="C819" s="192">
        <v>2.68</v>
      </c>
      <c r="D819" s="105">
        <f t="shared" si="17"/>
        <v>2.6800000000000001E-2</v>
      </c>
    </row>
    <row r="820" spans="2:4" ht="13.8">
      <c r="B820" s="204">
        <f t="shared" si="18"/>
        <v>43525</v>
      </c>
      <c r="C820" s="192">
        <v>2.57</v>
      </c>
      <c r="D820" s="105">
        <f t="shared" si="17"/>
        <v>2.5699999999999997E-2</v>
      </c>
    </row>
    <row r="821" spans="2:4" ht="13.8">
      <c r="B821" s="204">
        <f t="shared" si="18"/>
        <v>43556</v>
      </c>
      <c r="C821" s="192">
        <v>2.5299999999999998</v>
      </c>
      <c r="D821" s="105">
        <f t="shared" si="17"/>
        <v>2.53E-2</v>
      </c>
    </row>
    <row r="822" spans="2:4" ht="13.8">
      <c r="B822" s="204">
        <f t="shared" si="18"/>
        <v>43586</v>
      </c>
      <c r="C822" s="192">
        <v>2.4</v>
      </c>
      <c r="D822" s="105">
        <f t="shared" si="17"/>
        <v>2.4E-2</v>
      </c>
    </row>
    <row r="823" spans="2:4" ht="13.8">
      <c r="B823" s="204">
        <f t="shared" si="18"/>
        <v>43617</v>
      </c>
      <c r="C823" s="192">
        <v>2.0699999999999998</v>
      </c>
      <c r="D823" s="105">
        <f t="shared" si="17"/>
        <v>2.07E-2</v>
      </c>
    </row>
    <row r="824" spans="2:4" ht="13.8">
      <c r="B824" s="204">
        <f t="shared" si="18"/>
        <v>43647</v>
      </c>
      <c r="C824" s="192">
        <v>2.06</v>
      </c>
      <c r="D824" s="105">
        <f t="shared" si="17"/>
        <v>2.06E-2</v>
      </c>
    </row>
    <row r="825" spans="2:4" ht="13.8">
      <c r="B825" s="204">
        <f t="shared" si="18"/>
        <v>43678</v>
      </c>
      <c r="C825" s="192">
        <v>1.63</v>
      </c>
      <c r="D825" s="105">
        <f t="shared" si="17"/>
        <v>1.6299999999999999E-2</v>
      </c>
    </row>
    <row r="826" spans="2:4" ht="13.8">
      <c r="B826" s="204">
        <f t="shared" si="18"/>
        <v>43709</v>
      </c>
      <c r="C826" s="192">
        <v>1.7</v>
      </c>
      <c r="D826" s="105">
        <f t="shared" si="17"/>
        <v>1.7000000000000001E-2</v>
      </c>
    </row>
    <row r="827" spans="2:4" ht="13.8">
      <c r="B827" s="204">
        <f t="shared" si="18"/>
        <v>43739</v>
      </c>
      <c r="C827" s="192">
        <v>1.71</v>
      </c>
      <c r="D827" s="105">
        <f t="shared" si="17"/>
        <v>1.7100000000000001E-2</v>
      </c>
    </row>
    <row r="828" spans="2:4" ht="13.8">
      <c r="B828" s="204">
        <f t="shared" si="18"/>
        <v>43770</v>
      </c>
      <c r="C828" s="192">
        <v>1.81</v>
      </c>
      <c r="D828" s="105">
        <f t="shared" si="17"/>
        <v>1.8100000000000002E-2</v>
      </c>
    </row>
    <row r="829" spans="2:4" ht="13.8">
      <c r="B829" s="204">
        <f t="shared" si="18"/>
        <v>43800</v>
      </c>
      <c r="C829" s="192">
        <v>1.86</v>
      </c>
      <c r="D829" s="105">
        <f t="shared" si="17"/>
        <v>1.8600000000000002E-2</v>
      </c>
    </row>
    <row r="830" spans="2:4" ht="13.8">
      <c r="B830" s="204">
        <f t="shared" si="18"/>
        <v>43831</v>
      </c>
      <c r="C830" s="192">
        <v>1.76</v>
      </c>
      <c r="D830" s="105">
        <f t="shared" si="17"/>
        <v>1.7600000000000001E-2</v>
      </c>
    </row>
    <row r="831" spans="2:4" ht="13.8">
      <c r="B831" s="204">
        <f t="shared" si="18"/>
        <v>43862</v>
      </c>
      <c r="C831" s="192">
        <v>1.5</v>
      </c>
      <c r="D831" s="105">
        <f t="shared" si="17"/>
        <v>1.4999999999999999E-2</v>
      </c>
    </row>
    <row r="832" spans="2:4" ht="13.8">
      <c r="B832" s="204">
        <f t="shared" si="18"/>
        <v>43891</v>
      </c>
      <c r="C832" s="192">
        <v>0.87</v>
      </c>
      <c r="D832" s="105">
        <f t="shared" si="17"/>
        <v>8.6999999999999994E-3</v>
      </c>
    </row>
  </sheetData>
  <mergeCells count="1">
    <mergeCell ref="A1:B1"/>
  </mergeCells>
  <phoneticPr fontId="3" type="noConversion"/>
  <hyperlinks>
    <hyperlink ref="C23" r:id="rId1" xr:uid="{00000000-0004-0000-0500-000000000000}"/>
    <hyperlink ref="A1" location="Index!A1" display="Return to Index" xr:uid="{00000000-0004-0000-0500-000001000000}"/>
    <hyperlink ref="A1:B1" location="Contents!A1" display="Go to Contents" xr:uid="{00000000-0004-0000-0500-000002000000}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outlinePr summaryBelow="0" summaryRight="0"/>
  </sheetPr>
  <dimension ref="A1:H15211"/>
  <sheetViews>
    <sheetView showGridLines="0" zoomScaleNormal="100" workbookViewId="0">
      <selection sqref="A1:B1"/>
    </sheetView>
  </sheetViews>
  <sheetFormatPr defaultColWidth="8.44140625" defaultRowHeight="12.6" outlineLevelRow="1"/>
  <cols>
    <col min="1" max="1" width="3.5546875" style="4" customWidth="1"/>
    <col min="2" max="2" width="12.5546875" style="9" customWidth="1"/>
    <col min="3" max="3" width="8.44140625" style="8"/>
    <col min="4" max="4" width="12.44140625" style="8" customWidth="1"/>
    <col min="5" max="16384" width="8.44140625" style="4"/>
  </cols>
  <sheetData>
    <row r="1" spans="1:4" ht="13.2">
      <c r="A1" s="852" t="s">
        <v>408</v>
      </c>
      <c r="B1" s="855"/>
    </row>
    <row r="2" spans="1:4" ht="18">
      <c r="B2" s="161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8" t="s">
        <v>176</v>
      </c>
      <c r="D22" s="4"/>
    </row>
    <row r="23" spans="2:6">
      <c r="C23" s="46" t="s">
        <v>210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5" t="s">
        <v>341</v>
      </c>
      <c r="C29" s="196" t="s">
        <v>342</v>
      </c>
      <c r="D29" s="196" t="s">
        <v>343</v>
      </c>
    </row>
    <row r="30" spans="2:6" ht="13.8" hidden="1" outlineLevel="1">
      <c r="B30" s="187">
        <v>22648</v>
      </c>
      <c r="C30" s="188">
        <v>4.0599999999999996</v>
      </c>
      <c r="D30" s="104">
        <f t="shared" ref="D30:D93" si="0">IF( LEN( C30 ) = 0, #N/A, IF( C30 = "ND", D29, C30 / 100 ) )</f>
        <v>4.0599999999999997E-2</v>
      </c>
      <c r="F30" s="5"/>
    </row>
    <row r="31" spans="2:6" ht="13.8" hidden="1" outlineLevel="1">
      <c r="B31" s="187">
        <v>22649</v>
      </c>
      <c r="C31" s="188">
        <v>4.03</v>
      </c>
      <c r="D31" s="104">
        <f t="shared" si="0"/>
        <v>4.0300000000000002E-2</v>
      </c>
      <c r="F31" s="5"/>
    </row>
    <row r="32" spans="2:6" ht="13.8" hidden="1" outlineLevel="1">
      <c r="B32" s="187">
        <v>22650</v>
      </c>
      <c r="C32" s="188">
        <v>3.99</v>
      </c>
      <c r="D32" s="104">
        <f t="shared" si="0"/>
        <v>3.9900000000000005E-2</v>
      </c>
      <c r="F32" s="5"/>
    </row>
    <row r="33" spans="2:6" ht="13.8" hidden="1" outlineLevel="1">
      <c r="B33" s="187">
        <v>22651</v>
      </c>
      <c r="C33" s="188">
        <v>4.0199999999999996</v>
      </c>
      <c r="D33" s="104">
        <f t="shared" si="0"/>
        <v>4.0199999999999993E-2</v>
      </c>
      <c r="F33" s="5"/>
    </row>
    <row r="34" spans="2:6" ht="13.8" hidden="1" outlineLevel="1">
      <c r="B34" s="187">
        <v>22654</v>
      </c>
      <c r="C34" s="188">
        <v>4.03</v>
      </c>
      <c r="D34" s="104">
        <f t="shared" si="0"/>
        <v>4.0300000000000002E-2</v>
      </c>
      <c r="F34" s="5"/>
    </row>
    <row r="35" spans="2:6" ht="13.8" hidden="1" outlineLevel="1">
      <c r="B35" s="187">
        <v>22655</v>
      </c>
      <c r="C35" s="188">
        <v>4.05</v>
      </c>
      <c r="D35" s="104">
        <f t="shared" si="0"/>
        <v>4.0500000000000001E-2</v>
      </c>
      <c r="F35" s="5"/>
    </row>
    <row r="36" spans="2:6" ht="13.8" hidden="1" outlineLevel="1">
      <c r="B36" s="187">
        <v>22656</v>
      </c>
      <c r="C36" s="188">
        <v>4.07</v>
      </c>
      <c r="D36" s="104">
        <f t="shared" si="0"/>
        <v>4.07E-2</v>
      </c>
      <c r="F36" s="5"/>
    </row>
    <row r="37" spans="2:6" ht="13.8" hidden="1" outlineLevel="1">
      <c r="B37" s="187">
        <v>22657</v>
      </c>
      <c r="C37" s="188">
        <v>4.08</v>
      </c>
      <c r="D37" s="104">
        <f t="shared" si="0"/>
        <v>4.0800000000000003E-2</v>
      </c>
      <c r="F37" s="5"/>
    </row>
    <row r="38" spans="2:6" ht="13.8" hidden="1" outlineLevel="1">
      <c r="B38" s="187">
        <v>22658</v>
      </c>
      <c r="C38" s="188">
        <v>4.08</v>
      </c>
      <c r="D38" s="104">
        <f t="shared" si="0"/>
        <v>4.0800000000000003E-2</v>
      </c>
      <c r="F38" s="5"/>
    </row>
    <row r="39" spans="2:6" ht="13.8" hidden="1" outlineLevel="1">
      <c r="B39" s="187">
        <v>22661</v>
      </c>
      <c r="C39" s="188">
        <v>4.0999999999999996</v>
      </c>
      <c r="D39" s="104">
        <f t="shared" si="0"/>
        <v>4.0999999999999995E-2</v>
      </c>
      <c r="F39" s="5"/>
    </row>
    <row r="40" spans="2:6" ht="13.8" hidden="1" outlineLevel="1">
      <c r="B40" s="187">
        <v>22662</v>
      </c>
      <c r="C40" s="188">
        <v>4.13</v>
      </c>
      <c r="D40" s="104">
        <f t="shared" si="0"/>
        <v>4.1299999999999996E-2</v>
      </c>
      <c r="F40" s="5"/>
    </row>
    <row r="41" spans="2:6" ht="13.8" hidden="1" outlineLevel="1">
      <c r="B41" s="187">
        <v>22663</v>
      </c>
      <c r="C41" s="188">
        <v>4.12</v>
      </c>
      <c r="D41" s="104">
        <f t="shared" si="0"/>
        <v>4.1200000000000001E-2</v>
      </c>
      <c r="F41" s="5"/>
    </row>
    <row r="42" spans="2:6" ht="13.8" hidden="1" outlineLevel="1">
      <c r="B42" s="187">
        <v>22664</v>
      </c>
      <c r="C42" s="188">
        <v>4.1100000000000003</v>
      </c>
      <c r="D42" s="104">
        <f t="shared" si="0"/>
        <v>4.1100000000000005E-2</v>
      </c>
      <c r="F42" s="5"/>
    </row>
    <row r="43" spans="2:6" ht="13.8" hidden="1" outlineLevel="1">
      <c r="B43" s="187">
        <v>22665</v>
      </c>
      <c r="C43" s="188">
        <v>4.1100000000000003</v>
      </c>
      <c r="D43" s="104">
        <f t="shared" si="0"/>
        <v>4.1100000000000005E-2</v>
      </c>
      <c r="F43" s="5"/>
    </row>
    <row r="44" spans="2:6" ht="13.8" hidden="1" outlineLevel="1">
      <c r="B44" s="187">
        <v>22668</v>
      </c>
      <c r="C44" s="188">
        <v>4.09</v>
      </c>
      <c r="D44" s="104">
        <f t="shared" si="0"/>
        <v>4.0899999999999999E-2</v>
      </c>
      <c r="F44" s="5"/>
    </row>
    <row r="45" spans="2:6" ht="13.8" hidden="1" outlineLevel="1">
      <c r="B45" s="187">
        <v>22669</v>
      </c>
      <c r="C45" s="188">
        <v>4.1100000000000003</v>
      </c>
      <c r="D45" s="104">
        <f t="shared" si="0"/>
        <v>4.1100000000000005E-2</v>
      </c>
      <c r="F45" s="5"/>
    </row>
    <row r="46" spans="2:6" ht="13.8" hidden="1" outlineLevel="1">
      <c r="B46" s="187">
        <v>22670</v>
      </c>
      <c r="C46" s="188">
        <v>4.0999999999999996</v>
      </c>
      <c r="D46" s="104">
        <f t="shared" si="0"/>
        <v>4.0999999999999995E-2</v>
      </c>
      <c r="F46" s="5"/>
    </row>
    <row r="47" spans="2:6" ht="13.8" hidden="1" outlineLevel="1">
      <c r="B47" s="187">
        <v>22671</v>
      </c>
      <c r="C47" s="188">
        <v>4.1100000000000003</v>
      </c>
      <c r="D47" s="104">
        <f t="shared" si="0"/>
        <v>4.1100000000000005E-2</v>
      </c>
      <c r="F47" s="5"/>
    </row>
    <row r="48" spans="2:6" ht="13.8" hidden="1" outlineLevel="1">
      <c r="B48" s="187">
        <v>22672</v>
      </c>
      <c r="C48" s="188">
        <v>4.1100000000000003</v>
      </c>
      <c r="D48" s="104">
        <f t="shared" si="0"/>
        <v>4.1100000000000005E-2</v>
      </c>
      <c r="F48" s="5"/>
    </row>
    <row r="49" spans="2:6" ht="13.8" hidden="1" outlineLevel="1">
      <c r="B49" s="187">
        <v>22675</v>
      </c>
      <c r="C49" s="188">
        <v>4.12</v>
      </c>
      <c r="D49" s="104">
        <f t="shared" si="0"/>
        <v>4.1200000000000001E-2</v>
      </c>
      <c r="F49" s="5"/>
    </row>
    <row r="50" spans="2:6" ht="13.8" hidden="1" outlineLevel="1">
      <c r="B50" s="187">
        <v>22676</v>
      </c>
      <c r="C50" s="188">
        <v>4.1100000000000003</v>
      </c>
      <c r="D50" s="104">
        <f t="shared" si="0"/>
        <v>4.1100000000000005E-2</v>
      </c>
      <c r="F50" s="5"/>
    </row>
    <row r="51" spans="2:6" ht="13.8" hidden="1" outlineLevel="1">
      <c r="B51" s="187">
        <v>22677</v>
      </c>
      <c r="C51" s="188">
        <v>4.0999999999999996</v>
      </c>
      <c r="D51" s="104">
        <f t="shared" si="0"/>
        <v>4.0999999999999995E-2</v>
      </c>
      <c r="F51" s="5"/>
    </row>
    <row r="52" spans="2:6" ht="13.8" hidden="1" outlineLevel="1">
      <c r="B52" s="187">
        <v>22678</v>
      </c>
      <c r="C52" s="188">
        <v>4.09</v>
      </c>
      <c r="D52" s="104">
        <f t="shared" si="0"/>
        <v>4.0899999999999999E-2</v>
      </c>
      <c r="F52" s="5"/>
    </row>
    <row r="53" spans="2:6" ht="13.8" hidden="1" outlineLevel="1">
      <c r="B53" s="187">
        <v>22679</v>
      </c>
      <c r="C53" s="188">
        <v>4.08</v>
      </c>
      <c r="D53" s="104">
        <f t="shared" si="0"/>
        <v>4.0800000000000003E-2</v>
      </c>
      <c r="F53" s="5"/>
    </row>
    <row r="54" spans="2:6" ht="13.8" hidden="1" outlineLevel="1">
      <c r="B54" s="187">
        <v>22682</v>
      </c>
      <c r="C54" s="188">
        <v>4.07</v>
      </c>
      <c r="D54" s="104">
        <f t="shared" si="0"/>
        <v>4.07E-2</v>
      </c>
      <c r="F54" s="5"/>
    </row>
    <row r="55" spans="2:6" ht="13.8" hidden="1" outlineLevel="1">
      <c r="B55" s="187">
        <v>22683</v>
      </c>
      <c r="C55" s="188">
        <v>4.0599999999999996</v>
      </c>
      <c r="D55" s="104">
        <f t="shared" si="0"/>
        <v>4.0599999999999997E-2</v>
      </c>
      <c r="F55" s="5"/>
    </row>
    <row r="56" spans="2:6" ht="13.8" hidden="1" outlineLevel="1">
      <c r="B56" s="187">
        <v>22684</v>
      </c>
      <c r="C56" s="188">
        <v>4.07</v>
      </c>
      <c r="D56" s="104">
        <f t="shared" si="0"/>
        <v>4.07E-2</v>
      </c>
      <c r="F56" s="5"/>
    </row>
    <row r="57" spans="2:6" ht="13.8" hidden="1" outlineLevel="1">
      <c r="B57" s="187">
        <v>22685</v>
      </c>
      <c r="C57" s="188">
        <v>4.07</v>
      </c>
      <c r="D57" s="104">
        <f t="shared" si="0"/>
        <v>4.07E-2</v>
      </c>
      <c r="F57" s="5"/>
    </row>
    <row r="58" spans="2:6" ht="13.8" hidden="1" outlineLevel="1">
      <c r="B58" s="187">
        <v>22686</v>
      </c>
      <c r="C58" s="188">
        <v>4.05</v>
      </c>
      <c r="D58" s="104">
        <f t="shared" si="0"/>
        <v>4.0500000000000001E-2</v>
      </c>
      <c r="F58" s="5"/>
    </row>
    <row r="59" spans="2:6" ht="13.8" hidden="1" outlineLevel="1">
      <c r="B59" s="187">
        <v>22689</v>
      </c>
      <c r="C59" s="188" t="s">
        <v>380</v>
      </c>
      <c r="D59" s="104">
        <f t="shared" si="0"/>
        <v>4.0500000000000001E-2</v>
      </c>
      <c r="F59" s="5"/>
    </row>
    <row r="60" spans="2:6" ht="13.8" hidden="1" outlineLevel="1">
      <c r="B60" s="187">
        <v>22690</v>
      </c>
      <c r="C60" s="188">
        <v>4.03</v>
      </c>
      <c r="D60" s="104">
        <f t="shared" si="0"/>
        <v>4.0300000000000002E-2</v>
      </c>
      <c r="F60" s="5"/>
    </row>
    <row r="61" spans="2:6" ht="13.8" hidden="1" outlineLevel="1">
      <c r="B61" s="187">
        <v>22691</v>
      </c>
      <c r="C61" s="188">
        <v>4.03</v>
      </c>
      <c r="D61" s="104">
        <f t="shared" si="0"/>
        <v>4.0300000000000002E-2</v>
      </c>
      <c r="F61" s="5"/>
    </row>
    <row r="62" spans="2:6" ht="13.8" hidden="1" outlineLevel="1">
      <c r="B62" s="187">
        <v>22692</v>
      </c>
      <c r="C62" s="188">
        <v>4.0199999999999996</v>
      </c>
      <c r="D62" s="104">
        <f t="shared" si="0"/>
        <v>4.0199999999999993E-2</v>
      </c>
      <c r="F62" s="5"/>
    </row>
    <row r="63" spans="2:6" ht="13.8" hidden="1" outlineLevel="1">
      <c r="B63" s="187">
        <v>22693</v>
      </c>
      <c r="C63" s="188">
        <v>4.0199999999999996</v>
      </c>
      <c r="D63" s="104">
        <f t="shared" si="0"/>
        <v>4.0199999999999993E-2</v>
      </c>
      <c r="F63" s="5"/>
    </row>
    <row r="64" spans="2:6" ht="13.8" hidden="1" outlineLevel="1">
      <c r="B64" s="187">
        <v>22696</v>
      </c>
      <c r="C64" s="188">
        <v>4.01</v>
      </c>
      <c r="D64" s="104">
        <f t="shared" si="0"/>
        <v>4.0099999999999997E-2</v>
      </c>
      <c r="F64" s="5"/>
    </row>
    <row r="65" spans="2:6" ht="13.8" hidden="1" outlineLevel="1">
      <c r="B65" s="187">
        <v>22697</v>
      </c>
      <c r="C65" s="188">
        <v>4.05</v>
      </c>
      <c r="D65" s="104">
        <f t="shared" si="0"/>
        <v>4.0500000000000001E-2</v>
      </c>
      <c r="F65" s="5"/>
    </row>
    <row r="66" spans="2:6" ht="13.8" hidden="1" outlineLevel="1">
      <c r="B66" s="187">
        <v>22698</v>
      </c>
      <c r="C66" s="188">
        <v>4.03</v>
      </c>
      <c r="D66" s="104">
        <f t="shared" si="0"/>
        <v>4.0300000000000002E-2</v>
      </c>
      <c r="F66" s="5"/>
    </row>
    <row r="67" spans="2:6" ht="13.8" hidden="1" outlineLevel="1">
      <c r="B67" s="187">
        <v>22699</v>
      </c>
      <c r="C67" s="188" t="s">
        <v>380</v>
      </c>
      <c r="D67" s="104">
        <f t="shared" si="0"/>
        <v>4.0300000000000002E-2</v>
      </c>
      <c r="F67" s="5"/>
    </row>
    <row r="68" spans="2:6" ht="13.8" hidden="1" outlineLevel="1">
      <c r="B68" s="187">
        <v>22700</v>
      </c>
      <c r="C68" s="188">
        <v>4.0199999999999996</v>
      </c>
      <c r="D68" s="104">
        <f t="shared" si="0"/>
        <v>4.0199999999999993E-2</v>
      </c>
      <c r="F68" s="5"/>
    </row>
    <row r="69" spans="2:6" ht="13.8" hidden="1" outlineLevel="1">
      <c r="B69" s="187">
        <v>22703</v>
      </c>
      <c r="C69" s="188">
        <v>4</v>
      </c>
      <c r="D69" s="104">
        <f t="shared" si="0"/>
        <v>0.04</v>
      </c>
      <c r="F69" s="5"/>
    </row>
    <row r="70" spans="2:6" ht="13.8" hidden="1" outlineLevel="1">
      <c r="B70" s="187">
        <v>22704</v>
      </c>
      <c r="C70" s="188">
        <v>4.01</v>
      </c>
      <c r="D70" s="104">
        <f t="shared" si="0"/>
        <v>4.0099999999999997E-2</v>
      </c>
      <c r="F70" s="5"/>
    </row>
    <row r="71" spans="2:6" ht="13.8" hidden="1" outlineLevel="1">
      <c r="B71" s="187">
        <v>22705</v>
      </c>
      <c r="C71" s="188">
        <v>4</v>
      </c>
      <c r="D71" s="104">
        <f t="shared" si="0"/>
        <v>0.04</v>
      </c>
      <c r="F71" s="5"/>
    </row>
    <row r="72" spans="2:6" ht="13.8" hidden="1" outlineLevel="1">
      <c r="B72" s="187">
        <v>22706</v>
      </c>
      <c r="C72" s="188">
        <v>3.98</v>
      </c>
      <c r="D72" s="104">
        <f t="shared" si="0"/>
        <v>3.9800000000000002E-2</v>
      </c>
      <c r="F72" s="5"/>
    </row>
    <row r="73" spans="2:6" ht="13.8" hidden="1" outlineLevel="1">
      <c r="B73" s="187">
        <v>22707</v>
      </c>
      <c r="C73" s="188">
        <v>3.98</v>
      </c>
      <c r="D73" s="104">
        <f t="shared" si="0"/>
        <v>3.9800000000000002E-2</v>
      </c>
      <c r="F73" s="5"/>
    </row>
    <row r="74" spans="2:6" ht="13.8" hidden="1" outlineLevel="1">
      <c r="B74" s="187">
        <v>22710</v>
      </c>
      <c r="C74" s="188">
        <v>4</v>
      </c>
      <c r="D74" s="104">
        <f t="shared" si="0"/>
        <v>0.04</v>
      </c>
      <c r="F74" s="5"/>
    </row>
    <row r="75" spans="2:6" ht="13.8" hidden="1" outlineLevel="1">
      <c r="B75" s="187">
        <v>22711</v>
      </c>
      <c r="C75" s="188">
        <v>4.01</v>
      </c>
      <c r="D75" s="104">
        <f t="shared" si="0"/>
        <v>4.0099999999999997E-2</v>
      </c>
      <c r="F75" s="5"/>
    </row>
    <row r="76" spans="2:6" ht="13.8" hidden="1" outlineLevel="1">
      <c r="B76" s="187">
        <v>22712</v>
      </c>
      <c r="C76" s="188">
        <v>4</v>
      </c>
      <c r="D76" s="104">
        <f t="shared" si="0"/>
        <v>0.04</v>
      </c>
      <c r="F76" s="5"/>
    </row>
    <row r="77" spans="2:6" ht="13.8" hidden="1" outlineLevel="1">
      <c r="B77" s="187">
        <v>22713</v>
      </c>
      <c r="C77" s="188">
        <v>3.98</v>
      </c>
      <c r="D77" s="104">
        <f t="shared" si="0"/>
        <v>3.9800000000000002E-2</v>
      </c>
      <c r="F77" s="5"/>
    </row>
    <row r="78" spans="2:6" ht="13.8" hidden="1" outlineLevel="1">
      <c r="B78" s="187">
        <v>22714</v>
      </c>
      <c r="C78" s="188">
        <v>3.96</v>
      </c>
      <c r="D78" s="104">
        <f t="shared" si="0"/>
        <v>3.9599999999999996E-2</v>
      </c>
      <c r="F78" s="5"/>
    </row>
    <row r="79" spans="2:6" ht="13.8" hidden="1" outlineLevel="1">
      <c r="B79" s="187">
        <v>22717</v>
      </c>
      <c r="C79" s="188">
        <v>3.94</v>
      </c>
      <c r="D79" s="104">
        <f t="shared" si="0"/>
        <v>3.9399999999999998E-2</v>
      </c>
      <c r="F79" s="5"/>
    </row>
    <row r="80" spans="2:6" ht="13.8" hidden="1" outlineLevel="1">
      <c r="B80" s="187">
        <v>22718</v>
      </c>
      <c r="C80" s="188">
        <v>3.92</v>
      </c>
      <c r="D80" s="104">
        <f t="shared" si="0"/>
        <v>3.9199999999999999E-2</v>
      </c>
      <c r="F80" s="5"/>
    </row>
    <row r="81" spans="2:6" ht="13.8" hidden="1" outlineLevel="1">
      <c r="B81" s="187">
        <v>22719</v>
      </c>
      <c r="C81" s="188">
        <v>3.93</v>
      </c>
      <c r="D81" s="104">
        <f t="shared" si="0"/>
        <v>3.9300000000000002E-2</v>
      </c>
      <c r="F81" s="5"/>
    </row>
    <row r="82" spans="2:6" ht="13.8" hidden="1" outlineLevel="1">
      <c r="B82" s="187">
        <v>22720</v>
      </c>
      <c r="C82" s="188">
        <v>3.96</v>
      </c>
      <c r="D82" s="104">
        <f t="shared" si="0"/>
        <v>3.9599999999999996E-2</v>
      </c>
      <c r="F82" s="5"/>
    </row>
    <row r="83" spans="2:6" ht="13.8" hidden="1" outlineLevel="1">
      <c r="B83" s="187">
        <v>22721</v>
      </c>
      <c r="C83" s="188">
        <v>3.96</v>
      </c>
      <c r="D83" s="104">
        <f t="shared" si="0"/>
        <v>3.9599999999999996E-2</v>
      </c>
      <c r="F83" s="5"/>
    </row>
    <row r="84" spans="2:6" ht="13.8" hidden="1" outlineLevel="1">
      <c r="B84" s="187">
        <v>22724</v>
      </c>
      <c r="C84" s="188">
        <v>3.93</v>
      </c>
      <c r="D84" s="104">
        <f t="shared" si="0"/>
        <v>3.9300000000000002E-2</v>
      </c>
      <c r="F84" s="5"/>
    </row>
    <row r="85" spans="2:6" ht="13.8" hidden="1" outlineLevel="1">
      <c r="B85" s="187">
        <v>22725</v>
      </c>
      <c r="C85" s="188">
        <v>3.91</v>
      </c>
      <c r="D85" s="104">
        <f t="shared" si="0"/>
        <v>3.9100000000000003E-2</v>
      </c>
      <c r="F85" s="5"/>
    </row>
    <row r="86" spans="2:6" ht="13.8" hidden="1" outlineLevel="1">
      <c r="B86" s="187">
        <v>22726</v>
      </c>
      <c r="C86" s="188">
        <v>3.86</v>
      </c>
      <c r="D86" s="104">
        <f t="shared" si="0"/>
        <v>3.8599999999999995E-2</v>
      </c>
      <c r="F86" s="5"/>
    </row>
    <row r="87" spans="2:6" ht="13.8" hidden="1" outlineLevel="1">
      <c r="B87" s="187">
        <v>22727</v>
      </c>
      <c r="C87" s="188">
        <v>3.83</v>
      </c>
      <c r="D87" s="104">
        <f t="shared" si="0"/>
        <v>3.8300000000000001E-2</v>
      </c>
      <c r="F87" s="5"/>
    </row>
    <row r="88" spans="2:6" ht="13.8" hidden="1" outlineLevel="1">
      <c r="B88" s="187">
        <v>22728</v>
      </c>
      <c r="C88" s="188">
        <v>3.87</v>
      </c>
      <c r="D88" s="104">
        <f t="shared" si="0"/>
        <v>3.8699999999999998E-2</v>
      </c>
      <c r="F88" s="5"/>
    </row>
    <row r="89" spans="2:6" ht="13.8" hidden="1" outlineLevel="1">
      <c r="B89" s="187">
        <v>22731</v>
      </c>
      <c r="C89" s="188">
        <v>3.89</v>
      </c>
      <c r="D89" s="104">
        <f t="shared" si="0"/>
        <v>3.8900000000000004E-2</v>
      </c>
      <c r="F89" s="5"/>
    </row>
    <row r="90" spans="2:6" ht="13.8" hidden="1" outlineLevel="1">
      <c r="B90" s="187">
        <v>22732</v>
      </c>
      <c r="C90" s="188">
        <v>3.9</v>
      </c>
      <c r="D90" s="104">
        <f t="shared" si="0"/>
        <v>3.9E-2</v>
      </c>
      <c r="F90" s="5"/>
    </row>
    <row r="91" spans="2:6" ht="13.8" hidden="1" outlineLevel="1">
      <c r="B91" s="187">
        <v>22733</v>
      </c>
      <c r="C91" s="188">
        <v>3.9</v>
      </c>
      <c r="D91" s="104">
        <f t="shared" si="0"/>
        <v>3.9E-2</v>
      </c>
      <c r="F91" s="5"/>
    </row>
    <row r="92" spans="2:6" ht="13.8" hidden="1" outlineLevel="1">
      <c r="B92" s="187">
        <v>22734</v>
      </c>
      <c r="C92" s="188">
        <v>3.9</v>
      </c>
      <c r="D92" s="104">
        <f t="shared" si="0"/>
        <v>3.9E-2</v>
      </c>
      <c r="F92" s="5"/>
    </row>
    <row r="93" spans="2:6" ht="13.8" hidden="1" outlineLevel="1">
      <c r="B93" s="187">
        <v>22735</v>
      </c>
      <c r="C93" s="188">
        <v>3.86</v>
      </c>
      <c r="D93" s="104">
        <f t="shared" si="0"/>
        <v>3.8599999999999995E-2</v>
      </c>
      <c r="F93" s="5"/>
    </row>
    <row r="94" spans="2:6" ht="13.8" hidden="1" outlineLevel="1">
      <c r="B94" s="187">
        <v>22738</v>
      </c>
      <c r="C94" s="188">
        <v>3.86</v>
      </c>
      <c r="D94" s="104">
        <f t="shared" ref="D94:D157" si="1">IF( LEN( C94 ) = 0, #N/A, IF( C94 = "ND", D93, C94 / 100 ) )</f>
        <v>3.8599999999999995E-2</v>
      </c>
      <c r="F94" s="5"/>
    </row>
    <row r="95" spans="2:6" ht="13.8" hidden="1" outlineLevel="1">
      <c r="B95" s="187">
        <v>22739</v>
      </c>
      <c r="C95" s="188">
        <v>3.83</v>
      </c>
      <c r="D95" s="104">
        <f t="shared" si="1"/>
        <v>3.8300000000000001E-2</v>
      </c>
      <c r="F95" s="5"/>
    </row>
    <row r="96" spans="2:6" ht="13.8" hidden="1" outlineLevel="1">
      <c r="B96" s="187">
        <v>22740</v>
      </c>
      <c r="C96" s="188">
        <v>3.78</v>
      </c>
      <c r="D96" s="104">
        <f t="shared" si="1"/>
        <v>3.78E-2</v>
      </c>
      <c r="F96" s="5"/>
    </row>
    <row r="97" spans="2:6" ht="13.8" hidden="1" outlineLevel="1">
      <c r="B97" s="187">
        <v>22741</v>
      </c>
      <c r="C97" s="188">
        <v>3.84</v>
      </c>
      <c r="D97" s="104">
        <f t="shared" si="1"/>
        <v>3.8399999999999997E-2</v>
      </c>
      <c r="F97" s="5"/>
    </row>
    <row r="98" spans="2:6" ht="13.8" hidden="1" outlineLevel="1">
      <c r="B98" s="187">
        <v>22742</v>
      </c>
      <c r="C98" s="188">
        <v>3.81</v>
      </c>
      <c r="D98" s="104">
        <f t="shared" si="1"/>
        <v>3.8100000000000002E-2</v>
      </c>
      <c r="F98" s="5"/>
    </row>
    <row r="99" spans="2:6" ht="13.8" hidden="1" outlineLevel="1">
      <c r="B99" s="187">
        <v>22745</v>
      </c>
      <c r="C99" s="188">
        <v>3.83</v>
      </c>
      <c r="D99" s="104">
        <f t="shared" si="1"/>
        <v>3.8300000000000001E-2</v>
      </c>
      <c r="F99" s="5"/>
    </row>
    <row r="100" spans="2:6" ht="13.8" hidden="1" outlineLevel="1">
      <c r="B100" s="187">
        <v>22746</v>
      </c>
      <c r="C100" s="188">
        <v>3.83</v>
      </c>
      <c r="D100" s="104">
        <f t="shared" si="1"/>
        <v>3.8300000000000001E-2</v>
      </c>
      <c r="F100" s="5"/>
    </row>
    <row r="101" spans="2:6" ht="13.8" hidden="1" outlineLevel="1">
      <c r="B101" s="187">
        <v>22747</v>
      </c>
      <c r="C101" s="188">
        <v>3.87</v>
      </c>
      <c r="D101" s="104">
        <f t="shared" si="1"/>
        <v>3.8699999999999998E-2</v>
      </c>
      <c r="F101" s="5"/>
    </row>
    <row r="102" spans="2:6" ht="13.8" hidden="1" outlineLevel="1">
      <c r="B102" s="187">
        <v>22748</v>
      </c>
      <c r="C102" s="188">
        <v>3.86</v>
      </c>
      <c r="D102" s="104">
        <f t="shared" si="1"/>
        <v>3.8599999999999995E-2</v>
      </c>
      <c r="F102" s="5"/>
    </row>
    <row r="103" spans="2:6" ht="13.8" hidden="1" outlineLevel="1">
      <c r="B103" s="187">
        <v>22749</v>
      </c>
      <c r="C103" s="188">
        <v>3.85</v>
      </c>
      <c r="D103" s="104">
        <f t="shared" si="1"/>
        <v>3.85E-2</v>
      </c>
      <c r="F103" s="5"/>
    </row>
    <row r="104" spans="2:6" ht="13.8" hidden="1" outlineLevel="1">
      <c r="B104" s="187">
        <v>22752</v>
      </c>
      <c r="C104" s="188">
        <v>3.83</v>
      </c>
      <c r="D104" s="104">
        <f t="shared" si="1"/>
        <v>3.8300000000000001E-2</v>
      </c>
      <c r="F104" s="5"/>
    </row>
    <row r="105" spans="2:6" ht="13.8" hidden="1" outlineLevel="1">
      <c r="B105" s="187">
        <v>22753</v>
      </c>
      <c r="C105" s="188">
        <v>3.82</v>
      </c>
      <c r="D105" s="104">
        <f t="shared" si="1"/>
        <v>3.8199999999999998E-2</v>
      </c>
      <c r="F105" s="5"/>
    </row>
    <row r="106" spans="2:6" ht="13.8" hidden="1" outlineLevel="1">
      <c r="B106" s="187">
        <v>22754</v>
      </c>
      <c r="C106" s="188">
        <v>3.81</v>
      </c>
      <c r="D106" s="104">
        <f t="shared" si="1"/>
        <v>3.8100000000000002E-2</v>
      </c>
      <c r="F106" s="5"/>
    </row>
    <row r="107" spans="2:6" ht="13.8" hidden="1" outlineLevel="1">
      <c r="B107" s="187">
        <v>22755</v>
      </c>
      <c r="C107" s="188">
        <v>3.82</v>
      </c>
      <c r="D107" s="104">
        <f t="shared" si="1"/>
        <v>3.8199999999999998E-2</v>
      </c>
      <c r="F107" s="5"/>
    </row>
    <row r="108" spans="2:6" ht="13.8" hidden="1" outlineLevel="1">
      <c r="B108" s="187">
        <v>22756</v>
      </c>
      <c r="C108" s="188" t="s">
        <v>380</v>
      </c>
      <c r="D108" s="104">
        <f t="shared" si="1"/>
        <v>3.8199999999999998E-2</v>
      </c>
      <c r="F108" s="5"/>
    </row>
    <row r="109" spans="2:6" ht="13.8" hidden="1" outlineLevel="1">
      <c r="B109" s="187">
        <v>22759</v>
      </c>
      <c r="C109" s="188">
        <v>3.86</v>
      </c>
      <c r="D109" s="104">
        <f t="shared" si="1"/>
        <v>3.8599999999999995E-2</v>
      </c>
      <c r="F109" s="5"/>
    </row>
    <row r="110" spans="2:6" ht="13.8" hidden="1" outlineLevel="1">
      <c r="B110" s="187">
        <v>22760</v>
      </c>
      <c r="C110" s="188">
        <v>3.87</v>
      </c>
      <c r="D110" s="104">
        <f t="shared" si="1"/>
        <v>3.8699999999999998E-2</v>
      </c>
      <c r="F110" s="5"/>
    </row>
    <row r="111" spans="2:6" ht="13.8" hidden="1" outlineLevel="1">
      <c r="B111" s="187">
        <v>22761</v>
      </c>
      <c r="C111" s="188">
        <v>3.88</v>
      </c>
      <c r="D111" s="104">
        <f t="shared" si="1"/>
        <v>3.8800000000000001E-2</v>
      </c>
      <c r="F111" s="5"/>
    </row>
    <row r="112" spans="2:6" ht="13.8" hidden="1" outlineLevel="1">
      <c r="B112" s="187">
        <v>22762</v>
      </c>
      <c r="C112" s="188">
        <v>3.89</v>
      </c>
      <c r="D112" s="104">
        <f t="shared" si="1"/>
        <v>3.8900000000000004E-2</v>
      </c>
      <c r="F112" s="5"/>
    </row>
    <row r="113" spans="2:6" ht="13.8" hidden="1" outlineLevel="1">
      <c r="B113" s="187">
        <v>22763</v>
      </c>
      <c r="C113" s="188">
        <v>3.86</v>
      </c>
      <c r="D113" s="104">
        <f t="shared" si="1"/>
        <v>3.8599999999999995E-2</v>
      </c>
      <c r="F113" s="5"/>
    </row>
    <row r="114" spans="2:6" ht="13.8" hidden="1" outlineLevel="1">
      <c r="B114" s="187">
        <v>22766</v>
      </c>
      <c r="C114" s="188">
        <v>3.86</v>
      </c>
      <c r="D114" s="104">
        <f t="shared" si="1"/>
        <v>3.8599999999999995E-2</v>
      </c>
      <c r="F114" s="5"/>
    </row>
    <row r="115" spans="2:6" ht="13.8" hidden="1" outlineLevel="1">
      <c r="B115" s="187">
        <v>22767</v>
      </c>
      <c r="C115" s="188">
        <v>3.85</v>
      </c>
      <c r="D115" s="104">
        <f t="shared" si="1"/>
        <v>3.85E-2</v>
      </c>
      <c r="F115" s="5"/>
    </row>
    <row r="116" spans="2:6" ht="13.8" hidden="1" outlineLevel="1">
      <c r="B116" s="187">
        <v>22768</v>
      </c>
      <c r="C116" s="188">
        <v>3.86</v>
      </c>
      <c r="D116" s="104">
        <f t="shared" si="1"/>
        <v>3.8599999999999995E-2</v>
      </c>
      <c r="F116" s="5"/>
    </row>
    <row r="117" spans="2:6" ht="13.8" hidden="1" outlineLevel="1">
      <c r="B117" s="187">
        <v>22769</v>
      </c>
      <c r="C117" s="188">
        <v>3.86</v>
      </c>
      <c r="D117" s="104">
        <f t="shared" si="1"/>
        <v>3.8599999999999995E-2</v>
      </c>
      <c r="F117" s="5"/>
    </row>
    <row r="118" spans="2:6" ht="13.8" hidden="1" outlineLevel="1">
      <c r="B118" s="187">
        <v>22770</v>
      </c>
      <c r="C118" s="188">
        <v>3.87</v>
      </c>
      <c r="D118" s="104">
        <f t="shared" si="1"/>
        <v>3.8699999999999998E-2</v>
      </c>
      <c r="F118" s="5"/>
    </row>
    <row r="119" spans="2:6" ht="13.8" hidden="1" outlineLevel="1">
      <c r="B119" s="187">
        <v>22773</v>
      </c>
      <c r="C119" s="188">
        <v>3.86</v>
      </c>
      <c r="D119" s="104">
        <f t="shared" si="1"/>
        <v>3.8599999999999995E-2</v>
      </c>
      <c r="F119" s="5"/>
    </row>
    <row r="120" spans="2:6" ht="13.8" hidden="1" outlineLevel="1">
      <c r="B120" s="187">
        <v>22774</v>
      </c>
      <c r="C120" s="188">
        <v>3.85</v>
      </c>
      <c r="D120" s="104">
        <f t="shared" si="1"/>
        <v>3.85E-2</v>
      </c>
      <c r="F120" s="5"/>
    </row>
    <row r="121" spans="2:6" ht="13.8" hidden="1" outlineLevel="1">
      <c r="B121" s="187">
        <v>22775</v>
      </c>
      <c r="C121" s="188">
        <v>3.82</v>
      </c>
      <c r="D121" s="104">
        <f t="shared" si="1"/>
        <v>3.8199999999999998E-2</v>
      </c>
      <c r="F121" s="5"/>
    </row>
    <row r="122" spans="2:6" ht="13.8" hidden="1" outlineLevel="1">
      <c r="B122" s="187">
        <v>22776</v>
      </c>
      <c r="C122" s="188">
        <v>3.83</v>
      </c>
      <c r="D122" s="104">
        <f t="shared" si="1"/>
        <v>3.8300000000000001E-2</v>
      </c>
      <c r="F122" s="5"/>
    </row>
    <row r="123" spans="2:6" ht="13.8" hidden="1" outlineLevel="1">
      <c r="B123" s="187">
        <v>22777</v>
      </c>
      <c r="C123" s="188">
        <v>3.82</v>
      </c>
      <c r="D123" s="104">
        <f t="shared" si="1"/>
        <v>3.8199999999999998E-2</v>
      </c>
      <c r="F123" s="5"/>
    </row>
    <row r="124" spans="2:6" ht="13.8" hidden="1" outlineLevel="1">
      <c r="B124" s="187">
        <v>22780</v>
      </c>
      <c r="C124" s="188">
        <v>3.85</v>
      </c>
      <c r="D124" s="104">
        <f t="shared" si="1"/>
        <v>3.85E-2</v>
      </c>
      <c r="F124" s="5"/>
    </row>
    <row r="125" spans="2:6" ht="13.8" hidden="1" outlineLevel="1">
      <c r="B125" s="187">
        <v>22781</v>
      </c>
      <c r="C125" s="188">
        <v>3.87</v>
      </c>
      <c r="D125" s="104">
        <f t="shared" si="1"/>
        <v>3.8699999999999998E-2</v>
      </c>
      <c r="F125" s="5"/>
    </row>
    <row r="126" spans="2:6" ht="13.8" hidden="1" outlineLevel="1">
      <c r="B126" s="187">
        <v>22782</v>
      </c>
      <c r="C126" s="188">
        <v>3.86</v>
      </c>
      <c r="D126" s="104">
        <f t="shared" si="1"/>
        <v>3.8599999999999995E-2</v>
      </c>
      <c r="F126" s="5"/>
    </row>
    <row r="127" spans="2:6" ht="13.8" hidden="1" outlineLevel="1">
      <c r="B127" s="187">
        <v>22783</v>
      </c>
      <c r="C127" s="188">
        <v>3.87</v>
      </c>
      <c r="D127" s="104">
        <f t="shared" si="1"/>
        <v>3.8699999999999998E-2</v>
      </c>
      <c r="F127" s="5"/>
    </row>
    <row r="128" spans="2:6" ht="13.8" hidden="1" outlineLevel="1">
      <c r="B128" s="187">
        <v>22784</v>
      </c>
      <c r="C128" s="188">
        <v>3.93</v>
      </c>
      <c r="D128" s="104">
        <f t="shared" si="1"/>
        <v>3.9300000000000002E-2</v>
      </c>
      <c r="F128" s="5"/>
    </row>
    <row r="129" spans="2:6" ht="13.8" hidden="1" outlineLevel="1">
      <c r="B129" s="187">
        <v>22787</v>
      </c>
      <c r="C129" s="188">
        <v>3.94</v>
      </c>
      <c r="D129" s="104">
        <f t="shared" si="1"/>
        <v>3.9399999999999998E-2</v>
      </c>
      <c r="F129" s="5"/>
    </row>
    <row r="130" spans="2:6" ht="13.8" hidden="1" outlineLevel="1">
      <c r="B130" s="187">
        <v>22788</v>
      </c>
      <c r="C130" s="188">
        <v>3.93</v>
      </c>
      <c r="D130" s="104">
        <f t="shared" si="1"/>
        <v>3.9300000000000002E-2</v>
      </c>
      <c r="F130" s="5"/>
    </row>
    <row r="131" spans="2:6" ht="13.8" hidden="1" outlineLevel="1">
      <c r="B131" s="187">
        <v>22789</v>
      </c>
      <c r="C131" s="188">
        <v>3.91</v>
      </c>
      <c r="D131" s="104">
        <f t="shared" si="1"/>
        <v>3.9100000000000003E-2</v>
      </c>
      <c r="F131" s="5"/>
    </row>
    <row r="132" spans="2:6" ht="13.8" hidden="1" outlineLevel="1">
      <c r="B132" s="187">
        <v>22790</v>
      </c>
      <c r="C132" s="188">
        <v>3.9</v>
      </c>
      <c r="D132" s="104">
        <f t="shared" si="1"/>
        <v>3.9E-2</v>
      </c>
      <c r="F132" s="5"/>
    </row>
    <row r="133" spans="2:6" ht="13.8" hidden="1" outlineLevel="1">
      <c r="B133" s="187">
        <v>22791</v>
      </c>
      <c r="C133" s="188">
        <v>3.88</v>
      </c>
      <c r="D133" s="104">
        <f t="shared" si="1"/>
        <v>3.8800000000000001E-2</v>
      </c>
      <c r="F133" s="5"/>
    </row>
    <row r="134" spans="2:6" ht="13.8" hidden="1" outlineLevel="1">
      <c r="B134" s="187">
        <v>22794</v>
      </c>
      <c r="C134" s="188">
        <v>3.87</v>
      </c>
      <c r="D134" s="104">
        <f t="shared" si="1"/>
        <v>3.8699999999999998E-2</v>
      </c>
      <c r="F134" s="5"/>
    </row>
    <row r="135" spans="2:6" ht="13.8" hidden="1" outlineLevel="1">
      <c r="B135" s="187">
        <v>22795</v>
      </c>
      <c r="C135" s="188">
        <v>3.89</v>
      </c>
      <c r="D135" s="104">
        <f t="shared" si="1"/>
        <v>3.8900000000000004E-2</v>
      </c>
      <c r="F135" s="5"/>
    </row>
    <row r="136" spans="2:6" ht="13.8" hidden="1" outlineLevel="1">
      <c r="B136" s="187">
        <v>22796</v>
      </c>
      <c r="C136" s="188" t="s">
        <v>380</v>
      </c>
      <c r="D136" s="104">
        <f t="shared" si="1"/>
        <v>3.8900000000000004E-2</v>
      </c>
      <c r="F136" s="5"/>
    </row>
    <row r="137" spans="2:6" ht="13.8" hidden="1" outlineLevel="1">
      <c r="B137" s="187">
        <v>22797</v>
      </c>
      <c r="C137" s="188">
        <v>3.9</v>
      </c>
      <c r="D137" s="104">
        <f t="shared" si="1"/>
        <v>3.9E-2</v>
      </c>
      <c r="F137" s="5"/>
    </row>
    <row r="138" spans="2:6" ht="13.8" hidden="1" outlineLevel="1">
      <c r="B138" s="187">
        <v>22798</v>
      </c>
      <c r="C138" s="188">
        <v>3.89</v>
      </c>
      <c r="D138" s="104">
        <f t="shared" si="1"/>
        <v>3.8900000000000004E-2</v>
      </c>
      <c r="F138" s="5"/>
    </row>
    <row r="139" spans="2:6" ht="13.8" hidden="1" outlineLevel="1">
      <c r="B139" s="187">
        <v>22801</v>
      </c>
      <c r="C139" s="188">
        <v>3.88</v>
      </c>
      <c r="D139" s="104">
        <f t="shared" si="1"/>
        <v>3.8800000000000001E-2</v>
      </c>
      <c r="F139" s="5"/>
    </row>
    <row r="140" spans="2:6" ht="13.8" hidden="1" outlineLevel="1">
      <c r="B140" s="187">
        <v>22802</v>
      </c>
      <c r="C140" s="188">
        <v>3.89</v>
      </c>
      <c r="D140" s="104">
        <f t="shared" si="1"/>
        <v>3.8900000000000004E-2</v>
      </c>
      <c r="F140" s="5"/>
    </row>
    <row r="141" spans="2:6" ht="13.8" hidden="1" outlineLevel="1">
      <c r="B141" s="187">
        <v>22803</v>
      </c>
      <c r="C141" s="188">
        <v>3.89</v>
      </c>
      <c r="D141" s="104">
        <f t="shared" si="1"/>
        <v>3.8900000000000004E-2</v>
      </c>
      <c r="F141" s="5"/>
    </row>
    <row r="142" spans="2:6" ht="13.8" hidden="1" outlineLevel="1">
      <c r="B142" s="187">
        <v>22804</v>
      </c>
      <c r="C142" s="188">
        <v>3.87</v>
      </c>
      <c r="D142" s="104">
        <f t="shared" si="1"/>
        <v>3.8699999999999998E-2</v>
      </c>
      <c r="F142" s="5"/>
    </row>
    <row r="143" spans="2:6" ht="13.8" hidden="1" outlineLevel="1">
      <c r="B143" s="187">
        <v>22805</v>
      </c>
      <c r="C143" s="188">
        <v>3.86</v>
      </c>
      <c r="D143" s="104">
        <f t="shared" si="1"/>
        <v>3.8599999999999995E-2</v>
      </c>
      <c r="F143" s="5"/>
    </row>
    <row r="144" spans="2:6" ht="13.8" hidden="1" outlineLevel="1">
      <c r="B144" s="187">
        <v>22808</v>
      </c>
      <c r="C144" s="188">
        <v>3.87</v>
      </c>
      <c r="D144" s="104">
        <f t="shared" si="1"/>
        <v>3.8699999999999998E-2</v>
      </c>
      <c r="F144" s="5"/>
    </row>
    <row r="145" spans="2:6" ht="13.8" hidden="1" outlineLevel="1">
      <c r="B145" s="187">
        <v>22809</v>
      </c>
      <c r="C145" s="188">
        <v>3.86</v>
      </c>
      <c r="D145" s="104">
        <f t="shared" si="1"/>
        <v>3.8599999999999995E-2</v>
      </c>
      <c r="F145" s="5"/>
    </row>
    <row r="146" spans="2:6" ht="13.8" hidden="1" outlineLevel="1">
      <c r="B146" s="187">
        <v>22810</v>
      </c>
      <c r="C146" s="188">
        <v>3.87</v>
      </c>
      <c r="D146" s="104">
        <f t="shared" si="1"/>
        <v>3.8699999999999998E-2</v>
      </c>
      <c r="F146" s="5"/>
    </row>
    <row r="147" spans="2:6" ht="13.8" hidden="1" outlineLevel="1">
      <c r="B147" s="187">
        <v>22811</v>
      </c>
      <c r="C147" s="188">
        <v>3.9</v>
      </c>
      <c r="D147" s="104">
        <f t="shared" si="1"/>
        <v>3.9E-2</v>
      </c>
      <c r="F147" s="5"/>
    </row>
    <row r="148" spans="2:6" ht="13.8" hidden="1" outlineLevel="1">
      <c r="B148" s="187">
        <v>22812</v>
      </c>
      <c r="C148" s="188">
        <v>3.89</v>
      </c>
      <c r="D148" s="104">
        <f t="shared" si="1"/>
        <v>3.8900000000000004E-2</v>
      </c>
      <c r="F148" s="5"/>
    </row>
    <row r="149" spans="2:6" ht="13.8" hidden="1" outlineLevel="1">
      <c r="B149" s="187">
        <v>22815</v>
      </c>
      <c r="C149" s="188">
        <v>3.91</v>
      </c>
      <c r="D149" s="104">
        <f t="shared" si="1"/>
        <v>3.9100000000000003E-2</v>
      </c>
      <c r="F149" s="5"/>
    </row>
    <row r="150" spans="2:6" ht="13.8" hidden="1" outlineLevel="1">
      <c r="B150" s="187">
        <v>22816</v>
      </c>
      <c r="C150" s="188">
        <v>3.93</v>
      </c>
      <c r="D150" s="104">
        <f t="shared" si="1"/>
        <v>3.9300000000000002E-2</v>
      </c>
      <c r="F150" s="5"/>
    </row>
    <row r="151" spans="2:6" ht="13.8" hidden="1" outlineLevel="1">
      <c r="B151" s="187">
        <v>22817</v>
      </c>
      <c r="C151" s="188">
        <v>3.92</v>
      </c>
      <c r="D151" s="104">
        <f t="shared" si="1"/>
        <v>3.9199999999999999E-2</v>
      </c>
      <c r="F151" s="5"/>
    </row>
    <row r="152" spans="2:6" ht="13.8" hidden="1" outlineLevel="1">
      <c r="B152" s="187">
        <v>22818</v>
      </c>
      <c r="C152" s="188">
        <v>3.9</v>
      </c>
      <c r="D152" s="104">
        <f t="shared" si="1"/>
        <v>3.9E-2</v>
      </c>
      <c r="F152" s="5"/>
    </row>
    <row r="153" spans="2:6" ht="13.8" hidden="1" outlineLevel="1">
      <c r="B153" s="187">
        <v>22819</v>
      </c>
      <c r="C153" s="188">
        <v>3.9</v>
      </c>
      <c r="D153" s="104">
        <f t="shared" si="1"/>
        <v>3.9E-2</v>
      </c>
      <c r="F153" s="5"/>
    </row>
    <row r="154" spans="2:6" ht="13.8" hidden="1" outlineLevel="1">
      <c r="B154" s="187">
        <v>22822</v>
      </c>
      <c r="C154" s="188">
        <v>3.95</v>
      </c>
      <c r="D154" s="104">
        <f t="shared" si="1"/>
        <v>3.95E-2</v>
      </c>
      <c r="F154" s="5"/>
    </row>
    <row r="155" spans="2:6" ht="13.8" hidden="1" outlineLevel="1">
      <c r="B155" s="187">
        <v>22823</v>
      </c>
      <c r="C155" s="188">
        <v>3.97</v>
      </c>
      <c r="D155" s="104">
        <f t="shared" si="1"/>
        <v>3.9699999999999999E-2</v>
      </c>
      <c r="F155" s="5"/>
    </row>
    <row r="156" spans="2:6" ht="13.8" hidden="1" outlineLevel="1">
      <c r="B156" s="187">
        <v>22824</v>
      </c>
      <c r="C156" s="188">
        <v>3.96</v>
      </c>
      <c r="D156" s="104">
        <f t="shared" si="1"/>
        <v>3.9599999999999996E-2</v>
      </c>
      <c r="F156" s="5"/>
    </row>
    <row r="157" spans="2:6" ht="13.8" hidden="1" outlineLevel="1">
      <c r="B157" s="187">
        <v>22825</v>
      </c>
      <c r="C157" s="188">
        <v>3.98</v>
      </c>
      <c r="D157" s="104">
        <f t="shared" si="1"/>
        <v>3.9800000000000002E-2</v>
      </c>
      <c r="F157" s="5"/>
    </row>
    <row r="158" spans="2:6" ht="13.8" hidden="1" outlineLevel="1">
      <c r="B158" s="187">
        <v>22826</v>
      </c>
      <c r="C158" s="188">
        <v>4</v>
      </c>
      <c r="D158" s="104">
        <f t="shared" ref="D158:D221" si="2">IF( LEN( C158 ) = 0, #N/A, IF( C158 = "ND", D157, C158 / 100 ) )</f>
        <v>0.04</v>
      </c>
      <c r="F158" s="5"/>
    </row>
    <row r="159" spans="2:6" ht="13.8" hidden="1" outlineLevel="1">
      <c r="B159" s="187">
        <v>22829</v>
      </c>
      <c r="C159" s="188">
        <v>4</v>
      </c>
      <c r="D159" s="104">
        <f t="shared" si="2"/>
        <v>0.04</v>
      </c>
      <c r="F159" s="5"/>
    </row>
    <row r="160" spans="2:6" ht="13.8" hidden="1" outlineLevel="1">
      <c r="B160" s="187">
        <v>22830</v>
      </c>
      <c r="C160" s="188">
        <v>4</v>
      </c>
      <c r="D160" s="104">
        <f t="shared" si="2"/>
        <v>0.04</v>
      </c>
      <c r="F160" s="5"/>
    </row>
    <row r="161" spans="2:6" ht="13.8" hidden="1" outlineLevel="1">
      <c r="B161" s="187">
        <v>22831</v>
      </c>
      <c r="C161" s="188" t="s">
        <v>380</v>
      </c>
      <c r="D161" s="104">
        <f t="shared" si="2"/>
        <v>0.04</v>
      </c>
      <c r="F161" s="5"/>
    </row>
    <row r="162" spans="2:6" ht="13.8" hidden="1" outlineLevel="1">
      <c r="B162" s="187">
        <v>22832</v>
      </c>
      <c r="C162" s="188">
        <v>4</v>
      </c>
      <c r="D162" s="104">
        <f t="shared" si="2"/>
        <v>0.04</v>
      </c>
      <c r="F162" s="5"/>
    </row>
    <row r="163" spans="2:6" ht="13.8" hidden="1" outlineLevel="1">
      <c r="B163" s="187">
        <v>22833</v>
      </c>
      <c r="C163" s="188">
        <v>4.0199999999999996</v>
      </c>
      <c r="D163" s="104">
        <f t="shared" si="2"/>
        <v>4.0199999999999993E-2</v>
      </c>
      <c r="F163" s="5"/>
    </row>
    <row r="164" spans="2:6" ht="13.8" hidden="1" outlineLevel="1">
      <c r="B164" s="187">
        <v>22836</v>
      </c>
      <c r="C164" s="188">
        <v>4.05</v>
      </c>
      <c r="D164" s="104">
        <f t="shared" si="2"/>
        <v>4.0500000000000001E-2</v>
      </c>
      <c r="F164" s="5"/>
    </row>
    <row r="165" spans="2:6" ht="13.8" hidden="1" outlineLevel="1">
      <c r="B165" s="187">
        <v>22837</v>
      </c>
      <c r="C165" s="188">
        <v>4.0199999999999996</v>
      </c>
      <c r="D165" s="104">
        <f t="shared" si="2"/>
        <v>4.0199999999999993E-2</v>
      </c>
      <c r="F165" s="5"/>
    </row>
    <row r="166" spans="2:6" ht="13.8" hidden="1" outlineLevel="1">
      <c r="B166" s="187">
        <v>22838</v>
      </c>
      <c r="C166" s="188">
        <v>3.99</v>
      </c>
      <c r="D166" s="104">
        <f t="shared" si="2"/>
        <v>3.9900000000000005E-2</v>
      </c>
      <c r="F166" s="5"/>
    </row>
    <row r="167" spans="2:6" ht="13.8" hidden="1" outlineLevel="1">
      <c r="B167" s="187">
        <v>22839</v>
      </c>
      <c r="C167" s="188">
        <v>4</v>
      </c>
      <c r="D167" s="104">
        <f t="shared" si="2"/>
        <v>0.04</v>
      </c>
      <c r="F167" s="5"/>
    </row>
    <row r="168" spans="2:6" ht="13.8" hidden="1" outlineLevel="1">
      <c r="B168" s="187">
        <v>22840</v>
      </c>
      <c r="C168" s="188">
        <v>4</v>
      </c>
      <c r="D168" s="104">
        <f t="shared" si="2"/>
        <v>0.04</v>
      </c>
      <c r="F168" s="5"/>
    </row>
    <row r="169" spans="2:6" ht="13.8" hidden="1" outlineLevel="1">
      <c r="B169" s="187">
        <v>22843</v>
      </c>
      <c r="C169" s="188">
        <v>4.01</v>
      </c>
      <c r="D169" s="104">
        <f t="shared" si="2"/>
        <v>4.0099999999999997E-2</v>
      </c>
      <c r="F169" s="5"/>
    </row>
    <row r="170" spans="2:6" ht="13.8" hidden="1" outlineLevel="1">
      <c r="B170" s="187">
        <v>22844</v>
      </c>
      <c r="C170" s="188">
        <v>4.03</v>
      </c>
      <c r="D170" s="104">
        <f t="shared" si="2"/>
        <v>4.0300000000000002E-2</v>
      </c>
      <c r="F170" s="5"/>
    </row>
    <row r="171" spans="2:6" ht="13.8" hidden="1" outlineLevel="1">
      <c r="B171" s="187">
        <v>22845</v>
      </c>
      <c r="C171" s="188">
        <v>4.0199999999999996</v>
      </c>
      <c r="D171" s="104">
        <f t="shared" si="2"/>
        <v>4.0199999999999993E-2</v>
      </c>
      <c r="F171" s="5"/>
    </row>
    <row r="172" spans="2:6" ht="13.8" hidden="1" outlineLevel="1">
      <c r="B172" s="187">
        <v>22846</v>
      </c>
      <c r="C172" s="188">
        <v>4.0199999999999996</v>
      </c>
      <c r="D172" s="104">
        <f t="shared" si="2"/>
        <v>4.0199999999999993E-2</v>
      </c>
      <c r="F172" s="5"/>
    </row>
    <row r="173" spans="2:6" ht="13.8" hidden="1" outlineLevel="1">
      <c r="B173" s="187">
        <v>22847</v>
      </c>
      <c r="C173" s="188">
        <v>4.01</v>
      </c>
      <c r="D173" s="104">
        <f t="shared" si="2"/>
        <v>4.0099999999999997E-2</v>
      </c>
      <c r="F173" s="5"/>
    </row>
    <row r="174" spans="2:6" ht="13.8" hidden="1" outlineLevel="1">
      <c r="B174" s="187">
        <v>22850</v>
      </c>
      <c r="C174" s="188">
        <v>4</v>
      </c>
      <c r="D174" s="104">
        <f t="shared" si="2"/>
        <v>0.04</v>
      </c>
      <c r="F174" s="5"/>
    </row>
    <row r="175" spans="2:6" ht="13.8" hidden="1" outlineLevel="1">
      <c r="B175" s="187">
        <v>22851</v>
      </c>
      <c r="C175" s="188">
        <v>4.01</v>
      </c>
      <c r="D175" s="104">
        <f t="shared" si="2"/>
        <v>4.0099999999999997E-2</v>
      </c>
      <c r="F175" s="5"/>
    </row>
    <row r="176" spans="2:6" ht="13.8" hidden="1" outlineLevel="1">
      <c r="B176" s="187">
        <v>22852</v>
      </c>
      <c r="C176" s="188">
        <v>4.0199999999999996</v>
      </c>
      <c r="D176" s="104">
        <f t="shared" si="2"/>
        <v>4.0199999999999993E-2</v>
      </c>
      <c r="F176" s="5"/>
    </row>
    <row r="177" spans="2:6" ht="13.8" hidden="1" outlineLevel="1">
      <c r="B177" s="187">
        <v>22853</v>
      </c>
      <c r="C177" s="188">
        <v>4.01</v>
      </c>
      <c r="D177" s="104">
        <f t="shared" si="2"/>
        <v>4.0099999999999997E-2</v>
      </c>
      <c r="F177" s="5"/>
    </row>
    <row r="178" spans="2:6" ht="13.8" hidden="1" outlineLevel="1">
      <c r="B178" s="187">
        <v>22854</v>
      </c>
      <c r="C178" s="188">
        <v>4.0199999999999996</v>
      </c>
      <c r="D178" s="104">
        <f t="shared" si="2"/>
        <v>4.0199999999999993E-2</v>
      </c>
      <c r="F178" s="5"/>
    </row>
    <row r="179" spans="2:6" ht="13.8" hidden="1" outlineLevel="1">
      <c r="B179" s="187">
        <v>22857</v>
      </c>
      <c r="C179" s="188">
        <v>4.03</v>
      </c>
      <c r="D179" s="104">
        <f t="shared" si="2"/>
        <v>4.0300000000000002E-2</v>
      </c>
      <c r="F179" s="5"/>
    </row>
    <row r="180" spans="2:6" ht="13.8" hidden="1" outlineLevel="1">
      <c r="B180" s="187">
        <v>22858</v>
      </c>
      <c r="C180" s="188">
        <v>4.04</v>
      </c>
      <c r="D180" s="104">
        <f t="shared" si="2"/>
        <v>4.0399999999999998E-2</v>
      </c>
      <c r="F180" s="5"/>
    </row>
    <row r="181" spans="2:6" ht="13.8" hidden="1" outlineLevel="1">
      <c r="B181" s="187">
        <v>22859</v>
      </c>
      <c r="C181" s="188">
        <v>4.03</v>
      </c>
      <c r="D181" s="104">
        <f t="shared" si="2"/>
        <v>4.0300000000000002E-2</v>
      </c>
      <c r="F181" s="5"/>
    </row>
    <row r="182" spans="2:6" ht="13.8" hidden="1" outlineLevel="1">
      <c r="B182" s="187">
        <v>22860</v>
      </c>
      <c r="C182" s="188">
        <v>4</v>
      </c>
      <c r="D182" s="104">
        <f t="shared" si="2"/>
        <v>0.04</v>
      </c>
      <c r="F182" s="5"/>
    </row>
    <row r="183" spans="2:6" ht="13.8" hidden="1" outlineLevel="1">
      <c r="B183" s="187">
        <v>22861</v>
      </c>
      <c r="C183" s="188">
        <v>4.01</v>
      </c>
      <c r="D183" s="104">
        <f t="shared" si="2"/>
        <v>4.0099999999999997E-2</v>
      </c>
      <c r="F183" s="5"/>
    </row>
    <row r="184" spans="2:6" ht="13.8" hidden="1" outlineLevel="1">
      <c r="B184" s="187">
        <v>22864</v>
      </c>
      <c r="C184" s="188">
        <v>4.01</v>
      </c>
      <c r="D184" s="104">
        <f t="shared" si="2"/>
        <v>4.0099999999999997E-2</v>
      </c>
      <c r="F184" s="5"/>
    </row>
    <row r="185" spans="2:6" ht="13.8" hidden="1" outlineLevel="1">
      <c r="B185" s="187">
        <v>22865</v>
      </c>
      <c r="C185" s="188">
        <v>4.0199999999999996</v>
      </c>
      <c r="D185" s="104">
        <f t="shared" si="2"/>
        <v>4.0199999999999993E-2</v>
      </c>
      <c r="F185" s="5"/>
    </row>
    <row r="186" spans="2:6" ht="13.8" hidden="1" outlineLevel="1">
      <c r="B186" s="187">
        <v>22866</v>
      </c>
      <c r="C186" s="188">
        <v>4.01</v>
      </c>
      <c r="D186" s="104">
        <f t="shared" si="2"/>
        <v>4.0099999999999997E-2</v>
      </c>
      <c r="F186" s="5"/>
    </row>
    <row r="187" spans="2:6" ht="13.8" hidden="1" outlineLevel="1">
      <c r="B187" s="187">
        <v>22867</v>
      </c>
      <c r="C187" s="188">
        <v>3.99</v>
      </c>
      <c r="D187" s="104">
        <f t="shared" si="2"/>
        <v>3.9900000000000005E-2</v>
      </c>
      <c r="F187" s="5"/>
    </row>
    <row r="188" spans="2:6" ht="13.8" hidden="1" outlineLevel="1">
      <c r="B188" s="187">
        <v>22868</v>
      </c>
      <c r="C188" s="188">
        <v>3.99</v>
      </c>
      <c r="D188" s="104">
        <f t="shared" si="2"/>
        <v>3.9900000000000005E-2</v>
      </c>
      <c r="F188" s="5"/>
    </row>
    <row r="189" spans="2:6" ht="13.8" hidden="1" outlineLevel="1">
      <c r="B189" s="187">
        <v>22871</v>
      </c>
      <c r="C189" s="188">
        <v>3.99</v>
      </c>
      <c r="D189" s="104">
        <f t="shared" si="2"/>
        <v>3.9900000000000005E-2</v>
      </c>
      <c r="F189" s="5"/>
    </row>
    <row r="190" spans="2:6" ht="13.8" hidden="1" outlineLevel="1">
      <c r="B190" s="187">
        <v>22872</v>
      </c>
      <c r="C190" s="188">
        <v>3.98</v>
      </c>
      <c r="D190" s="104">
        <f t="shared" si="2"/>
        <v>3.9800000000000002E-2</v>
      </c>
      <c r="F190" s="5"/>
    </row>
    <row r="191" spans="2:6" ht="13.8" hidden="1" outlineLevel="1">
      <c r="B191" s="187">
        <v>22873</v>
      </c>
      <c r="C191" s="188">
        <v>3.98</v>
      </c>
      <c r="D191" s="104">
        <f t="shared" si="2"/>
        <v>3.9800000000000002E-2</v>
      </c>
      <c r="F191" s="5"/>
    </row>
    <row r="192" spans="2:6" ht="13.8" hidden="1" outlineLevel="1">
      <c r="B192" s="187">
        <v>22874</v>
      </c>
      <c r="C192" s="188">
        <v>3.96</v>
      </c>
      <c r="D192" s="104">
        <f t="shared" si="2"/>
        <v>3.9599999999999996E-2</v>
      </c>
      <c r="F192" s="5"/>
    </row>
    <row r="193" spans="2:6" ht="13.8" hidden="1" outlineLevel="1">
      <c r="B193" s="187">
        <v>22875</v>
      </c>
      <c r="C193" s="188">
        <v>3.96</v>
      </c>
      <c r="D193" s="104">
        <f t="shared" si="2"/>
        <v>3.9599999999999996E-2</v>
      </c>
      <c r="F193" s="5"/>
    </row>
    <row r="194" spans="2:6" ht="13.8" hidden="1" outlineLevel="1">
      <c r="B194" s="187">
        <v>22878</v>
      </c>
      <c r="C194" s="188">
        <v>3.94</v>
      </c>
      <c r="D194" s="104">
        <f t="shared" si="2"/>
        <v>3.9399999999999998E-2</v>
      </c>
      <c r="F194" s="5"/>
    </row>
    <row r="195" spans="2:6" ht="13.8" hidden="1" outlineLevel="1">
      <c r="B195" s="187">
        <v>22879</v>
      </c>
      <c r="C195" s="188">
        <v>3.94</v>
      </c>
      <c r="D195" s="104">
        <f t="shared" si="2"/>
        <v>3.9399999999999998E-2</v>
      </c>
      <c r="F195" s="5"/>
    </row>
    <row r="196" spans="2:6" ht="13.8" hidden="1" outlineLevel="1">
      <c r="B196" s="187">
        <v>22880</v>
      </c>
      <c r="C196" s="188">
        <v>3.95</v>
      </c>
      <c r="D196" s="104">
        <f t="shared" si="2"/>
        <v>3.95E-2</v>
      </c>
      <c r="F196" s="5"/>
    </row>
    <row r="197" spans="2:6" ht="13.8" hidden="1" outlineLevel="1">
      <c r="B197" s="187">
        <v>22881</v>
      </c>
      <c r="C197" s="188">
        <v>3.95</v>
      </c>
      <c r="D197" s="104">
        <f t="shared" si="2"/>
        <v>3.95E-2</v>
      </c>
      <c r="F197" s="5"/>
    </row>
    <row r="198" spans="2:6" ht="13.8" hidden="1" outlineLevel="1">
      <c r="B198" s="187">
        <v>22882</v>
      </c>
      <c r="C198" s="188">
        <v>3.95</v>
      </c>
      <c r="D198" s="104">
        <f t="shared" si="2"/>
        <v>3.95E-2</v>
      </c>
      <c r="F198" s="5"/>
    </row>
    <row r="199" spans="2:6" ht="13.8" hidden="1" outlineLevel="1">
      <c r="B199" s="187">
        <v>22885</v>
      </c>
      <c r="C199" s="188">
        <v>3.95</v>
      </c>
      <c r="D199" s="104">
        <f t="shared" si="2"/>
        <v>3.95E-2</v>
      </c>
      <c r="F199" s="5"/>
    </row>
    <row r="200" spans="2:6" ht="13.8" hidden="1" outlineLevel="1">
      <c r="B200" s="187">
        <v>22886</v>
      </c>
      <c r="C200" s="188">
        <v>3.96</v>
      </c>
      <c r="D200" s="104">
        <f t="shared" si="2"/>
        <v>3.9599999999999996E-2</v>
      </c>
      <c r="F200" s="5"/>
    </row>
    <row r="201" spans="2:6" ht="13.8" hidden="1" outlineLevel="1">
      <c r="B201" s="187">
        <v>22887</v>
      </c>
      <c r="C201" s="188">
        <v>3.96</v>
      </c>
      <c r="D201" s="104">
        <f t="shared" si="2"/>
        <v>3.9599999999999996E-2</v>
      </c>
      <c r="F201" s="5"/>
    </row>
    <row r="202" spans="2:6" ht="13.8" hidden="1" outlineLevel="1">
      <c r="B202" s="187">
        <v>22888</v>
      </c>
      <c r="C202" s="188">
        <v>3.95</v>
      </c>
      <c r="D202" s="104">
        <f t="shared" si="2"/>
        <v>3.95E-2</v>
      </c>
      <c r="F202" s="5"/>
    </row>
    <row r="203" spans="2:6" ht="13.8" hidden="1" outlineLevel="1">
      <c r="B203" s="187">
        <v>22889</v>
      </c>
      <c r="C203" s="188">
        <v>3.96</v>
      </c>
      <c r="D203" s="104">
        <f t="shared" si="2"/>
        <v>3.9599999999999996E-2</v>
      </c>
      <c r="F203" s="5"/>
    </row>
    <row r="204" spans="2:6" ht="13.8" hidden="1" outlineLevel="1">
      <c r="B204" s="187">
        <v>22892</v>
      </c>
      <c r="C204" s="188" t="s">
        <v>380</v>
      </c>
      <c r="D204" s="104">
        <f t="shared" si="2"/>
        <v>3.9599999999999996E-2</v>
      </c>
      <c r="F204" s="5"/>
    </row>
    <row r="205" spans="2:6" ht="13.8" hidden="1" outlineLevel="1">
      <c r="B205" s="187">
        <v>22893</v>
      </c>
      <c r="C205" s="188">
        <v>3.96</v>
      </c>
      <c r="D205" s="104">
        <f t="shared" si="2"/>
        <v>3.9599999999999996E-2</v>
      </c>
      <c r="F205" s="5"/>
    </row>
    <row r="206" spans="2:6" ht="13.8" hidden="1" outlineLevel="1">
      <c r="B206" s="187">
        <v>22894</v>
      </c>
      <c r="C206" s="188">
        <v>3.97</v>
      </c>
      <c r="D206" s="104">
        <f t="shared" si="2"/>
        <v>3.9699999999999999E-2</v>
      </c>
      <c r="F206" s="5"/>
    </row>
    <row r="207" spans="2:6" ht="13.8" hidden="1" outlineLevel="1">
      <c r="B207" s="187">
        <v>22895</v>
      </c>
      <c r="C207" s="188">
        <v>3.99</v>
      </c>
      <c r="D207" s="104">
        <f t="shared" si="2"/>
        <v>3.9900000000000005E-2</v>
      </c>
      <c r="F207" s="5"/>
    </row>
    <row r="208" spans="2:6" ht="13.8" hidden="1" outlineLevel="1">
      <c r="B208" s="187">
        <v>22896</v>
      </c>
      <c r="C208" s="188">
        <v>4.01</v>
      </c>
      <c r="D208" s="104">
        <f t="shared" si="2"/>
        <v>4.0099999999999997E-2</v>
      </c>
      <c r="F208" s="5"/>
    </row>
    <row r="209" spans="2:6" ht="13.8" hidden="1" outlineLevel="1">
      <c r="B209" s="187">
        <v>22899</v>
      </c>
      <c r="C209" s="188">
        <v>4</v>
      </c>
      <c r="D209" s="104">
        <f t="shared" si="2"/>
        <v>0.04</v>
      </c>
      <c r="F209" s="5"/>
    </row>
    <row r="210" spans="2:6" ht="13.8" hidden="1" outlineLevel="1">
      <c r="B210" s="187">
        <v>22900</v>
      </c>
      <c r="C210" s="188">
        <v>4</v>
      </c>
      <c r="D210" s="104">
        <f t="shared" si="2"/>
        <v>0.04</v>
      </c>
      <c r="F210" s="5"/>
    </row>
    <row r="211" spans="2:6" ht="13.8" hidden="1" outlineLevel="1">
      <c r="B211" s="187">
        <v>22901</v>
      </c>
      <c r="C211" s="188">
        <v>4</v>
      </c>
      <c r="D211" s="104">
        <f t="shared" si="2"/>
        <v>0.04</v>
      </c>
      <c r="F211" s="5"/>
    </row>
    <row r="212" spans="2:6" ht="13.8" hidden="1" outlineLevel="1">
      <c r="B212" s="187">
        <v>22902</v>
      </c>
      <c r="C212" s="188">
        <v>3.99</v>
      </c>
      <c r="D212" s="104">
        <f t="shared" si="2"/>
        <v>3.9900000000000005E-2</v>
      </c>
      <c r="F212" s="5"/>
    </row>
    <row r="213" spans="2:6" ht="13.8" hidden="1" outlineLevel="1">
      <c r="B213" s="187">
        <v>22903</v>
      </c>
      <c r="C213" s="188">
        <v>3.99</v>
      </c>
      <c r="D213" s="104">
        <f t="shared" si="2"/>
        <v>3.9900000000000005E-2</v>
      </c>
      <c r="F213" s="5"/>
    </row>
    <row r="214" spans="2:6" ht="13.8" hidden="1" outlineLevel="1">
      <c r="B214" s="187">
        <v>22906</v>
      </c>
      <c r="C214" s="188">
        <v>3.99</v>
      </c>
      <c r="D214" s="104">
        <f t="shared" si="2"/>
        <v>3.9900000000000005E-2</v>
      </c>
      <c r="F214" s="5"/>
    </row>
    <row r="215" spans="2:6" ht="13.8" hidden="1" outlineLevel="1">
      <c r="B215" s="187">
        <v>22907</v>
      </c>
      <c r="C215" s="188">
        <v>3.98</v>
      </c>
      <c r="D215" s="104">
        <f t="shared" si="2"/>
        <v>3.9800000000000002E-2</v>
      </c>
      <c r="F215" s="5"/>
    </row>
    <row r="216" spans="2:6" ht="13.8" hidden="1" outlineLevel="1">
      <c r="B216" s="187">
        <v>22908</v>
      </c>
      <c r="C216" s="188">
        <v>3.99</v>
      </c>
      <c r="D216" s="104">
        <f t="shared" si="2"/>
        <v>3.9900000000000005E-2</v>
      </c>
      <c r="F216" s="5"/>
    </row>
    <row r="217" spans="2:6" ht="13.8" hidden="1" outlineLevel="1">
      <c r="B217" s="187">
        <v>22909</v>
      </c>
      <c r="C217" s="188">
        <v>3.98</v>
      </c>
      <c r="D217" s="104">
        <f t="shared" si="2"/>
        <v>3.9800000000000002E-2</v>
      </c>
      <c r="F217" s="5"/>
    </row>
    <row r="218" spans="2:6" ht="13.8" hidden="1" outlineLevel="1">
      <c r="B218" s="187">
        <v>22910</v>
      </c>
      <c r="C218" s="188">
        <v>3.98</v>
      </c>
      <c r="D218" s="104">
        <f t="shared" si="2"/>
        <v>3.9800000000000002E-2</v>
      </c>
      <c r="F218" s="5"/>
    </row>
    <row r="219" spans="2:6" ht="13.8" hidden="1" outlineLevel="1">
      <c r="B219" s="187">
        <v>22913</v>
      </c>
      <c r="C219" s="188">
        <v>3.97</v>
      </c>
      <c r="D219" s="104">
        <f t="shared" si="2"/>
        <v>3.9699999999999999E-2</v>
      </c>
      <c r="F219" s="5"/>
    </row>
    <row r="220" spans="2:6" ht="13.8" hidden="1" outlineLevel="1">
      <c r="B220" s="187">
        <v>22914</v>
      </c>
      <c r="C220" s="188">
        <v>3.96</v>
      </c>
      <c r="D220" s="104">
        <f t="shared" si="2"/>
        <v>3.9599999999999996E-2</v>
      </c>
      <c r="F220" s="5"/>
    </row>
    <row r="221" spans="2:6" ht="13.8" hidden="1" outlineLevel="1">
      <c r="B221" s="187">
        <v>22915</v>
      </c>
      <c r="C221" s="188">
        <v>3.95</v>
      </c>
      <c r="D221" s="104">
        <f t="shared" si="2"/>
        <v>3.95E-2</v>
      </c>
      <c r="F221" s="5"/>
    </row>
    <row r="222" spans="2:6" ht="13.8" hidden="1" outlineLevel="1">
      <c r="B222" s="187">
        <v>22916</v>
      </c>
      <c r="C222" s="188">
        <v>3.95</v>
      </c>
      <c r="D222" s="104">
        <f t="shared" ref="D222:D285" si="3">IF( LEN( C222 ) = 0, #N/A, IF( C222 = "ND", D221, C222 / 100 ) )</f>
        <v>3.95E-2</v>
      </c>
      <c r="F222" s="5"/>
    </row>
    <row r="223" spans="2:6" ht="13.8" hidden="1" outlineLevel="1">
      <c r="B223" s="187">
        <v>22917</v>
      </c>
      <c r="C223" s="188">
        <v>3.94</v>
      </c>
      <c r="D223" s="104">
        <f t="shared" si="3"/>
        <v>3.9399999999999998E-2</v>
      </c>
      <c r="F223" s="5"/>
    </row>
    <row r="224" spans="2:6" ht="13.8" hidden="1" outlineLevel="1">
      <c r="B224" s="187">
        <v>22920</v>
      </c>
      <c r="C224" s="188">
        <v>3.93</v>
      </c>
      <c r="D224" s="104">
        <f t="shared" si="3"/>
        <v>3.9300000000000002E-2</v>
      </c>
      <c r="F224" s="5"/>
    </row>
    <row r="225" spans="2:6" ht="13.8" hidden="1" outlineLevel="1">
      <c r="B225" s="187">
        <v>22921</v>
      </c>
      <c r="C225" s="188">
        <v>3.92</v>
      </c>
      <c r="D225" s="104">
        <f t="shared" si="3"/>
        <v>3.9199999999999999E-2</v>
      </c>
      <c r="F225" s="5"/>
    </row>
    <row r="226" spans="2:6" ht="13.8" hidden="1" outlineLevel="1">
      <c r="B226" s="187">
        <v>22922</v>
      </c>
      <c r="C226" s="188">
        <v>3.9</v>
      </c>
      <c r="D226" s="104">
        <f t="shared" si="3"/>
        <v>3.9E-2</v>
      </c>
      <c r="F226" s="5"/>
    </row>
    <row r="227" spans="2:6" ht="13.8" hidden="1" outlineLevel="1">
      <c r="B227" s="187">
        <v>22923</v>
      </c>
      <c r="C227" s="188">
        <v>3.9</v>
      </c>
      <c r="D227" s="104">
        <f t="shared" si="3"/>
        <v>3.9E-2</v>
      </c>
      <c r="F227" s="5"/>
    </row>
    <row r="228" spans="2:6" ht="13.8" hidden="1" outlineLevel="1">
      <c r="B228" s="187">
        <v>22924</v>
      </c>
      <c r="C228" s="188">
        <v>3.92</v>
      </c>
      <c r="D228" s="104">
        <f t="shared" si="3"/>
        <v>3.9199999999999999E-2</v>
      </c>
      <c r="F228" s="5"/>
    </row>
    <row r="229" spans="2:6" ht="13.8" hidden="1" outlineLevel="1">
      <c r="B229" s="187">
        <v>22927</v>
      </c>
      <c r="C229" s="188">
        <v>3.93</v>
      </c>
      <c r="D229" s="104">
        <f t="shared" si="3"/>
        <v>3.9300000000000002E-2</v>
      </c>
      <c r="F229" s="5"/>
    </row>
    <row r="230" spans="2:6" ht="13.8" hidden="1" outlineLevel="1">
      <c r="B230" s="187">
        <v>22928</v>
      </c>
      <c r="C230" s="188">
        <v>3.95</v>
      </c>
      <c r="D230" s="104">
        <f t="shared" si="3"/>
        <v>3.95E-2</v>
      </c>
      <c r="F230" s="5"/>
    </row>
    <row r="231" spans="2:6" ht="13.8" hidden="1" outlineLevel="1">
      <c r="B231" s="187">
        <v>22929</v>
      </c>
      <c r="C231" s="188">
        <v>3.93</v>
      </c>
      <c r="D231" s="104">
        <f t="shared" si="3"/>
        <v>3.9300000000000002E-2</v>
      </c>
      <c r="F231" s="5"/>
    </row>
    <row r="232" spans="2:6" ht="13.8" hidden="1" outlineLevel="1">
      <c r="B232" s="187">
        <v>22930</v>
      </c>
      <c r="C232" s="188">
        <v>3.94</v>
      </c>
      <c r="D232" s="104">
        <f t="shared" si="3"/>
        <v>3.9399999999999998E-2</v>
      </c>
      <c r="F232" s="5"/>
    </row>
    <row r="233" spans="2:6" ht="13.8" hidden="1" outlineLevel="1">
      <c r="B233" s="187">
        <v>22931</v>
      </c>
      <c r="C233" s="188" t="s">
        <v>380</v>
      </c>
      <c r="D233" s="104">
        <f t="shared" si="3"/>
        <v>3.9399999999999998E-2</v>
      </c>
      <c r="F233" s="5"/>
    </row>
    <row r="234" spans="2:6" ht="13.8" hidden="1" outlineLevel="1">
      <c r="B234" s="187">
        <v>22934</v>
      </c>
      <c r="C234" s="188">
        <v>3.94</v>
      </c>
      <c r="D234" s="104">
        <f t="shared" si="3"/>
        <v>3.9399999999999998E-2</v>
      </c>
      <c r="F234" s="5"/>
    </row>
    <row r="235" spans="2:6" ht="13.8" hidden="1" outlineLevel="1">
      <c r="B235" s="187">
        <v>22935</v>
      </c>
      <c r="C235" s="188">
        <v>3.94</v>
      </c>
      <c r="D235" s="104">
        <f t="shared" si="3"/>
        <v>3.9399999999999998E-2</v>
      </c>
      <c r="F235" s="5"/>
    </row>
    <row r="236" spans="2:6" ht="13.8" hidden="1" outlineLevel="1">
      <c r="B236" s="187">
        <v>22936</v>
      </c>
      <c r="C236" s="188">
        <v>3.94</v>
      </c>
      <c r="D236" s="104">
        <f t="shared" si="3"/>
        <v>3.9399999999999998E-2</v>
      </c>
      <c r="F236" s="5"/>
    </row>
    <row r="237" spans="2:6" ht="13.8" hidden="1" outlineLevel="1">
      <c r="B237" s="187">
        <v>22937</v>
      </c>
      <c r="C237" s="188">
        <v>3.92</v>
      </c>
      <c r="D237" s="104">
        <f t="shared" si="3"/>
        <v>3.9199999999999999E-2</v>
      </c>
      <c r="F237" s="5"/>
    </row>
    <row r="238" spans="2:6" ht="13.8" hidden="1" outlineLevel="1">
      <c r="B238" s="187">
        <v>22938</v>
      </c>
      <c r="C238" s="188">
        <v>3.88</v>
      </c>
      <c r="D238" s="104">
        <f t="shared" si="3"/>
        <v>3.8800000000000001E-2</v>
      </c>
      <c r="F238" s="5"/>
    </row>
    <row r="239" spans="2:6" ht="13.8" hidden="1" outlineLevel="1">
      <c r="B239" s="187">
        <v>22941</v>
      </c>
      <c r="C239" s="188">
        <v>3.91</v>
      </c>
      <c r="D239" s="104">
        <f t="shared" si="3"/>
        <v>3.9100000000000003E-2</v>
      </c>
      <c r="F239" s="5"/>
    </row>
    <row r="240" spans="2:6" ht="13.8" hidden="1" outlineLevel="1">
      <c r="B240" s="187">
        <v>22942</v>
      </c>
      <c r="C240" s="188">
        <v>3.94</v>
      </c>
      <c r="D240" s="104">
        <f t="shared" si="3"/>
        <v>3.9399999999999998E-2</v>
      </c>
      <c r="F240" s="5"/>
    </row>
    <row r="241" spans="2:6" ht="13.8" hidden="1" outlineLevel="1">
      <c r="B241" s="187">
        <v>22943</v>
      </c>
      <c r="C241" s="188">
        <v>3.94</v>
      </c>
      <c r="D241" s="104">
        <f t="shared" si="3"/>
        <v>3.9399999999999998E-2</v>
      </c>
      <c r="F241" s="5"/>
    </row>
    <row r="242" spans="2:6" ht="13.8" hidden="1" outlineLevel="1">
      <c r="B242" s="187">
        <v>22944</v>
      </c>
      <c r="C242" s="188">
        <v>3.94</v>
      </c>
      <c r="D242" s="104">
        <f t="shared" si="3"/>
        <v>3.9399999999999998E-2</v>
      </c>
      <c r="F242" s="5"/>
    </row>
    <row r="243" spans="2:6" ht="13.8" hidden="1" outlineLevel="1">
      <c r="B243" s="187">
        <v>22945</v>
      </c>
      <c r="C243" s="188">
        <v>3.93</v>
      </c>
      <c r="D243" s="104">
        <f t="shared" si="3"/>
        <v>3.9300000000000002E-2</v>
      </c>
      <c r="F243" s="5"/>
    </row>
    <row r="244" spans="2:6" ht="13.8" hidden="1" outlineLevel="1">
      <c r="B244" s="187">
        <v>22948</v>
      </c>
      <c r="C244" s="188">
        <v>3.92</v>
      </c>
      <c r="D244" s="104">
        <f t="shared" si="3"/>
        <v>3.9199999999999999E-2</v>
      </c>
      <c r="F244" s="5"/>
    </row>
    <row r="245" spans="2:6" ht="13.8" hidden="1" outlineLevel="1">
      <c r="B245" s="187">
        <v>22949</v>
      </c>
      <c r="C245" s="188">
        <v>3.92</v>
      </c>
      <c r="D245" s="104">
        <f t="shared" si="3"/>
        <v>3.9199999999999999E-2</v>
      </c>
      <c r="F245" s="5"/>
    </row>
    <row r="246" spans="2:6" ht="13.8" hidden="1" outlineLevel="1">
      <c r="B246" s="187">
        <v>22950</v>
      </c>
      <c r="C246" s="188">
        <v>3.92</v>
      </c>
      <c r="D246" s="104">
        <f t="shared" si="3"/>
        <v>3.9199999999999999E-2</v>
      </c>
      <c r="F246" s="5"/>
    </row>
    <row r="247" spans="2:6" ht="13.8" hidden="1" outlineLevel="1">
      <c r="B247" s="187">
        <v>22951</v>
      </c>
      <c r="C247" s="188">
        <v>3.92</v>
      </c>
      <c r="D247" s="104">
        <f t="shared" si="3"/>
        <v>3.9199999999999999E-2</v>
      </c>
      <c r="F247" s="5"/>
    </row>
    <row r="248" spans="2:6" ht="13.8" hidden="1" outlineLevel="1">
      <c r="B248" s="187">
        <v>22952</v>
      </c>
      <c r="C248" s="188">
        <v>3.91</v>
      </c>
      <c r="D248" s="104">
        <f t="shared" si="3"/>
        <v>3.9100000000000003E-2</v>
      </c>
      <c r="F248" s="5"/>
    </row>
    <row r="249" spans="2:6" ht="13.8" hidden="1" outlineLevel="1">
      <c r="B249" s="187">
        <v>22955</v>
      </c>
      <c r="C249" s="188">
        <v>3.91</v>
      </c>
      <c r="D249" s="104">
        <f t="shared" si="3"/>
        <v>3.9100000000000003E-2</v>
      </c>
      <c r="F249" s="5"/>
    </row>
    <row r="250" spans="2:6" ht="13.8" hidden="1" outlineLevel="1">
      <c r="B250" s="187">
        <v>22956</v>
      </c>
      <c r="C250" s="188" t="s">
        <v>380</v>
      </c>
      <c r="D250" s="104">
        <f t="shared" si="3"/>
        <v>3.9100000000000003E-2</v>
      </c>
      <c r="F250" s="5"/>
    </row>
    <row r="251" spans="2:6" ht="13.8" hidden="1" outlineLevel="1">
      <c r="B251" s="187">
        <v>22957</v>
      </c>
      <c r="C251" s="188">
        <v>3.91</v>
      </c>
      <c r="D251" s="104">
        <f t="shared" si="3"/>
        <v>3.9100000000000003E-2</v>
      </c>
      <c r="F251" s="5"/>
    </row>
    <row r="252" spans="2:6" ht="13.8" hidden="1" outlineLevel="1">
      <c r="B252" s="187">
        <v>22958</v>
      </c>
      <c r="C252" s="188">
        <v>3.9</v>
      </c>
      <c r="D252" s="104">
        <f t="shared" si="3"/>
        <v>3.9E-2</v>
      </c>
      <c r="F252" s="5"/>
    </row>
    <row r="253" spans="2:6" ht="13.8" hidden="1" outlineLevel="1">
      <c r="B253" s="187">
        <v>22959</v>
      </c>
      <c r="C253" s="188">
        <v>3.89</v>
      </c>
      <c r="D253" s="104">
        <f t="shared" si="3"/>
        <v>3.8900000000000004E-2</v>
      </c>
      <c r="F253" s="5"/>
    </row>
    <row r="254" spans="2:6" ht="13.8" hidden="1" outlineLevel="1">
      <c r="B254" s="187">
        <v>22962</v>
      </c>
      <c r="C254" s="188" t="s">
        <v>380</v>
      </c>
      <c r="D254" s="104">
        <f t="shared" si="3"/>
        <v>3.8900000000000004E-2</v>
      </c>
      <c r="F254" s="5"/>
    </row>
    <row r="255" spans="2:6" ht="13.8" hidden="1" outlineLevel="1">
      <c r="B255" s="187">
        <v>22963</v>
      </c>
      <c r="C255" s="188">
        <v>3.9</v>
      </c>
      <c r="D255" s="104">
        <f t="shared" si="3"/>
        <v>3.9E-2</v>
      </c>
      <c r="F255" s="5"/>
    </row>
    <row r="256" spans="2:6" ht="13.8" hidden="1" outlineLevel="1">
      <c r="B256" s="187">
        <v>22964</v>
      </c>
      <c r="C256" s="188">
        <v>3.91</v>
      </c>
      <c r="D256" s="104">
        <f t="shared" si="3"/>
        <v>3.9100000000000003E-2</v>
      </c>
      <c r="F256" s="5"/>
    </row>
    <row r="257" spans="2:6" ht="13.8" hidden="1" outlineLevel="1">
      <c r="B257" s="187">
        <v>22965</v>
      </c>
      <c r="C257" s="188">
        <v>3.91</v>
      </c>
      <c r="D257" s="104">
        <f t="shared" si="3"/>
        <v>3.9100000000000003E-2</v>
      </c>
      <c r="F257" s="5"/>
    </row>
    <row r="258" spans="2:6" ht="13.8" hidden="1" outlineLevel="1">
      <c r="B258" s="187">
        <v>22966</v>
      </c>
      <c r="C258" s="188">
        <v>3.93</v>
      </c>
      <c r="D258" s="104">
        <f t="shared" si="3"/>
        <v>3.9300000000000002E-2</v>
      </c>
      <c r="F258" s="5"/>
    </row>
    <row r="259" spans="2:6" ht="13.8" hidden="1" outlineLevel="1">
      <c r="B259" s="187">
        <v>22969</v>
      </c>
      <c r="C259" s="188">
        <v>3.93</v>
      </c>
      <c r="D259" s="104">
        <f t="shared" si="3"/>
        <v>3.9300000000000002E-2</v>
      </c>
      <c r="F259" s="5"/>
    </row>
    <row r="260" spans="2:6" ht="13.8" hidden="1" outlineLevel="1">
      <c r="B260" s="187">
        <v>22970</v>
      </c>
      <c r="C260" s="188">
        <v>3.93</v>
      </c>
      <c r="D260" s="104">
        <f t="shared" si="3"/>
        <v>3.9300000000000002E-2</v>
      </c>
      <c r="F260" s="5"/>
    </row>
    <row r="261" spans="2:6" ht="13.8" hidden="1" outlineLevel="1">
      <c r="B261" s="187">
        <v>22971</v>
      </c>
      <c r="C261" s="188">
        <v>3.92</v>
      </c>
      <c r="D261" s="104">
        <f t="shared" si="3"/>
        <v>3.9199999999999999E-2</v>
      </c>
      <c r="F261" s="5"/>
    </row>
    <row r="262" spans="2:6" ht="13.8" hidden="1" outlineLevel="1">
      <c r="B262" s="187">
        <v>22972</v>
      </c>
      <c r="C262" s="188" t="s">
        <v>380</v>
      </c>
      <c r="D262" s="104">
        <f t="shared" si="3"/>
        <v>3.9199999999999999E-2</v>
      </c>
      <c r="F262" s="5"/>
    </row>
    <row r="263" spans="2:6" ht="13.8" hidden="1" outlineLevel="1">
      <c r="B263" s="187">
        <v>22973</v>
      </c>
      <c r="C263" s="188">
        <v>3.92</v>
      </c>
      <c r="D263" s="104">
        <f t="shared" si="3"/>
        <v>3.9199999999999999E-2</v>
      </c>
      <c r="F263" s="5"/>
    </row>
    <row r="264" spans="2:6" ht="13.8" hidden="1" outlineLevel="1">
      <c r="B264" s="187">
        <v>22976</v>
      </c>
      <c r="C264" s="188">
        <v>3.93</v>
      </c>
      <c r="D264" s="104">
        <f t="shared" si="3"/>
        <v>3.9300000000000002E-2</v>
      </c>
      <c r="F264" s="5"/>
    </row>
    <row r="265" spans="2:6" ht="13.8" hidden="1" outlineLevel="1">
      <c r="B265" s="187">
        <v>22977</v>
      </c>
      <c r="C265" s="188">
        <v>3.92</v>
      </c>
      <c r="D265" s="104">
        <f t="shared" si="3"/>
        <v>3.9199999999999999E-2</v>
      </c>
      <c r="F265" s="5"/>
    </row>
    <row r="266" spans="2:6" ht="13.8" hidden="1" outlineLevel="1">
      <c r="B266" s="187">
        <v>22978</v>
      </c>
      <c r="C266" s="188">
        <v>3.92</v>
      </c>
      <c r="D266" s="104">
        <f t="shared" si="3"/>
        <v>3.9199999999999999E-2</v>
      </c>
      <c r="F266" s="5"/>
    </row>
    <row r="267" spans="2:6" ht="13.8" hidden="1" outlineLevel="1">
      <c r="B267" s="187">
        <v>22979</v>
      </c>
      <c r="C267" s="188">
        <v>3.92</v>
      </c>
      <c r="D267" s="104">
        <f t="shared" si="3"/>
        <v>3.9199999999999999E-2</v>
      </c>
      <c r="F267" s="5"/>
    </row>
    <row r="268" spans="2:6" ht="13.8" hidden="1" outlineLevel="1">
      <c r="B268" s="187">
        <v>22980</v>
      </c>
      <c r="C268" s="188">
        <v>3.92</v>
      </c>
      <c r="D268" s="104">
        <f t="shared" si="3"/>
        <v>3.9199999999999999E-2</v>
      </c>
      <c r="F268" s="5"/>
    </row>
    <row r="269" spans="2:6" ht="13.8" hidden="1" outlineLevel="1">
      <c r="B269" s="187">
        <v>22983</v>
      </c>
      <c r="C269" s="188">
        <v>3.93</v>
      </c>
      <c r="D269" s="104">
        <f t="shared" si="3"/>
        <v>3.9300000000000002E-2</v>
      </c>
      <c r="F269" s="5"/>
    </row>
    <row r="270" spans="2:6" ht="13.8" hidden="1" outlineLevel="1">
      <c r="B270" s="187">
        <v>22984</v>
      </c>
      <c r="C270" s="188">
        <v>3.94</v>
      </c>
      <c r="D270" s="104">
        <f t="shared" si="3"/>
        <v>3.9399999999999998E-2</v>
      </c>
      <c r="F270" s="5"/>
    </row>
    <row r="271" spans="2:6" ht="13.8" hidden="1" outlineLevel="1">
      <c r="B271" s="187">
        <v>22985</v>
      </c>
      <c r="C271" s="188">
        <v>3.93</v>
      </c>
      <c r="D271" s="104">
        <f t="shared" si="3"/>
        <v>3.9300000000000002E-2</v>
      </c>
      <c r="F271" s="5"/>
    </row>
    <row r="272" spans="2:6" ht="13.8" hidden="1" outlineLevel="1">
      <c r="B272" s="187">
        <v>22986</v>
      </c>
      <c r="C272" s="188">
        <v>3.92</v>
      </c>
      <c r="D272" s="104">
        <f t="shared" si="3"/>
        <v>3.9199999999999999E-2</v>
      </c>
      <c r="F272" s="5"/>
    </row>
    <row r="273" spans="2:6" ht="13.8" hidden="1" outlineLevel="1">
      <c r="B273" s="187">
        <v>22987</v>
      </c>
      <c r="C273" s="188">
        <v>3.91</v>
      </c>
      <c r="D273" s="104">
        <f t="shared" si="3"/>
        <v>3.9100000000000003E-2</v>
      </c>
      <c r="F273" s="5"/>
    </row>
    <row r="274" spans="2:6" ht="13.8" hidden="1" outlineLevel="1">
      <c r="B274" s="187">
        <v>22990</v>
      </c>
      <c r="C274" s="188">
        <v>3.9</v>
      </c>
      <c r="D274" s="104">
        <f t="shared" si="3"/>
        <v>3.9E-2</v>
      </c>
      <c r="F274" s="5"/>
    </row>
    <row r="275" spans="2:6" ht="13.8" hidden="1" outlineLevel="1">
      <c r="B275" s="187">
        <v>22991</v>
      </c>
      <c r="C275" s="188">
        <v>3.89</v>
      </c>
      <c r="D275" s="104">
        <f t="shared" si="3"/>
        <v>3.8900000000000004E-2</v>
      </c>
      <c r="F275" s="5"/>
    </row>
    <row r="276" spans="2:6" ht="13.8" hidden="1" outlineLevel="1">
      <c r="B276" s="187">
        <v>22992</v>
      </c>
      <c r="C276" s="188">
        <v>3.88</v>
      </c>
      <c r="D276" s="104">
        <f t="shared" si="3"/>
        <v>3.8800000000000001E-2</v>
      </c>
      <c r="F276" s="5"/>
    </row>
    <row r="277" spans="2:6" ht="13.8" hidden="1" outlineLevel="1">
      <c r="B277" s="187">
        <v>22993</v>
      </c>
      <c r="C277" s="188">
        <v>3.88</v>
      </c>
      <c r="D277" s="104">
        <f t="shared" si="3"/>
        <v>3.8800000000000001E-2</v>
      </c>
      <c r="F277" s="5"/>
    </row>
    <row r="278" spans="2:6" ht="13.8" hidden="1" outlineLevel="1">
      <c r="B278" s="187">
        <v>22994</v>
      </c>
      <c r="C278" s="188">
        <v>3.87</v>
      </c>
      <c r="D278" s="104">
        <f t="shared" si="3"/>
        <v>3.8699999999999998E-2</v>
      </c>
      <c r="F278" s="5"/>
    </row>
    <row r="279" spans="2:6" ht="13.8" hidden="1" outlineLevel="1">
      <c r="B279" s="187">
        <v>22997</v>
      </c>
      <c r="C279" s="188">
        <v>3.85</v>
      </c>
      <c r="D279" s="104">
        <f t="shared" si="3"/>
        <v>3.85E-2</v>
      </c>
      <c r="F279" s="5"/>
    </row>
    <row r="280" spans="2:6" ht="13.8" hidden="1" outlineLevel="1">
      <c r="B280" s="187">
        <v>22998</v>
      </c>
      <c r="C280" s="188">
        <v>3.83</v>
      </c>
      <c r="D280" s="104">
        <f t="shared" si="3"/>
        <v>3.8300000000000001E-2</v>
      </c>
      <c r="F280" s="5"/>
    </row>
    <row r="281" spans="2:6" ht="13.8" hidden="1" outlineLevel="1">
      <c r="B281" s="187">
        <v>22999</v>
      </c>
      <c r="C281" s="188">
        <v>3.84</v>
      </c>
      <c r="D281" s="104">
        <f t="shared" si="3"/>
        <v>3.8399999999999997E-2</v>
      </c>
      <c r="F281" s="5"/>
    </row>
    <row r="282" spans="2:6" ht="13.8" hidden="1" outlineLevel="1">
      <c r="B282" s="187">
        <v>23000</v>
      </c>
      <c r="C282" s="188">
        <v>3.83</v>
      </c>
      <c r="D282" s="104">
        <f t="shared" si="3"/>
        <v>3.8300000000000001E-2</v>
      </c>
      <c r="F282" s="5"/>
    </row>
    <row r="283" spans="2:6" ht="13.8" hidden="1" outlineLevel="1">
      <c r="B283" s="187">
        <v>23001</v>
      </c>
      <c r="C283" s="188">
        <v>3.81</v>
      </c>
      <c r="D283" s="104">
        <f t="shared" si="3"/>
        <v>3.8100000000000002E-2</v>
      </c>
      <c r="F283" s="5"/>
    </row>
    <row r="284" spans="2:6" ht="13.8" hidden="1" outlineLevel="1">
      <c r="B284" s="187">
        <v>23004</v>
      </c>
      <c r="C284" s="188">
        <v>3.79</v>
      </c>
      <c r="D284" s="104">
        <f t="shared" si="3"/>
        <v>3.7900000000000003E-2</v>
      </c>
      <c r="F284" s="5"/>
    </row>
    <row r="285" spans="2:6" ht="13.8" hidden="1" outlineLevel="1">
      <c r="B285" s="187">
        <v>23005</v>
      </c>
      <c r="C285" s="188" t="s">
        <v>380</v>
      </c>
      <c r="D285" s="104">
        <f t="shared" si="3"/>
        <v>3.7900000000000003E-2</v>
      </c>
      <c r="F285" s="5"/>
    </row>
    <row r="286" spans="2:6" ht="13.8" hidden="1" outlineLevel="1">
      <c r="B286" s="187">
        <v>23006</v>
      </c>
      <c r="C286" s="188">
        <v>3.79</v>
      </c>
      <c r="D286" s="104">
        <f t="shared" ref="D286:D349" si="4">IF( LEN( C286 ) = 0, #N/A, IF( C286 = "ND", D285, C286 / 100 ) )</f>
        <v>3.7900000000000003E-2</v>
      </c>
      <c r="F286" s="5"/>
    </row>
    <row r="287" spans="2:6" ht="13.8" hidden="1" outlineLevel="1">
      <c r="B287" s="187">
        <v>23007</v>
      </c>
      <c r="C287" s="188">
        <v>3.81</v>
      </c>
      <c r="D287" s="104">
        <f t="shared" si="4"/>
        <v>3.8100000000000002E-2</v>
      </c>
      <c r="F287" s="5"/>
    </row>
    <row r="288" spans="2:6" ht="13.8" hidden="1" outlineLevel="1">
      <c r="B288" s="187">
        <v>23008</v>
      </c>
      <c r="C288" s="188">
        <v>3.84</v>
      </c>
      <c r="D288" s="104">
        <f t="shared" si="4"/>
        <v>3.8399999999999997E-2</v>
      </c>
      <c r="F288" s="5"/>
    </row>
    <row r="289" spans="2:6" ht="13.8" hidden="1" outlineLevel="1">
      <c r="B289" s="187">
        <v>23011</v>
      </c>
      <c r="C289" s="188">
        <v>3.85</v>
      </c>
      <c r="D289" s="104">
        <f t="shared" si="4"/>
        <v>3.85E-2</v>
      </c>
      <c r="F289" s="5"/>
    </row>
    <row r="290" spans="2:6" ht="13.8" hidden="1" outlineLevel="1">
      <c r="B290" s="187">
        <v>23012</v>
      </c>
      <c r="C290" s="188" t="s">
        <v>380</v>
      </c>
      <c r="D290" s="104">
        <f t="shared" si="4"/>
        <v>3.85E-2</v>
      </c>
      <c r="F290" s="5"/>
    </row>
    <row r="291" spans="2:6" ht="13.8" hidden="1" outlineLevel="1">
      <c r="B291" s="187">
        <v>23013</v>
      </c>
      <c r="C291" s="188">
        <v>3.82</v>
      </c>
      <c r="D291" s="104">
        <f t="shared" si="4"/>
        <v>3.8199999999999998E-2</v>
      </c>
      <c r="F291" s="5"/>
    </row>
    <row r="292" spans="2:6" ht="13.8" hidden="1" outlineLevel="1">
      <c r="B292" s="187">
        <v>23014</v>
      </c>
      <c r="C292" s="188">
        <v>3.81</v>
      </c>
      <c r="D292" s="104">
        <f t="shared" si="4"/>
        <v>3.8100000000000002E-2</v>
      </c>
      <c r="F292" s="5"/>
    </row>
    <row r="293" spans="2:6" ht="13.8" hidden="1" outlineLevel="1">
      <c r="B293" s="187">
        <v>23015</v>
      </c>
      <c r="C293" s="188">
        <v>3.84</v>
      </c>
      <c r="D293" s="104">
        <f t="shared" si="4"/>
        <v>3.8399999999999997E-2</v>
      </c>
      <c r="F293" s="5"/>
    </row>
    <row r="294" spans="2:6" ht="13.8" hidden="1" outlineLevel="1">
      <c r="B294" s="187">
        <v>23018</v>
      </c>
      <c r="C294" s="188">
        <v>3.83</v>
      </c>
      <c r="D294" s="104">
        <f t="shared" si="4"/>
        <v>3.8300000000000001E-2</v>
      </c>
      <c r="F294" s="5"/>
    </row>
    <row r="295" spans="2:6" ht="13.8" hidden="1" outlineLevel="1">
      <c r="B295" s="187">
        <v>23019</v>
      </c>
      <c r="C295" s="188">
        <v>3.81</v>
      </c>
      <c r="D295" s="104">
        <f t="shared" si="4"/>
        <v>3.8100000000000002E-2</v>
      </c>
      <c r="F295" s="5"/>
    </row>
    <row r="296" spans="2:6" ht="13.8" hidden="1" outlineLevel="1">
      <c r="B296" s="187">
        <v>23020</v>
      </c>
      <c r="C296" s="188">
        <v>3.82</v>
      </c>
      <c r="D296" s="104">
        <f t="shared" si="4"/>
        <v>3.8199999999999998E-2</v>
      </c>
      <c r="F296" s="5"/>
    </row>
    <row r="297" spans="2:6" ht="13.8" hidden="1" outlineLevel="1">
      <c r="B297" s="187">
        <v>23021</v>
      </c>
      <c r="C297" s="188">
        <v>3.81</v>
      </c>
      <c r="D297" s="104">
        <f t="shared" si="4"/>
        <v>3.8100000000000002E-2</v>
      </c>
      <c r="F297" s="5"/>
    </row>
    <row r="298" spans="2:6" ht="13.8" hidden="1" outlineLevel="1">
      <c r="B298" s="187">
        <v>23022</v>
      </c>
      <c r="C298" s="188">
        <v>3.8</v>
      </c>
      <c r="D298" s="104">
        <f t="shared" si="4"/>
        <v>3.7999999999999999E-2</v>
      </c>
      <c r="F298" s="5"/>
    </row>
    <row r="299" spans="2:6" ht="13.8" hidden="1" outlineLevel="1">
      <c r="B299" s="187">
        <v>23025</v>
      </c>
      <c r="C299" s="188">
        <v>3.81</v>
      </c>
      <c r="D299" s="104">
        <f t="shared" si="4"/>
        <v>3.8100000000000002E-2</v>
      </c>
      <c r="F299" s="5"/>
    </row>
    <row r="300" spans="2:6" ht="13.8" hidden="1" outlineLevel="1">
      <c r="B300" s="187">
        <v>23026</v>
      </c>
      <c r="C300" s="188">
        <v>3.8</v>
      </c>
      <c r="D300" s="104">
        <f t="shared" si="4"/>
        <v>3.7999999999999999E-2</v>
      </c>
      <c r="F300" s="5"/>
    </row>
    <row r="301" spans="2:6" ht="13.8" hidden="1" outlineLevel="1">
      <c r="B301" s="187">
        <v>23027</v>
      </c>
      <c r="C301" s="188">
        <v>3.8</v>
      </c>
      <c r="D301" s="104">
        <f t="shared" si="4"/>
        <v>3.7999999999999999E-2</v>
      </c>
      <c r="F301" s="5"/>
    </row>
    <row r="302" spans="2:6" ht="13.8" hidden="1" outlineLevel="1">
      <c r="B302" s="187">
        <v>23028</v>
      </c>
      <c r="C302" s="188">
        <v>3.82</v>
      </c>
      <c r="D302" s="104">
        <f t="shared" si="4"/>
        <v>3.8199999999999998E-2</v>
      </c>
      <c r="F302" s="5"/>
    </row>
    <row r="303" spans="2:6" ht="13.8" hidden="1" outlineLevel="1">
      <c r="B303" s="187">
        <v>23029</v>
      </c>
      <c r="C303" s="188">
        <v>3.84</v>
      </c>
      <c r="D303" s="104">
        <f t="shared" si="4"/>
        <v>3.8399999999999997E-2</v>
      </c>
      <c r="F303" s="5"/>
    </row>
    <row r="304" spans="2:6" ht="13.8" hidden="1" outlineLevel="1">
      <c r="B304" s="187">
        <v>23032</v>
      </c>
      <c r="C304" s="188">
        <v>3.85</v>
      </c>
      <c r="D304" s="104">
        <f t="shared" si="4"/>
        <v>3.85E-2</v>
      </c>
      <c r="F304" s="5"/>
    </row>
    <row r="305" spans="2:6" ht="13.8" hidden="1" outlineLevel="1">
      <c r="B305" s="187">
        <v>23033</v>
      </c>
      <c r="C305" s="188">
        <v>3.86</v>
      </c>
      <c r="D305" s="104">
        <f t="shared" si="4"/>
        <v>3.8599999999999995E-2</v>
      </c>
      <c r="F305" s="5"/>
    </row>
    <row r="306" spans="2:6" ht="13.8" hidden="1" outlineLevel="1">
      <c r="B306" s="187">
        <v>23034</v>
      </c>
      <c r="C306" s="188">
        <v>3.86</v>
      </c>
      <c r="D306" s="104">
        <f t="shared" si="4"/>
        <v>3.8599999999999995E-2</v>
      </c>
      <c r="F306" s="5"/>
    </row>
    <row r="307" spans="2:6" ht="13.8" hidden="1" outlineLevel="1">
      <c r="B307" s="187">
        <v>23035</v>
      </c>
      <c r="C307" s="188">
        <v>3.86</v>
      </c>
      <c r="D307" s="104">
        <f t="shared" si="4"/>
        <v>3.8599999999999995E-2</v>
      </c>
      <c r="F307" s="5"/>
    </row>
    <row r="308" spans="2:6" ht="13.8" hidden="1" outlineLevel="1">
      <c r="B308" s="187">
        <v>23036</v>
      </c>
      <c r="C308" s="188">
        <v>3.85</v>
      </c>
      <c r="D308" s="104">
        <f t="shared" si="4"/>
        <v>3.85E-2</v>
      </c>
      <c r="F308" s="5"/>
    </row>
    <row r="309" spans="2:6" ht="13.8" hidden="1" outlineLevel="1">
      <c r="B309" s="187">
        <v>23039</v>
      </c>
      <c r="C309" s="188">
        <v>3.86</v>
      </c>
      <c r="D309" s="104">
        <f t="shared" si="4"/>
        <v>3.8599999999999995E-2</v>
      </c>
      <c r="F309" s="5"/>
    </row>
    <row r="310" spans="2:6" ht="13.8" hidden="1" outlineLevel="1">
      <c r="B310" s="187">
        <v>23040</v>
      </c>
      <c r="C310" s="188">
        <v>3.86</v>
      </c>
      <c r="D310" s="104">
        <f t="shared" si="4"/>
        <v>3.8599999999999995E-2</v>
      </c>
      <c r="F310" s="5"/>
    </row>
    <row r="311" spans="2:6" ht="13.8" hidden="1" outlineLevel="1">
      <c r="B311" s="187">
        <v>23041</v>
      </c>
      <c r="C311" s="188">
        <v>3.86</v>
      </c>
      <c r="D311" s="104">
        <f t="shared" si="4"/>
        <v>3.8599999999999995E-2</v>
      </c>
      <c r="F311" s="5"/>
    </row>
    <row r="312" spans="2:6" ht="13.8" hidden="1" outlineLevel="1">
      <c r="B312" s="187">
        <v>23042</v>
      </c>
      <c r="C312" s="188">
        <v>3.87</v>
      </c>
      <c r="D312" s="104">
        <f t="shared" si="4"/>
        <v>3.8699999999999998E-2</v>
      </c>
      <c r="F312" s="5"/>
    </row>
    <row r="313" spans="2:6" ht="13.8" hidden="1" outlineLevel="1">
      <c r="B313" s="187">
        <v>23043</v>
      </c>
      <c r="C313" s="188">
        <v>3.88</v>
      </c>
      <c r="D313" s="104">
        <f t="shared" si="4"/>
        <v>3.8800000000000001E-2</v>
      </c>
      <c r="F313" s="5"/>
    </row>
    <row r="314" spans="2:6" ht="13.8" hidden="1" outlineLevel="1">
      <c r="B314" s="187">
        <v>23046</v>
      </c>
      <c r="C314" s="188">
        <v>3.89</v>
      </c>
      <c r="D314" s="104">
        <f t="shared" si="4"/>
        <v>3.8900000000000004E-2</v>
      </c>
      <c r="F314" s="5"/>
    </row>
    <row r="315" spans="2:6" ht="13.8" hidden="1" outlineLevel="1">
      <c r="B315" s="187">
        <v>23047</v>
      </c>
      <c r="C315" s="188">
        <v>3.9</v>
      </c>
      <c r="D315" s="104">
        <f t="shared" si="4"/>
        <v>3.9E-2</v>
      </c>
      <c r="F315" s="5"/>
    </row>
    <row r="316" spans="2:6" ht="13.8" hidden="1" outlineLevel="1">
      <c r="B316" s="187">
        <v>23048</v>
      </c>
      <c r="C316" s="188">
        <v>3.91</v>
      </c>
      <c r="D316" s="104">
        <f t="shared" si="4"/>
        <v>3.9100000000000003E-2</v>
      </c>
      <c r="F316" s="5"/>
    </row>
    <row r="317" spans="2:6" ht="13.8" hidden="1" outlineLevel="1">
      <c r="B317" s="187">
        <v>23049</v>
      </c>
      <c r="C317" s="188">
        <v>3.91</v>
      </c>
      <c r="D317" s="104">
        <f t="shared" si="4"/>
        <v>3.9100000000000003E-2</v>
      </c>
      <c r="F317" s="5"/>
    </row>
    <row r="318" spans="2:6" ht="13.8" hidden="1" outlineLevel="1">
      <c r="B318" s="187">
        <v>23050</v>
      </c>
      <c r="C318" s="188">
        <v>3.91</v>
      </c>
      <c r="D318" s="104">
        <f t="shared" si="4"/>
        <v>3.9100000000000003E-2</v>
      </c>
      <c r="F318" s="5"/>
    </row>
    <row r="319" spans="2:6" ht="13.8" hidden="1" outlineLevel="1">
      <c r="B319" s="187">
        <v>23053</v>
      </c>
      <c r="C319" s="188">
        <v>3.92</v>
      </c>
      <c r="D319" s="104">
        <f t="shared" si="4"/>
        <v>3.9199999999999999E-2</v>
      </c>
      <c r="F319" s="5"/>
    </row>
    <row r="320" spans="2:6" ht="13.8" hidden="1" outlineLevel="1">
      <c r="B320" s="187">
        <v>23054</v>
      </c>
      <c r="C320" s="188" t="s">
        <v>380</v>
      </c>
      <c r="D320" s="104">
        <f t="shared" si="4"/>
        <v>3.9199999999999999E-2</v>
      </c>
      <c r="F320" s="5"/>
    </row>
    <row r="321" spans="2:6" ht="13.8" hidden="1" outlineLevel="1">
      <c r="B321" s="187">
        <v>23055</v>
      </c>
      <c r="C321" s="188">
        <v>3.92</v>
      </c>
      <c r="D321" s="104">
        <f t="shared" si="4"/>
        <v>3.9199999999999999E-2</v>
      </c>
      <c r="F321" s="5"/>
    </row>
    <row r="322" spans="2:6" ht="13.8" hidden="1" outlineLevel="1">
      <c r="B322" s="187">
        <v>23056</v>
      </c>
      <c r="C322" s="188">
        <v>3.91</v>
      </c>
      <c r="D322" s="104">
        <f t="shared" si="4"/>
        <v>3.9100000000000003E-2</v>
      </c>
      <c r="F322" s="5"/>
    </row>
    <row r="323" spans="2:6" ht="13.8" hidden="1" outlineLevel="1">
      <c r="B323" s="187">
        <v>23057</v>
      </c>
      <c r="C323" s="188">
        <v>3.91</v>
      </c>
      <c r="D323" s="104">
        <f t="shared" si="4"/>
        <v>3.9100000000000003E-2</v>
      </c>
      <c r="F323" s="5"/>
    </row>
    <row r="324" spans="2:6" ht="13.8" hidden="1" outlineLevel="1">
      <c r="B324" s="187">
        <v>23060</v>
      </c>
      <c r="C324" s="188">
        <v>3.91</v>
      </c>
      <c r="D324" s="104">
        <f t="shared" si="4"/>
        <v>3.9100000000000003E-2</v>
      </c>
      <c r="F324" s="5"/>
    </row>
    <row r="325" spans="2:6" ht="13.8" hidden="1" outlineLevel="1">
      <c r="B325" s="187">
        <v>23061</v>
      </c>
      <c r="C325" s="188">
        <v>3.93</v>
      </c>
      <c r="D325" s="104">
        <f t="shared" si="4"/>
        <v>3.9300000000000002E-2</v>
      </c>
      <c r="F325" s="5"/>
    </row>
    <row r="326" spans="2:6" ht="13.8" hidden="1" outlineLevel="1">
      <c r="B326" s="187">
        <v>23062</v>
      </c>
      <c r="C326" s="188">
        <v>3.94</v>
      </c>
      <c r="D326" s="104">
        <f t="shared" si="4"/>
        <v>3.9399999999999998E-2</v>
      </c>
      <c r="F326" s="5"/>
    </row>
    <row r="327" spans="2:6" ht="13.8" hidden="1" outlineLevel="1">
      <c r="B327" s="187">
        <v>23063</v>
      </c>
      <c r="C327" s="188">
        <v>3.95</v>
      </c>
      <c r="D327" s="104">
        <f t="shared" si="4"/>
        <v>3.95E-2</v>
      </c>
      <c r="F327" s="5"/>
    </row>
    <row r="328" spans="2:6" ht="13.8" hidden="1" outlineLevel="1">
      <c r="B328" s="187">
        <v>23064</v>
      </c>
      <c r="C328" s="188" t="s">
        <v>380</v>
      </c>
      <c r="D328" s="104">
        <f t="shared" si="4"/>
        <v>3.95E-2</v>
      </c>
      <c r="F328" s="5"/>
    </row>
    <row r="329" spans="2:6" ht="13.8" hidden="1" outlineLevel="1">
      <c r="B329" s="187">
        <v>23067</v>
      </c>
      <c r="C329" s="188">
        <v>3.95</v>
      </c>
      <c r="D329" s="104">
        <f t="shared" si="4"/>
        <v>3.95E-2</v>
      </c>
      <c r="F329" s="5"/>
    </row>
    <row r="330" spans="2:6" ht="13.8" hidden="1" outlineLevel="1">
      <c r="B330" s="187">
        <v>23068</v>
      </c>
      <c r="C330" s="188">
        <v>3.95</v>
      </c>
      <c r="D330" s="104">
        <f t="shared" si="4"/>
        <v>3.95E-2</v>
      </c>
      <c r="F330" s="5"/>
    </row>
    <row r="331" spans="2:6" ht="13.8" hidden="1" outlineLevel="1">
      <c r="B331" s="187">
        <v>23069</v>
      </c>
      <c r="C331" s="188">
        <v>3.95</v>
      </c>
      <c r="D331" s="104">
        <f t="shared" si="4"/>
        <v>3.95E-2</v>
      </c>
      <c r="F331" s="5"/>
    </row>
    <row r="332" spans="2:6" ht="13.8" hidden="1" outlineLevel="1">
      <c r="B332" s="187">
        <v>23070</v>
      </c>
      <c r="C332" s="188">
        <v>3.94</v>
      </c>
      <c r="D332" s="104">
        <f t="shared" si="4"/>
        <v>3.9399999999999998E-2</v>
      </c>
      <c r="F332" s="5"/>
    </row>
    <row r="333" spans="2:6" ht="13.8" hidden="1" outlineLevel="1">
      <c r="B333" s="187">
        <v>23071</v>
      </c>
      <c r="C333" s="188">
        <v>3.93</v>
      </c>
      <c r="D333" s="104">
        <f t="shared" si="4"/>
        <v>3.9300000000000002E-2</v>
      </c>
      <c r="F333" s="5"/>
    </row>
    <row r="334" spans="2:6" ht="13.8" hidden="1" outlineLevel="1">
      <c r="B334" s="187">
        <v>23074</v>
      </c>
      <c r="C334" s="188">
        <v>3.92</v>
      </c>
      <c r="D334" s="104">
        <f t="shared" si="4"/>
        <v>3.9199999999999999E-2</v>
      </c>
      <c r="F334" s="5"/>
    </row>
    <row r="335" spans="2:6" ht="13.8" hidden="1" outlineLevel="1">
      <c r="B335" s="187">
        <v>23075</v>
      </c>
      <c r="C335" s="188">
        <v>3.92</v>
      </c>
      <c r="D335" s="104">
        <f t="shared" si="4"/>
        <v>3.9199999999999999E-2</v>
      </c>
      <c r="F335" s="5"/>
    </row>
    <row r="336" spans="2:6" ht="13.8" hidden="1" outlineLevel="1">
      <c r="B336" s="187">
        <v>23076</v>
      </c>
      <c r="C336" s="188">
        <v>3.91</v>
      </c>
      <c r="D336" s="104">
        <f t="shared" si="4"/>
        <v>3.9100000000000003E-2</v>
      </c>
      <c r="F336" s="5"/>
    </row>
    <row r="337" spans="2:6" ht="13.8" hidden="1" outlineLevel="1">
      <c r="B337" s="187">
        <v>23077</v>
      </c>
      <c r="C337" s="188">
        <v>3.92</v>
      </c>
      <c r="D337" s="104">
        <f t="shared" si="4"/>
        <v>3.9199999999999999E-2</v>
      </c>
      <c r="F337" s="5"/>
    </row>
    <row r="338" spans="2:6" ht="13.8" hidden="1" outlineLevel="1">
      <c r="B338" s="187">
        <v>23078</v>
      </c>
      <c r="C338" s="188">
        <v>3.92</v>
      </c>
      <c r="D338" s="104">
        <f t="shared" si="4"/>
        <v>3.9199999999999999E-2</v>
      </c>
      <c r="F338" s="5"/>
    </row>
    <row r="339" spans="2:6" ht="13.8" hidden="1" outlineLevel="1">
      <c r="B339" s="187">
        <v>23081</v>
      </c>
      <c r="C339" s="188">
        <v>3.92</v>
      </c>
      <c r="D339" s="104">
        <f t="shared" si="4"/>
        <v>3.9199999999999999E-2</v>
      </c>
      <c r="F339" s="5"/>
    </row>
    <row r="340" spans="2:6" ht="13.8" hidden="1" outlineLevel="1">
      <c r="B340" s="187">
        <v>23082</v>
      </c>
      <c r="C340" s="188">
        <v>3.92</v>
      </c>
      <c r="D340" s="104">
        <f t="shared" si="4"/>
        <v>3.9199999999999999E-2</v>
      </c>
      <c r="F340" s="5"/>
    </row>
    <row r="341" spans="2:6" ht="13.8" hidden="1" outlineLevel="1">
      <c r="B341" s="187">
        <v>23083</v>
      </c>
      <c r="C341" s="188">
        <v>3.92</v>
      </c>
      <c r="D341" s="104">
        <f t="shared" si="4"/>
        <v>3.9199999999999999E-2</v>
      </c>
      <c r="F341" s="5"/>
    </row>
    <row r="342" spans="2:6" ht="13.8" hidden="1" outlineLevel="1">
      <c r="B342" s="187">
        <v>23084</v>
      </c>
      <c r="C342" s="188">
        <v>3.92</v>
      </c>
      <c r="D342" s="104">
        <f t="shared" si="4"/>
        <v>3.9199999999999999E-2</v>
      </c>
      <c r="F342" s="5"/>
    </row>
    <row r="343" spans="2:6" ht="13.8" hidden="1" outlineLevel="1">
      <c r="B343" s="187">
        <v>23085</v>
      </c>
      <c r="C343" s="188">
        <v>3.92</v>
      </c>
      <c r="D343" s="104">
        <f t="shared" si="4"/>
        <v>3.9199999999999999E-2</v>
      </c>
      <c r="F343" s="5"/>
    </row>
    <row r="344" spans="2:6" ht="13.8" hidden="1" outlineLevel="1">
      <c r="B344" s="187">
        <v>23088</v>
      </c>
      <c r="C344" s="188">
        <v>3.92</v>
      </c>
      <c r="D344" s="104">
        <f t="shared" si="4"/>
        <v>3.9199999999999999E-2</v>
      </c>
      <c r="F344" s="5"/>
    </row>
    <row r="345" spans="2:6" ht="13.8" hidden="1" outlineLevel="1">
      <c r="B345" s="187">
        <v>23089</v>
      </c>
      <c r="C345" s="188">
        <v>3.92</v>
      </c>
      <c r="D345" s="104">
        <f t="shared" si="4"/>
        <v>3.9199999999999999E-2</v>
      </c>
      <c r="F345" s="5"/>
    </row>
    <row r="346" spans="2:6" ht="13.8" hidden="1" outlineLevel="1">
      <c r="B346" s="187">
        <v>23090</v>
      </c>
      <c r="C346" s="188">
        <v>3.92</v>
      </c>
      <c r="D346" s="104">
        <f t="shared" si="4"/>
        <v>3.9199999999999999E-2</v>
      </c>
      <c r="F346" s="5"/>
    </row>
    <row r="347" spans="2:6" ht="13.8" hidden="1" outlineLevel="1">
      <c r="B347" s="187">
        <v>23091</v>
      </c>
      <c r="C347" s="188">
        <v>3.92</v>
      </c>
      <c r="D347" s="104">
        <f t="shared" si="4"/>
        <v>3.9199999999999999E-2</v>
      </c>
      <c r="F347" s="5"/>
    </row>
    <row r="348" spans="2:6" ht="13.8" hidden="1" outlineLevel="1">
      <c r="B348" s="187">
        <v>23092</v>
      </c>
      <c r="C348" s="188">
        <v>3.93</v>
      </c>
      <c r="D348" s="104">
        <f t="shared" si="4"/>
        <v>3.9300000000000002E-2</v>
      </c>
      <c r="F348" s="5"/>
    </row>
    <row r="349" spans="2:6" ht="13.8" hidden="1" outlineLevel="1">
      <c r="B349" s="187">
        <v>23095</v>
      </c>
      <c r="C349" s="188">
        <v>3.94</v>
      </c>
      <c r="D349" s="104">
        <f t="shared" si="4"/>
        <v>3.9399999999999998E-2</v>
      </c>
      <c r="F349" s="5"/>
    </row>
    <row r="350" spans="2:6" ht="13.8" hidden="1" outlineLevel="1">
      <c r="B350" s="187">
        <v>23096</v>
      </c>
      <c r="C350" s="188">
        <v>3.96</v>
      </c>
      <c r="D350" s="104">
        <f t="shared" ref="D350:D413" si="5">IF( LEN( C350 ) = 0, #N/A, IF( C350 = "ND", D349, C350 / 100 ) )</f>
        <v>3.9599999999999996E-2</v>
      </c>
      <c r="F350" s="5"/>
    </row>
    <row r="351" spans="2:6" ht="13.8" hidden="1" outlineLevel="1">
      <c r="B351" s="187">
        <v>23097</v>
      </c>
      <c r="C351" s="188">
        <v>3.96</v>
      </c>
      <c r="D351" s="104">
        <f t="shared" si="5"/>
        <v>3.9599999999999996E-2</v>
      </c>
      <c r="F351" s="5"/>
    </row>
    <row r="352" spans="2:6" ht="13.8" hidden="1" outlineLevel="1">
      <c r="B352" s="187">
        <v>23098</v>
      </c>
      <c r="C352" s="188">
        <v>3.96</v>
      </c>
      <c r="D352" s="104">
        <f t="shared" si="5"/>
        <v>3.9599999999999996E-2</v>
      </c>
      <c r="F352" s="5"/>
    </row>
    <row r="353" spans="2:6" ht="13.8" hidden="1" outlineLevel="1">
      <c r="B353" s="187">
        <v>23099</v>
      </c>
      <c r="C353" s="188">
        <v>3.95</v>
      </c>
      <c r="D353" s="104">
        <f t="shared" si="5"/>
        <v>3.95E-2</v>
      </c>
      <c r="F353" s="5"/>
    </row>
    <row r="354" spans="2:6" ht="13.8" hidden="1" outlineLevel="1">
      <c r="B354" s="187">
        <v>23102</v>
      </c>
      <c r="C354" s="188">
        <v>3.95</v>
      </c>
      <c r="D354" s="104">
        <f t="shared" si="5"/>
        <v>3.95E-2</v>
      </c>
      <c r="F354" s="5"/>
    </row>
    <row r="355" spans="2:6" ht="13.8" hidden="1" outlineLevel="1">
      <c r="B355" s="187">
        <v>23103</v>
      </c>
      <c r="C355" s="188">
        <v>3.96</v>
      </c>
      <c r="D355" s="104">
        <f t="shared" si="5"/>
        <v>3.9599999999999996E-2</v>
      </c>
      <c r="F355" s="5"/>
    </row>
    <row r="356" spans="2:6" ht="13.8" hidden="1" outlineLevel="1">
      <c r="B356" s="187">
        <v>23104</v>
      </c>
      <c r="C356" s="188">
        <v>3.96</v>
      </c>
      <c r="D356" s="104">
        <f t="shared" si="5"/>
        <v>3.9599999999999996E-2</v>
      </c>
      <c r="F356" s="5"/>
    </row>
    <row r="357" spans="2:6" ht="13.8" hidden="1" outlineLevel="1">
      <c r="B357" s="187">
        <v>23105</v>
      </c>
      <c r="C357" s="188">
        <v>3.95</v>
      </c>
      <c r="D357" s="104">
        <f t="shared" si="5"/>
        <v>3.95E-2</v>
      </c>
      <c r="F357" s="5"/>
    </row>
    <row r="358" spans="2:6" ht="13.8" hidden="1" outlineLevel="1">
      <c r="B358" s="187">
        <v>23106</v>
      </c>
      <c r="C358" s="188">
        <v>3.95</v>
      </c>
      <c r="D358" s="104">
        <f t="shared" si="5"/>
        <v>3.95E-2</v>
      </c>
      <c r="F358" s="5"/>
    </row>
    <row r="359" spans="2:6" ht="13.8" hidden="1" outlineLevel="1">
      <c r="B359" s="187">
        <v>23109</v>
      </c>
      <c r="C359" s="188">
        <v>3.97</v>
      </c>
      <c r="D359" s="104">
        <f t="shared" si="5"/>
        <v>3.9699999999999999E-2</v>
      </c>
      <c r="F359" s="5"/>
    </row>
    <row r="360" spans="2:6" ht="13.8" hidden="1" outlineLevel="1">
      <c r="B360" s="187">
        <v>23110</v>
      </c>
      <c r="C360" s="188">
        <v>3.98</v>
      </c>
      <c r="D360" s="104">
        <f t="shared" si="5"/>
        <v>3.9800000000000002E-2</v>
      </c>
      <c r="F360" s="5"/>
    </row>
    <row r="361" spans="2:6" ht="13.8" hidden="1" outlineLevel="1">
      <c r="B361" s="187">
        <v>23111</v>
      </c>
      <c r="C361" s="188">
        <v>4</v>
      </c>
      <c r="D361" s="104">
        <f t="shared" si="5"/>
        <v>0.04</v>
      </c>
      <c r="F361" s="5"/>
    </row>
    <row r="362" spans="2:6" ht="13.8" hidden="1" outlineLevel="1">
      <c r="B362" s="187">
        <v>23112</v>
      </c>
      <c r="C362" s="188">
        <v>4</v>
      </c>
      <c r="D362" s="104">
        <f t="shared" si="5"/>
        <v>0.04</v>
      </c>
      <c r="F362" s="5"/>
    </row>
    <row r="363" spans="2:6" ht="13.8" hidden="1" outlineLevel="1">
      <c r="B363" s="187">
        <v>23113</v>
      </c>
      <c r="C363" s="188" t="s">
        <v>380</v>
      </c>
      <c r="D363" s="104">
        <f t="shared" si="5"/>
        <v>0.04</v>
      </c>
      <c r="F363" s="5"/>
    </row>
    <row r="364" spans="2:6" ht="13.8" hidden="1" outlineLevel="1">
      <c r="B364" s="187">
        <v>23116</v>
      </c>
      <c r="C364" s="188">
        <v>4.01</v>
      </c>
      <c r="D364" s="104">
        <f t="shared" si="5"/>
        <v>4.0099999999999997E-2</v>
      </c>
      <c r="F364" s="5"/>
    </row>
    <row r="365" spans="2:6" ht="13.8" hidden="1" outlineLevel="1">
      <c r="B365" s="187">
        <v>23117</v>
      </c>
      <c r="C365" s="188">
        <v>4</v>
      </c>
      <c r="D365" s="104">
        <f t="shared" si="5"/>
        <v>0.04</v>
      </c>
      <c r="F365" s="5"/>
    </row>
    <row r="366" spans="2:6" ht="13.8" hidden="1" outlineLevel="1">
      <c r="B366" s="187">
        <v>23118</v>
      </c>
      <c r="C366" s="188">
        <v>4</v>
      </c>
      <c r="D366" s="104">
        <f t="shared" si="5"/>
        <v>0.04</v>
      </c>
      <c r="F366" s="5"/>
    </row>
    <row r="367" spans="2:6" ht="13.8" hidden="1" outlineLevel="1">
      <c r="B367" s="187">
        <v>23119</v>
      </c>
      <c r="C367" s="188">
        <v>3.99</v>
      </c>
      <c r="D367" s="104">
        <f t="shared" si="5"/>
        <v>3.9900000000000005E-2</v>
      </c>
      <c r="F367" s="5"/>
    </row>
    <row r="368" spans="2:6" ht="13.8" hidden="1" outlineLevel="1">
      <c r="B368" s="187">
        <v>23120</v>
      </c>
      <c r="C368" s="188">
        <v>3.97</v>
      </c>
      <c r="D368" s="104">
        <f t="shared" si="5"/>
        <v>3.9699999999999999E-2</v>
      </c>
      <c r="F368" s="5"/>
    </row>
    <row r="369" spans="2:6" ht="13.8" hidden="1" outlineLevel="1">
      <c r="B369" s="187">
        <v>23123</v>
      </c>
      <c r="C369" s="188">
        <v>3.97</v>
      </c>
      <c r="D369" s="104">
        <f t="shared" si="5"/>
        <v>3.9699999999999999E-2</v>
      </c>
      <c r="F369" s="5"/>
    </row>
    <row r="370" spans="2:6" ht="13.8" hidden="1" outlineLevel="1">
      <c r="B370" s="187">
        <v>23124</v>
      </c>
      <c r="C370" s="188">
        <v>3.97</v>
      </c>
      <c r="D370" s="104">
        <f t="shared" si="5"/>
        <v>3.9699999999999999E-2</v>
      </c>
      <c r="F370" s="5"/>
    </row>
    <row r="371" spans="2:6" ht="13.8" hidden="1" outlineLevel="1">
      <c r="B371" s="187">
        <v>23125</v>
      </c>
      <c r="C371" s="188">
        <v>3.96</v>
      </c>
      <c r="D371" s="104">
        <f t="shared" si="5"/>
        <v>3.9599999999999996E-2</v>
      </c>
      <c r="F371" s="5"/>
    </row>
    <row r="372" spans="2:6" ht="13.8" hidden="1" outlineLevel="1">
      <c r="B372" s="187">
        <v>23126</v>
      </c>
      <c r="C372" s="188">
        <v>3.95</v>
      </c>
      <c r="D372" s="104">
        <f t="shared" si="5"/>
        <v>3.95E-2</v>
      </c>
      <c r="F372" s="5"/>
    </row>
    <row r="373" spans="2:6" ht="13.8" hidden="1" outlineLevel="1">
      <c r="B373" s="187">
        <v>23127</v>
      </c>
      <c r="C373" s="188">
        <v>3.95</v>
      </c>
      <c r="D373" s="104">
        <f t="shared" si="5"/>
        <v>3.95E-2</v>
      </c>
      <c r="F373" s="5"/>
    </row>
    <row r="374" spans="2:6" ht="13.8" hidden="1" outlineLevel="1">
      <c r="B374" s="187">
        <v>23130</v>
      </c>
      <c r="C374" s="188">
        <v>3.95</v>
      </c>
      <c r="D374" s="104">
        <f t="shared" si="5"/>
        <v>3.95E-2</v>
      </c>
      <c r="F374" s="5"/>
    </row>
    <row r="375" spans="2:6" ht="13.8" hidden="1" outlineLevel="1">
      <c r="B375" s="187">
        <v>23131</v>
      </c>
      <c r="C375" s="188">
        <v>3.95</v>
      </c>
      <c r="D375" s="104">
        <f t="shared" si="5"/>
        <v>3.95E-2</v>
      </c>
      <c r="F375" s="5"/>
    </row>
    <row r="376" spans="2:6" ht="13.8" hidden="1" outlineLevel="1">
      <c r="B376" s="187">
        <v>23132</v>
      </c>
      <c r="C376" s="188">
        <v>3.94</v>
      </c>
      <c r="D376" s="104">
        <f t="shared" si="5"/>
        <v>3.9399999999999998E-2</v>
      </c>
      <c r="F376" s="5"/>
    </row>
    <row r="377" spans="2:6" ht="13.8" hidden="1" outlineLevel="1">
      <c r="B377" s="187">
        <v>23133</v>
      </c>
      <c r="C377" s="188">
        <v>3.94</v>
      </c>
      <c r="D377" s="104">
        <f t="shared" si="5"/>
        <v>3.9399999999999998E-2</v>
      </c>
      <c r="F377" s="5"/>
    </row>
    <row r="378" spans="2:6" ht="13.8" hidden="1" outlineLevel="1">
      <c r="B378" s="187">
        <v>23134</v>
      </c>
      <c r="C378" s="188">
        <v>3.93</v>
      </c>
      <c r="D378" s="104">
        <f t="shared" si="5"/>
        <v>3.9300000000000002E-2</v>
      </c>
      <c r="F378" s="5"/>
    </row>
    <row r="379" spans="2:6" ht="13.8" hidden="1" outlineLevel="1">
      <c r="B379" s="187">
        <v>23137</v>
      </c>
      <c r="C379" s="188">
        <v>3.92</v>
      </c>
      <c r="D379" s="104">
        <f t="shared" si="5"/>
        <v>3.9199999999999999E-2</v>
      </c>
      <c r="F379" s="5"/>
    </row>
    <row r="380" spans="2:6" ht="13.8" hidden="1" outlineLevel="1">
      <c r="B380" s="187">
        <v>23138</v>
      </c>
      <c r="C380" s="188">
        <v>3.91</v>
      </c>
      <c r="D380" s="104">
        <f t="shared" si="5"/>
        <v>3.9100000000000003E-2</v>
      </c>
      <c r="F380" s="5"/>
    </row>
    <row r="381" spans="2:6" ht="13.8" hidden="1" outlineLevel="1">
      <c r="B381" s="187">
        <v>23139</v>
      </c>
      <c r="C381" s="188">
        <v>3.92</v>
      </c>
      <c r="D381" s="104">
        <f t="shared" si="5"/>
        <v>3.9199999999999999E-2</v>
      </c>
      <c r="F381" s="5"/>
    </row>
    <row r="382" spans="2:6" ht="13.8" hidden="1" outlineLevel="1">
      <c r="B382" s="187">
        <v>23140</v>
      </c>
      <c r="C382" s="188">
        <v>3.93</v>
      </c>
      <c r="D382" s="104">
        <f t="shared" si="5"/>
        <v>3.9300000000000002E-2</v>
      </c>
      <c r="F382" s="5"/>
    </row>
    <row r="383" spans="2:6" ht="13.8" hidden="1" outlineLevel="1">
      <c r="B383" s="187">
        <v>23141</v>
      </c>
      <c r="C383" s="188">
        <v>3.93</v>
      </c>
      <c r="D383" s="104">
        <f t="shared" si="5"/>
        <v>3.9300000000000002E-2</v>
      </c>
      <c r="F383" s="5"/>
    </row>
    <row r="384" spans="2:6" ht="13.8" hidden="1" outlineLevel="1">
      <c r="B384" s="187">
        <v>23144</v>
      </c>
      <c r="C384" s="188">
        <v>3.92</v>
      </c>
      <c r="D384" s="104">
        <f t="shared" si="5"/>
        <v>3.9199999999999999E-2</v>
      </c>
      <c r="F384" s="5"/>
    </row>
    <row r="385" spans="2:6" ht="13.8" hidden="1" outlineLevel="1">
      <c r="B385" s="187">
        <v>23145</v>
      </c>
      <c r="C385" s="188">
        <v>3.91</v>
      </c>
      <c r="D385" s="104">
        <f t="shared" si="5"/>
        <v>3.9100000000000003E-2</v>
      </c>
      <c r="F385" s="5"/>
    </row>
    <row r="386" spans="2:6" ht="13.8" hidden="1" outlineLevel="1">
      <c r="B386" s="187">
        <v>23146</v>
      </c>
      <c r="C386" s="188">
        <v>3.91</v>
      </c>
      <c r="D386" s="104">
        <f t="shared" si="5"/>
        <v>3.9100000000000003E-2</v>
      </c>
      <c r="F386" s="5"/>
    </row>
    <row r="387" spans="2:6" ht="13.8" hidden="1" outlineLevel="1">
      <c r="B387" s="187">
        <v>23147</v>
      </c>
      <c r="C387" s="188">
        <v>3.9</v>
      </c>
      <c r="D387" s="104">
        <f t="shared" si="5"/>
        <v>3.9E-2</v>
      </c>
      <c r="F387" s="5"/>
    </row>
    <row r="388" spans="2:6" ht="13.8" hidden="1" outlineLevel="1">
      <c r="B388" s="187">
        <v>23148</v>
      </c>
      <c r="C388" s="188">
        <v>3.92</v>
      </c>
      <c r="D388" s="104">
        <f t="shared" si="5"/>
        <v>3.9199999999999999E-2</v>
      </c>
      <c r="F388" s="5"/>
    </row>
    <row r="389" spans="2:6" ht="13.8" hidden="1" outlineLevel="1">
      <c r="B389" s="187">
        <v>23151</v>
      </c>
      <c r="C389" s="188">
        <v>3.93</v>
      </c>
      <c r="D389" s="104">
        <f t="shared" si="5"/>
        <v>3.9300000000000002E-2</v>
      </c>
      <c r="F389" s="5"/>
    </row>
    <row r="390" spans="2:6" ht="13.8" hidden="1" outlineLevel="1">
      <c r="B390" s="187">
        <v>23152</v>
      </c>
      <c r="C390" s="188">
        <v>3.92</v>
      </c>
      <c r="D390" s="104">
        <f t="shared" si="5"/>
        <v>3.9199999999999999E-2</v>
      </c>
      <c r="F390" s="5"/>
    </row>
    <row r="391" spans="2:6" ht="13.8" hidden="1" outlineLevel="1">
      <c r="B391" s="187">
        <v>23153</v>
      </c>
      <c r="C391" s="188">
        <v>3.92</v>
      </c>
      <c r="D391" s="104">
        <f t="shared" si="5"/>
        <v>3.9199999999999999E-2</v>
      </c>
      <c r="F391" s="5"/>
    </row>
    <row r="392" spans="2:6" ht="13.8" hidden="1" outlineLevel="1">
      <c r="B392" s="187">
        <v>23154</v>
      </c>
      <c r="C392" s="188">
        <v>3.93</v>
      </c>
      <c r="D392" s="104">
        <f t="shared" si="5"/>
        <v>3.9300000000000002E-2</v>
      </c>
      <c r="F392" s="5"/>
    </row>
    <row r="393" spans="2:6" ht="13.8" hidden="1" outlineLevel="1">
      <c r="B393" s="187">
        <v>23155</v>
      </c>
      <c r="C393" s="188">
        <v>3.95</v>
      </c>
      <c r="D393" s="104">
        <f t="shared" si="5"/>
        <v>3.95E-2</v>
      </c>
      <c r="F393" s="5"/>
    </row>
    <row r="394" spans="2:6" ht="13.8" hidden="1" outlineLevel="1">
      <c r="B394" s="187">
        <v>23158</v>
      </c>
      <c r="C394" s="188">
        <v>3.95</v>
      </c>
      <c r="D394" s="104">
        <f t="shared" si="5"/>
        <v>3.95E-2</v>
      </c>
      <c r="F394" s="5"/>
    </row>
    <row r="395" spans="2:6" ht="13.8" hidden="1" outlineLevel="1">
      <c r="B395" s="187">
        <v>23159</v>
      </c>
      <c r="C395" s="188">
        <v>3.96</v>
      </c>
      <c r="D395" s="104">
        <f t="shared" si="5"/>
        <v>3.9599999999999996E-2</v>
      </c>
      <c r="F395" s="5"/>
    </row>
    <row r="396" spans="2:6" ht="13.8" hidden="1" outlineLevel="1">
      <c r="B396" s="187">
        <v>23160</v>
      </c>
      <c r="C396" s="188">
        <v>3.96</v>
      </c>
      <c r="D396" s="104">
        <f t="shared" si="5"/>
        <v>3.9599999999999996E-2</v>
      </c>
      <c r="F396" s="5"/>
    </row>
    <row r="397" spans="2:6" ht="13.8" hidden="1" outlineLevel="1">
      <c r="B397" s="187">
        <v>23161</v>
      </c>
      <c r="C397" s="188" t="s">
        <v>380</v>
      </c>
      <c r="D397" s="104">
        <f t="shared" si="5"/>
        <v>3.9599999999999996E-2</v>
      </c>
      <c r="F397" s="5"/>
    </row>
    <row r="398" spans="2:6" ht="13.8" hidden="1" outlineLevel="1">
      <c r="B398" s="187">
        <v>23162</v>
      </c>
      <c r="C398" s="188">
        <v>3.96</v>
      </c>
      <c r="D398" s="104">
        <f t="shared" si="5"/>
        <v>3.9599999999999996E-2</v>
      </c>
      <c r="F398" s="5"/>
    </row>
    <row r="399" spans="2:6" ht="13.8" hidden="1" outlineLevel="1">
      <c r="B399" s="187">
        <v>23165</v>
      </c>
      <c r="C399" s="188">
        <v>3.98</v>
      </c>
      <c r="D399" s="104">
        <f t="shared" si="5"/>
        <v>3.9800000000000002E-2</v>
      </c>
      <c r="F399" s="5"/>
    </row>
    <row r="400" spans="2:6" ht="13.8" hidden="1" outlineLevel="1">
      <c r="B400" s="187">
        <v>23166</v>
      </c>
      <c r="C400" s="188">
        <v>3.98</v>
      </c>
      <c r="D400" s="104">
        <f t="shared" si="5"/>
        <v>3.9800000000000002E-2</v>
      </c>
      <c r="F400" s="5"/>
    </row>
    <row r="401" spans="2:6" ht="13.8" hidden="1" outlineLevel="1">
      <c r="B401" s="187">
        <v>23167</v>
      </c>
      <c r="C401" s="188">
        <v>3.98</v>
      </c>
      <c r="D401" s="104">
        <f t="shared" si="5"/>
        <v>3.9800000000000002E-2</v>
      </c>
      <c r="F401" s="5"/>
    </row>
    <row r="402" spans="2:6" ht="13.8" hidden="1" outlineLevel="1">
      <c r="B402" s="187">
        <v>23168</v>
      </c>
      <c r="C402" s="188">
        <v>3.99</v>
      </c>
      <c r="D402" s="104">
        <f t="shared" si="5"/>
        <v>3.9900000000000005E-2</v>
      </c>
      <c r="F402" s="5"/>
    </row>
    <row r="403" spans="2:6" ht="13.8" hidden="1" outlineLevel="1">
      <c r="B403" s="187">
        <v>23169</v>
      </c>
      <c r="C403" s="188">
        <v>3.99</v>
      </c>
      <c r="D403" s="104">
        <f t="shared" si="5"/>
        <v>3.9900000000000005E-2</v>
      </c>
      <c r="F403" s="5"/>
    </row>
    <row r="404" spans="2:6" ht="13.8" hidden="1" outlineLevel="1">
      <c r="B404" s="187">
        <v>23172</v>
      </c>
      <c r="C404" s="188">
        <v>3.99</v>
      </c>
      <c r="D404" s="104">
        <f t="shared" si="5"/>
        <v>3.9900000000000005E-2</v>
      </c>
      <c r="F404" s="5"/>
    </row>
    <row r="405" spans="2:6" ht="13.8" hidden="1" outlineLevel="1">
      <c r="B405" s="187">
        <v>23173</v>
      </c>
      <c r="C405" s="188">
        <v>3.98</v>
      </c>
      <c r="D405" s="104">
        <f t="shared" si="5"/>
        <v>3.9800000000000002E-2</v>
      </c>
      <c r="F405" s="5"/>
    </row>
    <row r="406" spans="2:6" ht="13.8" hidden="1" outlineLevel="1">
      <c r="B406" s="187">
        <v>23174</v>
      </c>
      <c r="C406" s="188">
        <v>3.99</v>
      </c>
      <c r="D406" s="104">
        <f t="shared" si="5"/>
        <v>3.9900000000000005E-2</v>
      </c>
      <c r="F406" s="5"/>
    </row>
    <row r="407" spans="2:6" ht="13.8" hidden="1" outlineLevel="1">
      <c r="B407" s="187">
        <v>23175</v>
      </c>
      <c r="C407" s="188">
        <v>3.99</v>
      </c>
      <c r="D407" s="104">
        <f t="shared" si="5"/>
        <v>3.9900000000000005E-2</v>
      </c>
      <c r="F407" s="5"/>
    </row>
    <row r="408" spans="2:6" ht="13.8" hidden="1" outlineLevel="1">
      <c r="B408" s="187">
        <v>23176</v>
      </c>
      <c r="C408" s="188">
        <v>3.99</v>
      </c>
      <c r="D408" s="104">
        <f t="shared" si="5"/>
        <v>3.9900000000000005E-2</v>
      </c>
      <c r="F408" s="5"/>
    </row>
    <row r="409" spans="2:6" ht="13.8" hidden="1" outlineLevel="1">
      <c r="B409" s="187">
        <v>23179</v>
      </c>
      <c r="C409" s="188">
        <v>4</v>
      </c>
      <c r="D409" s="104">
        <f t="shared" si="5"/>
        <v>0.04</v>
      </c>
      <c r="F409" s="5"/>
    </row>
    <row r="410" spans="2:6" ht="13.8" hidden="1" outlineLevel="1">
      <c r="B410" s="187">
        <v>23180</v>
      </c>
      <c r="C410" s="188">
        <v>4</v>
      </c>
      <c r="D410" s="104">
        <f t="shared" si="5"/>
        <v>0.04</v>
      </c>
      <c r="F410" s="5"/>
    </row>
    <row r="411" spans="2:6" ht="13.8" hidden="1" outlineLevel="1">
      <c r="B411" s="187">
        <v>23181</v>
      </c>
      <c r="C411" s="188">
        <v>4</v>
      </c>
      <c r="D411" s="104">
        <f t="shared" si="5"/>
        <v>0.04</v>
      </c>
      <c r="F411" s="5"/>
    </row>
    <row r="412" spans="2:6" ht="13.8" hidden="1" outlineLevel="1">
      <c r="B412" s="187">
        <v>23182</v>
      </c>
      <c r="C412" s="188">
        <v>4</v>
      </c>
      <c r="D412" s="104">
        <f t="shared" si="5"/>
        <v>0.04</v>
      </c>
      <c r="F412" s="5"/>
    </row>
    <row r="413" spans="2:6" ht="13.8" hidden="1" outlineLevel="1">
      <c r="B413" s="187">
        <v>23183</v>
      </c>
      <c r="C413" s="188">
        <v>4</v>
      </c>
      <c r="D413" s="104">
        <f t="shared" si="5"/>
        <v>0.04</v>
      </c>
      <c r="F413" s="5"/>
    </row>
    <row r="414" spans="2:6" ht="13.8" hidden="1" outlineLevel="1">
      <c r="B414" s="187">
        <v>23186</v>
      </c>
      <c r="C414" s="188">
        <v>4</v>
      </c>
      <c r="D414" s="104">
        <f t="shared" ref="D414:D477" si="6">IF( LEN( C414 ) = 0, #N/A, IF( C414 = "ND", D413, C414 / 100 ) )</f>
        <v>0.04</v>
      </c>
      <c r="F414" s="5"/>
    </row>
    <row r="415" spans="2:6" ht="13.8" hidden="1" outlineLevel="1">
      <c r="B415" s="187">
        <v>23187</v>
      </c>
      <c r="C415" s="188">
        <v>4</v>
      </c>
      <c r="D415" s="104">
        <f t="shared" si="6"/>
        <v>0.04</v>
      </c>
      <c r="F415" s="5"/>
    </row>
    <row r="416" spans="2:6" ht="13.8" hidden="1" outlineLevel="1">
      <c r="B416" s="187">
        <v>23188</v>
      </c>
      <c r="C416" s="188">
        <v>4</v>
      </c>
      <c r="D416" s="104">
        <f t="shared" si="6"/>
        <v>0.04</v>
      </c>
      <c r="F416" s="5"/>
    </row>
    <row r="417" spans="2:6" ht="13.8" hidden="1" outlineLevel="1">
      <c r="B417" s="187">
        <v>23189</v>
      </c>
      <c r="C417" s="188">
        <v>4</v>
      </c>
      <c r="D417" s="104">
        <f t="shared" si="6"/>
        <v>0.04</v>
      </c>
      <c r="F417" s="5"/>
    </row>
    <row r="418" spans="2:6" ht="13.8" hidden="1" outlineLevel="1">
      <c r="B418" s="187">
        <v>23190</v>
      </c>
      <c r="C418" s="188">
        <v>4</v>
      </c>
      <c r="D418" s="104">
        <f t="shared" si="6"/>
        <v>0.04</v>
      </c>
      <c r="F418" s="5"/>
    </row>
    <row r="419" spans="2:6" ht="13.8" hidden="1" outlineLevel="1">
      <c r="B419" s="187">
        <v>23193</v>
      </c>
      <c r="C419" s="188">
        <v>4.01</v>
      </c>
      <c r="D419" s="104">
        <f t="shared" si="6"/>
        <v>4.0099999999999997E-2</v>
      </c>
      <c r="F419" s="5"/>
    </row>
    <row r="420" spans="2:6" ht="13.8" hidden="1" outlineLevel="1">
      <c r="B420" s="187">
        <v>23194</v>
      </c>
      <c r="C420" s="188">
        <v>4.03</v>
      </c>
      <c r="D420" s="104">
        <f t="shared" si="6"/>
        <v>4.0300000000000002E-2</v>
      </c>
      <c r="F420" s="5"/>
    </row>
    <row r="421" spans="2:6" ht="13.8" hidden="1" outlineLevel="1">
      <c r="B421" s="187">
        <v>23195</v>
      </c>
      <c r="C421" s="188">
        <v>4.03</v>
      </c>
      <c r="D421" s="104">
        <f t="shared" si="6"/>
        <v>4.0300000000000002E-2</v>
      </c>
      <c r="F421" s="5"/>
    </row>
    <row r="422" spans="2:6" ht="13.8" hidden="1" outlineLevel="1">
      <c r="B422" s="187">
        <v>23196</v>
      </c>
      <c r="C422" s="188" t="s">
        <v>380</v>
      </c>
      <c r="D422" s="104">
        <f t="shared" si="6"/>
        <v>4.0300000000000002E-2</v>
      </c>
      <c r="F422" s="5"/>
    </row>
    <row r="423" spans="2:6" ht="13.8" hidden="1" outlineLevel="1">
      <c r="B423" s="187">
        <v>23197</v>
      </c>
      <c r="C423" s="188">
        <v>4.04</v>
      </c>
      <c r="D423" s="104">
        <f t="shared" si="6"/>
        <v>4.0399999999999998E-2</v>
      </c>
      <c r="F423" s="5"/>
    </row>
    <row r="424" spans="2:6" ht="13.8" hidden="1" outlineLevel="1">
      <c r="B424" s="187">
        <v>23200</v>
      </c>
      <c r="C424" s="188">
        <v>4.05</v>
      </c>
      <c r="D424" s="104">
        <f t="shared" si="6"/>
        <v>4.0500000000000001E-2</v>
      </c>
      <c r="F424" s="5"/>
    </row>
    <row r="425" spans="2:6" ht="13.8" hidden="1" outlineLevel="1">
      <c r="B425" s="187">
        <v>23201</v>
      </c>
      <c r="C425" s="188">
        <v>4.04</v>
      </c>
      <c r="D425" s="104">
        <f t="shared" si="6"/>
        <v>4.0399999999999998E-2</v>
      </c>
      <c r="F425" s="5"/>
    </row>
    <row r="426" spans="2:6" ht="13.8" hidden="1" outlineLevel="1">
      <c r="B426" s="187">
        <v>23202</v>
      </c>
      <c r="C426" s="188">
        <v>4.03</v>
      </c>
      <c r="D426" s="104">
        <f t="shared" si="6"/>
        <v>4.0300000000000002E-2</v>
      </c>
      <c r="F426" s="5"/>
    </row>
    <row r="427" spans="2:6" ht="13.8" hidden="1" outlineLevel="1">
      <c r="B427" s="187">
        <v>23203</v>
      </c>
      <c r="C427" s="188">
        <v>4.04</v>
      </c>
      <c r="D427" s="104">
        <f t="shared" si="6"/>
        <v>4.0399999999999998E-2</v>
      </c>
      <c r="F427" s="5"/>
    </row>
    <row r="428" spans="2:6" ht="13.8" hidden="1" outlineLevel="1">
      <c r="B428" s="187">
        <v>23204</v>
      </c>
      <c r="C428" s="188">
        <v>4.03</v>
      </c>
      <c r="D428" s="104">
        <f t="shared" si="6"/>
        <v>4.0300000000000002E-2</v>
      </c>
      <c r="F428" s="5"/>
    </row>
    <row r="429" spans="2:6" ht="13.8" hidden="1" outlineLevel="1">
      <c r="B429" s="187">
        <v>23207</v>
      </c>
      <c r="C429" s="188">
        <v>4.0199999999999996</v>
      </c>
      <c r="D429" s="104">
        <f t="shared" si="6"/>
        <v>4.0199999999999993E-2</v>
      </c>
      <c r="F429" s="5"/>
    </row>
    <row r="430" spans="2:6" ht="13.8" hidden="1" outlineLevel="1">
      <c r="B430" s="187">
        <v>23208</v>
      </c>
      <c r="C430" s="188">
        <v>4.0199999999999996</v>
      </c>
      <c r="D430" s="104">
        <f t="shared" si="6"/>
        <v>4.0199999999999993E-2</v>
      </c>
      <c r="F430" s="5"/>
    </row>
    <row r="431" spans="2:6" ht="13.8" hidden="1" outlineLevel="1">
      <c r="B431" s="187">
        <v>23209</v>
      </c>
      <c r="C431" s="188">
        <v>4.03</v>
      </c>
      <c r="D431" s="104">
        <f t="shared" si="6"/>
        <v>4.0300000000000002E-2</v>
      </c>
      <c r="F431" s="5"/>
    </row>
    <row r="432" spans="2:6" ht="13.8" hidden="1" outlineLevel="1">
      <c r="B432" s="187">
        <v>23210</v>
      </c>
      <c r="C432" s="188">
        <v>4.0199999999999996</v>
      </c>
      <c r="D432" s="104">
        <f t="shared" si="6"/>
        <v>4.0199999999999993E-2</v>
      </c>
      <c r="F432" s="5"/>
    </row>
    <row r="433" spans="2:6" ht="13.8" hidden="1" outlineLevel="1">
      <c r="B433" s="187">
        <v>23211</v>
      </c>
      <c r="C433" s="188">
        <v>4.0199999999999996</v>
      </c>
      <c r="D433" s="104">
        <f t="shared" si="6"/>
        <v>4.0199999999999993E-2</v>
      </c>
      <c r="F433" s="5"/>
    </row>
    <row r="434" spans="2:6" ht="13.8" hidden="1" outlineLevel="1">
      <c r="B434" s="187">
        <v>23214</v>
      </c>
      <c r="C434" s="188">
        <v>4.0199999999999996</v>
      </c>
      <c r="D434" s="104">
        <f t="shared" si="6"/>
        <v>4.0199999999999993E-2</v>
      </c>
      <c r="F434" s="5"/>
    </row>
    <row r="435" spans="2:6" ht="13.8" hidden="1" outlineLevel="1">
      <c r="B435" s="187">
        <v>23215</v>
      </c>
      <c r="C435" s="188">
        <v>4.0199999999999996</v>
      </c>
      <c r="D435" s="104">
        <f t="shared" si="6"/>
        <v>4.0199999999999993E-2</v>
      </c>
      <c r="F435" s="5"/>
    </row>
    <row r="436" spans="2:6" ht="13.8" hidden="1" outlineLevel="1">
      <c r="B436" s="187">
        <v>23216</v>
      </c>
      <c r="C436" s="188">
        <v>4.01</v>
      </c>
      <c r="D436" s="104">
        <f t="shared" si="6"/>
        <v>4.0099999999999997E-2</v>
      </c>
      <c r="F436" s="5"/>
    </row>
    <row r="437" spans="2:6" ht="13.8" hidden="1" outlineLevel="1">
      <c r="B437" s="187">
        <v>23217</v>
      </c>
      <c r="C437" s="188">
        <v>4.01</v>
      </c>
      <c r="D437" s="104">
        <f t="shared" si="6"/>
        <v>4.0099999999999997E-2</v>
      </c>
      <c r="F437" s="5"/>
    </row>
    <row r="438" spans="2:6" ht="13.8" hidden="1" outlineLevel="1">
      <c r="B438" s="187">
        <v>23218</v>
      </c>
      <c r="C438" s="188">
        <v>3.99</v>
      </c>
      <c r="D438" s="104">
        <f t="shared" si="6"/>
        <v>3.9900000000000005E-2</v>
      </c>
      <c r="F438" s="5"/>
    </row>
    <row r="439" spans="2:6" ht="13.8" hidden="1" outlineLevel="1">
      <c r="B439" s="187">
        <v>23221</v>
      </c>
      <c r="C439" s="188">
        <v>3.99</v>
      </c>
      <c r="D439" s="104">
        <f t="shared" si="6"/>
        <v>3.9900000000000005E-2</v>
      </c>
      <c r="F439" s="5"/>
    </row>
    <row r="440" spans="2:6" ht="13.8" hidden="1" outlineLevel="1">
      <c r="B440" s="187">
        <v>23222</v>
      </c>
      <c r="C440" s="188">
        <v>4</v>
      </c>
      <c r="D440" s="104">
        <f t="shared" si="6"/>
        <v>0.04</v>
      </c>
      <c r="F440" s="5"/>
    </row>
    <row r="441" spans="2:6" ht="13.8" hidden="1" outlineLevel="1">
      <c r="B441" s="187">
        <v>23223</v>
      </c>
      <c r="C441" s="188">
        <v>4</v>
      </c>
      <c r="D441" s="104">
        <f t="shared" si="6"/>
        <v>0.04</v>
      </c>
      <c r="F441" s="5"/>
    </row>
    <row r="442" spans="2:6" ht="13.8" hidden="1" outlineLevel="1">
      <c r="B442" s="187">
        <v>23224</v>
      </c>
      <c r="C442" s="188">
        <v>3.99</v>
      </c>
      <c r="D442" s="104">
        <f t="shared" si="6"/>
        <v>3.9900000000000005E-2</v>
      </c>
      <c r="F442" s="5"/>
    </row>
    <row r="443" spans="2:6" ht="13.8" hidden="1" outlineLevel="1">
      <c r="B443" s="187">
        <v>23225</v>
      </c>
      <c r="C443" s="188">
        <v>3.99</v>
      </c>
      <c r="D443" s="104">
        <f t="shared" si="6"/>
        <v>3.9900000000000005E-2</v>
      </c>
      <c r="F443" s="5"/>
    </row>
    <row r="444" spans="2:6" ht="13.8" hidden="1" outlineLevel="1">
      <c r="B444" s="187">
        <v>23228</v>
      </c>
      <c r="C444" s="188">
        <v>3.99</v>
      </c>
      <c r="D444" s="104">
        <f t="shared" si="6"/>
        <v>3.9900000000000005E-2</v>
      </c>
      <c r="F444" s="5"/>
    </row>
    <row r="445" spans="2:6" ht="13.8" hidden="1" outlineLevel="1">
      <c r="B445" s="187">
        <v>23229</v>
      </c>
      <c r="C445" s="188">
        <v>4</v>
      </c>
      <c r="D445" s="104">
        <f t="shared" si="6"/>
        <v>0.04</v>
      </c>
      <c r="F445" s="5"/>
    </row>
    <row r="446" spans="2:6" ht="13.8" hidden="1" outlineLevel="1">
      <c r="B446" s="187">
        <v>23230</v>
      </c>
      <c r="C446" s="188">
        <v>4.01</v>
      </c>
      <c r="D446" s="104">
        <f t="shared" si="6"/>
        <v>4.0099999999999997E-2</v>
      </c>
      <c r="F446" s="5"/>
    </row>
    <row r="447" spans="2:6" ht="13.8" hidden="1" outlineLevel="1">
      <c r="B447" s="187">
        <v>23231</v>
      </c>
      <c r="C447" s="188">
        <v>4</v>
      </c>
      <c r="D447" s="104">
        <f t="shared" si="6"/>
        <v>0.04</v>
      </c>
      <c r="F447" s="5"/>
    </row>
    <row r="448" spans="2:6" ht="13.8" hidden="1" outlineLevel="1">
      <c r="B448" s="187">
        <v>23232</v>
      </c>
      <c r="C448" s="188">
        <v>4</v>
      </c>
      <c r="D448" s="104">
        <f t="shared" si="6"/>
        <v>0.04</v>
      </c>
      <c r="F448" s="5"/>
    </row>
    <row r="449" spans="2:6" ht="13.8" hidden="1" outlineLevel="1">
      <c r="B449" s="187">
        <v>23235</v>
      </c>
      <c r="C449" s="188">
        <v>4.01</v>
      </c>
      <c r="D449" s="104">
        <f t="shared" si="6"/>
        <v>4.0099999999999997E-2</v>
      </c>
      <c r="F449" s="5"/>
    </row>
    <row r="450" spans="2:6" ht="13.8" hidden="1" outlineLevel="1">
      <c r="B450" s="187">
        <v>23236</v>
      </c>
      <c r="C450" s="188">
        <v>4.0199999999999996</v>
      </c>
      <c r="D450" s="104">
        <f t="shared" si="6"/>
        <v>4.0199999999999993E-2</v>
      </c>
      <c r="F450" s="5"/>
    </row>
    <row r="451" spans="2:6" ht="13.8" hidden="1" outlineLevel="1">
      <c r="B451" s="187">
        <v>23237</v>
      </c>
      <c r="C451" s="188">
        <v>4.0199999999999996</v>
      </c>
      <c r="D451" s="104">
        <f t="shared" si="6"/>
        <v>4.0199999999999993E-2</v>
      </c>
      <c r="F451" s="5"/>
    </row>
    <row r="452" spans="2:6" ht="13.8" hidden="1" outlineLevel="1">
      <c r="B452" s="187">
        <v>23238</v>
      </c>
      <c r="C452" s="188">
        <v>4.01</v>
      </c>
      <c r="D452" s="104">
        <f t="shared" si="6"/>
        <v>4.0099999999999997E-2</v>
      </c>
      <c r="F452" s="5"/>
    </row>
    <row r="453" spans="2:6" ht="13.8" hidden="1" outlineLevel="1">
      <c r="B453" s="187">
        <v>23239</v>
      </c>
      <c r="C453" s="188">
        <v>4</v>
      </c>
      <c r="D453" s="104">
        <f t="shared" si="6"/>
        <v>0.04</v>
      </c>
      <c r="F453" s="5"/>
    </row>
    <row r="454" spans="2:6" ht="13.8" hidden="1" outlineLevel="1">
      <c r="B454" s="187">
        <v>23242</v>
      </c>
      <c r="C454" s="188">
        <v>3.99</v>
      </c>
      <c r="D454" s="104">
        <f t="shared" si="6"/>
        <v>3.9900000000000005E-2</v>
      </c>
      <c r="F454" s="5"/>
    </row>
    <row r="455" spans="2:6" ht="13.8" hidden="1" outlineLevel="1">
      <c r="B455" s="187">
        <v>23243</v>
      </c>
      <c r="C455" s="188">
        <v>3.99</v>
      </c>
      <c r="D455" s="104">
        <f t="shared" si="6"/>
        <v>3.9900000000000005E-2</v>
      </c>
      <c r="F455" s="5"/>
    </row>
    <row r="456" spans="2:6" ht="13.8" hidden="1" outlineLevel="1">
      <c r="B456" s="187">
        <v>23244</v>
      </c>
      <c r="C456" s="188">
        <v>4</v>
      </c>
      <c r="D456" s="104">
        <f t="shared" si="6"/>
        <v>0.04</v>
      </c>
      <c r="F456" s="5"/>
    </row>
    <row r="457" spans="2:6" ht="13.8" hidden="1" outlineLevel="1">
      <c r="B457" s="187">
        <v>23245</v>
      </c>
      <c r="C457" s="188">
        <v>4</v>
      </c>
      <c r="D457" s="104">
        <f t="shared" si="6"/>
        <v>0.04</v>
      </c>
      <c r="F457" s="5"/>
    </row>
    <row r="458" spans="2:6" ht="13.8" hidden="1" outlineLevel="1">
      <c r="B458" s="187">
        <v>23246</v>
      </c>
      <c r="C458" s="188">
        <v>4</v>
      </c>
      <c r="D458" s="104">
        <f t="shared" si="6"/>
        <v>0.04</v>
      </c>
      <c r="F458" s="5"/>
    </row>
    <row r="459" spans="2:6" ht="13.8" hidden="1" outlineLevel="1">
      <c r="B459" s="187">
        <v>23249</v>
      </c>
      <c r="C459" s="188">
        <v>4</v>
      </c>
      <c r="D459" s="104">
        <f t="shared" si="6"/>
        <v>0.04</v>
      </c>
      <c r="F459" s="5"/>
    </row>
    <row r="460" spans="2:6" ht="13.8" hidden="1" outlineLevel="1">
      <c r="B460" s="187">
        <v>23250</v>
      </c>
      <c r="C460" s="188">
        <v>4</v>
      </c>
      <c r="D460" s="104">
        <f t="shared" si="6"/>
        <v>0.04</v>
      </c>
      <c r="F460" s="5"/>
    </row>
    <row r="461" spans="2:6" ht="13.8" hidden="1" outlineLevel="1">
      <c r="B461" s="187">
        <v>23251</v>
      </c>
      <c r="C461" s="188">
        <v>4</v>
      </c>
      <c r="D461" s="104">
        <f t="shared" si="6"/>
        <v>0.04</v>
      </c>
      <c r="F461" s="5"/>
    </row>
    <row r="462" spans="2:6" ht="13.8" hidden="1" outlineLevel="1">
      <c r="B462" s="187">
        <v>23252</v>
      </c>
      <c r="C462" s="188">
        <v>4.01</v>
      </c>
      <c r="D462" s="104">
        <f t="shared" si="6"/>
        <v>4.0099999999999997E-2</v>
      </c>
      <c r="F462" s="5"/>
    </row>
    <row r="463" spans="2:6" ht="13.8" hidden="1" outlineLevel="1">
      <c r="B463" s="187">
        <v>23253</v>
      </c>
      <c r="C463" s="188">
        <v>4.0199999999999996</v>
      </c>
      <c r="D463" s="104">
        <f t="shared" si="6"/>
        <v>4.0199999999999993E-2</v>
      </c>
      <c r="F463" s="5"/>
    </row>
    <row r="464" spans="2:6" ht="13.8" hidden="1" outlineLevel="1">
      <c r="B464" s="187">
        <v>23256</v>
      </c>
      <c r="C464" s="188" t="s">
        <v>380</v>
      </c>
      <c r="D464" s="104">
        <f t="shared" si="6"/>
        <v>4.0199999999999993E-2</v>
      </c>
      <c r="F464" s="5"/>
    </row>
    <row r="465" spans="2:6" ht="13.8" hidden="1" outlineLevel="1">
      <c r="B465" s="187">
        <v>23257</v>
      </c>
      <c r="C465" s="188">
        <v>4.03</v>
      </c>
      <c r="D465" s="104">
        <f t="shared" si="6"/>
        <v>4.0300000000000002E-2</v>
      </c>
      <c r="F465" s="5"/>
    </row>
    <row r="466" spans="2:6" ht="13.8" hidden="1" outlineLevel="1">
      <c r="B466" s="187">
        <v>23258</v>
      </c>
      <c r="C466" s="188">
        <v>4.04</v>
      </c>
      <c r="D466" s="104">
        <f t="shared" si="6"/>
        <v>4.0399999999999998E-2</v>
      </c>
      <c r="F466" s="5"/>
    </row>
    <row r="467" spans="2:6" ht="13.8" hidden="1" outlineLevel="1">
      <c r="B467" s="187">
        <v>23259</v>
      </c>
      <c r="C467" s="188">
        <v>4.08</v>
      </c>
      <c r="D467" s="104">
        <f t="shared" si="6"/>
        <v>4.0800000000000003E-2</v>
      </c>
      <c r="F467" s="5"/>
    </row>
    <row r="468" spans="2:6" ht="13.8" hidden="1" outlineLevel="1">
      <c r="B468" s="187">
        <v>23260</v>
      </c>
      <c r="C468" s="188">
        <v>4.09</v>
      </c>
      <c r="D468" s="104">
        <f t="shared" si="6"/>
        <v>4.0899999999999999E-2</v>
      </c>
      <c r="F468" s="5"/>
    </row>
    <row r="469" spans="2:6" ht="13.8" hidden="1" outlineLevel="1">
      <c r="B469" s="187">
        <v>23263</v>
      </c>
      <c r="C469" s="188">
        <v>4.09</v>
      </c>
      <c r="D469" s="104">
        <f t="shared" si="6"/>
        <v>4.0899999999999999E-2</v>
      </c>
      <c r="F469" s="5"/>
    </row>
    <row r="470" spans="2:6" ht="13.8" hidden="1" outlineLevel="1">
      <c r="B470" s="187">
        <v>23264</v>
      </c>
      <c r="C470" s="188">
        <v>4.09</v>
      </c>
      <c r="D470" s="104">
        <f t="shared" si="6"/>
        <v>4.0899999999999999E-2</v>
      </c>
      <c r="F470" s="5"/>
    </row>
    <row r="471" spans="2:6" ht="13.8" hidden="1" outlineLevel="1">
      <c r="B471" s="187">
        <v>23265</v>
      </c>
      <c r="C471" s="188">
        <v>4.09</v>
      </c>
      <c r="D471" s="104">
        <f t="shared" si="6"/>
        <v>4.0899999999999999E-2</v>
      </c>
      <c r="F471" s="5"/>
    </row>
    <row r="472" spans="2:6" ht="13.8" hidden="1" outlineLevel="1">
      <c r="B472" s="187">
        <v>23266</v>
      </c>
      <c r="C472" s="188">
        <v>4.09</v>
      </c>
      <c r="D472" s="104">
        <f t="shared" si="6"/>
        <v>4.0899999999999999E-2</v>
      </c>
      <c r="F472" s="5"/>
    </row>
    <row r="473" spans="2:6" ht="13.8" hidden="1" outlineLevel="1">
      <c r="B473" s="187">
        <v>23267</v>
      </c>
      <c r="C473" s="188">
        <v>4.09</v>
      </c>
      <c r="D473" s="104">
        <f t="shared" si="6"/>
        <v>4.0899999999999999E-2</v>
      </c>
      <c r="F473" s="5"/>
    </row>
    <row r="474" spans="2:6" ht="13.8" hidden="1" outlineLevel="1">
      <c r="B474" s="187">
        <v>23270</v>
      </c>
      <c r="C474" s="188">
        <v>4.09</v>
      </c>
      <c r="D474" s="104">
        <f t="shared" si="6"/>
        <v>4.0899999999999999E-2</v>
      </c>
      <c r="F474" s="5"/>
    </row>
    <row r="475" spans="2:6" ht="13.8" hidden="1" outlineLevel="1">
      <c r="B475" s="187">
        <v>23271</v>
      </c>
      <c r="C475" s="188">
        <v>4.09</v>
      </c>
      <c r="D475" s="104">
        <f t="shared" si="6"/>
        <v>4.0899999999999999E-2</v>
      </c>
      <c r="F475" s="5"/>
    </row>
    <row r="476" spans="2:6" ht="13.8" hidden="1" outlineLevel="1">
      <c r="B476" s="187">
        <v>23272</v>
      </c>
      <c r="C476" s="188">
        <v>4.08</v>
      </c>
      <c r="D476" s="104">
        <f t="shared" si="6"/>
        <v>4.0800000000000003E-2</v>
      </c>
      <c r="F476" s="5"/>
    </row>
    <row r="477" spans="2:6" ht="13.8" hidden="1" outlineLevel="1">
      <c r="B477" s="187">
        <v>23273</v>
      </c>
      <c r="C477" s="188">
        <v>4.08</v>
      </c>
      <c r="D477" s="104">
        <f t="shared" si="6"/>
        <v>4.0800000000000003E-2</v>
      </c>
      <c r="F477" s="5"/>
    </row>
    <row r="478" spans="2:6" ht="13.8" hidden="1" outlineLevel="1">
      <c r="B478" s="187">
        <v>23274</v>
      </c>
      <c r="C478" s="188">
        <v>4.07</v>
      </c>
      <c r="D478" s="104">
        <f t="shared" ref="D478:D541" si="7">IF( LEN( C478 ) = 0, #N/A, IF( C478 = "ND", D477, C478 / 100 ) )</f>
        <v>4.07E-2</v>
      </c>
      <c r="F478" s="5"/>
    </row>
    <row r="479" spans="2:6" ht="13.8" hidden="1" outlineLevel="1">
      <c r="B479" s="187">
        <v>23277</v>
      </c>
      <c r="C479" s="188">
        <v>4.07</v>
      </c>
      <c r="D479" s="104">
        <f t="shared" si="7"/>
        <v>4.07E-2</v>
      </c>
      <c r="F479" s="5"/>
    </row>
    <row r="480" spans="2:6" ht="13.8" hidden="1" outlineLevel="1">
      <c r="B480" s="187">
        <v>23278</v>
      </c>
      <c r="C480" s="188">
        <v>4.08</v>
      </c>
      <c r="D480" s="104">
        <f t="shared" si="7"/>
        <v>4.0800000000000003E-2</v>
      </c>
      <c r="F480" s="5"/>
    </row>
    <row r="481" spans="2:6" ht="13.8" hidden="1" outlineLevel="1">
      <c r="B481" s="187">
        <v>23279</v>
      </c>
      <c r="C481" s="188">
        <v>4.08</v>
      </c>
      <c r="D481" s="104">
        <f t="shared" si="7"/>
        <v>4.0800000000000003E-2</v>
      </c>
      <c r="F481" s="5"/>
    </row>
    <row r="482" spans="2:6" ht="13.8" hidden="1" outlineLevel="1">
      <c r="B482" s="187">
        <v>23280</v>
      </c>
      <c r="C482" s="188">
        <v>4.08</v>
      </c>
      <c r="D482" s="104">
        <f t="shared" si="7"/>
        <v>4.0800000000000003E-2</v>
      </c>
      <c r="F482" s="5"/>
    </row>
    <row r="483" spans="2:6" ht="13.8" hidden="1" outlineLevel="1">
      <c r="B483" s="187">
        <v>23281</v>
      </c>
      <c r="C483" s="188">
        <v>4.07</v>
      </c>
      <c r="D483" s="104">
        <f t="shared" si="7"/>
        <v>4.07E-2</v>
      </c>
      <c r="F483" s="5"/>
    </row>
    <row r="484" spans="2:6" ht="13.8" hidden="1" outlineLevel="1">
      <c r="B484" s="187">
        <v>23284</v>
      </c>
      <c r="C484" s="188">
        <v>4.07</v>
      </c>
      <c r="D484" s="104">
        <f t="shared" si="7"/>
        <v>4.07E-2</v>
      </c>
      <c r="F484" s="5"/>
    </row>
    <row r="485" spans="2:6" ht="13.8" hidden="1" outlineLevel="1">
      <c r="B485" s="187">
        <v>23285</v>
      </c>
      <c r="C485" s="188">
        <v>4.07</v>
      </c>
      <c r="D485" s="104">
        <f t="shared" si="7"/>
        <v>4.07E-2</v>
      </c>
      <c r="F485" s="5"/>
    </row>
    <row r="486" spans="2:6" ht="13.8" hidden="1" outlineLevel="1">
      <c r="B486" s="187">
        <v>23286</v>
      </c>
      <c r="C486" s="188">
        <v>4.07</v>
      </c>
      <c r="D486" s="104">
        <f t="shared" si="7"/>
        <v>4.07E-2</v>
      </c>
      <c r="F486" s="5"/>
    </row>
    <row r="487" spans="2:6" ht="13.8" hidden="1" outlineLevel="1">
      <c r="B487" s="187">
        <v>23287</v>
      </c>
      <c r="C487" s="188">
        <v>4.07</v>
      </c>
      <c r="D487" s="104">
        <f t="shared" si="7"/>
        <v>4.07E-2</v>
      </c>
      <c r="F487" s="5"/>
    </row>
    <row r="488" spans="2:6" ht="13.8" hidden="1" outlineLevel="1">
      <c r="B488" s="187">
        <v>23288</v>
      </c>
      <c r="C488" s="188">
        <v>4.08</v>
      </c>
      <c r="D488" s="104">
        <f t="shared" si="7"/>
        <v>4.0800000000000003E-2</v>
      </c>
      <c r="F488" s="5"/>
    </row>
    <row r="489" spans="2:6" ht="13.8" hidden="1" outlineLevel="1">
      <c r="B489" s="187">
        <v>23291</v>
      </c>
      <c r="C489" s="188">
        <v>4.08</v>
      </c>
      <c r="D489" s="104">
        <f t="shared" si="7"/>
        <v>4.0800000000000003E-2</v>
      </c>
      <c r="F489" s="5"/>
    </row>
    <row r="490" spans="2:6" ht="13.8" hidden="1" outlineLevel="1">
      <c r="B490" s="187">
        <v>23292</v>
      </c>
      <c r="C490" s="188">
        <v>4.09</v>
      </c>
      <c r="D490" s="104">
        <f t="shared" si="7"/>
        <v>4.0899999999999999E-2</v>
      </c>
      <c r="F490" s="5"/>
    </row>
    <row r="491" spans="2:6" ht="13.8" hidden="1" outlineLevel="1">
      <c r="B491" s="187">
        <v>23293</v>
      </c>
      <c r="C491" s="188">
        <v>4.0999999999999996</v>
      </c>
      <c r="D491" s="104">
        <f t="shared" si="7"/>
        <v>4.0999999999999995E-2</v>
      </c>
      <c r="F491" s="5"/>
    </row>
    <row r="492" spans="2:6" ht="13.8" hidden="1" outlineLevel="1">
      <c r="B492" s="187">
        <v>23294</v>
      </c>
      <c r="C492" s="188">
        <v>4.0999999999999996</v>
      </c>
      <c r="D492" s="104">
        <f t="shared" si="7"/>
        <v>4.0999999999999995E-2</v>
      </c>
      <c r="F492" s="5"/>
    </row>
    <row r="493" spans="2:6" ht="13.8" hidden="1" outlineLevel="1">
      <c r="B493" s="187">
        <v>23295</v>
      </c>
      <c r="C493" s="188">
        <v>4.0999999999999996</v>
      </c>
      <c r="D493" s="104">
        <f t="shared" si="7"/>
        <v>4.0999999999999995E-2</v>
      </c>
      <c r="F493" s="5"/>
    </row>
    <row r="494" spans="2:6" ht="13.8" hidden="1" outlineLevel="1">
      <c r="B494" s="187">
        <v>23298</v>
      </c>
      <c r="C494" s="188">
        <v>4.0999999999999996</v>
      </c>
      <c r="D494" s="104">
        <f t="shared" si="7"/>
        <v>4.0999999999999995E-2</v>
      </c>
      <c r="F494" s="5"/>
    </row>
    <row r="495" spans="2:6" ht="13.8" hidden="1" outlineLevel="1">
      <c r="B495" s="187">
        <v>23299</v>
      </c>
      <c r="C495" s="188">
        <v>4.1100000000000003</v>
      </c>
      <c r="D495" s="104">
        <f t="shared" si="7"/>
        <v>4.1100000000000005E-2</v>
      </c>
      <c r="F495" s="5"/>
    </row>
    <row r="496" spans="2:6" ht="13.8" hidden="1" outlineLevel="1">
      <c r="B496" s="187">
        <v>23300</v>
      </c>
      <c r="C496" s="188">
        <v>4.1100000000000003</v>
      </c>
      <c r="D496" s="104">
        <f t="shared" si="7"/>
        <v>4.1100000000000005E-2</v>
      </c>
      <c r="F496" s="5"/>
    </row>
    <row r="497" spans="2:6" ht="13.8" hidden="1" outlineLevel="1">
      <c r="B497" s="187">
        <v>23301</v>
      </c>
      <c r="C497" s="188">
        <v>4.12</v>
      </c>
      <c r="D497" s="104">
        <f t="shared" si="7"/>
        <v>4.1200000000000001E-2</v>
      </c>
      <c r="F497" s="5"/>
    </row>
    <row r="498" spans="2:6" ht="13.8" hidden="1" outlineLevel="1">
      <c r="B498" s="187">
        <v>23302</v>
      </c>
      <c r="C498" s="188">
        <v>4.12</v>
      </c>
      <c r="D498" s="104">
        <f t="shared" si="7"/>
        <v>4.1200000000000001E-2</v>
      </c>
      <c r="F498" s="5"/>
    </row>
    <row r="499" spans="2:6" ht="13.8" hidden="1" outlineLevel="1">
      <c r="B499" s="187">
        <v>23305</v>
      </c>
      <c r="C499" s="188">
        <v>4.12</v>
      </c>
      <c r="D499" s="104">
        <f t="shared" si="7"/>
        <v>4.1200000000000001E-2</v>
      </c>
      <c r="F499" s="5"/>
    </row>
    <row r="500" spans="2:6" ht="13.8" hidden="1" outlineLevel="1">
      <c r="B500" s="187">
        <v>23306</v>
      </c>
      <c r="C500" s="188">
        <v>4.1100000000000003</v>
      </c>
      <c r="D500" s="104">
        <f t="shared" si="7"/>
        <v>4.1100000000000005E-2</v>
      </c>
      <c r="F500" s="5"/>
    </row>
    <row r="501" spans="2:6" ht="13.8" hidden="1" outlineLevel="1">
      <c r="B501" s="187">
        <v>23307</v>
      </c>
      <c r="C501" s="188">
        <v>4.12</v>
      </c>
      <c r="D501" s="104">
        <f t="shared" si="7"/>
        <v>4.1200000000000001E-2</v>
      </c>
      <c r="F501" s="5"/>
    </row>
    <row r="502" spans="2:6" ht="13.8" hidden="1" outlineLevel="1">
      <c r="B502" s="187">
        <v>23308</v>
      </c>
      <c r="C502" s="188">
        <v>4.1100000000000003</v>
      </c>
      <c r="D502" s="104">
        <f t="shared" si="7"/>
        <v>4.1100000000000005E-2</v>
      </c>
      <c r="F502" s="5"/>
    </row>
    <row r="503" spans="2:6" ht="13.8" hidden="1" outlineLevel="1">
      <c r="B503" s="187">
        <v>23309</v>
      </c>
      <c r="C503" s="188">
        <v>4.12</v>
      </c>
      <c r="D503" s="104">
        <f t="shared" si="7"/>
        <v>4.1200000000000001E-2</v>
      </c>
      <c r="F503" s="5"/>
    </row>
    <row r="504" spans="2:6" ht="13.8" hidden="1" outlineLevel="1">
      <c r="B504" s="187">
        <v>23312</v>
      </c>
      <c r="C504" s="188">
        <v>4.12</v>
      </c>
      <c r="D504" s="104">
        <f t="shared" si="7"/>
        <v>4.1200000000000001E-2</v>
      </c>
      <c r="F504" s="5"/>
    </row>
    <row r="505" spans="2:6" ht="13.8" hidden="1" outlineLevel="1">
      <c r="B505" s="187">
        <v>23313</v>
      </c>
      <c r="C505" s="188">
        <v>4.13</v>
      </c>
      <c r="D505" s="104">
        <f t="shared" si="7"/>
        <v>4.1299999999999996E-2</v>
      </c>
      <c r="F505" s="5"/>
    </row>
    <row r="506" spans="2:6" ht="13.8" hidden="1" outlineLevel="1">
      <c r="B506" s="187">
        <v>23314</v>
      </c>
      <c r="C506" s="188">
        <v>4.1399999999999997</v>
      </c>
      <c r="D506" s="104">
        <f t="shared" si="7"/>
        <v>4.1399999999999999E-2</v>
      </c>
      <c r="F506" s="5"/>
    </row>
    <row r="507" spans="2:6" ht="13.8" hidden="1" outlineLevel="1">
      <c r="B507" s="187">
        <v>23315</v>
      </c>
      <c r="C507" s="188">
        <v>4.1500000000000004</v>
      </c>
      <c r="D507" s="104">
        <f t="shared" si="7"/>
        <v>4.1500000000000002E-2</v>
      </c>
      <c r="F507" s="5"/>
    </row>
    <row r="508" spans="2:6" ht="13.8" hidden="1" outlineLevel="1">
      <c r="B508" s="187">
        <v>23316</v>
      </c>
      <c r="C508" s="188">
        <v>4.1500000000000004</v>
      </c>
      <c r="D508" s="104">
        <f t="shared" si="7"/>
        <v>4.1500000000000002E-2</v>
      </c>
      <c r="F508" s="5"/>
    </row>
    <row r="509" spans="2:6" ht="13.8" hidden="1" outlineLevel="1">
      <c r="B509" s="187">
        <v>23319</v>
      </c>
      <c r="C509" s="188">
        <v>4.1500000000000004</v>
      </c>
      <c r="D509" s="104">
        <f t="shared" si="7"/>
        <v>4.1500000000000002E-2</v>
      </c>
      <c r="F509" s="5"/>
    </row>
    <row r="510" spans="2:6" ht="13.8" hidden="1" outlineLevel="1">
      <c r="B510" s="187">
        <v>23320</v>
      </c>
      <c r="C510" s="188" t="s">
        <v>380</v>
      </c>
      <c r="D510" s="104">
        <f t="shared" si="7"/>
        <v>4.1500000000000002E-2</v>
      </c>
      <c r="F510" s="5"/>
    </row>
    <row r="511" spans="2:6" ht="13.8" hidden="1" outlineLevel="1">
      <c r="B511" s="187">
        <v>23321</v>
      </c>
      <c r="C511" s="188">
        <v>4.17</v>
      </c>
      <c r="D511" s="104">
        <f t="shared" si="7"/>
        <v>4.1700000000000001E-2</v>
      </c>
      <c r="F511" s="5"/>
    </row>
    <row r="512" spans="2:6" ht="13.8" hidden="1" outlineLevel="1">
      <c r="B512" s="187">
        <v>23322</v>
      </c>
      <c r="C512" s="188">
        <v>4.17</v>
      </c>
      <c r="D512" s="104">
        <f t="shared" si="7"/>
        <v>4.1700000000000001E-2</v>
      </c>
      <c r="F512" s="5"/>
    </row>
    <row r="513" spans="2:6" ht="13.8" hidden="1" outlineLevel="1">
      <c r="B513" s="187">
        <v>23323</v>
      </c>
      <c r="C513" s="188">
        <v>4.16</v>
      </c>
      <c r="D513" s="104">
        <f t="shared" si="7"/>
        <v>4.1599999999999998E-2</v>
      </c>
      <c r="F513" s="5"/>
    </row>
    <row r="514" spans="2:6" ht="13.8" hidden="1" outlineLevel="1">
      <c r="B514" s="187">
        <v>23326</v>
      </c>
      <c r="C514" s="188" t="s">
        <v>380</v>
      </c>
      <c r="D514" s="104">
        <f t="shared" si="7"/>
        <v>4.1599999999999998E-2</v>
      </c>
      <c r="F514" s="5"/>
    </row>
    <row r="515" spans="2:6" ht="13.8" hidden="1" outlineLevel="1">
      <c r="B515" s="187">
        <v>23327</v>
      </c>
      <c r="C515" s="188">
        <v>4.16</v>
      </c>
      <c r="D515" s="104">
        <f t="shared" si="7"/>
        <v>4.1599999999999998E-2</v>
      </c>
      <c r="F515" s="5"/>
    </row>
    <row r="516" spans="2:6" ht="13.8" hidden="1" outlineLevel="1">
      <c r="B516" s="187">
        <v>23328</v>
      </c>
      <c r="C516" s="188">
        <v>4.1500000000000004</v>
      </c>
      <c r="D516" s="104">
        <f t="shared" si="7"/>
        <v>4.1500000000000002E-2</v>
      </c>
      <c r="F516" s="5"/>
    </row>
    <row r="517" spans="2:6" ht="13.8" hidden="1" outlineLevel="1">
      <c r="B517" s="187">
        <v>23329</v>
      </c>
      <c r="C517" s="188">
        <v>4.12</v>
      </c>
      <c r="D517" s="104">
        <f t="shared" si="7"/>
        <v>4.1200000000000001E-2</v>
      </c>
      <c r="F517" s="5"/>
    </row>
    <row r="518" spans="2:6" ht="13.8" hidden="1" outlineLevel="1">
      <c r="B518" s="187">
        <v>23330</v>
      </c>
      <c r="C518" s="188">
        <v>4.1100000000000003</v>
      </c>
      <c r="D518" s="104">
        <f t="shared" si="7"/>
        <v>4.1100000000000005E-2</v>
      </c>
      <c r="F518" s="5"/>
    </row>
    <row r="519" spans="2:6" ht="13.8" hidden="1" outlineLevel="1">
      <c r="B519" s="187">
        <v>23333</v>
      </c>
      <c r="C519" s="188">
        <v>4.1100000000000003</v>
      </c>
      <c r="D519" s="104">
        <f t="shared" si="7"/>
        <v>4.1100000000000005E-2</v>
      </c>
      <c r="F519" s="5"/>
    </row>
    <row r="520" spans="2:6" ht="13.8" hidden="1" outlineLevel="1">
      <c r="B520" s="187">
        <v>23334</v>
      </c>
      <c r="C520" s="188">
        <v>4.0999999999999996</v>
      </c>
      <c r="D520" s="104">
        <f t="shared" si="7"/>
        <v>4.0999999999999995E-2</v>
      </c>
      <c r="F520" s="5"/>
    </row>
    <row r="521" spans="2:6" ht="13.8" hidden="1" outlineLevel="1">
      <c r="B521" s="187">
        <v>23335</v>
      </c>
      <c r="C521" s="188">
        <v>4.09</v>
      </c>
      <c r="D521" s="104">
        <f t="shared" si="7"/>
        <v>4.0899999999999999E-2</v>
      </c>
      <c r="F521" s="5"/>
    </row>
    <row r="522" spans="2:6" ht="13.8" hidden="1" outlineLevel="1">
      <c r="B522" s="187">
        <v>23336</v>
      </c>
      <c r="C522" s="188">
        <v>4.0999999999999996</v>
      </c>
      <c r="D522" s="104">
        <f t="shared" si="7"/>
        <v>4.0999999999999995E-2</v>
      </c>
      <c r="F522" s="5"/>
    </row>
    <row r="523" spans="2:6" ht="13.8" hidden="1" outlineLevel="1">
      <c r="B523" s="187">
        <v>23337</v>
      </c>
      <c r="C523" s="188">
        <v>4.09</v>
      </c>
      <c r="D523" s="104">
        <f t="shared" si="7"/>
        <v>4.0899999999999999E-2</v>
      </c>
      <c r="F523" s="5"/>
    </row>
    <row r="524" spans="2:6" ht="13.8" hidden="1" outlineLevel="1">
      <c r="B524" s="187">
        <v>23340</v>
      </c>
      <c r="C524" s="188" t="s">
        <v>380</v>
      </c>
      <c r="D524" s="104">
        <f t="shared" si="7"/>
        <v>4.0899999999999999E-2</v>
      </c>
      <c r="F524" s="5"/>
    </row>
    <row r="525" spans="2:6" ht="13.8" hidden="1" outlineLevel="1">
      <c r="B525" s="187">
        <v>23341</v>
      </c>
      <c r="C525" s="188">
        <v>4.08</v>
      </c>
      <c r="D525" s="104">
        <f t="shared" si="7"/>
        <v>4.0800000000000003E-2</v>
      </c>
      <c r="F525" s="5"/>
    </row>
    <row r="526" spans="2:6" ht="13.8" hidden="1" outlineLevel="1">
      <c r="B526" s="187">
        <v>23342</v>
      </c>
      <c r="C526" s="188">
        <v>4.08</v>
      </c>
      <c r="D526" s="104">
        <f t="shared" si="7"/>
        <v>4.0800000000000003E-2</v>
      </c>
      <c r="F526" s="5"/>
    </row>
    <row r="527" spans="2:6" ht="13.8" hidden="1" outlineLevel="1">
      <c r="B527" s="187">
        <v>23343</v>
      </c>
      <c r="C527" s="188" t="s">
        <v>380</v>
      </c>
      <c r="D527" s="104">
        <f t="shared" si="7"/>
        <v>4.0800000000000003E-2</v>
      </c>
      <c r="F527" s="5"/>
    </row>
    <row r="528" spans="2:6" ht="13.8" hidden="1" outlineLevel="1">
      <c r="B528" s="187">
        <v>23344</v>
      </c>
      <c r="C528" s="188">
        <v>4.08</v>
      </c>
      <c r="D528" s="104">
        <f t="shared" si="7"/>
        <v>4.0800000000000003E-2</v>
      </c>
      <c r="F528" s="5"/>
    </row>
    <row r="529" spans="2:6" ht="13.8" hidden="1" outlineLevel="1">
      <c r="B529" s="187">
        <v>23347</v>
      </c>
      <c r="C529" s="188">
        <v>4.09</v>
      </c>
      <c r="D529" s="104">
        <f t="shared" si="7"/>
        <v>4.0899999999999999E-2</v>
      </c>
      <c r="F529" s="5"/>
    </row>
    <row r="530" spans="2:6" ht="13.8" hidden="1" outlineLevel="1">
      <c r="B530" s="187">
        <v>23348</v>
      </c>
      <c r="C530" s="188">
        <v>4.0999999999999996</v>
      </c>
      <c r="D530" s="104">
        <f t="shared" si="7"/>
        <v>4.0999999999999995E-2</v>
      </c>
      <c r="F530" s="5"/>
    </row>
    <row r="531" spans="2:6" ht="13.8" hidden="1" outlineLevel="1">
      <c r="B531" s="187">
        <v>23349</v>
      </c>
      <c r="C531" s="188">
        <v>4.0999999999999996</v>
      </c>
      <c r="D531" s="104">
        <f t="shared" si="7"/>
        <v>4.0999999999999995E-2</v>
      </c>
      <c r="F531" s="5"/>
    </row>
    <row r="532" spans="2:6" ht="13.8" hidden="1" outlineLevel="1">
      <c r="B532" s="187">
        <v>23350</v>
      </c>
      <c r="C532" s="188">
        <v>4.1100000000000003</v>
      </c>
      <c r="D532" s="104">
        <f t="shared" si="7"/>
        <v>4.1100000000000005E-2</v>
      </c>
      <c r="F532" s="5"/>
    </row>
    <row r="533" spans="2:6" ht="13.8" hidden="1" outlineLevel="1">
      <c r="B533" s="187">
        <v>23351</v>
      </c>
      <c r="C533" s="188">
        <v>4.1100000000000003</v>
      </c>
      <c r="D533" s="104">
        <f t="shared" si="7"/>
        <v>4.1100000000000005E-2</v>
      </c>
      <c r="F533" s="5"/>
    </row>
    <row r="534" spans="2:6" ht="13.8" hidden="1" outlineLevel="1">
      <c r="B534" s="187">
        <v>23354</v>
      </c>
      <c r="C534" s="188">
        <v>4.0999999999999996</v>
      </c>
      <c r="D534" s="104">
        <f t="shared" si="7"/>
        <v>4.0999999999999995E-2</v>
      </c>
      <c r="F534" s="5"/>
    </row>
    <row r="535" spans="2:6" ht="13.8" hidden="1" outlineLevel="1">
      <c r="B535" s="187">
        <v>23355</v>
      </c>
      <c r="C535" s="188">
        <v>4.0999999999999996</v>
      </c>
      <c r="D535" s="104">
        <f t="shared" si="7"/>
        <v>4.0999999999999995E-2</v>
      </c>
      <c r="F535" s="5"/>
    </row>
    <row r="536" spans="2:6" ht="13.8" hidden="1" outlineLevel="1">
      <c r="B536" s="187">
        <v>23356</v>
      </c>
      <c r="C536" s="188">
        <v>4.12</v>
      </c>
      <c r="D536" s="104">
        <f t="shared" si="7"/>
        <v>4.1200000000000001E-2</v>
      </c>
      <c r="F536" s="5"/>
    </row>
    <row r="537" spans="2:6" ht="13.8" hidden="1" outlineLevel="1">
      <c r="B537" s="187">
        <v>23357</v>
      </c>
      <c r="C537" s="188">
        <v>4.12</v>
      </c>
      <c r="D537" s="104">
        <f t="shared" si="7"/>
        <v>4.1200000000000001E-2</v>
      </c>
      <c r="F537" s="5"/>
    </row>
    <row r="538" spans="2:6" ht="13.8" hidden="1" outlineLevel="1">
      <c r="B538" s="187">
        <v>23358</v>
      </c>
      <c r="C538" s="188">
        <v>4.13</v>
      </c>
      <c r="D538" s="104">
        <f t="shared" si="7"/>
        <v>4.1299999999999996E-2</v>
      </c>
      <c r="F538" s="5"/>
    </row>
    <row r="539" spans="2:6" ht="13.8" hidden="1" outlineLevel="1">
      <c r="B539" s="187">
        <v>23361</v>
      </c>
      <c r="C539" s="188">
        <v>4.1500000000000004</v>
      </c>
      <c r="D539" s="104">
        <f t="shared" si="7"/>
        <v>4.1500000000000002E-2</v>
      </c>
      <c r="F539" s="5"/>
    </row>
    <row r="540" spans="2:6" ht="13.8" hidden="1" outlineLevel="1">
      <c r="B540" s="187">
        <v>23362</v>
      </c>
      <c r="C540" s="188">
        <v>4.1500000000000004</v>
      </c>
      <c r="D540" s="104">
        <f t="shared" si="7"/>
        <v>4.1500000000000002E-2</v>
      </c>
      <c r="F540" s="5"/>
    </row>
    <row r="541" spans="2:6" ht="13.8" hidden="1" outlineLevel="1">
      <c r="B541" s="187">
        <v>23363</v>
      </c>
      <c r="C541" s="188">
        <v>4.1500000000000004</v>
      </c>
      <c r="D541" s="104">
        <f t="shared" si="7"/>
        <v>4.1500000000000002E-2</v>
      </c>
      <c r="F541" s="5"/>
    </row>
    <row r="542" spans="2:6" ht="13.8" hidden="1" outlineLevel="1">
      <c r="B542" s="187">
        <v>23364</v>
      </c>
      <c r="C542" s="188">
        <v>4.1399999999999997</v>
      </c>
      <c r="D542" s="104">
        <f t="shared" ref="D542:D605" si="8">IF( LEN( C542 ) = 0, #N/A, IF( C542 = "ND", D541, C542 / 100 ) )</f>
        <v>4.1399999999999999E-2</v>
      </c>
      <c r="F542" s="5"/>
    </row>
    <row r="543" spans="2:6" ht="13.8" hidden="1" outlineLevel="1">
      <c r="B543" s="187">
        <v>23365</v>
      </c>
      <c r="C543" s="188">
        <v>4.1500000000000004</v>
      </c>
      <c r="D543" s="104">
        <f t="shared" si="8"/>
        <v>4.1500000000000002E-2</v>
      </c>
      <c r="F543" s="5"/>
    </row>
    <row r="544" spans="2:6" ht="13.8" hidden="1" outlineLevel="1">
      <c r="B544" s="187">
        <v>23368</v>
      </c>
      <c r="C544" s="188">
        <v>4.1500000000000004</v>
      </c>
      <c r="D544" s="104">
        <f t="shared" si="8"/>
        <v>4.1500000000000002E-2</v>
      </c>
      <c r="F544" s="5"/>
    </row>
    <row r="545" spans="2:6" ht="13.8" hidden="1" outlineLevel="1">
      <c r="B545" s="187">
        <v>23369</v>
      </c>
      <c r="C545" s="188">
        <v>4.1500000000000004</v>
      </c>
      <c r="D545" s="104">
        <f t="shared" si="8"/>
        <v>4.1500000000000002E-2</v>
      </c>
      <c r="F545" s="5"/>
    </row>
    <row r="546" spans="2:6" ht="13.8" hidden="1" outlineLevel="1">
      <c r="B546" s="187">
        <v>23370</v>
      </c>
      <c r="C546" s="188" t="s">
        <v>380</v>
      </c>
      <c r="D546" s="104">
        <f t="shared" si="8"/>
        <v>4.1500000000000002E-2</v>
      </c>
      <c r="F546" s="5"/>
    </row>
    <row r="547" spans="2:6" ht="13.8" hidden="1" outlineLevel="1">
      <c r="B547" s="187">
        <v>23371</v>
      </c>
      <c r="C547" s="188">
        <v>4.1500000000000004</v>
      </c>
      <c r="D547" s="104">
        <f t="shared" si="8"/>
        <v>4.1500000000000002E-2</v>
      </c>
      <c r="F547" s="5"/>
    </row>
    <row r="548" spans="2:6" ht="13.8" hidden="1" outlineLevel="1">
      <c r="B548" s="187">
        <v>23372</v>
      </c>
      <c r="C548" s="188">
        <v>4.1500000000000004</v>
      </c>
      <c r="D548" s="104">
        <f t="shared" si="8"/>
        <v>4.1500000000000002E-2</v>
      </c>
      <c r="F548" s="5"/>
    </row>
    <row r="549" spans="2:6" ht="13.8" hidden="1" outlineLevel="1">
      <c r="B549" s="187">
        <v>23375</v>
      </c>
      <c r="C549" s="188">
        <v>4.1399999999999997</v>
      </c>
      <c r="D549" s="104">
        <f t="shared" si="8"/>
        <v>4.1399999999999999E-2</v>
      </c>
      <c r="F549" s="5"/>
    </row>
    <row r="550" spans="2:6" ht="13.8" hidden="1" outlineLevel="1">
      <c r="B550" s="187">
        <v>23376</v>
      </c>
      <c r="C550" s="188">
        <v>4.1399999999999997</v>
      </c>
      <c r="D550" s="104">
        <f t="shared" si="8"/>
        <v>4.1399999999999999E-2</v>
      </c>
      <c r="F550" s="5"/>
    </row>
    <row r="551" spans="2:6" ht="13.8" hidden="1" outlineLevel="1">
      <c r="B551" s="187">
        <v>23377</v>
      </c>
      <c r="C551" s="188" t="s">
        <v>380</v>
      </c>
      <c r="D551" s="104">
        <f t="shared" si="8"/>
        <v>4.1399999999999999E-2</v>
      </c>
      <c r="F551" s="5"/>
    </row>
    <row r="552" spans="2:6" ht="13.8" hidden="1" outlineLevel="1">
      <c r="B552" s="187">
        <v>23378</v>
      </c>
      <c r="C552" s="188">
        <v>4.1399999999999997</v>
      </c>
      <c r="D552" s="104">
        <f t="shared" si="8"/>
        <v>4.1399999999999999E-2</v>
      </c>
      <c r="F552" s="5"/>
    </row>
    <row r="553" spans="2:6" ht="13.8" hidden="1" outlineLevel="1">
      <c r="B553" s="187">
        <v>23379</v>
      </c>
      <c r="C553" s="188">
        <v>4.1500000000000004</v>
      </c>
      <c r="D553" s="104">
        <f t="shared" si="8"/>
        <v>4.1500000000000002E-2</v>
      </c>
      <c r="F553" s="5"/>
    </row>
    <row r="554" spans="2:6" ht="13.8" hidden="1" outlineLevel="1">
      <c r="B554" s="187">
        <v>23382</v>
      </c>
      <c r="C554" s="188">
        <v>4.16</v>
      </c>
      <c r="D554" s="104">
        <f t="shared" si="8"/>
        <v>4.1599999999999998E-2</v>
      </c>
      <c r="F554" s="5"/>
    </row>
    <row r="555" spans="2:6" ht="13.8" hidden="1" outlineLevel="1">
      <c r="B555" s="187">
        <v>23383</v>
      </c>
      <c r="C555" s="188">
        <v>4.1500000000000004</v>
      </c>
      <c r="D555" s="104">
        <f t="shared" si="8"/>
        <v>4.1500000000000002E-2</v>
      </c>
      <c r="F555" s="5"/>
    </row>
    <row r="556" spans="2:6" ht="13.8" hidden="1" outlineLevel="1">
      <c r="B556" s="187">
        <v>23384</v>
      </c>
      <c r="C556" s="188">
        <v>4.18</v>
      </c>
      <c r="D556" s="104">
        <f t="shared" si="8"/>
        <v>4.1799999999999997E-2</v>
      </c>
      <c r="F556" s="5"/>
    </row>
    <row r="557" spans="2:6" ht="13.8" hidden="1" outlineLevel="1">
      <c r="B557" s="187">
        <v>23385</v>
      </c>
      <c r="C557" s="188">
        <v>4.18</v>
      </c>
      <c r="D557" s="104">
        <f t="shared" si="8"/>
        <v>4.1799999999999997E-2</v>
      </c>
      <c r="F557" s="5"/>
    </row>
    <row r="558" spans="2:6" ht="13.8" hidden="1" outlineLevel="1">
      <c r="B558" s="187">
        <v>23386</v>
      </c>
      <c r="C558" s="188">
        <v>4.18</v>
      </c>
      <c r="D558" s="104">
        <f t="shared" si="8"/>
        <v>4.1799999999999997E-2</v>
      </c>
      <c r="F558" s="5"/>
    </row>
    <row r="559" spans="2:6" ht="13.8" hidden="1" outlineLevel="1">
      <c r="B559" s="187">
        <v>23389</v>
      </c>
      <c r="C559" s="188">
        <v>4.18</v>
      </c>
      <c r="D559" s="104">
        <f t="shared" si="8"/>
        <v>4.1799999999999997E-2</v>
      </c>
      <c r="F559" s="5"/>
    </row>
    <row r="560" spans="2:6" ht="13.8" hidden="1" outlineLevel="1">
      <c r="B560" s="187">
        <v>23390</v>
      </c>
      <c r="C560" s="188">
        <v>4.18</v>
      </c>
      <c r="D560" s="104">
        <f t="shared" si="8"/>
        <v>4.1799999999999997E-2</v>
      </c>
      <c r="F560" s="5"/>
    </row>
    <row r="561" spans="2:6" ht="13.8" hidden="1" outlineLevel="1">
      <c r="B561" s="187">
        <v>23391</v>
      </c>
      <c r="C561" s="188">
        <v>4.18</v>
      </c>
      <c r="D561" s="104">
        <f t="shared" si="8"/>
        <v>4.1799999999999997E-2</v>
      </c>
      <c r="F561" s="5"/>
    </row>
    <row r="562" spans="2:6" ht="13.8" hidden="1" outlineLevel="1">
      <c r="B562" s="187">
        <v>23392</v>
      </c>
      <c r="C562" s="188">
        <v>4.17</v>
      </c>
      <c r="D562" s="104">
        <f t="shared" si="8"/>
        <v>4.1700000000000001E-2</v>
      </c>
      <c r="F562" s="5"/>
    </row>
    <row r="563" spans="2:6" ht="13.8" hidden="1" outlineLevel="1">
      <c r="B563" s="187">
        <v>23393</v>
      </c>
      <c r="C563" s="188">
        <v>4.17</v>
      </c>
      <c r="D563" s="104">
        <f t="shared" si="8"/>
        <v>4.1700000000000001E-2</v>
      </c>
      <c r="F563" s="5"/>
    </row>
    <row r="564" spans="2:6" ht="13.8" hidden="1" outlineLevel="1">
      <c r="B564" s="187">
        <v>23396</v>
      </c>
      <c r="C564" s="188">
        <v>4.16</v>
      </c>
      <c r="D564" s="104">
        <f t="shared" si="8"/>
        <v>4.1599999999999998E-2</v>
      </c>
      <c r="F564" s="5"/>
    </row>
    <row r="565" spans="2:6" ht="13.8" hidden="1" outlineLevel="1">
      <c r="B565" s="187">
        <v>23397</v>
      </c>
      <c r="C565" s="188">
        <v>4.16</v>
      </c>
      <c r="D565" s="104">
        <f t="shared" si="8"/>
        <v>4.1599999999999998E-2</v>
      </c>
      <c r="F565" s="5"/>
    </row>
    <row r="566" spans="2:6" ht="13.8" hidden="1" outlineLevel="1">
      <c r="B566" s="187">
        <v>23398</v>
      </c>
      <c r="C566" s="188">
        <v>4.16</v>
      </c>
      <c r="D566" s="104">
        <f t="shared" si="8"/>
        <v>4.1599999999999998E-2</v>
      </c>
      <c r="F566" s="5"/>
    </row>
    <row r="567" spans="2:6" ht="13.8" hidden="1" outlineLevel="1">
      <c r="B567" s="187">
        <v>23399</v>
      </c>
      <c r="C567" s="188">
        <v>4.16</v>
      </c>
      <c r="D567" s="104">
        <f t="shared" si="8"/>
        <v>4.1599999999999998E-2</v>
      </c>
      <c r="F567" s="5"/>
    </row>
    <row r="568" spans="2:6" ht="13.8" hidden="1" outlineLevel="1">
      <c r="B568" s="187">
        <v>23400</v>
      </c>
      <c r="C568" s="188">
        <v>4.18</v>
      </c>
      <c r="D568" s="104">
        <f t="shared" si="8"/>
        <v>4.1799999999999997E-2</v>
      </c>
      <c r="F568" s="5"/>
    </row>
    <row r="569" spans="2:6" ht="13.8" hidden="1" outlineLevel="1">
      <c r="B569" s="187">
        <v>23403</v>
      </c>
      <c r="C569" s="188">
        <v>4.18</v>
      </c>
      <c r="D569" s="104">
        <f t="shared" si="8"/>
        <v>4.1799999999999997E-2</v>
      </c>
      <c r="F569" s="5"/>
    </row>
    <row r="570" spans="2:6" ht="13.8" hidden="1" outlineLevel="1">
      <c r="B570" s="187">
        <v>23404</v>
      </c>
      <c r="C570" s="188">
        <v>4.17</v>
      </c>
      <c r="D570" s="104">
        <f t="shared" si="8"/>
        <v>4.1700000000000001E-2</v>
      </c>
      <c r="F570" s="5"/>
    </row>
    <row r="571" spans="2:6" ht="13.8" hidden="1" outlineLevel="1">
      <c r="B571" s="187">
        <v>23405</v>
      </c>
      <c r="C571" s="188">
        <v>4.17</v>
      </c>
      <c r="D571" s="104">
        <f t="shared" si="8"/>
        <v>4.1700000000000001E-2</v>
      </c>
      <c r="F571" s="5"/>
    </row>
    <row r="572" spans="2:6" ht="13.8" hidden="1" outlineLevel="1">
      <c r="B572" s="187">
        <v>23406</v>
      </c>
      <c r="C572" s="188">
        <v>4.16</v>
      </c>
      <c r="D572" s="104">
        <f t="shared" si="8"/>
        <v>4.1599999999999998E-2</v>
      </c>
      <c r="F572" s="5"/>
    </row>
    <row r="573" spans="2:6" ht="13.8" hidden="1" outlineLevel="1">
      <c r="B573" s="187">
        <v>23407</v>
      </c>
      <c r="C573" s="188">
        <v>4.1500000000000004</v>
      </c>
      <c r="D573" s="104">
        <f t="shared" si="8"/>
        <v>4.1500000000000002E-2</v>
      </c>
      <c r="F573" s="5"/>
    </row>
    <row r="574" spans="2:6" ht="13.8" hidden="1" outlineLevel="1">
      <c r="B574" s="187">
        <v>23410</v>
      </c>
      <c r="C574" s="188">
        <v>4.1500000000000004</v>
      </c>
      <c r="D574" s="104">
        <f t="shared" si="8"/>
        <v>4.1500000000000002E-2</v>
      </c>
      <c r="F574" s="5"/>
    </row>
    <row r="575" spans="2:6" ht="13.8" hidden="1" outlineLevel="1">
      <c r="B575" s="187">
        <v>23411</v>
      </c>
      <c r="C575" s="188">
        <v>4.1500000000000004</v>
      </c>
      <c r="D575" s="104">
        <f t="shared" si="8"/>
        <v>4.1500000000000002E-2</v>
      </c>
      <c r="F575" s="5"/>
    </row>
    <row r="576" spans="2:6" ht="13.8" hidden="1" outlineLevel="1">
      <c r="B576" s="187">
        <v>23412</v>
      </c>
      <c r="C576" s="188">
        <v>4.1500000000000004</v>
      </c>
      <c r="D576" s="104">
        <f t="shared" si="8"/>
        <v>4.1500000000000002E-2</v>
      </c>
      <c r="F576" s="5"/>
    </row>
    <row r="577" spans="2:6" ht="13.8" hidden="1" outlineLevel="1">
      <c r="B577" s="187">
        <v>23413</v>
      </c>
      <c r="C577" s="188">
        <v>4.1399999999999997</v>
      </c>
      <c r="D577" s="104">
        <f t="shared" si="8"/>
        <v>4.1399999999999999E-2</v>
      </c>
      <c r="F577" s="5"/>
    </row>
    <row r="578" spans="2:6" ht="13.8" hidden="1" outlineLevel="1">
      <c r="B578" s="187">
        <v>23414</v>
      </c>
      <c r="C578" s="188">
        <v>4.1399999999999997</v>
      </c>
      <c r="D578" s="104">
        <f t="shared" si="8"/>
        <v>4.1399999999999999E-2</v>
      </c>
      <c r="F578" s="5"/>
    </row>
    <row r="579" spans="2:6" ht="13.8" hidden="1" outlineLevel="1">
      <c r="B579" s="187">
        <v>23417</v>
      </c>
      <c r="C579" s="188">
        <v>4.1399999999999997</v>
      </c>
      <c r="D579" s="104">
        <f t="shared" si="8"/>
        <v>4.1399999999999999E-2</v>
      </c>
      <c r="F579" s="5"/>
    </row>
    <row r="580" spans="2:6" ht="13.8" hidden="1" outlineLevel="1">
      <c r="B580" s="187">
        <v>23418</v>
      </c>
      <c r="C580" s="188">
        <v>4.1399999999999997</v>
      </c>
      <c r="D580" s="104">
        <f t="shared" si="8"/>
        <v>4.1399999999999999E-2</v>
      </c>
      <c r="F580" s="5"/>
    </row>
    <row r="581" spans="2:6" ht="13.8" hidden="1" outlineLevel="1">
      <c r="B581" s="187">
        <v>23419</v>
      </c>
      <c r="C581" s="188" t="s">
        <v>380</v>
      </c>
      <c r="D581" s="104">
        <f t="shared" si="8"/>
        <v>4.1399999999999999E-2</v>
      </c>
      <c r="F581" s="5"/>
    </row>
    <row r="582" spans="2:6" ht="13.8" hidden="1" outlineLevel="1">
      <c r="B582" s="187">
        <v>23420</v>
      </c>
      <c r="C582" s="188">
        <v>4.13</v>
      </c>
      <c r="D582" s="104">
        <f t="shared" si="8"/>
        <v>4.1299999999999996E-2</v>
      </c>
      <c r="F582" s="5"/>
    </row>
    <row r="583" spans="2:6" ht="13.8" hidden="1" outlineLevel="1">
      <c r="B583" s="187">
        <v>23421</v>
      </c>
      <c r="C583" s="188">
        <v>4.13</v>
      </c>
      <c r="D583" s="104">
        <f t="shared" si="8"/>
        <v>4.1299999999999996E-2</v>
      </c>
      <c r="F583" s="5"/>
    </row>
    <row r="584" spans="2:6" ht="13.8" hidden="1" outlineLevel="1">
      <c r="B584" s="187">
        <v>23424</v>
      </c>
      <c r="C584" s="188">
        <v>4.13</v>
      </c>
      <c r="D584" s="104">
        <f t="shared" si="8"/>
        <v>4.1299999999999996E-2</v>
      </c>
      <c r="F584" s="5"/>
    </row>
    <row r="585" spans="2:6" ht="13.8" hidden="1" outlineLevel="1">
      <c r="B585" s="187">
        <v>23425</v>
      </c>
      <c r="C585" s="188">
        <v>4.1399999999999997</v>
      </c>
      <c r="D585" s="104">
        <f t="shared" si="8"/>
        <v>4.1399999999999999E-2</v>
      </c>
      <c r="F585" s="5"/>
    </row>
    <row r="586" spans="2:6" ht="13.8" hidden="1" outlineLevel="1">
      <c r="B586" s="187">
        <v>23426</v>
      </c>
      <c r="C586" s="188">
        <v>4.1399999999999997</v>
      </c>
      <c r="D586" s="104">
        <f t="shared" si="8"/>
        <v>4.1399999999999999E-2</v>
      </c>
      <c r="F586" s="5"/>
    </row>
    <row r="587" spans="2:6" ht="13.8" hidden="1" outlineLevel="1">
      <c r="B587" s="187">
        <v>23427</v>
      </c>
      <c r="C587" s="188">
        <v>4.1399999999999997</v>
      </c>
      <c r="D587" s="104">
        <f t="shared" si="8"/>
        <v>4.1399999999999999E-2</v>
      </c>
      <c r="F587" s="5"/>
    </row>
    <row r="588" spans="2:6" ht="13.8" hidden="1" outlineLevel="1">
      <c r="B588" s="187">
        <v>23428</v>
      </c>
      <c r="C588" s="188" t="s">
        <v>380</v>
      </c>
      <c r="D588" s="104">
        <f t="shared" si="8"/>
        <v>4.1399999999999999E-2</v>
      </c>
      <c r="F588" s="5"/>
    </row>
    <row r="589" spans="2:6" ht="13.8" hidden="1" outlineLevel="1">
      <c r="B589" s="187">
        <v>23431</v>
      </c>
      <c r="C589" s="188">
        <v>4.1500000000000004</v>
      </c>
      <c r="D589" s="104">
        <f t="shared" si="8"/>
        <v>4.1500000000000002E-2</v>
      </c>
      <c r="F589" s="5"/>
    </row>
    <row r="590" spans="2:6" ht="13.8" hidden="1" outlineLevel="1">
      <c r="B590" s="187">
        <v>23432</v>
      </c>
      <c r="C590" s="188">
        <v>4.1500000000000004</v>
      </c>
      <c r="D590" s="104">
        <f t="shared" si="8"/>
        <v>4.1500000000000002E-2</v>
      </c>
      <c r="F590" s="5"/>
    </row>
    <row r="591" spans="2:6" ht="13.8" hidden="1" outlineLevel="1">
      <c r="B591" s="187">
        <v>23433</v>
      </c>
      <c r="C591" s="188">
        <v>4.1500000000000004</v>
      </c>
      <c r="D591" s="104">
        <f t="shared" si="8"/>
        <v>4.1500000000000002E-2</v>
      </c>
      <c r="F591" s="5"/>
    </row>
    <row r="592" spans="2:6" ht="13.8" hidden="1" outlineLevel="1">
      <c r="B592" s="187">
        <v>23434</v>
      </c>
      <c r="C592" s="188">
        <v>4.17</v>
      </c>
      <c r="D592" s="104">
        <f t="shared" si="8"/>
        <v>4.1700000000000001E-2</v>
      </c>
      <c r="F592" s="5"/>
    </row>
    <row r="593" spans="2:6" ht="13.8" hidden="1" outlineLevel="1">
      <c r="B593" s="187">
        <v>23435</v>
      </c>
      <c r="C593" s="188">
        <v>4.18</v>
      </c>
      <c r="D593" s="104">
        <f t="shared" si="8"/>
        <v>4.1799999999999997E-2</v>
      </c>
      <c r="F593" s="5"/>
    </row>
    <row r="594" spans="2:6" ht="13.8" hidden="1" outlineLevel="1">
      <c r="B594" s="187">
        <v>23438</v>
      </c>
      <c r="C594" s="188">
        <v>4.17</v>
      </c>
      <c r="D594" s="104">
        <f t="shared" si="8"/>
        <v>4.1700000000000001E-2</v>
      </c>
      <c r="F594" s="5"/>
    </row>
    <row r="595" spans="2:6" ht="13.8" hidden="1" outlineLevel="1">
      <c r="B595" s="187">
        <v>23439</v>
      </c>
      <c r="C595" s="188">
        <v>4.18</v>
      </c>
      <c r="D595" s="104">
        <f t="shared" si="8"/>
        <v>4.1799999999999997E-2</v>
      </c>
      <c r="F595" s="5"/>
    </row>
    <row r="596" spans="2:6" ht="13.8" hidden="1" outlineLevel="1">
      <c r="B596" s="187">
        <v>23440</v>
      </c>
      <c r="C596" s="188">
        <v>4.1900000000000004</v>
      </c>
      <c r="D596" s="104">
        <f t="shared" si="8"/>
        <v>4.1900000000000007E-2</v>
      </c>
      <c r="F596" s="5"/>
    </row>
    <row r="597" spans="2:6" ht="13.8" hidden="1" outlineLevel="1">
      <c r="B597" s="187">
        <v>23441</v>
      </c>
      <c r="C597" s="188">
        <v>4.1900000000000004</v>
      </c>
      <c r="D597" s="104">
        <f t="shared" si="8"/>
        <v>4.1900000000000007E-2</v>
      </c>
      <c r="F597" s="5"/>
    </row>
    <row r="598" spans="2:6" ht="13.8" hidden="1" outlineLevel="1">
      <c r="B598" s="187">
        <v>23442</v>
      </c>
      <c r="C598" s="188">
        <v>4.1900000000000004</v>
      </c>
      <c r="D598" s="104">
        <f t="shared" si="8"/>
        <v>4.1900000000000007E-2</v>
      </c>
      <c r="F598" s="5"/>
    </row>
    <row r="599" spans="2:6" ht="13.8" hidden="1" outlineLevel="1">
      <c r="B599" s="187">
        <v>23445</v>
      </c>
      <c r="C599" s="188">
        <v>4.2</v>
      </c>
      <c r="D599" s="104">
        <f t="shared" si="8"/>
        <v>4.2000000000000003E-2</v>
      </c>
      <c r="F599" s="5"/>
    </row>
    <row r="600" spans="2:6" ht="13.8" hidden="1" outlineLevel="1">
      <c r="B600" s="187">
        <v>23446</v>
      </c>
      <c r="C600" s="188">
        <v>4.2</v>
      </c>
      <c r="D600" s="104">
        <f t="shared" si="8"/>
        <v>4.2000000000000003E-2</v>
      </c>
      <c r="F600" s="5"/>
    </row>
    <row r="601" spans="2:6" ht="13.8" hidden="1" outlineLevel="1">
      <c r="B601" s="187">
        <v>23447</v>
      </c>
      <c r="C601" s="188">
        <v>4.21</v>
      </c>
      <c r="D601" s="104">
        <f t="shared" si="8"/>
        <v>4.2099999999999999E-2</v>
      </c>
      <c r="F601" s="5"/>
    </row>
    <row r="602" spans="2:6" ht="13.8" hidden="1" outlineLevel="1">
      <c r="B602" s="187">
        <v>23448</v>
      </c>
      <c r="C602" s="188">
        <v>4.21</v>
      </c>
      <c r="D602" s="104">
        <f t="shared" si="8"/>
        <v>4.2099999999999999E-2</v>
      </c>
      <c r="F602" s="5"/>
    </row>
    <row r="603" spans="2:6" ht="13.8" hidden="1" outlineLevel="1">
      <c r="B603" s="187">
        <v>23449</v>
      </c>
      <c r="C603" s="188">
        <v>4.22</v>
      </c>
      <c r="D603" s="104">
        <f t="shared" si="8"/>
        <v>4.2199999999999994E-2</v>
      </c>
      <c r="F603" s="5"/>
    </row>
    <row r="604" spans="2:6" ht="13.8" hidden="1" outlineLevel="1">
      <c r="B604" s="187">
        <v>23452</v>
      </c>
      <c r="C604" s="188">
        <v>4.21</v>
      </c>
      <c r="D604" s="104">
        <f t="shared" si="8"/>
        <v>4.2099999999999999E-2</v>
      </c>
      <c r="F604" s="5"/>
    </row>
    <row r="605" spans="2:6" ht="13.8" hidden="1" outlineLevel="1">
      <c r="B605" s="187">
        <v>23453</v>
      </c>
      <c r="C605" s="188">
        <v>4.22</v>
      </c>
      <c r="D605" s="104">
        <f t="shared" si="8"/>
        <v>4.2199999999999994E-2</v>
      </c>
      <c r="F605" s="5"/>
    </row>
    <row r="606" spans="2:6" ht="13.8" hidden="1" outlineLevel="1">
      <c r="B606" s="187">
        <v>23454</v>
      </c>
      <c r="C606" s="188">
        <v>4.2300000000000004</v>
      </c>
      <c r="D606" s="104">
        <f t="shared" ref="D606:D669" si="9">IF( LEN( C606 ) = 0, #N/A, IF( C606 = "ND", D605, C606 / 100 ) )</f>
        <v>4.2300000000000004E-2</v>
      </c>
      <c r="F606" s="5"/>
    </row>
    <row r="607" spans="2:6" ht="13.8" hidden="1" outlineLevel="1">
      <c r="B607" s="187">
        <v>23455</v>
      </c>
      <c r="C607" s="188">
        <v>4.24</v>
      </c>
      <c r="D607" s="104">
        <f t="shared" si="9"/>
        <v>4.24E-2</v>
      </c>
      <c r="F607" s="5"/>
    </row>
    <row r="608" spans="2:6" ht="13.8" hidden="1" outlineLevel="1">
      <c r="B608" s="187">
        <v>23456</v>
      </c>
      <c r="C608" s="188">
        <v>4.25</v>
      </c>
      <c r="D608" s="104">
        <f t="shared" si="9"/>
        <v>4.2500000000000003E-2</v>
      </c>
      <c r="F608" s="5"/>
    </row>
    <row r="609" spans="2:6" ht="13.8" hidden="1" outlineLevel="1">
      <c r="B609" s="187">
        <v>23459</v>
      </c>
      <c r="C609" s="188">
        <v>4.25</v>
      </c>
      <c r="D609" s="104">
        <f t="shared" si="9"/>
        <v>4.2500000000000003E-2</v>
      </c>
      <c r="F609" s="5"/>
    </row>
    <row r="610" spans="2:6" ht="13.8" hidden="1" outlineLevel="1">
      <c r="B610" s="187">
        <v>23460</v>
      </c>
      <c r="C610" s="188">
        <v>4.26</v>
      </c>
      <c r="D610" s="104">
        <f t="shared" si="9"/>
        <v>4.2599999999999999E-2</v>
      </c>
      <c r="F610" s="5"/>
    </row>
    <row r="611" spans="2:6" ht="13.8" hidden="1" outlineLevel="1">
      <c r="B611" s="187">
        <v>23461</v>
      </c>
      <c r="C611" s="188">
        <v>4.26</v>
      </c>
      <c r="D611" s="104">
        <f t="shared" si="9"/>
        <v>4.2599999999999999E-2</v>
      </c>
      <c r="F611" s="5"/>
    </row>
    <row r="612" spans="2:6" ht="13.8" hidden="1" outlineLevel="1">
      <c r="B612" s="187">
        <v>23462</v>
      </c>
      <c r="C612" s="188">
        <v>4.25</v>
      </c>
      <c r="D612" s="104">
        <f t="shared" si="9"/>
        <v>4.2500000000000003E-2</v>
      </c>
      <c r="F612" s="5"/>
    </row>
    <row r="613" spans="2:6" ht="13.8" hidden="1" outlineLevel="1">
      <c r="B613" s="187">
        <v>23463</v>
      </c>
      <c r="C613" s="188" t="s">
        <v>380</v>
      </c>
      <c r="D613" s="104">
        <f t="shared" si="9"/>
        <v>4.2500000000000003E-2</v>
      </c>
      <c r="F613" s="5"/>
    </row>
    <row r="614" spans="2:6" ht="13.8" hidden="1" outlineLevel="1">
      <c r="B614" s="187">
        <v>23466</v>
      </c>
      <c r="C614" s="188">
        <v>4.25</v>
      </c>
      <c r="D614" s="104">
        <f t="shared" si="9"/>
        <v>4.2500000000000003E-2</v>
      </c>
      <c r="F614" s="5"/>
    </row>
    <row r="615" spans="2:6" ht="13.8" hidden="1" outlineLevel="1">
      <c r="B615" s="187">
        <v>23467</v>
      </c>
      <c r="C615" s="188">
        <v>4.2300000000000004</v>
      </c>
      <c r="D615" s="104">
        <f t="shared" si="9"/>
        <v>4.2300000000000004E-2</v>
      </c>
      <c r="F615" s="5"/>
    </row>
    <row r="616" spans="2:6" ht="13.8" hidden="1" outlineLevel="1">
      <c r="B616" s="187">
        <v>23468</v>
      </c>
      <c r="C616" s="188">
        <v>4.2300000000000004</v>
      </c>
      <c r="D616" s="104">
        <f t="shared" si="9"/>
        <v>4.2300000000000004E-2</v>
      </c>
      <c r="F616" s="5"/>
    </row>
    <row r="617" spans="2:6" ht="13.8" hidden="1" outlineLevel="1">
      <c r="B617" s="187">
        <v>23469</v>
      </c>
      <c r="C617" s="188">
        <v>4.24</v>
      </c>
      <c r="D617" s="104">
        <f t="shared" si="9"/>
        <v>4.24E-2</v>
      </c>
      <c r="F617" s="5"/>
    </row>
    <row r="618" spans="2:6" ht="13.8" hidden="1" outlineLevel="1">
      <c r="B618" s="187">
        <v>23470</v>
      </c>
      <c r="C618" s="188">
        <v>4.25</v>
      </c>
      <c r="D618" s="104">
        <f t="shared" si="9"/>
        <v>4.2500000000000003E-2</v>
      </c>
      <c r="F618" s="5"/>
    </row>
    <row r="619" spans="2:6" ht="13.8" hidden="1" outlineLevel="1">
      <c r="B619" s="187">
        <v>23473</v>
      </c>
      <c r="C619" s="188">
        <v>4.25</v>
      </c>
      <c r="D619" s="104">
        <f t="shared" si="9"/>
        <v>4.2500000000000003E-2</v>
      </c>
      <c r="F619" s="5"/>
    </row>
    <row r="620" spans="2:6" ht="13.8" hidden="1" outlineLevel="1">
      <c r="B620" s="187">
        <v>23474</v>
      </c>
      <c r="C620" s="188">
        <v>4.25</v>
      </c>
      <c r="D620" s="104">
        <f t="shared" si="9"/>
        <v>4.2500000000000003E-2</v>
      </c>
      <c r="F620" s="5"/>
    </row>
    <row r="621" spans="2:6" ht="13.8" hidden="1" outlineLevel="1">
      <c r="B621" s="187">
        <v>23475</v>
      </c>
      <c r="C621" s="188">
        <v>4.22</v>
      </c>
      <c r="D621" s="104">
        <f t="shared" si="9"/>
        <v>4.2199999999999994E-2</v>
      </c>
      <c r="F621" s="5"/>
    </row>
    <row r="622" spans="2:6" ht="13.8" hidden="1" outlineLevel="1">
      <c r="B622" s="187">
        <v>23476</v>
      </c>
      <c r="C622" s="188">
        <v>4.22</v>
      </c>
      <c r="D622" s="104">
        <f t="shared" si="9"/>
        <v>4.2199999999999994E-2</v>
      </c>
      <c r="F622" s="5"/>
    </row>
    <row r="623" spans="2:6" ht="13.8" hidden="1" outlineLevel="1">
      <c r="B623" s="187">
        <v>23477</v>
      </c>
      <c r="C623" s="188">
        <v>4.22</v>
      </c>
      <c r="D623" s="104">
        <f t="shared" si="9"/>
        <v>4.2199999999999994E-2</v>
      </c>
      <c r="F623" s="5"/>
    </row>
    <row r="624" spans="2:6" ht="13.8" hidden="1" outlineLevel="1">
      <c r="B624" s="187">
        <v>23480</v>
      </c>
      <c r="C624" s="188">
        <v>4.2300000000000004</v>
      </c>
      <c r="D624" s="104">
        <f t="shared" si="9"/>
        <v>4.2300000000000004E-2</v>
      </c>
      <c r="F624" s="5"/>
    </row>
    <row r="625" spans="2:6" ht="13.8" hidden="1" outlineLevel="1">
      <c r="B625" s="187">
        <v>23481</v>
      </c>
      <c r="C625" s="188">
        <v>4.24</v>
      </c>
      <c r="D625" s="104">
        <f t="shared" si="9"/>
        <v>4.24E-2</v>
      </c>
      <c r="F625" s="5"/>
    </row>
    <row r="626" spans="2:6" ht="13.8" hidden="1" outlineLevel="1">
      <c r="B626" s="187">
        <v>23482</v>
      </c>
      <c r="C626" s="188">
        <v>4.2300000000000004</v>
      </c>
      <c r="D626" s="104">
        <f t="shared" si="9"/>
        <v>4.2300000000000004E-2</v>
      </c>
      <c r="F626" s="5"/>
    </row>
    <row r="627" spans="2:6" ht="13.8" hidden="1" outlineLevel="1">
      <c r="B627" s="187">
        <v>23483</v>
      </c>
      <c r="C627" s="188">
        <v>4.2300000000000004</v>
      </c>
      <c r="D627" s="104">
        <f t="shared" si="9"/>
        <v>4.2300000000000004E-2</v>
      </c>
      <c r="F627" s="5"/>
    </row>
    <row r="628" spans="2:6" ht="13.8" hidden="1" outlineLevel="1">
      <c r="B628" s="187">
        <v>23484</v>
      </c>
      <c r="C628" s="188">
        <v>4.24</v>
      </c>
      <c r="D628" s="104">
        <f t="shared" si="9"/>
        <v>4.24E-2</v>
      </c>
      <c r="F628" s="5"/>
    </row>
    <row r="629" spans="2:6" ht="13.8" hidden="1" outlineLevel="1">
      <c r="B629" s="187">
        <v>23487</v>
      </c>
      <c r="C629" s="188">
        <v>4.24</v>
      </c>
      <c r="D629" s="104">
        <f t="shared" si="9"/>
        <v>4.24E-2</v>
      </c>
      <c r="F629" s="5"/>
    </row>
    <row r="630" spans="2:6" ht="13.8" hidden="1" outlineLevel="1">
      <c r="B630" s="187">
        <v>23488</v>
      </c>
      <c r="C630" s="188">
        <v>4.2300000000000004</v>
      </c>
      <c r="D630" s="104">
        <f t="shared" si="9"/>
        <v>4.2300000000000004E-2</v>
      </c>
      <c r="F630" s="5"/>
    </row>
    <row r="631" spans="2:6" ht="13.8" hidden="1" outlineLevel="1">
      <c r="B631" s="187">
        <v>23489</v>
      </c>
      <c r="C631" s="188">
        <v>4.2300000000000004</v>
      </c>
      <c r="D631" s="104">
        <f t="shared" si="9"/>
        <v>4.2300000000000004E-2</v>
      </c>
      <c r="F631" s="5"/>
    </row>
    <row r="632" spans="2:6" ht="13.8" hidden="1" outlineLevel="1">
      <c r="B632" s="187">
        <v>23490</v>
      </c>
      <c r="C632" s="188">
        <v>4.2300000000000004</v>
      </c>
      <c r="D632" s="104">
        <f t="shared" si="9"/>
        <v>4.2300000000000004E-2</v>
      </c>
      <c r="F632" s="5"/>
    </row>
    <row r="633" spans="2:6" ht="13.8" hidden="1" outlineLevel="1">
      <c r="B633" s="187">
        <v>23491</v>
      </c>
      <c r="C633" s="188">
        <v>4.2300000000000004</v>
      </c>
      <c r="D633" s="104">
        <f t="shared" si="9"/>
        <v>4.2300000000000004E-2</v>
      </c>
      <c r="F633" s="5"/>
    </row>
    <row r="634" spans="2:6" ht="13.8" hidden="1" outlineLevel="1">
      <c r="B634" s="187">
        <v>23494</v>
      </c>
      <c r="C634" s="188">
        <v>4.2300000000000004</v>
      </c>
      <c r="D634" s="104">
        <f t="shared" si="9"/>
        <v>4.2300000000000004E-2</v>
      </c>
      <c r="F634" s="5"/>
    </row>
    <row r="635" spans="2:6" ht="13.8" hidden="1" outlineLevel="1">
      <c r="B635" s="187">
        <v>23495</v>
      </c>
      <c r="C635" s="188">
        <v>4.2300000000000004</v>
      </c>
      <c r="D635" s="104">
        <f t="shared" si="9"/>
        <v>4.2300000000000004E-2</v>
      </c>
      <c r="F635" s="5"/>
    </row>
    <row r="636" spans="2:6" ht="13.8" hidden="1" outlineLevel="1">
      <c r="B636" s="187">
        <v>23496</v>
      </c>
      <c r="C636" s="188">
        <v>4.22</v>
      </c>
      <c r="D636" s="104">
        <f t="shared" si="9"/>
        <v>4.2199999999999994E-2</v>
      </c>
      <c r="F636" s="5"/>
    </row>
    <row r="637" spans="2:6" ht="13.8" hidden="1" outlineLevel="1">
      <c r="B637" s="187">
        <v>23497</v>
      </c>
      <c r="C637" s="188">
        <v>4.22</v>
      </c>
      <c r="D637" s="104">
        <f t="shared" si="9"/>
        <v>4.2199999999999994E-2</v>
      </c>
      <c r="F637" s="5"/>
    </row>
    <row r="638" spans="2:6" ht="13.8" hidden="1" outlineLevel="1">
      <c r="B638" s="187">
        <v>23498</v>
      </c>
      <c r="C638" s="188">
        <v>4.22</v>
      </c>
      <c r="D638" s="104">
        <f t="shared" si="9"/>
        <v>4.2199999999999994E-2</v>
      </c>
      <c r="F638" s="5"/>
    </row>
    <row r="639" spans="2:6" ht="13.8" hidden="1" outlineLevel="1">
      <c r="B639" s="187">
        <v>23501</v>
      </c>
      <c r="C639" s="188">
        <v>4.22</v>
      </c>
      <c r="D639" s="104">
        <f t="shared" si="9"/>
        <v>4.2199999999999994E-2</v>
      </c>
      <c r="F639" s="5"/>
    </row>
    <row r="640" spans="2:6" ht="13.8" hidden="1" outlineLevel="1">
      <c r="B640" s="187">
        <v>23502</v>
      </c>
      <c r="C640" s="188">
        <v>4.22</v>
      </c>
      <c r="D640" s="104">
        <f t="shared" si="9"/>
        <v>4.2199999999999994E-2</v>
      </c>
      <c r="F640" s="5"/>
    </row>
    <row r="641" spans="2:6" ht="13.8" hidden="1" outlineLevel="1">
      <c r="B641" s="187">
        <v>23503</v>
      </c>
      <c r="C641" s="188">
        <v>4.22</v>
      </c>
      <c r="D641" s="104">
        <f t="shared" si="9"/>
        <v>4.2199999999999994E-2</v>
      </c>
      <c r="F641" s="5"/>
    </row>
    <row r="642" spans="2:6" ht="13.8" hidden="1" outlineLevel="1">
      <c r="B642" s="187">
        <v>23504</v>
      </c>
      <c r="C642" s="188">
        <v>4.22</v>
      </c>
      <c r="D642" s="104">
        <f t="shared" si="9"/>
        <v>4.2199999999999994E-2</v>
      </c>
      <c r="F642" s="5"/>
    </row>
    <row r="643" spans="2:6" ht="13.8" hidden="1" outlineLevel="1">
      <c r="B643" s="187">
        <v>23505</v>
      </c>
      <c r="C643" s="188">
        <v>4.2</v>
      </c>
      <c r="D643" s="104">
        <f t="shared" si="9"/>
        <v>4.2000000000000003E-2</v>
      </c>
      <c r="F643" s="5"/>
    </row>
    <row r="644" spans="2:6" ht="13.8" hidden="1" outlineLevel="1">
      <c r="B644" s="187">
        <v>23508</v>
      </c>
      <c r="C644" s="188">
        <v>4.1900000000000004</v>
      </c>
      <c r="D644" s="104">
        <f t="shared" si="9"/>
        <v>4.1900000000000007E-2</v>
      </c>
      <c r="F644" s="5"/>
    </row>
    <row r="645" spans="2:6" ht="13.8" hidden="1" outlineLevel="1">
      <c r="B645" s="187">
        <v>23509</v>
      </c>
      <c r="C645" s="188">
        <v>4.1900000000000004</v>
      </c>
      <c r="D645" s="104">
        <f t="shared" si="9"/>
        <v>4.1900000000000007E-2</v>
      </c>
      <c r="F645" s="5"/>
    </row>
    <row r="646" spans="2:6" ht="13.8" hidden="1" outlineLevel="1">
      <c r="B646" s="187">
        <v>23510</v>
      </c>
      <c r="C646" s="188">
        <v>4.1900000000000004</v>
      </c>
      <c r="D646" s="104">
        <f t="shared" si="9"/>
        <v>4.1900000000000007E-2</v>
      </c>
      <c r="F646" s="5"/>
    </row>
    <row r="647" spans="2:6" ht="13.8" hidden="1" outlineLevel="1">
      <c r="B647" s="187">
        <v>23511</v>
      </c>
      <c r="C647" s="188">
        <v>4.1900000000000004</v>
      </c>
      <c r="D647" s="104">
        <f t="shared" si="9"/>
        <v>4.1900000000000007E-2</v>
      </c>
      <c r="F647" s="5"/>
    </row>
    <row r="648" spans="2:6" ht="13.8" hidden="1" outlineLevel="1">
      <c r="B648" s="187">
        <v>23512</v>
      </c>
      <c r="C648" s="188">
        <v>4.1900000000000004</v>
      </c>
      <c r="D648" s="104">
        <f t="shared" si="9"/>
        <v>4.1900000000000007E-2</v>
      </c>
      <c r="F648" s="5"/>
    </row>
    <row r="649" spans="2:6" ht="13.8" hidden="1" outlineLevel="1">
      <c r="B649" s="187">
        <v>23515</v>
      </c>
      <c r="C649" s="188">
        <v>4.1900000000000004</v>
      </c>
      <c r="D649" s="104">
        <f t="shared" si="9"/>
        <v>4.1900000000000007E-2</v>
      </c>
      <c r="F649" s="5"/>
    </row>
    <row r="650" spans="2:6" ht="13.8" hidden="1" outlineLevel="1">
      <c r="B650" s="187">
        <v>23516</v>
      </c>
      <c r="C650" s="188">
        <v>4.1900000000000004</v>
      </c>
      <c r="D650" s="104">
        <f t="shared" si="9"/>
        <v>4.1900000000000007E-2</v>
      </c>
      <c r="F650" s="5"/>
    </row>
    <row r="651" spans="2:6" ht="13.8" hidden="1" outlineLevel="1">
      <c r="B651" s="187">
        <v>23517</v>
      </c>
      <c r="C651" s="188">
        <v>4.2</v>
      </c>
      <c r="D651" s="104">
        <f t="shared" si="9"/>
        <v>4.2000000000000003E-2</v>
      </c>
      <c r="F651" s="5"/>
    </row>
    <row r="652" spans="2:6" ht="13.8" hidden="1" outlineLevel="1">
      <c r="B652" s="187">
        <v>23518</v>
      </c>
      <c r="C652" s="188">
        <v>4.2</v>
      </c>
      <c r="D652" s="104">
        <f t="shared" si="9"/>
        <v>4.2000000000000003E-2</v>
      </c>
      <c r="F652" s="5"/>
    </row>
    <row r="653" spans="2:6" ht="13.8" hidden="1" outlineLevel="1">
      <c r="B653" s="187">
        <v>23519</v>
      </c>
      <c r="C653" s="188">
        <v>4.2</v>
      </c>
      <c r="D653" s="104">
        <f t="shared" si="9"/>
        <v>4.2000000000000003E-2</v>
      </c>
      <c r="F653" s="5"/>
    </row>
    <row r="654" spans="2:6" ht="13.8" hidden="1" outlineLevel="1">
      <c r="B654" s="187">
        <v>23522</v>
      </c>
      <c r="C654" s="188">
        <v>4.1900000000000004</v>
      </c>
      <c r="D654" s="104">
        <f t="shared" si="9"/>
        <v>4.1900000000000007E-2</v>
      </c>
      <c r="F654" s="5"/>
    </row>
    <row r="655" spans="2:6" ht="13.8" hidden="1" outlineLevel="1">
      <c r="B655" s="187">
        <v>23523</v>
      </c>
      <c r="C655" s="188">
        <v>4.1900000000000004</v>
      </c>
      <c r="D655" s="104">
        <f t="shared" si="9"/>
        <v>4.1900000000000007E-2</v>
      </c>
      <c r="F655" s="5"/>
    </row>
    <row r="656" spans="2:6" ht="13.8" hidden="1" outlineLevel="1">
      <c r="B656" s="187">
        <v>23524</v>
      </c>
      <c r="C656" s="188">
        <v>4.2</v>
      </c>
      <c r="D656" s="104">
        <f t="shared" si="9"/>
        <v>4.2000000000000003E-2</v>
      </c>
      <c r="F656" s="5"/>
    </row>
    <row r="657" spans="2:6" ht="13.8" hidden="1" outlineLevel="1">
      <c r="B657" s="187">
        <v>23525</v>
      </c>
      <c r="C657" s="188">
        <v>4.1900000000000004</v>
      </c>
      <c r="D657" s="104">
        <f t="shared" si="9"/>
        <v>4.1900000000000007E-2</v>
      </c>
      <c r="F657" s="5"/>
    </row>
    <row r="658" spans="2:6" ht="13.8" hidden="1" outlineLevel="1">
      <c r="B658" s="187">
        <v>23526</v>
      </c>
      <c r="C658" s="188" t="s">
        <v>380</v>
      </c>
      <c r="D658" s="104">
        <f t="shared" si="9"/>
        <v>4.1900000000000007E-2</v>
      </c>
      <c r="F658" s="5"/>
    </row>
    <row r="659" spans="2:6" ht="13.8" hidden="1" outlineLevel="1">
      <c r="B659" s="187">
        <v>23529</v>
      </c>
      <c r="C659" s="188">
        <v>4.1900000000000004</v>
      </c>
      <c r="D659" s="104">
        <f t="shared" si="9"/>
        <v>4.1900000000000007E-2</v>
      </c>
      <c r="F659" s="5"/>
    </row>
    <row r="660" spans="2:6" ht="13.8" hidden="1" outlineLevel="1">
      <c r="B660" s="187">
        <v>23530</v>
      </c>
      <c r="C660" s="188">
        <v>4.1900000000000004</v>
      </c>
      <c r="D660" s="104">
        <f t="shared" si="9"/>
        <v>4.1900000000000007E-2</v>
      </c>
      <c r="F660" s="5"/>
    </row>
    <row r="661" spans="2:6" ht="13.8" hidden="1" outlineLevel="1">
      <c r="B661" s="187">
        <v>23531</v>
      </c>
      <c r="C661" s="188">
        <v>4.1900000000000004</v>
      </c>
      <c r="D661" s="104">
        <f t="shared" si="9"/>
        <v>4.1900000000000007E-2</v>
      </c>
      <c r="F661" s="5"/>
    </row>
    <row r="662" spans="2:6" ht="13.8" hidden="1" outlineLevel="1">
      <c r="B662" s="187">
        <v>23532</v>
      </c>
      <c r="C662" s="188">
        <v>4.1900000000000004</v>
      </c>
      <c r="D662" s="104">
        <f t="shared" si="9"/>
        <v>4.1900000000000007E-2</v>
      </c>
      <c r="F662" s="5"/>
    </row>
    <row r="663" spans="2:6" ht="13.8" hidden="1" outlineLevel="1">
      <c r="B663" s="187">
        <v>23533</v>
      </c>
      <c r="C663" s="188">
        <v>4.18</v>
      </c>
      <c r="D663" s="104">
        <f t="shared" si="9"/>
        <v>4.1799999999999997E-2</v>
      </c>
      <c r="F663" s="5"/>
    </row>
    <row r="664" spans="2:6" ht="13.8" hidden="1" outlineLevel="1">
      <c r="B664" s="187">
        <v>23536</v>
      </c>
      <c r="C664" s="188">
        <v>4.18</v>
      </c>
      <c r="D664" s="104">
        <f t="shared" si="9"/>
        <v>4.1799999999999997E-2</v>
      </c>
      <c r="F664" s="5"/>
    </row>
    <row r="665" spans="2:6" ht="13.8" hidden="1" outlineLevel="1">
      <c r="B665" s="187">
        <v>23537</v>
      </c>
      <c r="C665" s="188">
        <v>4.17</v>
      </c>
      <c r="D665" s="104">
        <f t="shared" si="9"/>
        <v>4.1700000000000001E-2</v>
      </c>
      <c r="F665" s="5"/>
    </row>
    <row r="666" spans="2:6" ht="13.8" hidden="1" outlineLevel="1">
      <c r="B666" s="187">
        <v>23538</v>
      </c>
      <c r="C666" s="188">
        <v>4.17</v>
      </c>
      <c r="D666" s="104">
        <f t="shared" si="9"/>
        <v>4.1700000000000001E-2</v>
      </c>
      <c r="F666" s="5"/>
    </row>
    <row r="667" spans="2:6" ht="13.8" hidden="1" outlineLevel="1">
      <c r="B667" s="187">
        <v>23539</v>
      </c>
      <c r="C667" s="188">
        <v>4.18</v>
      </c>
      <c r="D667" s="104">
        <f t="shared" si="9"/>
        <v>4.1799999999999997E-2</v>
      </c>
      <c r="F667" s="5"/>
    </row>
    <row r="668" spans="2:6" ht="13.8" hidden="1" outlineLevel="1">
      <c r="B668" s="187">
        <v>23540</v>
      </c>
      <c r="C668" s="188">
        <v>4.18</v>
      </c>
      <c r="D668" s="104">
        <f t="shared" si="9"/>
        <v>4.1799999999999997E-2</v>
      </c>
      <c r="F668" s="5"/>
    </row>
    <row r="669" spans="2:6" ht="13.8" hidden="1" outlineLevel="1">
      <c r="B669" s="187">
        <v>23543</v>
      </c>
      <c r="C669" s="188">
        <v>4.18</v>
      </c>
      <c r="D669" s="104">
        <f t="shared" si="9"/>
        <v>4.1799999999999997E-2</v>
      </c>
      <c r="F669" s="5"/>
    </row>
    <row r="670" spans="2:6" ht="13.8" hidden="1" outlineLevel="1">
      <c r="B670" s="187">
        <v>23544</v>
      </c>
      <c r="C670" s="188">
        <v>4.18</v>
      </c>
      <c r="D670" s="104">
        <f t="shared" ref="D670:D733" si="10">IF( LEN( C670 ) = 0, #N/A, IF( C670 = "ND", D669, C670 / 100 ) )</f>
        <v>4.1799999999999997E-2</v>
      </c>
      <c r="F670" s="5"/>
    </row>
    <row r="671" spans="2:6" ht="13.8" hidden="1" outlineLevel="1">
      <c r="B671" s="187">
        <v>23545</v>
      </c>
      <c r="C671" s="188">
        <v>4.18</v>
      </c>
      <c r="D671" s="104">
        <f t="shared" si="10"/>
        <v>4.1799999999999997E-2</v>
      </c>
      <c r="F671" s="5"/>
    </row>
    <row r="672" spans="2:6" ht="13.8" hidden="1" outlineLevel="1">
      <c r="B672" s="187">
        <v>23546</v>
      </c>
      <c r="C672" s="188">
        <v>4.17</v>
      </c>
      <c r="D672" s="104">
        <f t="shared" si="10"/>
        <v>4.1700000000000001E-2</v>
      </c>
      <c r="F672" s="5"/>
    </row>
    <row r="673" spans="2:6" ht="13.8" hidden="1" outlineLevel="1">
      <c r="B673" s="187">
        <v>23547</v>
      </c>
      <c r="C673" s="188">
        <v>4.16</v>
      </c>
      <c r="D673" s="104">
        <f t="shared" si="10"/>
        <v>4.1599999999999998E-2</v>
      </c>
      <c r="F673" s="5"/>
    </row>
    <row r="674" spans="2:6" ht="13.8" hidden="1" outlineLevel="1">
      <c r="B674" s="187">
        <v>23550</v>
      </c>
      <c r="C674" s="188">
        <v>4.1500000000000004</v>
      </c>
      <c r="D674" s="104">
        <f t="shared" si="10"/>
        <v>4.1500000000000002E-2</v>
      </c>
      <c r="F674" s="5"/>
    </row>
    <row r="675" spans="2:6" ht="13.8" hidden="1" outlineLevel="1">
      <c r="B675" s="187">
        <v>23551</v>
      </c>
      <c r="C675" s="188">
        <v>4.1500000000000004</v>
      </c>
      <c r="D675" s="104">
        <f t="shared" si="10"/>
        <v>4.1500000000000002E-2</v>
      </c>
      <c r="F675" s="5"/>
    </row>
    <row r="676" spans="2:6" ht="13.8" hidden="1" outlineLevel="1">
      <c r="B676" s="187">
        <v>23552</v>
      </c>
      <c r="C676" s="188">
        <v>4.1500000000000004</v>
      </c>
      <c r="D676" s="104">
        <f t="shared" si="10"/>
        <v>4.1500000000000002E-2</v>
      </c>
      <c r="F676" s="5"/>
    </row>
    <row r="677" spans="2:6" ht="13.8" hidden="1" outlineLevel="1">
      <c r="B677" s="187">
        <v>23553</v>
      </c>
      <c r="C677" s="188">
        <v>4.1500000000000004</v>
      </c>
      <c r="D677" s="104">
        <f t="shared" si="10"/>
        <v>4.1500000000000002E-2</v>
      </c>
      <c r="F677" s="5"/>
    </row>
    <row r="678" spans="2:6" ht="13.8" hidden="1" outlineLevel="1">
      <c r="B678" s="187">
        <v>23554</v>
      </c>
      <c r="C678" s="188">
        <v>4.1500000000000004</v>
      </c>
      <c r="D678" s="104">
        <f t="shared" si="10"/>
        <v>4.1500000000000002E-2</v>
      </c>
      <c r="F678" s="5"/>
    </row>
    <row r="679" spans="2:6" ht="13.8" hidden="1" outlineLevel="1">
      <c r="B679" s="187">
        <v>23557</v>
      </c>
      <c r="C679" s="188">
        <v>4.1500000000000004</v>
      </c>
      <c r="D679" s="104">
        <f t="shared" si="10"/>
        <v>4.1500000000000002E-2</v>
      </c>
      <c r="F679" s="5"/>
    </row>
    <row r="680" spans="2:6" ht="13.8" hidden="1" outlineLevel="1">
      <c r="B680" s="187">
        <v>23558</v>
      </c>
      <c r="C680" s="188">
        <v>4.1500000000000004</v>
      </c>
      <c r="D680" s="104">
        <f t="shared" si="10"/>
        <v>4.1500000000000002E-2</v>
      </c>
      <c r="F680" s="5"/>
    </row>
    <row r="681" spans="2:6" ht="13.8" hidden="1" outlineLevel="1">
      <c r="B681" s="187">
        <v>23559</v>
      </c>
      <c r="C681" s="188">
        <v>4.1500000000000004</v>
      </c>
      <c r="D681" s="104">
        <f t="shared" si="10"/>
        <v>4.1500000000000002E-2</v>
      </c>
      <c r="F681" s="5"/>
    </row>
    <row r="682" spans="2:6" ht="13.8" hidden="1" outlineLevel="1">
      <c r="B682" s="187">
        <v>23560</v>
      </c>
      <c r="C682" s="188">
        <v>4.1500000000000004</v>
      </c>
      <c r="D682" s="104">
        <f t="shared" si="10"/>
        <v>4.1500000000000002E-2</v>
      </c>
      <c r="F682" s="5"/>
    </row>
    <row r="683" spans="2:6" ht="13.8" hidden="1" outlineLevel="1">
      <c r="B683" s="187">
        <v>23561</v>
      </c>
      <c r="C683" s="188" t="s">
        <v>380</v>
      </c>
      <c r="D683" s="104">
        <f t="shared" si="10"/>
        <v>4.1500000000000002E-2</v>
      </c>
      <c r="F683" s="5"/>
    </row>
    <row r="684" spans="2:6" ht="13.8" hidden="1" outlineLevel="1">
      <c r="B684" s="187">
        <v>23564</v>
      </c>
      <c r="C684" s="188">
        <v>4.16</v>
      </c>
      <c r="D684" s="104">
        <f t="shared" si="10"/>
        <v>4.1599999999999998E-2</v>
      </c>
      <c r="F684" s="5"/>
    </row>
    <row r="685" spans="2:6" ht="13.8" hidden="1" outlineLevel="1">
      <c r="B685" s="187">
        <v>23565</v>
      </c>
      <c r="C685" s="188">
        <v>4.1500000000000004</v>
      </c>
      <c r="D685" s="104">
        <f t="shared" si="10"/>
        <v>4.1500000000000002E-2</v>
      </c>
      <c r="F685" s="5"/>
    </row>
    <row r="686" spans="2:6" ht="13.8" hidden="1" outlineLevel="1">
      <c r="B686" s="187">
        <v>23566</v>
      </c>
      <c r="C686" s="188">
        <v>4.1500000000000004</v>
      </c>
      <c r="D686" s="104">
        <f t="shared" si="10"/>
        <v>4.1500000000000002E-2</v>
      </c>
      <c r="F686" s="5"/>
    </row>
    <row r="687" spans="2:6" ht="13.8" hidden="1" outlineLevel="1">
      <c r="B687" s="187">
        <v>23567</v>
      </c>
      <c r="C687" s="188">
        <v>4.18</v>
      </c>
      <c r="D687" s="104">
        <f t="shared" si="10"/>
        <v>4.1799999999999997E-2</v>
      </c>
      <c r="F687" s="5"/>
    </row>
    <row r="688" spans="2:6" ht="13.8" hidden="1" outlineLevel="1">
      <c r="B688" s="187">
        <v>23568</v>
      </c>
      <c r="C688" s="188">
        <v>4.1900000000000004</v>
      </c>
      <c r="D688" s="104">
        <f t="shared" si="10"/>
        <v>4.1900000000000007E-2</v>
      </c>
      <c r="F688" s="5"/>
    </row>
    <row r="689" spans="2:6" ht="13.8" hidden="1" outlineLevel="1">
      <c r="B689" s="187">
        <v>23571</v>
      </c>
      <c r="C689" s="188">
        <v>4.1900000000000004</v>
      </c>
      <c r="D689" s="104">
        <f t="shared" si="10"/>
        <v>4.1900000000000007E-2</v>
      </c>
      <c r="F689" s="5"/>
    </row>
    <row r="690" spans="2:6" ht="13.8" hidden="1" outlineLevel="1">
      <c r="B690" s="187">
        <v>23572</v>
      </c>
      <c r="C690" s="188">
        <v>4.1900000000000004</v>
      </c>
      <c r="D690" s="104">
        <f t="shared" si="10"/>
        <v>4.1900000000000007E-2</v>
      </c>
      <c r="F690" s="5"/>
    </row>
    <row r="691" spans="2:6" ht="13.8" hidden="1" outlineLevel="1">
      <c r="B691" s="187">
        <v>23573</v>
      </c>
      <c r="C691" s="188">
        <v>4.1900000000000004</v>
      </c>
      <c r="D691" s="104">
        <f t="shared" si="10"/>
        <v>4.1900000000000007E-2</v>
      </c>
      <c r="F691" s="5"/>
    </row>
    <row r="692" spans="2:6" ht="13.8" hidden="1" outlineLevel="1">
      <c r="B692" s="187">
        <v>23574</v>
      </c>
      <c r="C692" s="188">
        <v>4.1900000000000004</v>
      </c>
      <c r="D692" s="104">
        <f t="shared" si="10"/>
        <v>4.1900000000000007E-2</v>
      </c>
      <c r="F692" s="5"/>
    </row>
    <row r="693" spans="2:6" ht="13.8" hidden="1" outlineLevel="1">
      <c r="B693" s="187">
        <v>23575</v>
      </c>
      <c r="C693" s="188">
        <v>4.2</v>
      </c>
      <c r="D693" s="104">
        <f t="shared" si="10"/>
        <v>4.2000000000000003E-2</v>
      </c>
      <c r="F693" s="5"/>
    </row>
    <row r="694" spans="2:6" ht="13.8" hidden="1" outlineLevel="1">
      <c r="B694" s="187">
        <v>23578</v>
      </c>
      <c r="C694" s="188">
        <v>4.21</v>
      </c>
      <c r="D694" s="104">
        <f t="shared" si="10"/>
        <v>4.2099999999999999E-2</v>
      </c>
      <c r="F694" s="5"/>
    </row>
    <row r="695" spans="2:6" ht="13.8" hidden="1" outlineLevel="1">
      <c r="B695" s="187">
        <v>23579</v>
      </c>
      <c r="C695" s="188">
        <v>4.2</v>
      </c>
      <c r="D695" s="104">
        <f t="shared" si="10"/>
        <v>4.2000000000000003E-2</v>
      </c>
      <c r="F695" s="5"/>
    </row>
    <row r="696" spans="2:6" ht="13.8" hidden="1" outlineLevel="1">
      <c r="B696" s="187">
        <v>23580</v>
      </c>
      <c r="C696" s="188">
        <v>4.21</v>
      </c>
      <c r="D696" s="104">
        <f t="shared" si="10"/>
        <v>4.2099999999999999E-2</v>
      </c>
      <c r="F696" s="5"/>
    </row>
    <row r="697" spans="2:6" ht="13.8" hidden="1" outlineLevel="1">
      <c r="B697" s="187">
        <v>23581</v>
      </c>
      <c r="C697" s="188">
        <v>4.2</v>
      </c>
      <c r="D697" s="104">
        <f t="shared" si="10"/>
        <v>4.2000000000000003E-2</v>
      </c>
      <c r="F697" s="5"/>
    </row>
    <row r="698" spans="2:6" ht="13.8" hidden="1" outlineLevel="1">
      <c r="B698" s="187">
        <v>23582</v>
      </c>
      <c r="C698" s="188">
        <v>4.2</v>
      </c>
      <c r="D698" s="104">
        <f t="shared" si="10"/>
        <v>4.2000000000000003E-2</v>
      </c>
      <c r="F698" s="5"/>
    </row>
    <row r="699" spans="2:6" ht="13.8" hidden="1" outlineLevel="1">
      <c r="B699" s="187">
        <v>23585</v>
      </c>
      <c r="C699" s="188">
        <v>4.2</v>
      </c>
      <c r="D699" s="104">
        <f t="shared" si="10"/>
        <v>4.2000000000000003E-2</v>
      </c>
      <c r="F699" s="5"/>
    </row>
    <row r="700" spans="2:6" ht="13.8" hidden="1" outlineLevel="1">
      <c r="B700" s="187">
        <v>23586</v>
      </c>
      <c r="C700" s="188">
        <v>4.2</v>
      </c>
      <c r="D700" s="104">
        <f t="shared" si="10"/>
        <v>4.2000000000000003E-2</v>
      </c>
      <c r="F700" s="5"/>
    </row>
    <row r="701" spans="2:6" ht="13.8" hidden="1" outlineLevel="1">
      <c r="B701" s="187">
        <v>23587</v>
      </c>
      <c r="C701" s="188">
        <v>4.2</v>
      </c>
      <c r="D701" s="104">
        <f t="shared" si="10"/>
        <v>4.2000000000000003E-2</v>
      </c>
      <c r="F701" s="5"/>
    </row>
    <row r="702" spans="2:6" ht="13.8" hidden="1" outlineLevel="1">
      <c r="B702" s="187">
        <v>23588</v>
      </c>
      <c r="C702" s="188">
        <v>4.1900000000000004</v>
      </c>
      <c r="D702" s="104">
        <f t="shared" si="10"/>
        <v>4.1900000000000007E-2</v>
      </c>
      <c r="F702" s="5"/>
    </row>
    <row r="703" spans="2:6" ht="13.8" hidden="1" outlineLevel="1">
      <c r="B703" s="187">
        <v>23589</v>
      </c>
      <c r="C703" s="188">
        <v>4.1900000000000004</v>
      </c>
      <c r="D703" s="104">
        <f t="shared" si="10"/>
        <v>4.1900000000000007E-2</v>
      </c>
      <c r="F703" s="5"/>
    </row>
    <row r="704" spans="2:6" ht="13.8" hidden="1" outlineLevel="1">
      <c r="B704" s="187">
        <v>23592</v>
      </c>
      <c r="C704" s="188">
        <v>4.1900000000000004</v>
      </c>
      <c r="D704" s="104">
        <f t="shared" si="10"/>
        <v>4.1900000000000007E-2</v>
      </c>
      <c r="F704" s="5"/>
    </row>
    <row r="705" spans="2:6" ht="13.8" hidden="1" outlineLevel="1">
      <c r="B705" s="187">
        <v>23593</v>
      </c>
      <c r="C705" s="188">
        <v>4.1900000000000004</v>
      </c>
      <c r="D705" s="104">
        <f t="shared" si="10"/>
        <v>4.1900000000000007E-2</v>
      </c>
      <c r="F705" s="5"/>
    </row>
    <row r="706" spans="2:6" ht="13.8" hidden="1" outlineLevel="1">
      <c r="B706" s="187">
        <v>23594</v>
      </c>
      <c r="C706" s="188">
        <v>4.1900000000000004</v>
      </c>
      <c r="D706" s="104">
        <f t="shared" si="10"/>
        <v>4.1900000000000007E-2</v>
      </c>
      <c r="F706" s="5"/>
    </row>
    <row r="707" spans="2:6" ht="13.8" hidden="1" outlineLevel="1">
      <c r="B707" s="187">
        <v>23595</v>
      </c>
      <c r="C707" s="188">
        <v>4.18</v>
      </c>
      <c r="D707" s="104">
        <f t="shared" si="10"/>
        <v>4.1799999999999997E-2</v>
      </c>
      <c r="F707" s="5"/>
    </row>
    <row r="708" spans="2:6" ht="13.8" hidden="1" outlineLevel="1">
      <c r="B708" s="187">
        <v>23596</v>
      </c>
      <c r="C708" s="188">
        <v>4.1900000000000004</v>
      </c>
      <c r="D708" s="104">
        <f t="shared" si="10"/>
        <v>4.1900000000000007E-2</v>
      </c>
      <c r="F708" s="5"/>
    </row>
    <row r="709" spans="2:6" ht="13.8" hidden="1" outlineLevel="1">
      <c r="B709" s="187">
        <v>23599</v>
      </c>
      <c r="C709" s="188">
        <v>4.1900000000000004</v>
      </c>
      <c r="D709" s="104">
        <f t="shared" si="10"/>
        <v>4.1900000000000007E-2</v>
      </c>
      <c r="F709" s="5"/>
    </row>
    <row r="710" spans="2:6" ht="13.8" hidden="1" outlineLevel="1">
      <c r="B710" s="187">
        <v>23600</v>
      </c>
      <c r="C710" s="188">
        <v>4.2</v>
      </c>
      <c r="D710" s="104">
        <f t="shared" si="10"/>
        <v>4.2000000000000003E-2</v>
      </c>
      <c r="F710" s="5"/>
    </row>
    <row r="711" spans="2:6" ht="13.8" hidden="1" outlineLevel="1">
      <c r="B711" s="187">
        <v>23601</v>
      </c>
      <c r="C711" s="188">
        <v>4.2</v>
      </c>
      <c r="D711" s="104">
        <f t="shared" si="10"/>
        <v>4.2000000000000003E-2</v>
      </c>
      <c r="F711" s="5"/>
    </row>
    <row r="712" spans="2:6" ht="13.8" hidden="1" outlineLevel="1">
      <c r="B712" s="187">
        <v>23602</v>
      </c>
      <c r="C712" s="188">
        <v>4.1900000000000004</v>
      </c>
      <c r="D712" s="104">
        <f t="shared" si="10"/>
        <v>4.1900000000000007E-2</v>
      </c>
      <c r="F712" s="5"/>
    </row>
    <row r="713" spans="2:6" ht="13.8" hidden="1" outlineLevel="1">
      <c r="B713" s="187">
        <v>23603</v>
      </c>
      <c r="C713" s="188">
        <v>4.1900000000000004</v>
      </c>
      <c r="D713" s="104">
        <f t="shared" si="10"/>
        <v>4.1900000000000007E-2</v>
      </c>
      <c r="F713" s="5"/>
    </row>
    <row r="714" spans="2:6" ht="13.8" hidden="1" outlineLevel="1">
      <c r="B714" s="187">
        <v>23606</v>
      </c>
      <c r="C714" s="188">
        <v>4.1900000000000004</v>
      </c>
      <c r="D714" s="104">
        <f t="shared" si="10"/>
        <v>4.1900000000000007E-2</v>
      </c>
      <c r="F714" s="5"/>
    </row>
    <row r="715" spans="2:6" ht="13.8" hidden="1" outlineLevel="1">
      <c r="B715" s="187">
        <v>23607</v>
      </c>
      <c r="C715" s="188">
        <v>4.1900000000000004</v>
      </c>
      <c r="D715" s="104">
        <f t="shared" si="10"/>
        <v>4.1900000000000007E-2</v>
      </c>
      <c r="F715" s="5"/>
    </row>
    <row r="716" spans="2:6" ht="13.8" hidden="1" outlineLevel="1">
      <c r="B716" s="187">
        <v>23608</v>
      </c>
      <c r="C716" s="188">
        <v>4.1900000000000004</v>
      </c>
      <c r="D716" s="104">
        <f t="shared" si="10"/>
        <v>4.1900000000000007E-2</v>
      </c>
      <c r="F716" s="5"/>
    </row>
    <row r="717" spans="2:6" ht="13.8" hidden="1" outlineLevel="1">
      <c r="B717" s="187">
        <v>23609</v>
      </c>
      <c r="C717" s="188">
        <v>4.1900000000000004</v>
      </c>
      <c r="D717" s="104">
        <f t="shared" si="10"/>
        <v>4.1900000000000007E-2</v>
      </c>
      <c r="F717" s="5"/>
    </row>
    <row r="718" spans="2:6" ht="13.8" hidden="1" outlineLevel="1">
      <c r="B718" s="187">
        <v>23610</v>
      </c>
      <c r="C718" s="188">
        <v>4.1900000000000004</v>
      </c>
      <c r="D718" s="104">
        <f t="shared" si="10"/>
        <v>4.1900000000000007E-2</v>
      </c>
      <c r="F718" s="5"/>
    </row>
    <row r="719" spans="2:6" ht="13.8" hidden="1" outlineLevel="1">
      <c r="B719" s="187">
        <v>23613</v>
      </c>
      <c r="C719" s="188">
        <v>4.1900000000000004</v>
      </c>
      <c r="D719" s="104">
        <f t="shared" si="10"/>
        <v>4.1900000000000007E-2</v>
      </c>
      <c r="F719" s="5"/>
    </row>
    <row r="720" spans="2:6" ht="13.8" hidden="1" outlineLevel="1">
      <c r="B720" s="187">
        <v>23614</v>
      </c>
      <c r="C720" s="188">
        <v>4.2</v>
      </c>
      <c r="D720" s="104">
        <f t="shared" si="10"/>
        <v>4.2000000000000003E-2</v>
      </c>
      <c r="F720" s="5"/>
    </row>
    <row r="721" spans="2:6" ht="13.8" hidden="1" outlineLevel="1">
      <c r="B721" s="187">
        <v>23615</v>
      </c>
      <c r="C721" s="188">
        <v>4.2</v>
      </c>
      <c r="D721" s="104">
        <f t="shared" si="10"/>
        <v>4.2000000000000003E-2</v>
      </c>
      <c r="F721" s="5"/>
    </row>
    <row r="722" spans="2:6" ht="13.8" hidden="1" outlineLevel="1">
      <c r="B722" s="187">
        <v>23616</v>
      </c>
      <c r="C722" s="188">
        <v>4.2</v>
      </c>
      <c r="D722" s="104">
        <f t="shared" si="10"/>
        <v>4.2000000000000003E-2</v>
      </c>
      <c r="F722" s="5"/>
    </row>
    <row r="723" spans="2:6" ht="13.8" hidden="1" outlineLevel="1">
      <c r="B723" s="187">
        <v>23617</v>
      </c>
      <c r="C723" s="188">
        <v>4.21</v>
      </c>
      <c r="D723" s="104">
        <f t="shared" si="10"/>
        <v>4.2099999999999999E-2</v>
      </c>
      <c r="F723" s="5"/>
    </row>
    <row r="724" spans="2:6" ht="13.8" hidden="1" outlineLevel="1">
      <c r="B724" s="187">
        <v>23620</v>
      </c>
      <c r="C724" s="188">
        <v>4.21</v>
      </c>
      <c r="D724" s="104">
        <f t="shared" si="10"/>
        <v>4.2099999999999999E-2</v>
      </c>
      <c r="F724" s="5"/>
    </row>
    <row r="725" spans="2:6" ht="13.8" hidden="1" outlineLevel="1">
      <c r="B725" s="187">
        <v>23621</v>
      </c>
      <c r="C725" s="188">
        <v>4.21</v>
      </c>
      <c r="D725" s="104">
        <f t="shared" si="10"/>
        <v>4.2099999999999999E-2</v>
      </c>
      <c r="F725" s="5"/>
    </row>
    <row r="726" spans="2:6" ht="13.8" hidden="1" outlineLevel="1">
      <c r="B726" s="187">
        <v>23622</v>
      </c>
      <c r="C726" s="188">
        <v>4.22</v>
      </c>
      <c r="D726" s="104">
        <f t="shared" si="10"/>
        <v>4.2199999999999994E-2</v>
      </c>
      <c r="F726" s="5"/>
    </row>
    <row r="727" spans="2:6" ht="13.8" hidden="1" outlineLevel="1">
      <c r="B727" s="187">
        <v>23623</v>
      </c>
      <c r="C727" s="188">
        <v>4.22</v>
      </c>
      <c r="D727" s="104">
        <f t="shared" si="10"/>
        <v>4.2199999999999994E-2</v>
      </c>
      <c r="F727" s="5"/>
    </row>
    <row r="728" spans="2:6" ht="13.8" hidden="1" outlineLevel="1">
      <c r="B728" s="187">
        <v>23624</v>
      </c>
      <c r="C728" s="188">
        <v>4.22</v>
      </c>
      <c r="D728" s="104">
        <f t="shared" si="10"/>
        <v>4.2199999999999994E-2</v>
      </c>
      <c r="F728" s="5"/>
    </row>
    <row r="729" spans="2:6" ht="13.8" hidden="1" outlineLevel="1">
      <c r="B729" s="187">
        <v>23627</v>
      </c>
      <c r="C729" s="188" t="s">
        <v>380</v>
      </c>
      <c r="D729" s="104">
        <f t="shared" si="10"/>
        <v>4.2199999999999994E-2</v>
      </c>
      <c r="F729" s="5"/>
    </row>
    <row r="730" spans="2:6" ht="13.8" hidden="1" outlineLevel="1">
      <c r="B730" s="187">
        <v>23628</v>
      </c>
      <c r="C730" s="188">
        <v>4.22</v>
      </c>
      <c r="D730" s="104">
        <f t="shared" si="10"/>
        <v>4.2199999999999994E-2</v>
      </c>
      <c r="F730" s="5"/>
    </row>
    <row r="731" spans="2:6" ht="13.8" hidden="1" outlineLevel="1">
      <c r="B731" s="187">
        <v>23629</v>
      </c>
      <c r="C731" s="188">
        <v>4.22</v>
      </c>
      <c r="D731" s="104">
        <f t="shared" si="10"/>
        <v>4.2199999999999994E-2</v>
      </c>
      <c r="F731" s="5"/>
    </row>
    <row r="732" spans="2:6" ht="13.8" hidden="1" outlineLevel="1">
      <c r="B732" s="187">
        <v>23630</v>
      </c>
      <c r="C732" s="188">
        <v>4.22</v>
      </c>
      <c r="D732" s="104">
        <f t="shared" si="10"/>
        <v>4.2199999999999994E-2</v>
      </c>
      <c r="F732" s="5"/>
    </row>
    <row r="733" spans="2:6" ht="13.8" hidden="1" outlineLevel="1">
      <c r="B733" s="187">
        <v>23631</v>
      </c>
      <c r="C733" s="188">
        <v>4.22</v>
      </c>
      <c r="D733" s="104">
        <f t="shared" si="10"/>
        <v>4.2199999999999994E-2</v>
      </c>
      <c r="F733" s="5"/>
    </row>
    <row r="734" spans="2:6" ht="13.8" hidden="1" outlineLevel="1">
      <c r="B734" s="187">
        <v>23634</v>
      </c>
      <c r="C734" s="188">
        <v>4.22</v>
      </c>
      <c r="D734" s="104">
        <f t="shared" ref="D734:D797" si="11">IF( LEN( C734 ) = 0, #N/A, IF( C734 = "ND", D733, C734 / 100 ) )</f>
        <v>4.2199999999999994E-2</v>
      </c>
      <c r="F734" s="5"/>
    </row>
    <row r="735" spans="2:6" ht="13.8" hidden="1" outlineLevel="1">
      <c r="B735" s="187">
        <v>23635</v>
      </c>
      <c r="C735" s="188">
        <v>4.22</v>
      </c>
      <c r="D735" s="104">
        <f t="shared" si="11"/>
        <v>4.2199999999999994E-2</v>
      </c>
      <c r="F735" s="5"/>
    </row>
    <row r="736" spans="2:6" ht="13.8" hidden="1" outlineLevel="1">
      <c r="B736" s="187">
        <v>23636</v>
      </c>
      <c r="C736" s="188">
        <v>4.21</v>
      </c>
      <c r="D736" s="104">
        <f t="shared" si="11"/>
        <v>4.2099999999999999E-2</v>
      </c>
      <c r="F736" s="5"/>
    </row>
    <row r="737" spans="2:6" ht="13.8" hidden="1" outlineLevel="1">
      <c r="B737" s="187">
        <v>23637</v>
      </c>
      <c r="C737" s="188">
        <v>4.2</v>
      </c>
      <c r="D737" s="104">
        <f t="shared" si="11"/>
        <v>4.2000000000000003E-2</v>
      </c>
      <c r="F737" s="5"/>
    </row>
    <row r="738" spans="2:6" ht="13.8" hidden="1" outlineLevel="1">
      <c r="B738" s="187">
        <v>23638</v>
      </c>
      <c r="C738" s="188">
        <v>4.2</v>
      </c>
      <c r="D738" s="104">
        <f t="shared" si="11"/>
        <v>4.2000000000000003E-2</v>
      </c>
      <c r="F738" s="5"/>
    </row>
    <row r="739" spans="2:6" ht="13.8" hidden="1" outlineLevel="1">
      <c r="B739" s="187">
        <v>23641</v>
      </c>
      <c r="C739" s="188">
        <v>4.1900000000000004</v>
      </c>
      <c r="D739" s="104">
        <f t="shared" si="11"/>
        <v>4.1900000000000007E-2</v>
      </c>
      <c r="F739" s="5"/>
    </row>
    <row r="740" spans="2:6" ht="13.8" hidden="1" outlineLevel="1">
      <c r="B740" s="187">
        <v>23642</v>
      </c>
      <c r="C740" s="188">
        <v>4.1900000000000004</v>
      </c>
      <c r="D740" s="104">
        <f t="shared" si="11"/>
        <v>4.1900000000000007E-2</v>
      </c>
      <c r="F740" s="5"/>
    </row>
    <row r="741" spans="2:6" ht="13.8" hidden="1" outlineLevel="1">
      <c r="B741" s="187">
        <v>23643</v>
      </c>
      <c r="C741" s="188">
        <v>4.1900000000000004</v>
      </c>
      <c r="D741" s="104">
        <f t="shared" si="11"/>
        <v>4.1900000000000007E-2</v>
      </c>
      <c r="F741" s="5"/>
    </row>
    <row r="742" spans="2:6" ht="13.8" hidden="1" outlineLevel="1">
      <c r="B742" s="187">
        <v>23644</v>
      </c>
      <c r="C742" s="188">
        <v>4.1900000000000004</v>
      </c>
      <c r="D742" s="104">
        <f t="shared" si="11"/>
        <v>4.1900000000000007E-2</v>
      </c>
      <c r="F742" s="5"/>
    </row>
    <row r="743" spans="2:6" ht="13.8" hidden="1" outlineLevel="1">
      <c r="B743" s="187">
        <v>23645</v>
      </c>
      <c r="C743" s="188">
        <v>4.1900000000000004</v>
      </c>
      <c r="D743" s="104">
        <f t="shared" si="11"/>
        <v>4.1900000000000007E-2</v>
      </c>
      <c r="F743" s="5"/>
    </row>
    <row r="744" spans="2:6" ht="13.8" hidden="1" outlineLevel="1">
      <c r="B744" s="187">
        <v>23648</v>
      </c>
      <c r="C744" s="188">
        <v>4.17</v>
      </c>
      <c r="D744" s="104">
        <f t="shared" si="11"/>
        <v>4.1700000000000001E-2</v>
      </c>
      <c r="F744" s="5"/>
    </row>
    <row r="745" spans="2:6" ht="13.8" hidden="1" outlineLevel="1">
      <c r="B745" s="187">
        <v>23649</v>
      </c>
      <c r="C745" s="188">
        <v>4.18</v>
      </c>
      <c r="D745" s="104">
        <f t="shared" si="11"/>
        <v>4.1799999999999997E-2</v>
      </c>
      <c r="F745" s="5"/>
    </row>
    <row r="746" spans="2:6" ht="13.8" hidden="1" outlineLevel="1">
      <c r="B746" s="187">
        <v>23650</v>
      </c>
      <c r="C746" s="188">
        <v>4.18</v>
      </c>
      <c r="D746" s="104">
        <f t="shared" si="11"/>
        <v>4.1799999999999997E-2</v>
      </c>
      <c r="F746" s="5"/>
    </row>
    <row r="747" spans="2:6" ht="13.8" hidden="1" outlineLevel="1">
      <c r="B747" s="187">
        <v>23651</v>
      </c>
      <c r="C747" s="188">
        <v>4.18</v>
      </c>
      <c r="D747" s="104">
        <f t="shared" si="11"/>
        <v>4.1799999999999997E-2</v>
      </c>
      <c r="F747" s="5"/>
    </row>
    <row r="748" spans="2:6" ht="13.8" hidden="1" outlineLevel="1">
      <c r="B748" s="187">
        <v>23652</v>
      </c>
      <c r="C748" s="188">
        <v>4.18</v>
      </c>
      <c r="D748" s="104">
        <f t="shared" si="11"/>
        <v>4.1799999999999997E-2</v>
      </c>
      <c r="F748" s="5"/>
    </row>
    <row r="749" spans="2:6" ht="13.8" hidden="1" outlineLevel="1">
      <c r="B749" s="187">
        <v>23655</v>
      </c>
      <c r="C749" s="188">
        <v>4.2</v>
      </c>
      <c r="D749" s="104">
        <f t="shared" si="11"/>
        <v>4.2000000000000003E-2</v>
      </c>
      <c r="F749" s="5"/>
    </row>
    <row r="750" spans="2:6" ht="13.8" hidden="1" outlineLevel="1">
      <c r="B750" s="187">
        <v>23656</v>
      </c>
      <c r="C750" s="188">
        <v>4.1900000000000004</v>
      </c>
      <c r="D750" s="104">
        <f t="shared" si="11"/>
        <v>4.1900000000000007E-2</v>
      </c>
      <c r="F750" s="5"/>
    </row>
    <row r="751" spans="2:6" ht="13.8" hidden="1" outlineLevel="1">
      <c r="B751" s="187">
        <v>23657</v>
      </c>
      <c r="C751" s="188">
        <v>4.1900000000000004</v>
      </c>
      <c r="D751" s="104">
        <f t="shared" si="11"/>
        <v>4.1900000000000007E-2</v>
      </c>
      <c r="F751" s="5"/>
    </row>
    <row r="752" spans="2:6" ht="13.8" hidden="1" outlineLevel="1">
      <c r="B752" s="187">
        <v>23658</v>
      </c>
      <c r="C752" s="188">
        <v>4.1900000000000004</v>
      </c>
      <c r="D752" s="104">
        <f t="shared" si="11"/>
        <v>4.1900000000000007E-2</v>
      </c>
      <c r="F752" s="5"/>
    </row>
    <row r="753" spans="2:6" ht="13.8" hidden="1" outlineLevel="1">
      <c r="B753" s="187">
        <v>23659</v>
      </c>
      <c r="C753" s="188">
        <v>4.1900000000000004</v>
      </c>
      <c r="D753" s="104">
        <f t="shared" si="11"/>
        <v>4.1900000000000007E-2</v>
      </c>
      <c r="F753" s="5"/>
    </row>
    <row r="754" spans="2:6" ht="13.8" hidden="1" outlineLevel="1">
      <c r="B754" s="187">
        <v>23662</v>
      </c>
      <c r="C754" s="188" t="s">
        <v>380</v>
      </c>
      <c r="D754" s="104">
        <f t="shared" si="11"/>
        <v>4.1900000000000007E-2</v>
      </c>
      <c r="F754" s="5"/>
    </row>
    <row r="755" spans="2:6" ht="13.8" hidden="1" outlineLevel="1">
      <c r="B755" s="187">
        <v>23663</v>
      </c>
      <c r="C755" s="188">
        <v>4.1900000000000004</v>
      </c>
      <c r="D755" s="104">
        <f t="shared" si="11"/>
        <v>4.1900000000000007E-2</v>
      </c>
      <c r="F755" s="5"/>
    </row>
    <row r="756" spans="2:6" ht="13.8" hidden="1" outlineLevel="1">
      <c r="B756" s="187">
        <v>23664</v>
      </c>
      <c r="C756" s="188">
        <v>4.1900000000000004</v>
      </c>
      <c r="D756" s="104">
        <f t="shared" si="11"/>
        <v>4.1900000000000007E-2</v>
      </c>
      <c r="F756" s="5"/>
    </row>
    <row r="757" spans="2:6" ht="13.8" hidden="1" outlineLevel="1">
      <c r="B757" s="187">
        <v>23665</v>
      </c>
      <c r="C757" s="188">
        <v>4.2</v>
      </c>
      <c r="D757" s="104">
        <f t="shared" si="11"/>
        <v>4.2000000000000003E-2</v>
      </c>
      <c r="F757" s="5"/>
    </row>
    <row r="758" spans="2:6" ht="13.8" hidden="1" outlineLevel="1">
      <c r="B758" s="187">
        <v>23666</v>
      </c>
      <c r="C758" s="188">
        <v>4.21</v>
      </c>
      <c r="D758" s="104">
        <f t="shared" si="11"/>
        <v>4.2099999999999999E-2</v>
      </c>
      <c r="F758" s="5"/>
    </row>
    <row r="759" spans="2:6" ht="13.8" hidden="1" outlineLevel="1">
      <c r="B759" s="187">
        <v>23669</v>
      </c>
      <c r="C759" s="188">
        <v>4.21</v>
      </c>
      <c r="D759" s="104">
        <f t="shared" si="11"/>
        <v>4.2099999999999999E-2</v>
      </c>
      <c r="F759" s="5"/>
    </row>
    <row r="760" spans="2:6" ht="13.8" hidden="1" outlineLevel="1">
      <c r="B760" s="187">
        <v>23670</v>
      </c>
      <c r="C760" s="188">
        <v>4.2</v>
      </c>
      <c r="D760" s="104">
        <f t="shared" si="11"/>
        <v>4.2000000000000003E-2</v>
      </c>
      <c r="F760" s="5"/>
    </row>
    <row r="761" spans="2:6" ht="13.8" hidden="1" outlineLevel="1">
      <c r="B761" s="187">
        <v>23671</v>
      </c>
      <c r="C761" s="188">
        <v>4.1900000000000004</v>
      </c>
      <c r="D761" s="104">
        <f t="shared" si="11"/>
        <v>4.1900000000000007E-2</v>
      </c>
      <c r="F761" s="5"/>
    </row>
    <row r="762" spans="2:6" ht="13.8" hidden="1" outlineLevel="1">
      <c r="B762" s="187">
        <v>23672</v>
      </c>
      <c r="C762" s="188">
        <v>4.1900000000000004</v>
      </c>
      <c r="D762" s="104">
        <f t="shared" si="11"/>
        <v>4.1900000000000007E-2</v>
      </c>
      <c r="F762" s="5"/>
    </row>
    <row r="763" spans="2:6" ht="13.8" hidden="1" outlineLevel="1">
      <c r="B763" s="187">
        <v>23673</v>
      </c>
      <c r="C763" s="188">
        <v>4.1900000000000004</v>
      </c>
      <c r="D763" s="104">
        <f t="shared" si="11"/>
        <v>4.1900000000000007E-2</v>
      </c>
      <c r="F763" s="5"/>
    </row>
    <row r="764" spans="2:6" ht="13.8" hidden="1" outlineLevel="1">
      <c r="B764" s="187">
        <v>23676</v>
      </c>
      <c r="C764" s="188">
        <v>4.1900000000000004</v>
      </c>
      <c r="D764" s="104">
        <f t="shared" si="11"/>
        <v>4.1900000000000007E-2</v>
      </c>
      <c r="F764" s="5"/>
    </row>
    <row r="765" spans="2:6" ht="13.8" hidden="1" outlineLevel="1">
      <c r="B765" s="187">
        <v>23677</v>
      </c>
      <c r="C765" s="188">
        <v>4.18</v>
      </c>
      <c r="D765" s="104">
        <f t="shared" si="11"/>
        <v>4.1799999999999997E-2</v>
      </c>
      <c r="F765" s="5"/>
    </row>
    <row r="766" spans="2:6" ht="13.8" hidden="1" outlineLevel="1">
      <c r="B766" s="187">
        <v>23678</v>
      </c>
      <c r="C766" s="188">
        <v>4.17</v>
      </c>
      <c r="D766" s="104">
        <f t="shared" si="11"/>
        <v>4.1700000000000001E-2</v>
      </c>
      <c r="F766" s="5"/>
    </row>
    <row r="767" spans="2:6" ht="13.8" hidden="1" outlineLevel="1">
      <c r="B767" s="187">
        <v>23679</v>
      </c>
      <c r="C767" s="188">
        <v>4.16</v>
      </c>
      <c r="D767" s="104">
        <f t="shared" si="11"/>
        <v>4.1599999999999998E-2</v>
      </c>
      <c r="F767" s="5"/>
    </row>
    <row r="768" spans="2:6" ht="13.8" hidden="1" outlineLevel="1">
      <c r="B768" s="187">
        <v>23680</v>
      </c>
      <c r="C768" s="188">
        <v>4.16</v>
      </c>
      <c r="D768" s="104">
        <f t="shared" si="11"/>
        <v>4.1599999999999998E-2</v>
      </c>
      <c r="F768" s="5"/>
    </row>
    <row r="769" spans="2:6" ht="13.8" hidden="1" outlineLevel="1">
      <c r="B769" s="187">
        <v>23683</v>
      </c>
      <c r="C769" s="188">
        <v>4.1500000000000004</v>
      </c>
      <c r="D769" s="104">
        <f t="shared" si="11"/>
        <v>4.1500000000000002E-2</v>
      </c>
      <c r="F769" s="5"/>
    </row>
    <row r="770" spans="2:6" ht="13.8" hidden="1" outlineLevel="1">
      <c r="B770" s="187">
        <v>23684</v>
      </c>
      <c r="C770" s="188" t="s">
        <v>380</v>
      </c>
      <c r="D770" s="104">
        <f t="shared" si="11"/>
        <v>4.1500000000000002E-2</v>
      </c>
      <c r="F770" s="5"/>
    </row>
    <row r="771" spans="2:6" ht="13.8" hidden="1" outlineLevel="1">
      <c r="B771" s="187">
        <v>23685</v>
      </c>
      <c r="C771" s="188">
        <v>4.1500000000000004</v>
      </c>
      <c r="D771" s="104">
        <f t="shared" si="11"/>
        <v>4.1500000000000002E-2</v>
      </c>
      <c r="F771" s="5"/>
    </row>
    <row r="772" spans="2:6" ht="13.8" hidden="1" outlineLevel="1">
      <c r="B772" s="187">
        <v>23686</v>
      </c>
      <c r="C772" s="188">
        <v>4.1500000000000004</v>
      </c>
      <c r="D772" s="104">
        <f t="shared" si="11"/>
        <v>4.1500000000000002E-2</v>
      </c>
      <c r="F772" s="5"/>
    </row>
    <row r="773" spans="2:6" ht="13.8" hidden="1" outlineLevel="1">
      <c r="B773" s="187">
        <v>23687</v>
      </c>
      <c r="C773" s="188">
        <v>4.1500000000000004</v>
      </c>
      <c r="D773" s="104">
        <f t="shared" si="11"/>
        <v>4.1500000000000002E-2</v>
      </c>
      <c r="F773" s="5"/>
    </row>
    <row r="774" spans="2:6" ht="13.8" hidden="1" outlineLevel="1">
      <c r="B774" s="187">
        <v>23690</v>
      </c>
      <c r="C774" s="188">
        <v>4.1500000000000004</v>
      </c>
      <c r="D774" s="104">
        <f t="shared" si="11"/>
        <v>4.1500000000000002E-2</v>
      </c>
      <c r="F774" s="5"/>
    </row>
    <row r="775" spans="2:6" ht="13.8" hidden="1" outlineLevel="1">
      <c r="B775" s="187">
        <v>23691</v>
      </c>
      <c r="C775" s="188">
        <v>4.1399999999999997</v>
      </c>
      <c r="D775" s="104">
        <f t="shared" si="11"/>
        <v>4.1399999999999999E-2</v>
      </c>
      <c r="F775" s="5"/>
    </row>
    <row r="776" spans="2:6" ht="13.8" hidden="1" outlineLevel="1">
      <c r="B776" s="187">
        <v>23692</v>
      </c>
      <c r="C776" s="188" t="s">
        <v>380</v>
      </c>
      <c r="D776" s="104">
        <f t="shared" si="11"/>
        <v>4.1399999999999999E-2</v>
      </c>
      <c r="F776" s="5"/>
    </row>
    <row r="777" spans="2:6" ht="13.8" hidden="1" outlineLevel="1">
      <c r="B777" s="187">
        <v>23693</v>
      </c>
      <c r="C777" s="188">
        <v>4.12</v>
      </c>
      <c r="D777" s="104">
        <f t="shared" si="11"/>
        <v>4.1200000000000001E-2</v>
      </c>
      <c r="F777" s="5"/>
    </row>
    <row r="778" spans="2:6" ht="13.8" hidden="1" outlineLevel="1">
      <c r="B778" s="187">
        <v>23694</v>
      </c>
      <c r="C778" s="188">
        <v>4.13</v>
      </c>
      <c r="D778" s="104">
        <f t="shared" si="11"/>
        <v>4.1299999999999996E-2</v>
      </c>
      <c r="F778" s="5"/>
    </row>
    <row r="779" spans="2:6" ht="13.8" hidden="1" outlineLevel="1">
      <c r="B779" s="187">
        <v>23697</v>
      </c>
      <c r="C779" s="188">
        <v>4.13</v>
      </c>
      <c r="D779" s="104">
        <f t="shared" si="11"/>
        <v>4.1299999999999996E-2</v>
      </c>
      <c r="F779" s="5"/>
    </row>
    <row r="780" spans="2:6" ht="13.8" hidden="1" outlineLevel="1">
      <c r="B780" s="187">
        <v>23698</v>
      </c>
      <c r="C780" s="188">
        <v>4.1399999999999997</v>
      </c>
      <c r="D780" s="104">
        <f t="shared" si="11"/>
        <v>4.1399999999999999E-2</v>
      </c>
      <c r="F780" s="5"/>
    </row>
    <row r="781" spans="2:6" ht="13.8" hidden="1" outlineLevel="1">
      <c r="B781" s="187">
        <v>23699</v>
      </c>
      <c r="C781" s="188">
        <v>4.1399999999999997</v>
      </c>
      <c r="D781" s="104">
        <f t="shared" si="11"/>
        <v>4.1399999999999999E-2</v>
      </c>
      <c r="F781" s="5"/>
    </row>
    <row r="782" spans="2:6" ht="13.8" hidden="1" outlineLevel="1">
      <c r="B782" s="187">
        <v>23700</v>
      </c>
      <c r="C782" s="188">
        <v>4.13</v>
      </c>
      <c r="D782" s="104">
        <f t="shared" si="11"/>
        <v>4.1299999999999996E-2</v>
      </c>
      <c r="F782" s="5"/>
    </row>
    <row r="783" spans="2:6" ht="13.8" hidden="1" outlineLevel="1">
      <c r="B783" s="187">
        <v>23701</v>
      </c>
      <c r="C783" s="188">
        <v>4.13</v>
      </c>
      <c r="D783" s="104">
        <f t="shared" si="11"/>
        <v>4.1299999999999996E-2</v>
      </c>
      <c r="F783" s="5"/>
    </row>
    <row r="784" spans="2:6" ht="13.8" hidden="1" outlineLevel="1">
      <c r="B784" s="187">
        <v>23704</v>
      </c>
      <c r="C784" s="188">
        <v>4.18</v>
      </c>
      <c r="D784" s="104">
        <f t="shared" si="11"/>
        <v>4.1799999999999997E-2</v>
      </c>
      <c r="F784" s="5"/>
    </row>
    <row r="785" spans="2:6" ht="13.8" hidden="1" outlineLevel="1">
      <c r="B785" s="187">
        <v>23705</v>
      </c>
      <c r="C785" s="188">
        <v>4.18</v>
      </c>
      <c r="D785" s="104">
        <f t="shared" si="11"/>
        <v>4.1799999999999997E-2</v>
      </c>
      <c r="F785" s="5"/>
    </row>
    <row r="786" spans="2:6" ht="13.8" hidden="1" outlineLevel="1">
      <c r="B786" s="187">
        <v>23706</v>
      </c>
      <c r="C786" s="188">
        <v>4.1900000000000004</v>
      </c>
      <c r="D786" s="104">
        <f t="shared" si="11"/>
        <v>4.1900000000000007E-2</v>
      </c>
      <c r="F786" s="5"/>
    </row>
    <row r="787" spans="2:6" ht="13.8" hidden="1" outlineLevel="1">
      <c r="B787" s="187">
        <v>23707</v>
      </c>
      <c r="C787" s="188" t="s">
        <v>380</v>
      </c>
      <c r="D787" s="104">
        <f t="shared" si="11"/>
        <v>4.1900000000000007E-2</v>
      </c>
      <c r="F787" s="5"/>
    </row>
    <row r="788" spans="2:6" ht="13.8" hidden="1" outlineLevel="1">
      <c r="B788" s="187">
        <v>23708</v>
      </c>
      <c r="C788" s="188">
        <v>4.1900000000000004</v>
      </c>
      <c r="D788" s="104">
        <f t="shared" si="11"/>
        <v>4.1900000000000007E-2</v>
      </c>
      <c r="F788" s="5"/>
    </row>
    <row r="789" spans="2:6" ht="13.8" hidden="1" outlineLevel="1">
      <c r="B789" s="187">
        <v>23711</v>
      </c>
      <c r="C789" s="188">
        <v>4.2</v>
      </c>
      <c r="D789" s="104">
        <f t="shared" si="11"/>
        <v>4.2000000000000003E-2</v>
      </c>
      <c r="F789" s="5"/>
    </row>
    <row r="790" spans="2:6" ht="13.8" hidden="1" outlineLevel="1">
      <c r="B790" s="187">
        <v>23712</v>
      </c>
      <c r="C790" s="188">
        <v>4.2</v>
      </c>
      <c r="D790" s="104">
        <f t="shared" si="11"/>
        <v>4.2000000000000003E-2</v>
      </c>
      <c r="F790" s="5"/>
    </row>
    <row r="791" spans="2:6" ht="13.8" hidden="1" outlineLevel="1">
      <c r="B791" s="187">
        <v>23713</v>
      </c>
      <c r="C791" s="188">
        <v>4.1900000000000004</v>
      </c>
      <c r="D791" s="104">
        <f t="shared" si="11"/>
        <v>4.1900000000000007E-2</v>
      </c>
      <c r="F791" s="5"/>
    </row>
    <row r="792" spans="2:6" ht="13.8" hidden="1" outlineLevel="1">
      <c r="B792" s="187">
        <v>23714</v>
      </c>
      <c r="C792" s="188">
        <v>4.18</v>
      </c>
      <c r="D792" s="104">
        <f t="shared" si="11"/>
        <v>4.1799999999999997E-2</v>
      </c>
      <c r="F792" s="5"/>
    </row>
    <row r="793" spans="2:6" ht="13.8" hidden="1" outlineLevel="1">
      <c r="B793" s="187">
        <v>23715</v>
      </c>
      <c r="C793" s="188">
        <v>4.18</v>
      </c>
      <c r="D793" s="104">
        <f t="shared" si="11"/>
        <v>4.1799999999999997E-2</v>
      </c>
      <c r="F793" s="5"/>
    </row>
    <row r="794" spans="2:6" ht="13.8" hidden="1" outlineLevel="1">
      <c r="B794" s="187">
        <v>23718</v>
      </c>
      <c r="C794" s="188">
        <v>4.17</v>
      </c>
      <c r="D794" s="104">
        <f t="shared" si="11"/>
        <v>4.1700000000000001E-2</v>
      </c>
      <c r="F794" s="5"/>
    </row>
    <row r="795" spans="2:6" ht="13.8" hidden="1" outlineLevel="1">
      <c r="B795" s="187">
        <v>23719</v>
      </c>
      <c r="C795" s="188">
        <v>4.16</v>
      </c>
      <c r="D795" s="104">
        <f t="shared" si="11"/>
        <v>4.1599999999999998E-2</v>
      </c>
      <c r="F795" s="5"/>
    </row>
    <row r="796" spans="2:6" ht="13.8" hidden="1" outlineLevel="1">
      <c r="B796" s="187">
        <v>23720</v>
      </c>
      <c r="C796" s="188">
        <v>4.16</v>
      </c>
      <c r="D796" s="104">
        <f t="shared" si="11"/>
        <v>4.1599999999999998E-2</v>
      </c>
      <c r="F796" s="5"/>
    </row>
    <row r="797" spans="2:6" ht="13.8" hidden="1" outlineLevel="1">
      <c r="B797" s="187">
        <v>23721</v>
      </c>
      <c r="C797" s="188">
        <v>4.1500000000000004</v>
      </c>
      <c r="D797" s="104">
        <f t="shared" si="11"/>
        <v>4.1500000000000002E-2</v>
      </c>
      <c r="F797" s="5"/>
    </row>
    <row r="798" spans="2:6" ht="13.8" hidden="1" outlineLevel="1">
      <c r="B798" s="187">
        <v>23722</v>
      </c>
      <c r="C798" s="188">
        <v>4.1500000000000004</v>
      </c>
      <c r="D798" s="104">
        <f t="shared" ref="D798:D861" si="12">IF( LEN( C798 ) = 0, #N/A, IF( C798 = "ND", D797, C798 / 100 ) )</f>
        <v>4.1500000000000002E-2</v>
      </c>
      <c r="F798" s="5"/>
    </row>
    <row r="799" spans="2:6" ht="13.8" hidden="1" outlineLevel="1">
      <c r="B799" s="187">
        <v>23725</v>
      </c>
      <c r="C799" s="188">
        <v>4.16</v>
      </c>
      <c r="D799" s="104">
        <f t="shared" si="12"/>
        <v>4.1599999999999998E-2</v>
      </c>
      <c r="F799" s="5"/>
    </row>
    <row r="800" spans="2:6" ht="13.8" hidden="1" outlineLevel="1">
      <c r="B800" s="187">
        <v>23726</v>
      </c>
      <c r="C800" s="188">
        <v>4.17</v>
      </c>
      <c r="D800" s="104">
        <f t="shared" si="12"/>
        <v>4.1700000000000001E-2</v>
      </c>
      <c r="F800" s="5"/>
    </row>
    <row r="801" spans="2:6" ht="13.8" hidden="1" outlineLevel="1">
      <c r="B801" s="187">
        <v>23727</v>
      </c>
      <c r="C801" s="188">
        <v>4.18</v>
      </c>
      <c r="D801" s="104">
        <f t="shared" si="12"/>
        <v>4.1799999999999997E-2</v>
      </c>
      <c r="F801" s="5"/>
    </row>
    <row r="802" spans="2:6" ht="13.8" hidden="1" outlineLevel="1">
      <c r="B802" s="187">
        <v>23728</v>
      </c>
      <c r="C802" s="188">
        <v>4.18</v>
      </c>
      <c r="D802" s="104">
        <f t="shared" si="12"/>
        <v>4.1799999999999997E-2</v>
      </c>
      <c r="F802" s="5"/>
    </row>
    <row r="803" spans="2:6" ht="13.8" hidden="1" outlineLevel="1">
      <c r="B803" s="187">
        <v>23729</v>
      </c>
      <c r="C803" s="188">
        <v>4.1900000000000004</v>
      </c>
      <c r="D803" s="104">
        <f t="shared" si="12"/>
        <v>4.1900000000000007E-2</v>
      </c>
      <c r="F803" s="5"/>
    </row>
    <row r="804" spans="2:6" ht="13.8" hidden="1" outlineLevel="1">
      <c r="B804" s="187">
        <v>23732</v>
      </c>
      <c r="C804" s="188">
        <v>4.18</v>
      </c>
      <c r="D804" s="104">
        <f t="shared" si="12"/>
        <v>4.1799999999999997E-2</v>
      </c>
      <c r="F804" s="5"/>
    </row>
    <row r="805" spans="2:6" ht="13.8" hidden="1" outlineLevel="1">
      <c r="B805" s="187">
        <v>23733</v>
      </c>
      <c r="C805" s="188">
        <v>4.18</v>
      </c>
      <c r="D805" s="104">
        <f t="shared" si="12"/>
        <v>4.1799999999999997E-2</v>
      </c>
      <c r="F805" s="5"/>
    </row>
    <row r="806" spans="2:6" ht="13.8" hidden="1" outlineLevel="1">
      <c r="B806" s="187">
        <v>23734</v>
      </c>
      <c r="C806" s="188">
        <v>4.1900000000000004</v>
      </c>
      <c r="D806" s="104">
        <f t="shared" si="12"/>
        <v>4.1900000000000007E-2</v>
      </c>
      <c r="F806" s="5"/>
    </row>
    <row r="807" spans="2:6" ht="13.8" hidden="1" outlineLevel="1">
      <c r="B807" s="187">
        <v>23735</v>
      </c>
      <c r="C807" s="188">
        <v>4.1900000000000004</v>
      </c>
      <c r="D807" s="104">
        <f t="shared" si="12"/>
        <v>4.1900000000000007E-2</v>
      </c>
      <c r="F807" s="5"/>
    </row>
    <row r="808" spans="2:6" ht="13.8" hidden="1" outlineLevel="1">
      <c r="B808" s="187">
        <v>23736</v>
      </c>
      <c r="C808" s="188" t="s">
        <v>380</v>
      </c>
      <c r="D808" s="104">
        <f t="shared" si="12"/>
        <v>4.1900000000000007E-2</v>
      </c>
      <c r="F808" s="5"/>
    </row>
    <row r="809" spans="2:6" ht="13.8" hidden="1" outlineLevel="1">
      <c r="B809" s="187">
        <v>23739</v>
      </c>
      <c r="C809" s="188">
        <v>4.1900000000000004</v>
      </c>
      <c r="D809" s="104">
        <f t="shared" si="12"/>
        <v>4.1900000000000007E-2</v>
      </c>
      <c r="F809" s="5"/>
    </row>
    <row r="810" spans="2:6" ht="13.8" hidden="1" outlineLevel="1">
      <c r="B810" s="187">
        <v>23740</v>
      </c>
      <c r="C810" s="188">
        <v>4.1900000000000004</v>
      </c>
      <c r="D810" s="104">
        <f t="shared" si="12"/>
        <v>4.1900000000000007E-2</v>
      </c>
      <c r="F810" s="5"/>
    </row>
    <row r="811" spans="2:6" ht="13.8" hidden="1" outlineLevel="1">
      <c r="B811" s="187">
        <v>23741</v>
      </c>
      <c r="C811" s="188">
        <v>4.2</v>
      </c>
      <c r="D811" s="104">
        <f t="shared" si="12"/>
        <v>4.2000000000000003E-2</v>
      </c>
      <c r="F811" s="5"/>
    </row>
    <row r="812" spans="2:6" ht="13.8" hidden="1" outlineLevel="1">
      <c r="B812" s="187">
        <v>23742</v>
      </c>
      <c r="C812" s="188">
        <v>4.21</v>
      </c>
      <c r="D812" s="104">
        <f t="shared" si="12"/>
        <v>4.2099999999999999E-2</v>
      </c>
      <c r="F812" s="5"/>
    </row>
    <row r="813" spans="2:6" ht="13.8" hidden="1" outlineLevel="1">
      <c r="B813" s="187">
        <v>23743</v>
      </c>
      <c r="C813" s="188" t="s">
        <v>380</v>
      </c>
      <c r="D813" s="104">
        <f t="shared" si="12"/>
        <v>4.2099999999999999E-2</v>
      </c>
      <c r="F813" s="5"/>
    </row>
    <row r="814" spans="2:6" ht="13.8" hidden="1" outlineLevel="1">
      <c r="B814" s="187">
        <v>23746</v>
      </c>
      <c r="C814" s="188">
        <v>4.2</v>
      </c>
      <c r="D814" s="104">
        <f t="shared" si="12"/>
        <v>4.2000000000000003E-2</v>
      </c>
      <c r="F814" s="5"/>
    </row>
    <row r="815" spans="2:6" ht="13.8" hidden="1" outlineLevel="1">
      <c r="B815" s="187">
        <v>23747</v>
      </c>
      <c r="C815" s="188">
        <v>4.2</v>
      </c>
      <c r="D815" s="104">
        <f t="shared" si="12"/>
        <v>4.2000000000000003E-2</v>
      </c>
      <c r="F815" s="5"/>
    </row>
    <row r="816" spans="2:6" ht="13.8" hidden="1" outlineLevel="1">
      <c r="B816" s="187">
        <v>23748</v>
      </c>
      <c r="C816" s="188">
        <v>4.2</v>
      </c>
      <c r="D816" s="104">
        <f t="shared" si="12"/>
        <v>4.2000000000000003E-2</v>
      </c>
      <c r="F816" s="5"/>
    </row>
    <row r="817" spans="2:6" ht="13.8" hidden="1" outlineLevel="1">
      <c r="B817" s="187">
        <v>23749</v>
      </c>
      <c r="C817" s="188">
        <v>4.2</v>
      </c>
      <c r="D817" s="104">
        <f t="shared" si="12"/>
        <v>4.2000000000000003E-2</v>
      </c>
      <c r="F817" s="5"/>
    </row>
    <row r="818" spans="2:6" ht="13.8" hidden="1" outlineLevel="1">
      <c r="B818" s="187">
        <v>23750</v>
      </c>
      <c r="C818" s="188">
        <v>4.2</v>
      </c>
      <c r="D818" s="104">
        <f t="shared" si="12"/>
        <v>4.2000000000000003E-2</v>
      </c>
      <c r="F818" s="5"/>
    </row>
    <row r="819" spans="2:6" ht="13.8" hidden="1" outlineLevel="1">
      <c r="B819" s="187">
        <v>23753</v>
      </c>
      <c r="C819" s="188">
        <v>4.2</v>
      </c>
      <c r="D819" s="104">
        <f t="shared" si="12"/>
        <v>4.2000000000000003E-2</v>
      </c>
      <c r="F819" s="5"/>
    </row>
    <row r="820" spans="2:6" ht="13.8" hidden="1" outlineLevel="1">
      <c r="B820" s="187">
        <v>23754</v>
      </c>
      <c r="C820" s="188">
        <v>4.1900000000000004</v>
      </c>
      <c r="D820" s="104">
        <f t="shared" si="12"/>
        <v>4.1900000000000007E-2</v>
      </c>
      <c r="F820" s="5"/>
    </row>
    <row r="821" spans="2:6" ht="13.8" hidden="1" outlineLevel="1">
      <c r="B821" s="187">
        <v>23755</v>
      </c>
      <c r="C821" s="188">
        <v>4.1900000000000004</v>
      </c>
      <c r="D821" s="104">
        <f t="shared" si="12"/>
        <v>4.1900000000000007E-2</v>
      </c>
      <c r="F821" s="5"/>
    </row>
    <row r="822" spans="2:6" ht="13.8" hidden="1" outlineLevel="1">
      <c r="B822" s="187">
        <v>23756</v>
      </c>
      <c r="C822" s="188">
        <v>4.1900000000000004</v>
      </c>
      <c r="D822" s="104">
        <f t="shared" si="12"/>
        <v>4.1900000000000007E-2</v>
      </c>
      <c r="F822" s="5"/>
    </row>
    <row r="823" spans="2:6" ht="13.8" hidden="1" outlineLevel="1">
      <c r="B823" s="187">
        <v>23757</v>
      </c>
      <c r="C823" s="188">
        <v>4.1900000000000004</v>
      </c>
      <c r="D823" s="104">
        <f t="shared" si="12"/>
        <v>4.1900000000000007E-2</v>
      </c>
      <c r="F823" s="5"/>
    </row>
    <row r="824" spans="2:6" ht="13.8" hidden="1" outlineLevel="1">
      <c r="B824" s="187">
        <v>23760</v>
      </c>
      <c r="C824" s="188">
        <v>4.1900000000000004</v>
      </c>
      <c r="D824" s="104">
        <f t="shared" si="12"/>
        <v>4.1900000000000007E-2</v>
      </c>
      <c r="F824" s="5"/>
    </row>
    <row r="825" spans="2:6" ht="13.8" hidden="1" outlineLevel="1">
      <c r="B825" s="187">
        <v>23761</v>
      </c>
      <c r="C825" s="188">
        <v>4.18</v>
      </c>
      <c r="D825" s="104">
        <f t="shared" si="12"/>
        <v>4.1799999999999997E-2</v>
      </c>
      <c r="F825" s="5"/>
    </row>
    <row r="826" spans="2:6" ht="13.8" hidden="1" outlineLevel="1">
      <c r="B826" s="187">
        <v>23762</v>
      </c>
      <c r="C826" s="188">
        <v>4.18</v>
      </c>
      <c r="D826" s="104">
        <f t="shared" si="12"/>
        <v>4.1799999999999997E-2</v>
      </c>
      <c r="F826" s="5"/>
    </row>
    <row r="827" spans="2:6" ht="13.8" hidden="1" outlineLevel="1">
      <c r="B827" s="187">
        <v>23763</v>
      </c>
      <c r="C827" s="188">
        <v>4.17</v>
      </c>
      <c r="D827" s="104">
        <f t="shared" si="12"/>
        <v>4.1700000000000001E-2</v>
      </c>
      <c r="F827" s="5"/>
    </row>
    <row r="828" spans="2:6" ht="13.8" hidden="1" outlineLevel="1">
      <c r="B828" s="187">
        <v>23764</v>
      </c>
      <c r="C828" s="188">
        <v>4.17</v>
      </c>
      <c r="D828" s="104">
        <f t="shared" si="12"/>
        <v>4.1700000000000001E-2</v>
      </c>
      <c r="F828" s="5"/>
    </row>
    <row r="829" spans="2:6" ht="13.8" hidden="1" outlineLevel="1">
      <c r="B829" s="187">
        <v>23767</v>
      </c>
      <c r="C829" s="188">
        <v>4.18</v>
      </c>
      <c r="D829" s="104">
        <f t="shared" si="12"/>
        <v>4.1799999999999997E-2</v>
      </c>
      <c r="F829" s="5"/>
    </row>
    <row r="830" spans="2:6" ht="13.8" hidden="1" outlineLevel="1">
      <c r="B830" s="187">
        <v>23768</v>
      </c>
      <c r="C830" s="188">
        <v>4.1900000000000004</v>
      </c>
      <c r="D830" s="104">
        <f t="shared" si="12"/>
        <v>4.1900000000000007E-2</v>
      </c>
      <c r="F830" s="5"/>
    </row>
    <row r="831" spans="2:6" ht="13.8" hidden="1" outlineLevel="1">
      <c r="B831" s="187">
        <v>23769</v>
      </c>
      <c r="C831" s="188">
        <v>4.1900000000000004</v>
      </c>
      <c r="D831" s="104">
        <f t="shared" si="12"/>
        <v>4.1900000000000007E-2</v>
      </c>
      <c r="F831" s="5"/>
    </row>
    <row r="832" spans="2:6" ht="13.8" hidden="1" outlineLevel="1">
      <c r="B832" s="187">
        <v>23770</v>
      </c>
      <c r="C832" s="188">
        <v>4.1900000000000004</v>
      </c>
      <c r="D832" s="104">
        <f t="shared" si="12"/>
        <v>4.1900000000000007E-2</v>
      </c>
      <c r="F832" s="5"/>
    </row>
    <row r="833" spans="2:6" ht="13.8" hidden="1" outlineLevel="1">
      <c r="B833" s="187">
        <v>23771</v>
      </c>
      <c r="C833" s="188">
        <v>4.1900000000000004</v>
      </c>
      <c r="D833" s="104">
        <f t="shared" si="12"/>
        <v>4.1900000000000007E-2</v>
      </c>
      <c r="F833" s="5"/>
    </row>
    <row r="834" spans="2:6" ht="13.8" hidden="1" outlineLevel="1">
      <c r="B834" s="187">
        <v>23774</v>
      </c>
      <c r="C834" s="188">
        <v>4.2</v>
      </c>
      <c r="D834" s="104">
        <f t="shared" si="12"/>
        <v>4.2000000000000003E-2</v>
      </c>
      <c r="F834" s="5"/>
    </row>
    <row r="835" spans="2:6" ht="13.8" hidden="1" outlineLevel="1">
      <c r="B835" s="187">
        <v>23775</v>
      </c>
      <c r="C835" s="188">
        <v>4.2</v>
      </c>
      <c r="D835" s="104">
        <f t="shared" si="12"/>
        <v>4.2000000000000003E-2</v>
      </c>
      <c r="F835" s="5"/>
    </row>
    <row r="836" spans="2:6" ht="13.8" hidden="1" outlineLevel="1">
      <c r="B836" s="187">
        <v>23776</v>
      </c>
      <c r="C836" s="188">
        <v>4.2</v>
      </c>
      <c r="D836" s="104">
        <f t="shared" si="12"/>
        <v>4.2000000000000003E-2</v>
      </c>
      <c r="F836" s="5"/>
    </row>
    <row r="837" spans="2:6" ht="13.8" hidden="1" outlineLevel="1">
      <c r="B837" s="187">
        <v>23777</v>
      </c>
      <c r="C837" s="188">
        <v>4.21</v>
      </c>
      <c r="D837" s="104">
        <f t="shared" si="12"/>
        <v>4.2099999999999999E-2</v>
      </c>
      <c r="F837" s="5"/>
    </row>
    <row r="838" spans="2:6" ht="13.8" hidden="1" outlineLevel="1">
      <c r="B838" s="187">
        <v>23778</v>
      </c>
      <c r="C838" s="188">
        <v>4.22</v>
      </c>
      <c r="D838" s="104">
        <f t="shared" si="12"/>
        <v>4.2199999999999994E-2</v>
      </c>
      <c r="F838" s="5"/>
    </row>
    <row r="839" spans="2:6" ht="13.8" hidden="1" outlineLevel="1">
      <c r="B839" s="187">
        <v>23781</v>
      </c>
      <c r="C839" s="188">
        <v>4.21</v>
      </c>
      <c r="D839" s="104">
        <f t="shared" si="12"/>
        <v>4.2099999999999999E-2</v>
      </c>
      <c r="F839" s="5"/>
    </row>
    <row r="840" spans="2:6" ht="13.8" hidden="1" outlineLevel="1">
      <c r="B840" s="187">
        <v>23782</v>
      </c>
      <c r="C840" s="188">
        <v>4.21</v>
      </c>
      <c r="D840" s="104">
        <f t="shared" si="12"/>
        <v>4.2099999999999999E-2</v>
      </c>
      <c r="F840" s="5"/>
    </row>
    <row r="841" spans="2:6" ht="13.8" hidden="1" outlineLevel="1">
      <c r="B841" s="187">
        <v>23783</v>
      </c>
      <c r="C841" s="188">
        <v>4.21</v>
      </c>
      <c r="D841" s="104">
        <f t="shared" si="12"/>
        <v>4.2099999999999999E-2</v>
      </c>
      <c r="F841" s="5"/>
    </row>
    <row r="842" spans="2:6" ht="13.8" hidden="1" outlineLevel="1">
      <c r="B842" s="187">
        <v>23784</v>
      </c>
      <c r="C842" s="188">
        <v>4.21</v>
      </c>
      <c r="D842" s="104">
        <f t="shared" si="12"/>
        <v>4.2099999999999999E-2</v>
      </c>
      <c r="F842" s="5"/>
    </row>
    <row r="843" spans="2:6" ht="13.8" hidden="1" outlineLevel="1">
      <c r="B843" s="187">
        <v>23785</v>
      </c>
      <c r="C843" s="188" t="s">
        <v>380</v>
      </c>
      <c r="D843" s="104">
        <f t="shared" si="12"/>
        <v>4.2099999999999999E-2</v>
      </c>
      <c r="F843" s="5"/>
    </row>
    <row r="844" spans="2:6" ht="13.8" hidden="1" outlineLevel="1">
      <c r="B844" s="187">
        <v>23788</v>
      </c>
      <c r="C844" s="188">
        <v>4.22</v>
      </c>
      <c r="D844" s="104">
        <f t="shared" si="12"/>
        <v>4.2199999999999994E-2</v>
      </c>
      <c r="F844" s="5"/>
    </row>
    <row r="845" spans="2:6" ht="13.8" hidden="1" outlineLevel="1">
      <c r="B845" s="187">
        <v>23789</v>
      </c>
      <c r="C845" s="188">
        <v>4.21</v>
      </c>
      <c r="D845" s="104">
        <f t="shared" si="12"/>
        <v>4.2099999999999999E-2</v>
      </c>
      <c r="F845" s="5"/>
    </row>
    <row r="846" spans="2:6" ht="13.8" hidden="1" outlineLevel="1">
      <c r="B846" s="187">
        <v>23790</v>
      </c>
      <c r="C846" s="188">
        <v>4.21</v>
      </c>
      <c r="D846" s="104">
        <f t="shared" si="12"/>
        <v>4.2099999999999999E-2</v>
      </c>
      <c r="F846" s="5"/>
    </row>
    <row r="847" spans="2:6" ht="13.8" hidden="1" outlineLevel="1">
      <c r="B847" s="187">
        <v>23791</v>
      </c>
      <c r="C847" s="188">
        <v>4.21</v>
      </c>
      <c r="D847" s="104">
        <f t="shared" si="12"/>
        <v>4.2099999999999999E-2</v>
      </c>
      <c r="F847" s="5"/>
    </row>
    <row r="848" spans="2:6" ht="13.8" hidden="1" outlineLevel="1">
      <c r="B848" s="187">
        <v>23792</v>
      </c>
      <c r="C848" s="188">
        <v>4.22</v>
      </c>
      <c r="D848" s="104">
        <f t="shared" si="12"/>
        <v>4.2199999999999994E-2</v>
      </c>
      <c r="F848" s="5"/>
    </row>
    <row r="849" spans="2:6" ht="13.8" hidden="1" outlineLevel="1">
      <c r="B849" s="187">
        <v>23795</v>
      </c>
      <c r="C849" s="188" t="s">
        <v>380</v>
      </c>
      <c r="D849" s="104">
        <f t="shared" si="12"/>
        <v>4.2199999999999994E-2</v>
      </c>
      <c r="F849" s="5"/>
    </row>
    <row r="850" spans="2:6" ht="13.8" hidden="1" outlineLevel="1">
      <c r="B850" s="187">
        <v>23796</v>
      </c>
      <c r="C850" s="188">
        <v>4.21</v>
      </c>
      <c r="D850" s="104">
        <f t="shared" si="12"/>
        <v>4.2099999999999999E-2</v>
      </c>
      <c r="F850" s="5"/>
    </row>
    <row r="851" spans="2:6" ht="13.8" hidden="1" outlineLevel="1">
      <c r="B851" s="187">
        <v>23797</v>
      </c>
      <c r="C851" s="188">
        <v>4.22</v>
      </c>
      <c r="D851" s="104">
        <f t="shared" si="12"/>
        <v>4.2199999999999994E-2</v>
      </c>
      <c r="F851" s="5"/>
    </row>
    <row r="852" spans="2:6" ht="13.8" hidden="1" outlineLevel="1">
      <c r="B852" s="187">
        <v>23798</v>
      </c>
      <c r="C852" s="188">
        <v>4.21</v>
      </c>
      <c r="D852" s="104">
        <f t="shared" si="12"/>
        <v>4.2099999999999999E-2</v>
      </c>
      <c r="F852" s="5"/>
    </row>
    <row r="853" spans="2:6" ht="13.8" hidden="1" outlineLevel="1">
      <c r="B853" s="187">
        <v>23799</v>
      </c>
      <c r="C853" s="188">
        <v>4.22</v>
      </c>
      <c r="D853" s="104">
        <f t="shared" si="12"/>
        <v>4.2199999999999994E-2</v>
      </c>
      <c r="F853" s="5"/>
    </row>
    <row r="854" spans="2:6" ht="13.8" hidden="1" outlineLevel="1">
      <c r="B854" s="187">
        <v>23802</v>
      </c>
      <c r="C854" s="188">
        <v>4.22</v>
      </c>
      <c r="D854" s="104">
        <f t="shared" si="12"/>
        <v>4.2199999999999994E-2</v>
      </c>
      <c r="F854" s="5"/>
    </row>
    <row r="855" spans="2:6" ht="13.8" hidden="1" outlineLevel="1">
      <c r="B855" s="187">
        <v>23803</v>
      </c>
      <c r="C855" s="188">
        <v>4.24</v>
      </c>
      <c r="D855" s="104">
        <f t="shared" si="12"/>
        <v>4.24E-2</v>
      </c>
      <c r="F855" s="5"/>
    </row>
    <row r="856" spans="2:6" ht="13.8" hidden="1" outlineLevel="1">
      <c r="B856" s="187">
        <v>23804</v>
      </c>
      <c r="C856" s="188">
        <v>4.2300000000000004</v>
      </c>
      <c r="D856" s="104">
        <f t="shared" si="12"/>
        <v>4.2300000000000004E-2</v>
      </c>
      <c r="F856" s="5"/>
    </row>
    <row r="857" spans="2:6" ht="13.8" hidden="1" outlineLevel="1">
      <c r="B857" s="187">
        <v>23805</v>
      </c>
      <c r="C857" s="188">
        <v>4.22</v>
      </c>
      <c r="D857" s="104">
        <f t="shared" si="12"/>
        <v>4.2199999999999994E-2</v>
      </c>
      <c r="F857" s="5"/>
    </row>
    <row r="858" spans="2:6" ht="13.8" hidden="1" outlineLevel="1">
      <c r="B858" s="187">
        <v>23806</v>
      </c>
      <c r="C858" s="188">
        <v>4.2300000000000004</v>
      </c>
      <c r="D858" s="104">
        <f t="shared" si="12"/>
        <v>4.2300000000000004E-2</v>
      </c>
      <c r="F858" s="5"/>
    </row>
    <row r="859" spans="2:6" ht="13.8" hidden="1" outlineLevel="1">
      <c r="B859" s="187">
        <v>23809</v>
      </c>
      <c r="C859" s="188">
        <v>4.2300000000000004</v>
      </c>
      <c r="D859" s="104">
        <f t="shared" si="12"/>
        <v>4.2300000000000004E-2</v>
      </c>
      <c r="F859" s="5"/>
    </row>
    <row r="860" spans="2:6" ht="13.8" hidden="1" outlineLevel="1">
      <c r="B860" s="187">
        <v>23810</v>
      </c>
      <c r="C860" s="188">
        <v>4.2300000000000004</v>
      </c>
      <c r="D860" s="104">
        <f t="shared" si="12"/>
        <v>4.2300000000000004E-2</v>
      </c>
      <c r="F860" s="5"/>
    </row>
    <row r="861" spans="2:6" ht="13.8" hidden="1" outlineLevel="1">
      <c r="B861" s="187">
        <v>23811</v>
      </c>
      <c r="C861" s="188">
        <v>4.2300000000000004</v>
      </c>
      <c r="D861" s="104">
        <f t="shared" si="12"/>
        <v>4.2300000000000004E-2</v>
      </c>
      <c r="F861" s="5"/>
    </row>
    <row r="862" spans="2:6" ht="13.8" hidden="1" outlineLevel="1">
      <c r="B862" s="187">
        <v>23812</v>
      </c>
      <c r="C862" s="188">
        <v>4.22</v>
      </c>
      <c r="D862" s="104">
        <f t="shared" ref="D862:D925" si="13">IF( LEN( C862 ) = 0, #N/A, IF( C862 = "ND", D861, C862 / 100 ) )</f>
        <v>4.2199999999999994E-2</v>
      </c>
      <c r="F862" s="5"/>
    </row>
    <row r="863" spans="2:6" ht="13.8" hidden="1" outlineLevel="1">
      <c r="B863" s="187">
        <v>23813</v>
      </c>
      <c r="C863" s="188">
        <v>4.22</v>
      </c>
      <c r="D863" s="104">
        <f t="shared" si="13"/>
        <v>4.2199999999999994E-2</v>
      </c>
      <c r="F863" s="5"/>
    </row>
    <row r="864" spans="2:6" ht="13.8" hidden="1" outlineLevel="1">
      <c r="B864" s="187">
        <v>23816</v>
      </c>
      <c r="C864" s="188">
        <v>4.21</v>
      </c>
      <c r="D864" s="104">
        <f t="shared" si="13"/>
        <v>4.2099999999999999E-2</v>
      </c>
      <c r="F864" s="5"/>
    </row>
    <row r="865" spans="2:6" ht="13.8" hidden="1" outlineLevel="1">
      <c r="B865" s="187">
        <v>23817</v>
      </c>
      <c r="C865" s="188">
        <v>4.21</v>
      </c>
      <c r="D865" s="104">
        <f t="shared" si="13"/>
        <v>4.2099999999999999E-2</v>
      </c>
      <c r="F865" s="5"/>
    </row>
    <row r="866" spans="2:6" ht="13.8" hidden="1" outlineLevel="1">
      <c r="B866" s="187">
        <v>23818</v>
      </c>
      <c r="C866" s="188">
        <v>4.2</v>
      </c>
      <c r="D866" s="104">
        <f t="shared" si="13"/>
        <v>4.2000000000000003E-2</v>
      </c>
      <c r="F866" s="5"/>
    </row>
    <row r="867" spans="2:6" ht="13.8" hidden="1" outlineLevel="1">
      <c r="B867" s="187">
        <v>23819</v>
      </c>
      <c r="C867" s="188">
        <v>4.2</v>
      </c>
      <c r="D867" s="104">
        <f t="shared" si="13"/>
        <v>4.2000000000000003E-2</v>
      </c>
      <c r="F867" s="5"/>
    </row>
    <row r="868" spans="2:6" ht="13.8" hidden="1" outlineLevel="1">
      <c r="B868" s="187">
        <v>23820</v>
      </c>
      <c r="C868" s="188">
        <v>4.2</v>
      </c>
      <c r="D868" s="104">
        <f t="shared" si="13"/>
        <v>4.2000000000000003E-2</v>
      </c>
      <c r="F868" s="5"/>
    </row>
    <row r="869" spans="2:6" ht="13.8" hidden="1" outlineLevel="1">
      <c r="B869" s="187">
        <v>23823</v>
      </c>
      <c r="C869" s="188">
        <v>4.1900000000000004</v>
      </c>
      <c r="D869" s="104">
        <f t="shared" si="13"/>
        <v>4.1900000000000007E-2</v>
      </c>
      <c r="F869" s="5"/>
    </row>
    <row r="870" spans="2:6" ht="13.8" hidden="1" outlineLevel="1">
      <c r="B870" s="187">
        <v>23824</v>
      </c>
      <c r="C870" s="188">
        <v>4.1900000000000004</v>
      </c>
      <c r="D870" s="104">
        <f t="shared" si="13"/>
        <v>4.1900000000000007E-2</v>
      </c>
      <c r="F870" s="5"/>
    </row>
    <row r="871" spans="2:6" ht="13.8" hidden="1" outlineLevel="1">
      <c r="B871" s="187">
        <v>23825</v>
      </c>
      <c r="C871" s="188">
        <v>4.18</v>
      </c>
      <c r="D871" s="104">
        <f t="shared" si="13"/>
        <v>4.1799999999999997E-2</v>
      </c>
      <c r="F871" s="5"/>
    </row>
    <row r="872" spans="2:6" ht="13.8" hidden="1" outlineLevel="1">
      <c r="B872" s="187">
        <v>23826</v>
      </c>
      <c r="C872" s="188">
        <v>4.1900000000000004</v>
      </c>
      <c r="D872" s="104">
        <f t="shared" si="13"/>
        <v>4.1900000000000007E-2</v>
      </c>
      <c r="F872" s="5"/>
    </row>
    <row r="873" spans="2:6" ht="13.8" hidden="1" outlineLevel="1">
      <c r="B873" s="187">
        <v>23827</v>
      </c>
      <c r="C873" s="188">
        <v>4.2</v>
      </c>
      <c r="D873" s="104">
        <f t="shared" si="13"/>
        <v>4.2000000000000003E-2</v>
      </c>
      <c r="F873" s="5"/>
    </row>
    <row r="874" spans="2:6" ht="13.8" hidden="1" outlineLevel="1">
      <c r="B874" s="187">
        <v>23830</v>
      </c>
      <c r="C874" s="188">
        <v>4.2</v>
      </c>
      <c r="D874" s="104">
        <f t="shared" si="13"/>
        <v>4.2000000000000003E-2</v>
      </c>
      <c r="F874" s="5"/>
    </row>
    <row r="875" spans="2:6" ht="13.8" hidden="1" outlineLevel="1">
      <c r="B875" s="187">
        <v>23831</v>
      </c>
      <c r="C875" s="188">
        <v>4.2</v>
      </c>
      <c r="D875" s="104">
        <f t="shared" si="13"/>
        <v>4.2000000000000003E-2</v>
      </c>
      <c r="F875" s="5"/>
    </row>
    <row r="876" spans="2:6" ht="13.8" hidden="1" outlineLevel="1">
      <c r="B876" s="187">
        <v>23832</v>
      </c>
      <c r="C876" s="188">
        <v>4.2</v>
      </c>
      <c r="D876" s="104">
        <f t="shared" si="13"/>
        <v>4.2000000000000003E-2</v>
      </c>
      <c r="F876" s="5"/>
    </row>
    <row r="877" spans="2:6" ht="13.8" hidden="1" outlineLevel="1">
      <c r="B877" s="187">
        <v>23833</v>
      </c>
      <c r="C877" s="188">
        <v>4.2</v>
      </c>
      <c r="D877" s="104">
        <f t="shared" si="13"/>
        <v>4.2000000000000003E-2</v>
      </c>
      <c r="F877" s="5"/>
    </row>
    <row r="878" spans="2:6" ht="13.8" hidden="1" outlineLevel="1">
      <c r="B878" s="187">
        <v>23834</v>
      </c>
      <c r="C878" s="188">
        <v>4.2</v>
      </c>
      <c r="D878" s="104">
        <f t="shared" si="13"/>
        <v>4.2000000000000003E-2</v>
      </c>
      <c r="F878" s="5"/>
    </row>
    <row r="879" spans="2:6" ht="13.8" hidden="1" outlineLevel="1">
      <c r="B879" s="187">
        <v>23837</v>
      </c>
      <c r="C879" s="188">
        <v>4.2</v>
      </c>
      <c r="D879" s="104">
        <f t="shared" si="13"/>
        <v>4.2000000000000003E-2</v>
      </c>
      <c r="F879" s="5"/>
    </row>
    <row r="880" spans="2:6" ht="13.8" hidden="1" outlineLevel="1">
      <c r="B880" s="187">
        <v>23838</v>
      </c>
      <c r="C880" s="188">
        <v>4.2</v>
      </c>
      <c r="D880" s="104">
        <f t="shared" si="13"/>
        <v>4.2000000000000003E-2</v>
      </c>
      <c r="F880" s="5"/>
    </row>
    <row r="881" spans="2:6" ht="13.8" hidden="1" outlineLevel="1">
      <c r="B881" s="187">
        <v>23839</v>
      </c>
      <c r="C881" s="188">
        <v>4.2</v>
      </c>
      <c r="D881" s="104">
        <f t="shared" si="13"/>
        <v>4.2000000000000003E-2</v>
      </c>
      <c r="F881" s="5"/>
    </row>
    <row r="882" spans="2:6" ht="13.8" hidden="1" outlineLevel="1">
      <c r="B882" s="187">
        <v>23840</v>
      </c>
      <c r="C882" s="188">
        <v>4.1900000000000004</v>
      </c>
      <c r="D882" s="104">
        <f t="shared" si="13"/>
        <v>4.1900000000000007E-2</v>
      </c>
      <c r="F882" s="5"/>
    </row>
    <row r="883" spans="2:6" ht="13.8" hidden="1" outlineLevel="1">
      <c r="B883" s="187">
        <v>23841</v>
      </c>
      <c r="C883" s="188">
        <v>4.2</v>
      </c>
      <c r="D883" s="104">
        <f t="shared" si="13"/>
        <v>4.2000000000000003E-2</v>
      </c>
      <c r="F883" s="5"/>
    </row>
    <row r="884" spans="2:6" ht="13.8" hidden="1" outlineLevel="1">
      <c r="B884" s="187">
        <v>23844</v>
      </c>
      <c r="C884" s="188">
        <v>4.2</v>
      </c>
      <c r="D884" s="104">
        <f t="shared" si="13"/>
        <v>4.2000000000000003E-2</v>
      </c>
      <c r="F884" s="5"/>
    </row>
    <row r="885" spans="2:6" ht="13.8" hidden="1" outlineLevel="1">
      <c r="B885" s="187">
        <v>23845</v>
      </c>
      <c r="C885" s="188">
        <v>4.2</v>
      </c>
      <c r="D885" s="104">
        <f t="shared" si="13"/>
        <v>4.2000000000000003E-2</v>
      </c>
      <c r="F885" s="5"/>
    </row>
    <row r="886" spans="2:6" ht="13.8" hidden="1" outlineLevel="1">
      <c r="B886" s="187">
        <v>23846</v>
      </c>
      <c r="C886" s="188">
        <v>4.1900000000000004</v>
      </c>
      <c r="D886" s="104">
        <f t="shared" si="13"/>
        <v>4.1900000000000007E-2</v>
      </c>
      <c r="F886" s="5"/>
    </row>
    <row r="887" spans="2:6" ht="13.8" hidden="1" outlineLevel="1">
      <c r="B887" s="187">
        <v>23847</v>
      </c>
      <c r="C887" s="188">
        <v>4.2</v>
      </c>
      <c r="D887" s="104">
        <f t="shared" si="13"/>
        <v>4.2000000000000003E-2</v>
      </c>
      <c r="F887" s="5"/>
    </row>
    <row r="888" spans="2:6" ht="13.8" hidden="1" outlineLevel="1">
      <c r="B888" s="187">
        <v>23848</v>
      </c>
      <c r="C888" s="188" t="s">
        <v>380</v>
      </c>
      <c r="D888" s="104">
        <f t="shared" si="13"/>
        <v>4.2000000000000003E-2</v>
      </c>
      <c r="F888" s="5"/>
    </row>
    <row r="889" spans="2:6" ht="13.8" hidden="1" outlineLevel="1">
      <c r="B889" s="187">
        <v>23851</v>
      </c>
      <c r="C889" s="188">
        <v>4.21</v>
      </c>
      <c r="D889" s="104">
        <f t="shared" si="13"/>
        <v>4.2099999999999999E-2</v>
      </c>
      <c r="F889" s="5"/>
    </row>
    <row r="890" spans="2:6" ht="13.8" hidden="1" outlineLevel="1">
      <c r="B890" s="187">
        <v>23852</v>
      </c>
      <c r="C890" s="188">
        <v>4.21</v>
      </c>
      <c r="D890" s="104">
        <f t="shared" si="13"/>
        <v>4.2099999999999999E-2</v>
      </c>
      <c r="F890" s="5"/>
    </row>
    <row r="891" spans="2:6" ht="13.8" hidden="1" outlineLevel="1">
      <c r="B891" s="187">
        <v>23853</v>
      </c>
      <c r="C891" s="188">
        <v>4.21</v>
      </c>
      <c r="D891" s="104">
        <f t="shared" si="13"/>
        <v>4.2099999999999999E-2</v>
      </c>
      <c r="F891" s="5"/>
    </row>
    <row r="892" spans="2:6" ht="13.8" hidden="1" outlineLevel="1">
      <c r="B892" s="187">
        <v>23854</v>
      </c>
      <c r="C892" s="188">
        <v>4.21</v>
      </c>
      <c r="D892" s="104">
        <f t="shared" si="13"/>
        <v>4.2099999999999999E-2</v>
      </c>
      <c r="F892" s="5"/>
    </row>
    <row r="893" spans="2:6" ht="13.8" hidden="1" outlineLevel="1">
      <c r="B893" s="187">
        <v>23855</v>
      </c>
      <c r="C893" s="188">
        <v>4.21</v>
      </c>
      <c r="D893" s="104">
        <f t="shared" si="13"/>
        <v>4.2099999999999999E-2</v>
      </c>
      <c r="F893" s="5"/>
    </row>
    <row r="894" spans="2:6" ht="13.8" hidden="1" outlineLevel="1">
      <c r="B894" s="187">
        <v>23858</v>
      </c>
      <c r="C894" s="188">
        <v>4.21</v>
      </c>
      <c r="D894" s="104">
        <f t="shared" si="13"/>
        <v>4.2099999999999999E-2</v>
      </c>
      <c r="F894" s="5"/>
    </row>
    <row r="895" spans="2:6" ht="13.8" hidden="1" outlineLevel="1">
      <c r="B895" s="187">
        <v>23859</v>
      </c>
      <c r="C895" s="188">
        <v>4.21</v>
      </c>
      <c r="D895" s="104">
        <f t="shared" si="13"/>
        <v>4.2099999999999999E-2</v>
      </c>
      <c r="F895" s="5"/>
    </row>
    <row r="896" spans="2:6" ht="13.8" hidden="1" outlineLevel="1">
      <c r="B896" s="187">
        <v>23860</v>
      </c>
      <c r="C896" s="188">
        <v>4.21</v>
      </c>
      <c r="D896" s="104">
        <f t="shared" si="13"/>
        <v>4.2099999999999999E-2</v>
      </c>
      <c r="F896" s="5"/>
    </row>
    <row r="897" spans="2:6" ht="13.8" hidden="1" outlineLevel="1">
      <c r="B897" s="187">
        <v>23861</v>
      </c>
      <c r="C897" s="188">
        <v>4.21</v>
      </c>
      <c r="D897" s="104">
        <f t="shared" si="13"/>
        <v>4.2099999999999999E-2</v>
      </c>
      <c r="F897" s="5"/>
    </row>
    <row r="898" spans="2:6" ht="13.8" hidden="1" outlineLevel="1">
      <c r="B898" s="187">
        <v>23862</v>
      </c>
      <c r="C898" s="188">
        <v>4.21</v>
      </c>
      <c r="D898" s="104">
        <f t="shared" si="13"/>
        <v>4.2099999999999999E-2</v>
      </c>
      <c r="F898" s="5"/>
    </row>
    <row r="899" spans="2:6" ht="13.8" hidden="1" outlineLevel="1">
      <c r="B899" s="187">
        <v>23865</v>
      </c>
      <c r="C899" s="188">
        <v>4.21</v>
      </c>
      <c r="D899" s="104">
        <f t="shared" si="13"/>
        <v>4.2099999999999999E-2</v>
      </c>
      <c r="F899" s="5"/>
    </row>
    <row r="900" spans="2:6" ht="13.8" hidden="1" outlineLevel="1">
      <c r="B900" s="187">
        <v>23866</v>
      </c>
      <c r="C900" s="188">
        <v>4.2</v>
      </c>
      <c r="D900" s="104">
        <f t="shared" si="13"/>
        <v>4.2000000000000003E-2</v>
      </c>
      <c r="F900" s="5"/>
    </row>
    <row r="901" spans="2:6" ht="13.8" hidden="1" outlineLevel="1">
      <c r="B901" s="187">
        <v>23867</v>
      </c>
      <c r="C901" s="188">
        <v>4.2</v>
      </c>
      <c r="D901" s="104">
        <f t="shared" si="13"/>
        <v>4.2000000000000003E-2</v>
      </c>
      <c r="F901" s="5"/>
    </row>
    <row r="902" spans="2:6" ht="13.8" hidden="1" outlineLevel="1">
      <c r="B902" s="187">
        <v>23868</v>
      </c>
      <c r="C902" s="188">
        <v>4.2</v>
      </c>
      <c r="D902" s="104">
        <f t="shared" si="13"/>
        <v>4.2000000000000003E-2</v>
      </c>
      <c r="F902" s="5"/>
    </row>
    <row r="903" spans="2:6" ht="13.8" hidden="1" outlineLevel="1">
      <c r="B903" s="187">
        <v>23869</v>
      </c>
      <c r="C903" s="188">
        <v>4.2</v>
      </c>
      <c r="D903" s="104">
        <f t="shared" si="13"/>
        <v>4.2000000000000003E-2</v>
      </c>
      <c r="F903" s="5"/>
    </row>
    <row r="904" spans="2:6" ht="13.8" hidden="1" outlineLevel="1">
      <c r="B904" s="187">
        <v>23872</v>
      </c>
      <c r="C904" s="188">
        <v>4.2</v>
      </c>
      <c r="D904" s="104">
        <f t="shared" si="13"/>
        <v>4.2000000000000003E-2</v>
      </c>
      <c r="F904" s="5"/>
    </row>
    <row r="905" spans="2:6" ht="13.8" hidden="1" outlineLevel="1">
      <c r="B905" s="187">
        <v>23873</v>
      </c>
      <c r="C905" s="188">
        <v>4.2</v>
      </c>
      <c r="D905" s="104">
        <f t="shared" si="13"/>
        <v>4.2000000000000003E-2</v>
      </c>
      <c r="F905" s="5"/>
    </row>
    <row r="906" spans="2:6" ht="13.8" hidden="1" outlineLevel="1">
      <c r="B906" s="187">
        <v>23874</v>
      </c>
      <c r="C906" s="188">
        <v>4.2</v>
      </c>
      <c r="D906" s="104">
        <f t="shared" si="13"/>
        <v>4.2000000000000003E-2</v>
      </c>
      <c r="F906" s="5"/>
    </row>
    <row r="907" spans="2:6" ht="13.8" hidden="1" outlineLevel="1">
      <c r="B907" s="187">
        <v>23875</v>
      </c>
      <c r="C907" s="188">
        <v>4.21</v>
      </c>
      <c r="D907" s="104">
        <f t="shared" si="13"/>
        <v>4.2099999999999999E-2</v>
      </c>
      <c r="F907" s="5"/>
    </row>
    <row r="908" spans="2:6" ht="13.8" hidden="1" outlineLevel="1">
      <c r="B908" s="187">
        <v>23876</v>
      </c>
      <c r="C908" s="188">
        <v>4.21</v>
      </c>
      <c r="D908" s="104">
        <f t="shared" si="13"/>
        <v>4.2099999999999999E-2</v>
      </c>
      <c r="F908" s="5"/>
    </row>
    <row r="909" spans="2:6" ht="13.8" hidden="1" outlineLevel="1">
      <c r="B909" s="187">
        <v>23879</v>
      </c>
      <c r="C909" s="188">
        <v>4.21</v>
      </c>
      <c r="D909" s="104">
        <f t="shared" si="13"/>
        <v>4.2099999999999999E-2</v>
      </c>
      <c r="F909" s="5"/>
    </row>
    <row r="910" spans="2:6" ht="13.8" hidden="1" outlineLevel="1">
      <c r="B910" s="187">
        <v>23880</v>
      </c>
      <c r="C910" s="188">
        <v>4.22</v>
      </c>
      <c r="D910" s="104">
        <f t="shared" si="13"/>
        <v>4.2199999999999994E-2</v>
      </c>
      <c r="F910" s="5"/>
    </row>
    <row r="911" spans="2:6" ht="13.8" hidden="1" outlineLevel="1">
      <c r="B911" s="187">
        <v>23881</v>
      </c>
      <c r="C911" s="188">
        <v>4.22</v>
      </c>
      <c r="D911" s="104">
        <f t="shared" si="13"/>
        <v>4.2199999999999994E-2</v>
      </c>
      <c r="F911" s="5"/>
    </row>
    <row r="912" spans="2:6" ht="13.8" hidden="1" outlineLevel="1">
      <c r="B912" s="187">
        <v>23882</v>
      </c>
      <c r="C912" s="188">
        <v>4.22</v>
      </c>
      <c r="D912" s="104">
        <f t="shared" si="13"/>
        <v>4.2199999999999994E-2</v>
      </c>
      <c r="F912" s="5"/>
    </row>
    <row r="913" spans="2:6" ht="13.8" hidden="1" outlineLevel="1">
      <c r="B913" s="187">
        <v>23883</v>
      </c>
      <c r="C913" s="188">
        <v>4.22</v>
      </c>
      <c r="D913" s="104">
        <f t="shared" si="13"/>
        <v>4.2199999999999994E-2</v>
      </c>
      <c r="F913" s="5"/>
    </row>
    <row r="914" spans="2:6" ht="13.8" hidden="1" outlineLevel="1">
      <c r="B914" s="187">
        <v>23886</v>
      </c>
      <c r="C914" s="188">
        <v>4.22</v>
      </c>
      <c r="D914" s="104">
        <f t="shared" si="13"/>
        <v>4.2199999999999994E-2</v>
      </c>
      <c r="F914" s="5"/>
    </row>
    <row r="915" spans="2:6" ht="13.8" hidden="1" outlineLevel="1">
      <c r="B915" s="187">
        <v>23887</v>
      </c>
      <c r="C915" s="188">
        <v>4.22</v>
      </c>
      <c r="D915" s="104">
        <f t="shared" si="13"/>
        <v>4.2199999999999994E-2</v>
      </c>
      <c r="F915" s="5"/>
    </row>
    <row r="916" spans="2:6" ht="13.8" hidden="1" outlineLevel="1">
      <c r="B916" s="187">
        <v>23888</v>
      </c>
      <c r="C916" s="188">
        <v>4.22</v>
      </c>
      <c r="D916" s="104">
        <f t="shared" si="13"/>
        <v>4.2199999999999994E-2</v>
      </c>
      <c r="F916" s="5"/>
    </row>
    <row r="917" spans="2:6" ht="13.8" hidden="1" outlineLevel="1">
      <c r="B917" s="187">
        <v>23889</v>
      </c>
      <c r="C917" s="188">
        <v>4.22</v>
      </c>
      <c r="D917" s="104">
        <f t="shared" si="13"/>
        <v>4.2199999999999994E-2</v>
      </c>
      <c r="F917" s="5"/>
    </row>
    <row r="918" spans="2:6" ht="13.8" hidden="1" outlineLevel="1">
      <c r="B918" s="187">
        <v>23890</v>
      </c>
      <c r="C918" s="188">
        <v>4.2300000000000004</v>
      </c>
      <c r="D918" s="104">
        <f t="shared" si="13"/>
        <v>4.2300000000000004E-2</v>
      </c>
      <c r="F918" s="5"/>
    </row>
    <row r="919" spans="2:6" ht="13.8" hidden="1" outlineLevel="1">
      <c r="B919" s="187">
        <v>23893</v>
      </c>
      <c r="C919" s="188" t="s">
        <v>380</v>
      </c>
      <c r="D919" s="104">
        <f t="shared" si="13"/>
        <v>4.2300000000000004E-2</v>
      </c>
      <c r="F919" s="5"/>
    </row>
    <row r="920" spans="2:6" ht="13.8" hidden="1" outlineLevel="1">
      <c r="B920" s="187">
        <v>23894</v>
      </c>
      <c r="C920" s="188">
        <v>4.2300000000000004</v>
      </c>
      <c r="D920" s="104">
        <f t="shared" si="13"/>
        <v>4.2300000000000004E-2</v>
      </c>
      <c r="F920" s="5"/>
    </row>
    <row r="921" spans="2:6" ht="13.8" hidden="1" outlineLevel="1">
      <c r="B921" s="187">
        <v>23895</v>
      </c>
      <c r="C921" s="188">
        <v>4.2300000000000004</v>
      </c>
      <c r="D921" s="104">
        <f t="shared" si="13"/>
        <v>4.2300000000000004E-2</v>
      </c>
      <c r="F921" s="5"/>
    </row>
    <row r="922" spans="2:6" ht="13.8" hidden="1" outlineLevel="1">
      <c r="B922" s="187">
        <v>23896</v>
      </c>
      <c r="C922" s="188">
        <v>4.2300000000000004</v>
      </c>
      <c r="D922" s="104">
        <f t="shared" si="13"/>
        <v>4.2300000000000004E-2</v>
      </c>
      <c r="F922" s="5"/>
    </row>
    <row r="923" spans="2:6" ht="13.8" hidden="1" outlineLevel="1">
      <c r="B923" s="187">
        <v>23897</v>
      </c>
      <c r="C923" s="188">
        <v>4.2300000000000004</v>
      </c>
      <c r="D923" s="104">
        <f t="shared" si="13"/>
        <v>4.2300000000000004E-2</v>
      </c>
      <c r="F923" s="5"/>
    </row>
    <row r="924" spans="2:6" ht="13.8" hidden="1" outlineLevel="1">
      <c r="B924" s="187">
        <v>23900</v>
      </c>
      <c r="C924" s="188">
        <v>4.2300000000000004</v>
      </c>
      <c r="D924" s="104">
        <f t="shared" si="13"/>
        <v>4.2300000000000004E-2</v>
      </c>
      <c r="F924" s="5"/>
    </row>
    <row r="925" spans="2:6" ht="13.8" hidden="1" outlineLevel="1">
      <c r="B925" s="187">
        <v>23901</v>
      </c>
      <c r="C925" s="188">
        <v>4.2300000000000004</v>
      </c>
      <c r="D925" s="104">
        <f t="shared" si="13"/>
        <v>4.2300000000000004E-2</v>
      </c>
      <c r="F925" s="5"/>
    </row>
    <row r="926" spans="2:6" ht="13.8" hidden="1" outlineLevel="1">
      <c r="B926" s="187">
        <v>23902</v>
      </c>
      <c r="C926" s="188">
        <v>4.2300000000000004</v>
      </c>
      <c r="D926" s="104">
        <f t="shared" ref="D926:D989" si="14">IF( LEN( C926 ) = 0, #N/A, IF( C926 = "ND", D925, C926 / 100 ) )</f>
        <v>4.2300000000000004E-2</v>
      </c>
      <c r="F926" s="5"/>
    </row>
    <row r="927" spans="2:6" ht="13.8" hidden="1" outlineLevel="1">
      <c r="B927" s="187">
        <v>23903</v>
      </c>
      <c r="C927" s="188">
        <v>4.2300000000000004</v>
      </c>
      <c r="D927" s="104">
        <f t="shared" si="14"/>
        <v>4.2300000000000004E-2</v>
      </c>
      <c r="F927" s="5"/>
    </row>
    <row r="928" spans="2:6" ht="13.8" hidden="1" outlineLevel="1">
      <c r="B928" s="187">
        <v>23904</v>
      </c>
      <c r="C928" s="188">
        <v>4.2300000000000004</v>
      </c>
      <c r="D928" s="104">
        <f t="shared" si="14"/>
        <v>4.2300000000000004E-2</v>
      </c>
      <c r="F928" s="5"/>
    </row>
    <row r="929" spans="2:6" ht="13.8" hidden="1" outlineLevel="1">
      <c r="B929" s="187">
        <v>23907</v>
      </c>
      <c r="C929" s="188">
        <v>4.21</v>
      </c>
      <c r="D929" s="104">
        <f t="shared" si="14"/>
        <v>4.2099999999999999E-2</v>
      </c>
      <c r="F929" s="5"/>
    </row>
    <row r="930" spans="2:6" ht="13.8" hidden="1" outlineLevel="1">
      <c r="B930" s="187">
        <v>23908</v>
      </c>
      <c r="C930" s="188">
        <v>4.21</v>
      </c>
      <c r="D930" s="104">
        <f t="shared" si="14"/>
        <v>4.2099999999999999E-2</v>
      </c>
      <c r="F930" s="5"/>
    </row>
    <row r="931" spans="2:6" ht="13.8" hidden="1" outlineLevel="1">
      <c r="B931" s="187">
        <v>23909</v>
      </c>
      <c r="C931" s="188">
        <v>4.21</v>
      </c>
      <c r="D931" s="104">
        <f t="shared" si="14"/>
        <v>4.2099999999999999E-2</v>
      </c>
      <c r="F931" s="5"/>
    </row>
    <row r="932" spans="2:6" ht="13.8" hidden="1" outlineLevel="1">
      <c r="B932" s="187">
        <v>23910</v>
      </c>
      <c r="C932" s="188">
        <v>4.21</v>
      </c>
      <c r="D932" s="104">
        <f t="shared" si="14"/>
        <v>4.2099999999999999E-2</v>
      </c>
      <c r="F932" s="5"/>
    </row>
    <row r="933" spans="2:6" ht="13.8" hidden="1" outlineLevel="1">
      <c r="B933" s="187">
        <v>23911</v>
      </c>
      <c r="C933" s="188">
        <v>4.21</v>
      </c>
      <c r="D933" s="104">
        <f t="shared" si="14"/>
        <v>4.2099999999999999E-2</v>
      </c>
      <c r="F933" s="5"/>
    </row>
    <row r="934" spans="2:6" ht="13.8" hidden="1" outlineLevel="1">
      <c r="B934" s="187">
        <v>23914</v>
      </c>
      <c r="C934" s="188">
        <v>4.2</v>
      </c>
      <c r="D934" s="104">
        <f t="shared" si="14"/>
        <v>4.2000000000000003E-2</v>
      </c>
      <c r="F934" s="5"/>
    </row>
    <row r="935" spans="2:6" ht="13.8" hidden="1" outlineLevel="1">
      <c r="B935" s="187">
        <v>23915</v>
      </c>
      <c r="C935" s="188">
        <v>4.2</v>
      </c>
      <c r="D935" s="104">
        <f t="shared" si="14"/>
        <v>4.2000000000000003E-2</v>
      </c>
      <c r="F935" s="5"/>
    </row>
    <row r="936" spans="2:6" ht="13.8" hidden="1" outlineLevel="1">
      <c r="B936" s="187">
        <v>23916</v>
      </c>
      <c r="C936" s="188">
        <v>4.2</v>
      </c>
      <c r="D936" s="104">
        <f t="shared" si="14"/>
        <v>4.2000000000000003E-2</v>
      </c>
      <c r="F936" s="5"/>
    </row>
    <row r="937" spans="2:6" ht="13.8" hidden="1" outlineLevel="1">
      <c r="B937" s="187">
        <v>23917</v>
      </c>
      <c r="C937" s="188">
        <v>4.1900000000000004</v>
      </c>
      <c r="D937" s="104">
        <f t="shared" si="14"/>
        <v>4.1900000000000007E-2</v>
      </c>
      <c r="F937" s="5"/>
    </row>
    <row r="938" spans="2:6" ht="13.8" hidden="1" outlineLevel="1">
      <c r="B938" s="187">
        <v>23918</v>
      </c>
      <c r="C938" s="188">
        <v>4.1900000000000004</v>
      </c>
      <c r="D938" s="104">
        <f t="shared" si="14"/>
        <v>4.1900000000000007E-2</v>
      </c>
      <c r="F938" s="5"/>
    </row>
    <row r="939" spans="2:6" ht="13.8" hidden="1" outlineLevel="1">
      <c r="B939" s="187">
        <v>23921</v>
      </c>
      <c r="C939" s="188">
        <v>4.1900000000000004</v>
      </c>
      <c r="D939" s="104">
        <f t="shared" si="14"/>
        <v>4.1900000000000007E-2</v>
      </c>
      <c r="F939" s="5"/>
    </row>
    <row r="940" spans="2:6" ht="13.8" hidden="1" outlineLevel="1">
      <c r="B940" s="187">
        <v>23922</v>
      </c>
      <c r="C940" s="188">
        <v>4.2</v>
      </c>
      <c r="D940" s="104">
        <f t="shared" si="14"/>
        <v>4.2000000000000003E-2</v>
      </c>
      <c r="F940" s="5"/>
    </row>
    <row r="941" spans="2:6" ht="13.8" hidden="1" outlineLevel="1">
      <c r="B941" s="187">
        <v>23923</v>
      </c>
      <c r="C941" s="188">
        <v>4.2</v>
      </c>
      <c r="D941" s="104">
        <f t="shared" si="14"/>
        <v>4.2000000000000003E-2</v>
      </c>
      <c r="F941" s="5"/>
    </row>
    <row r="942" spans="2:6" ht="13.8" hidden="1" outlineLevel="1">
      <c r="B942" s="187">
        <v>23924</v>
      </c>
      <c r="C942" s="188">
        <v>4.2</v>
      </c>
      <c r="D942" s="104">
        <f t="shared" si="14"/>
        <v>4.2000000000000003E-2</v>
      </c>
      <c r="F942" s="5"/>
    </row>
    <row r="943" spans="2:6" ht="13.8" hidden="1" outlineLevel="1">
      <c r="B943" s="187">
        <v>23925</v>
      </c>
      <c r="C943" s="188">
        <v>4.21</v>
      </c>
      <c r="D943" s="104">
        <f t="shared" si="14"/>
        <v>4.2099999999999999E-2</v>
      </c>
      <c r="F943" s="5"/>
    </row>
    <row r="944" spans="2:6" ht="13.8" hidden="1" outlineLevel="1">
      <c r="B944" s="187">
        <v>23928</v>
      </c>
      <c r="C944" s="188" t="s">
        <v>380</v>
      </c>
      <c r="D944" s="104">
        <f t="shared" si="14"/>
        <v>4.2099999999999999E-2</v>
      </c>
      <c r="F944" s="5"/>
    </row>
    <row r="945" spans="2:6" ht="13.8" hidden="1" outlineLevel="1">
      <c r="B945" s="187">
        <v>23929</v>
      </c>
      <c r="C945" s="188">
        <v>4.21</v>
      </c>
      <c r="D945" s="104">
        <f t="shared" si="14"/>
        <v>4.2099999999999999E-2</v>
      </c>
      <c r="F945" s="5"/>
    </row>
    <row r="946" spans="2:6" ht="13.8" hidden="1" outlineLevel="1">
      <c r="B946" s="187">
        <v>23930</v>
      </c>
      <c r="C946" s="188">
        <v>4.21</v>
      </c>
      <c r="D946" s="104">
        <f t="shared" si="14"/>
        <v>4.2099999999999999E-2</v>
      </c>
      <c r="F946" s="5"/>
    </row>
    <row r="947" spans="2:6" ht="13.8" hidden="1" outlineLevel="1">
      <c r="B947" s="187">
        <v>23931</v>
      </c>
      <c r="C947" s="188">
        <v>4.2</v>
      </c>
      <c r="D947" s="104">
        <f t="shared" si="14"/>
        <v>4.2000000000000003E-2</v>
      </c>
      <c r="F947" s="5"/>
    </row>
    <row r="948" spans="2:6" ht="13.8" hidden="1" outlineLevel="1">
      <c r="B948" s="187">
        <v>23932</v>
      </c>
      <c r="C948" s="188">
        <v>4.21</v>
      </c>
      <c r="D948" s="104">
        <f t="shared" si="14"/>
        <v>4.2099999999999999E-2</v>
      </c>
      <c r="F948" s="5"/>
    </row>
    <row r="949" spans="2:6" ht="13.8" hidden="1" outlineLevel="1">
      <c r="B949" s="187">
        <v>23935</v>
      </c>
      <c r="C949" s="188">
        <v>4.21</v>
      </c>
      <c r="D949" s="104">
        <f t="shared" si="14"/>
        <v>4.2099999999999999E-2</v>
      </c>
      <c r="F949" s="5"/>
    </row>
    <row r="950" spans="2:6" ht="13.8" hidden="1" outlineLevel="1">
      <c r="B950" s="187">
        <v>23936</v>
      </c>
      <c r="C950" s="188">
        <v>4.21</v>
      </c>
      <c r="D950" s="104">
        <f t="shared" si="14"/>
        <v>4.2099999999999999E-2</v>
      </c>
      <c r="F950" s="5"/>
    </row>
    <row r="951" spans="2:6" ht="13.8" hidden="1" outlineLevel="1">
      <c r="B951" s="187">
        <v>23937</v>
      </c>
      <c r="C951" s="188">
        <v>4.21</v>
      </c>
      <c r="D951" s="104">
        <f t="shared" si="14"/>
        <v>4.2099999999999999E-2</v>
      </c>
      <c r="F951" s="5"/>
    </row>
    <row r="952" spans="2:6" ht="13.8" hidden="1" outlineLevel="1">
      <c r="B952" s="187">
        <v>23938</v>
      </c>
      <c r="C952" s="188">
        <v>4.2</v>
      </c>
      <c r="D952" s="104">
        <f t="shared" si="14"/>
        <v>4.2000000000000003E-2</v>
      </c>
      <c r="F952" s="5"/>
    </row>
    <row r="953" spans="2:6" ht="13.8" hidden="1" outlineLevel="1">
      <c r="B953" s="187">
        <v>23939</v>
      </c>
      <c r="C953" s="188">
        <v>4.2</v>
      </c>
      <c r="D953" s="104">
        <f t="shared" si="14"/>
        <v>4.2000000000000003E-2</v>
      </c>
      <c r="F953" s="5"/>
    </row>
    <row r="954" spans="2:6" ht="13.8" hidden="1" outlineLevel="1">
      <c r="B954" s="187">
        <v>23942</v>
      </c>
      <c r="C954" s="188">
        <v>4.2</v>
      </c>
      <c r="D954" s="104">
        <f t="shared" si="14"/>
        <v>4.2000000000000003E-2</v>
      </c>
      <c r="F954" s="5"/>
    </row>
    <row r="955" spans="2:6" ht="13.8" hidden="1" outlineLevel="1">
      <c r="B955" s="187">
        <v>23943</v>
      </c>
      <c r="C955" s="188">
        <v>4.2</v>
      </c>
      <c r="D955" s="104">
        <f t="shared" si="14"/>
        <v>4.2000000000000003E-2</v>
      </c>
      <c r="F955" s="5"/>
    </row>
    <row r="956" spans="2:6" ht="13.8" hidden="1" outlineLevel="1">
      <c r="B956" s="187">
        <v>23944</v>
      </c>
      <c r="C956" s="188">
        <v>4.2</v>
      </c>
      <c r="D956" s="104">
        <f t="shared" si="14"/>
        <v>4.2000000000000003E-2</v>
      </c>
      <c r="F956" s="5"/>
    </row>
    <row r="957" spans="2:6" ht="13.8" hidden="1" outlineLevel="1">
      <c r="B957" s="187">
        <v>23945</v>
      </c>
      <c r="C957" s="188">
        <v>4.2</v>
      </c>
      <c r="D957" s="104">
        <f t="shared" si="14"/>
        <v>4.2000000000000003E-2</v>
      </c>
      <c r="F957" s="5"/>
    </row>
    <row r="958" spans="2:6" ht="13.8" hidden="1" outlineLevel="1">
      <c r="B958" s="187">
        <v>23946</v>
      </c>
      <c r="C958" s="188">
        <v>4.2</v>
      </c>
      <c r="D958" s="104">
        <f t="shared" si="14"/>
        <v>4.2000000000000003E-2</v>
      </c>
      <c r="F958" s="5"/>
    </row>
    <row r="959" spans="2:6" ht="13.8" hidden="1" outlineLevel="1">
      <c r="B959" s="187">
        <v>23949</v>
      </c>
      <c r="C959" s="188">
        <v>4.2</v>
      </c>
      <c r="D959" s="104">
        <f t="shared" si="14"/>
        <v>4.2000000000000003E-2</v>
      </c>
      <c r="F959" s="5"/>
    </row>
    <row r="960" spans="2:6" ht="13.8" hidden="1" outlineLevel="1">
      <c r="B960" s="187">
        <v>23950</v>
      </c>
      <c r="C960" s="188">
        <v>4.2</v>
      </c>
      <c r="D960" s="104">
        <f t="shared" si="14"/>
        <v>4.2000000000000003E-2</v>
      </c>
      <c r="F960" s="5"/>
    </row>
    <row r="961" spans="2:6" ht="13.8" hidden="1" outlineLevel="1">
      <c r="B961" s="187">
        <v>23951</v>
      </c>
      <c r="C961" s="188">
        <v>4.2</v>
      </c>
      <c r="D961" s="104">
        <f t="shared" si="14"/>
        <v>4.2000000000000003E-2</v>
      </c>
      <c r="F961" s="5"/>
    </row>
    <row r="962" spans="2:6" ht="13.8" hidden="1" outlineLevel="1">
      <c r="B962" s="187">
        <v>23952</v>
      </c>
      <c r="C962" s="188">
        <v>4.21</v>
      </c>
      <c r="D962" s="104">
        <f t="shared" si="14"/>
        <v>4.2099999999999999E-2</v>
      </c>
      <c r="F962" s="5"/>
    </row>
    <row r="963" spans="2:6" ht="13.8" hidden="1" outlineLevel="1">
      <c r="B963" s="187">
        <v>23953</v>
      </c>
      <c r="C963" s="188">
        <v>4.22</v>
      </c>
      <c r="D963" s="104">
        <f t="shared" si="14"/>
        <v>4.2199999999999994E-2</v>
      </c>
      <c r="F963" s="5"/>
    </row>
    <row r="964" spans="2:6" ht="13.8" hidden="1" outlineLevel="1">
      <c r="B964" s="187">
        <v>23956</v>
      </c>
      <c r="C964" s="188">
        <v>4.22</v>
      </c>
      <c r="D964" s="104">
        <f t="shared" si="14"/>
        <v>4.2199999999999994E-2</v>
      </c>
      <c r="F964" s="5"/>
    </row>
    <row r="965" spans="2:6" ht="13.8" hidden="1" outlineLevel="1">
      <c r="B965" s="187">
        <v>23957</v>
      </c>
      <c r="C965" s="188">
        <v>4.22</v>
      </c>
      <c r="D965" s="104">
        <f t="shared" si="14"/>
        <v>4.2199999999999994E-2</v>
      </c>
      <c r="F965" s="5"/>
    </row>
    <row r="966" spans="2:6" ht="13.8" hidden="1" outlineLevel="1">
      <c r="B966" s="187">
        <v>23958</v>
      </c>
      <c r="C966" s="188">
        <v>4.2300000000000004</v>
      </c>
      <c r="D966" s="104">
        <f t="shared" si="14"/>
        <v>4.2300000000000004E-2</v>
      </c>
      <c r="F966" s="5"/>
    </row>
    <row r="967" spans="2:6" ht="13.8" hidden="1" outlineLevel="1">
      <c r="B967" s="187">
        <v>23959</v>
      </c>
      <c r="C967" s="188">
        <v>4.2300000000000004</v>
      </c>
      <c r="D967" s="104">
        <f t="shared" si="14"/>
        <v>4.2300000000000004E-2</v>
      </c>
      <c r="F967" s="5"/>
    </row>
    <row r="968" spans="2:6" ht="13.8" hidden="1" outlineLevel="1">
      <c r="B968" s="187">
        <v>23960</v>
      </c>
      <c r="C968" s="188">
        <v>4.24</v>
      </c>
      <c r="D968" s="104">
        <f t="shared" si="14"/>
        <v>4.24E-2</v>
      </c>
      <c r="F968" s="5"/>
    </row>
    <row r="969" spans="2:6" ht="13.8" hidden="1" outlineLevel="1">
      <c r="B969" s="187">
        <v>23963</v>
      </c>
      <c r="C969" s="188">
        <v>4.24</v>
      </c>
      <c r="D969" s="104">
        <f t="shared" si="14"/>
        <v>4.24E-2</v>
      </c>
      <c r="F969" s="5"/>
    </row>
    <row r="970" spans="2:6" ht="13.8" hidden="1" outlineLevel="1">
      <c r="B970" s="187">
        <v>23964</v>
      </c>
      <c r="C970" s="188">
        <v>4.24</v>
      </c>
      <c r="D970" s="104">
        <f t="shared" si="14"/>
        <v>4.24E-2</v>
      </c>
      <c r="F970" s="5"/>
    </row>
    <row r="971" spans="2:6" ht="13.8" hidden="1" outlineLevel="1">
      <c r="B971" s="187">
        <v>23965</v>
      </c>
      <c r="C971" s="188">
        <v>4.25</v>
      </c>
      <c r="D971" s="104">
        <f t="shared" si="14"/>
        <v>4.2500000000000003E-2</v>
      </c>
      <c r="F971" s="5"/>
    </row>
    <row r="972" spans="2:6" ht="13.8" hidden="1" outlineLevel="1">
      <c r="B972" s="187">
        <v>23966</v>
      </c>
      <c r="C972" s="188">
        <v>4.25</v>
      </c>
      <c r="D972" s="104">
        <f t="shared" si="14"/>
        <v>4.2500000000000003E-2</v>
      </c>
      <c r="F972" s="5"/>
    </row>
    <row r="973" spans="2:6" ht="13.8" hidden="1" outlineLevel="1">
      <c r="B973" s="187">
        <v>23967</v>
      </c>
      <c r="C973" s="188">
        <v>4.25</v>
      </c>
      <c r="D973" s="104">
        <f t="shared" si="14"/>
        <v>4.2500000000000003E-2</v>
      </c>
      <c r="F973" s="5"/>
    </row>
    <row r="974" spans="2:6" ht="13.8" hidden="1" outlineLevel="1">
      <c r="B974" s="187">
        <v>23970</v>
      </c>
      <c r="C974" s="188">
        <v>4.26</v>
      </c>
      <c r="D974" s="104">
        <f t="shared" si="14"/>
        <v>4.2599999999999999E-2</v>
      </c>
      <c r="F974" s="5"/>
    </row>
    <row r="975" spans="2:6" ht="13.8" hidden="1" outlineLevel="1">
      <c r="B975" s="187">
        <v>23971</v>
      </c>
      <c r="C975" s="188">
        <v>4.2699999999999996</v>
      </c>
      <c r="D975" s="104">
        <f t="shared" si="14"/>
        <v>4.2699999999999995E-2</v>
      </c>
      <c r="F975" s="5"/>
    </row>
    <row r="976" spans="2:6" ht="13.8" hidden="1" outlineLevel="1">
      <c r="B976" s="187">
        <v>23972</v>
      </c>
      <c r="C976" s="188">
        <v>4.26</v>
      </c>
      <c r="D976" s="104">
        <f t="shared" si="14"/>
        <v>4.2599999999999999E-2</v>
      </c>
      <c r="F976" s="5"/>
    </row>
    <row r="977" spans="2:6" ht="13.8" hidden="1" outlineLevel="1">
      <c r="B977" s="187">
        <v>23973</v>
      </c>
      <c r="C977" s="188">
        <v>4.26</v>
      </c>
      <c r="D977" s="104">
        <f t="shared" si="14"/>
        <v>4.2599999999999999E-2</v>
      </c>
      <c r="F977" s="5"/>
    </row>
    <row r="978" spans="2:6" ht="13.8" hidden="1" outlineLevel="1">
      <c r="B978" s="187">
        <v>23974</v>
      </c>
      <c r="C978" s="188">
        <v>4.26</v>
      </c>
      <c r="D978" s="104">
        <f t="shared" si="14"/>
        <v>4.2599999999999999E-2</v>
      </c>
      <c r="F978" s="5"/>
    </row>
    <row r="979" spans="2:6" ht="13.8" hidden="1" outlineLevel="1">
      <c r="B979" s="187">
        <v>23977</v>
      </c>
      <c r="C979" s="188">
        <v>4.26</v>
      </c>
      <c r="D979" s="104">
        <f t="shared" si="14"/>
        <v>4.2599999999999999E-2</v>
      </c>
      <c r="F979" s="5"/>
    </row>
    <row r="980" spans="2:6" ht="13.8" hidden="1" outlineLevel="1">
      <c r="B980" s="187">
        <v>23978</v>
      </c>
      <c r="C980" s="188">
        <v>4.2699999999999996</v>
      </c>
      <c r="D980" s="104">
        <f t="shared" si="14"/>
        <v>4.2699999999999995E-2</v>
      </c>
      <c r="F980" s="5"/>
    </row>
    <row r="981" spans="2:6" ht="13.8" hidden="1" outlineLevel="1">
      <c r="B981" s="187">
        <v>23979</v>
      </c>
      <c r="C981" s="188">
        <v>4.26</v>
      </c>
      <c r="D981" s="104">
        <f t="shared" si="14"/>
        <v>4.2599999999999999E-2</v>
      </c>
      <c r="F981" s="5"/>
    </row>
    <row r="982" spans="2:6" ht="13.8" hidden="1" outlineLevel="1">
      <c r="B982" s="187">
        <v>23980</v>
      </c>
      <c r="C982" s="188">
        <v>4.2699999999999996</v>
      </c>
      <c r="D982" s="104">
        <f t="shared" si="14"/>
        <v>4.2699999999999995E-2</v>
      </c>
      <c r="F982" s="5"/>
    </row>
    <row r="983" spans="2:6" ht="13.8" hidden="1" outlineLevel="1">
      <c r="B983" s="187">
        <v>23981</v>
      </c>
      <c r="C983" s="188">
        <v>4.2699999999999996</v>
      </c>
      <c r="D983" s="104">
        <f t="shared" si="14"/>
        <v>4.2699999999999995E-2</v>
      </c>
      <c r="F983" s="5"/>
    </row>
    <row r="984" spans="2:6" ht="13.8" hidden="1" outlineLevel="1">
      <c r="B984" s="187">
        <v>23984</v>
      </c>
      <c r="C984" s="188">
        <v>4.2699999999999996</v>
      </c>
      <c r="D984" s="104">
        <f t="shared" si="14"/>
        <v>4.2699999999999995E-2</v>
      </c>
      <c r="F984" s="5"/>
    </row>
    <row r="985" spans="2:6" ht="13.8" hidden="1" outlineLevel="1">
      <c r="B985" s="187">
        <v>23985</v>
      </c>
      <c r="C985" s="188">
        <v>4.2699999999999996</v>
      </c>
      <c r="D985" s="104">
        <f t="shared" si="14"/>
        <v>4.2699999999999995E-2</v>
      </c>
      <c r="F985" s="5"/>
    </row>
    <row r="986" spans="2:6" ht="13.8" hidden="1" outlineLevel="1">
      <c r="B986" s="187">
        <v>23986</v>
      </c>
      <c r="C986" s="188">
        <v>4.28</v>
      </c>
      <c r="D986" s="104">
        <f t="shared" si="14"/>
        <v>4.2800000000000005E-2</v>
      </c>
      <c r="F986" s="5"/>
    </row>
    <row r="987" spans="2:6" ht="13.8" hidden="1" outlineLevel="1">
      <c r="B987" s="187">
        <v>23987</v>
      </c>
      <c r="C987" s="188">
        <v>4.28</v>
      </c>
      <c r="D987" s="104">
        <f t="shared" si="14"/>
        <v>4.2800000000000005E-2</v>
      </c>
      <c r="F987" s="5"/>
    </row>
    <row r="988" spans="2:6" ht="13.8" hidden="1" outlineLevel="1">
      <c r="B988" s="187">
        <v>23988</v>
      </c>
      <c r="C988" s="188">
        <v>4.2699999999999996</v>
      </c>
      <c r="D988" s="104">
        <f t="shared" si="14"/>
        <v>4.2699999999999995E-2</v>
      </c>
      <c r="F988" s="5"/>
    </row>
    <row r="989" spans="2:6" ht="13.8" hidden="1" outlineLevel="1">
      <c r="B989" s="187">
        <v>23991</v>
      </c>
      <c r="C989" s="188" t="s">
        <v>380</v>
      </c>
      <c r="D989" s="104">
        <f t="shared" si="14"/>
        <v>4.2699999999999995E-2</v>
      </c>
      <c r="F989" s="5"/>
    </row>
    <row r="990" spans="2:6" ht="13.8" hidden="1" outlineLevel="1">
      <c r="B990" s="187">
        <v>23992</v>
      </c>
      <c r="C990" s="188">
        <v>4.2699999999999996</v>
      </c>
      <c r="D990" s="104">
        <f t="shared" ref="D990:D1053" si="15">IF( LEN( C990 ) = 0, #N/A, IF( C990 = "ND", D989, C990 / 100 ) )</f>
        <v>4.2699999999999995E-2</v>
      </c>
      <c r="F990" s="5"/>
    </row>
    <row r="991" spans="2:6" ht="13.8" hidden="1" outlineLevel="1">
      <c r="B991" s="187">
        <v>23993</v>
      </c>
      <c r="C991" s="188">
        <v>4.2699999999999996</v>
      </c>
      <c r="D991" s="104">
        <f t="shared" si="15"/>
        <v>4.2699999999999995E-2</v>
      </c>
      <c r="F991" s="5"/>
    </row>
    <row r="992" spans="2:6" ht="13.8" hidden="1" outlineLevel="1">
      <c r="B992" s="187">
        <v>23994</v>
      </c>
      <c r="C992" s="188">
        <v>4.2699999999999996</v>
      </c>
      <c r="D992" s="104">
        <f t="shared" si="15"/>
        <v>4.2699999999999995E-2</v>
      </c>
      <c r="F992" s="5"/>
    </row>
    <row r="993" spans="2:6" ht="13.8" hidden="1" outlineLevel="1">
      <c r="B993" s="187">
        <v>23995</v>
      </c>
      <c r="C993" s="188">
        <v>4.28</v>
      </c>
      <c r="D993" s="104">
        <f t="shared" si="15"/>
        <v>4.2800000000000005E-2</v>
      </c>
      <c r="F993" s="5"/>
    </row>
    <row r="994" spans="2:6" ht="13.8" hidden="1" outlineLevel="1">
      <c r="B994" s="187">
        <v>23998</v>
      </c>
      <c r="C994" s="188">
        <v>4.28</v>
      </c>
      <c r="D994" s="104">
        <f t="shared" si="15"/>
        <v>4.2800000000000005E-2</v>
      </c>
      <c r="F994" s="5"/>
    </row>
    <row r="995" spans="2:6" ht="13.8" hidden="1" outlineLevel="1">
      <c r="B995" s="187">
        <v>23999</v>
      </c>
      <c r="C995" s="188">
        <v>4.28</v>
      </c>
      <c r="D995" s="104">
        <f t="shared" si="15"/>
        <v>4.2800000000000005E-2</v>
      </c>
      <c r="F995" s="5"/>
    </row>
    <row r="996" spans="2:6" ht="13.8" hidden="1" outlineLevel="1">
      <c r="B996" s="187">
        <v>24000</v>
      </c>
      <c r="C996" s="188">
        <v>4.28</v>
      </c>
      <c r="D996" s="104">
        <f t="shared" si="15"/>
        <v>4.2800000000000005E-2</v>
      </c>
      <c r="F996" s="5"/>
    </row>
    <row r="997" spans="2:6" ht="13.8" hidden="1" outlineLevel="1">
      <c r="B997" s="187">
        <v>24001</v>
      </c>
      <c r="C997" s="188">
        <v>4.2699999999999996</v>
      </c>
      <c r="D997" s="104">
        <f t="shared" si="15"/>
        <v>4.2699999999999995E-2</v>
      </c>
      <c r="F997" s="5"/>
    </row>
    <row r="998" spans="2:6" ht="13.8" hidden="1" outlineLevel="1">
      <c r="B998" s="187">
        <v>24002</v>
      </c>
      <c r="C998" s="188">
        <v>4.2699999999999996</v>
      </c>
      <c r="D998" s="104">
        <f t="shared" si="15"/>
        <v>4.2699999999999995E-2</v>
      </c>
      <c r="F998" s="5"/>
    </row>
    <row r="999" spans="2:6" ht="13.8" hidden="1" outlineLevel="1">
      <c r="B999" s="187">
        <v>24005</v>
      </c>
      <c r="C999" s="188">
        <v>4.2699999999999996</v>
      </c>
      <c r="D999" s="104">
        <f t="shared" si="15"/>
        <v>4.2699999999999995E-2</v>
      </c>
      <c r="F999" s="5"/>
    </row>
    <row r="1000" spans="2:6" ht="13.8" hidden="1" outlineLevel="1">
      <c r="B1000" s="187">
        <v>24006</v>
      </c>
      <c r="C1000" s="188">
        <v>4.28</v>
      </c>
      <c r="D1000" s="104">
        <f t="shared" si="15"/>
        <v>4.2800000000000005E-2</v>
      </c>
      <c r="F1000" s="5"/>
    </row>
    <row r="1001" spans="2:6" ht="13.8" hidden="1" outlineLevel="1">
      <c r="B1001" s="187">
        <v>24007</v>
      </c>
      <c r="C1001" s="188">
        <v>4.29</v>
      </c>
      <c r="D1001" s="104">
        <f t="shared" si="15"/>
        <v>4.2900000000000001E-2</v>
      </c>
      <c r="F1001" s="5"/>
    </row>
    <row r="1002" spans="2:6" ht="13.8" hidden="1" outlineLevel="1">
      <c r="B1002" s="187">
        <v>24008</v>
      </c>
      <c r="C1002" s="188">
        <v>4.3</v>
      </c>
      <c r="D1002" s="104">
        <f t="shared" si="15"/>
        <v>4.2999999999999997E-2</v>
      </c>
      <c r="F1002" s="5"/>
    </row>
    <row r="1003" spans="2:6" ht="13.8" hidden="1" outlineLevel="1">
      <c r="B1003" s="187">
        <v>24009</v>
      </c>
      <c r="C1003" s="188">
        <v>4.3099999999999996</v>
      </c>
      <c r="D1003" s="104">
        <f t="shared" si="15"/>
        <v>4.3099999999999999E-2</v>
      </c>
      <c r="F1003" s="5"/>
    </row>
    <row r="1004" spans="2:6" ht="13.8" hidden="1" outlineLevel="1">
      <c r="B1004" s="187">
        <v>24012</v>
      </c>
      <c r="C1004" s="188">
        <v>4.3099999999999996</v>
      </c>
      <c r="D1004" s="104">
        <f t="shared" si="15"/>
        <v>4.3099999999999999E-2</v>
      </c>
      <c r="F1004" s="5"/>
    </row>
    <row r="1005" spans="2:6" ht="13.8" hidden="1" outlineLevel="1">
      <c r="B1005" s="187">
        <v>24013</v>
      </c>
      <c r="C1005" s="188">
        <v>4.33</v>
      </c>
      <c r="D1005" s="104">
        <f t="shared" si="15"/>
        <v>4.3299999999999998E-2</v>
      </c>
      <c r="F1005" s="5"/>
    </row>
    <row r="1006" spans="2:6" ht="13.8" hidden="1" outlineLevel="1">
      <c r="B1006" s="187">
        <v>24014</v>
      </c>
      <c r="C1006" s="188">
        <v>4.3600000000000003</v>
      </c>
      <c r="D1006" s="104">
        <f t="shared" si="15"/>
        <v>4.36E-2</v>
      </c>
      <c r="F1006" s="5"/>
    </row>
    <row r="1007" spans="2:6" ht="13.8" hidden="1" outlineLevel="1">
      <c r="B1007" s="187">
        <v>24015</v>
      </c>
      <c r="C1007" s="188">
        <v>4.3499999999999996</v>
      </c>
      <c r="D1007" s="104">
        <f t="shared" si="15"/>
        <v>4.3499999999999997E-2</v>
      </c>
      <c r="F1007" s="5"/>
    </row>
    <row r="1008" spans="2:6" ht="13.8" hidden="1" outlineLevel="1">
      <c r="B1008" s="187">
        <v>24016</v>
      </c>
      <c r="C1008" s="188">
        <v>4.3600000000000003</v>
      </c>
      <c r="D1008" s="104">
        <f t="shared" si="15"/>
        <v>4.36E-2</v>
      </c>
      <c r="F1008" s="5"/>
    </row>
    <row r="1009" spans="2:6" ht="13.8" hidden="1" outlineLevel="1">
      <c r="B1009" s="187">
        <v>24019</v>
      </c>
      <c r="C1009" s="188">
        <v>4.3499999999999996</v>
      </c>
      <c r="D1009" s="104">
        <f t="shared" si="15"/>
        <v>4.3499999999999997E-2</v>
      </c>
      <c r="F1009" s="5"/>
    </row>
    <row r="1010" spans="2:6" ht="13.8" hidden="1" outlineLevel="1">
      <c r="B1010" s="187">
        <v>24020</v>
      </c>
      <c r="C1010" s="188">
        <v>4.33</v>
      </c>
      <c r="D1010" s="104">
        <f t="shared" si="15"/>
        <v>4.3299999999999998E-2</v>
      </c>
      <c r="F1010" s="5"/>
    </row>
    <row r="1011" spans="2:6" ht="13.8" hidden="1" outlineLevel="1">
      <c r="B1011" s="187">
        <v>24021</v>
      </c>
      <c r="C1011" s="188">
        <v>4.32</v>
      </c>
      <c r="D1011" s="104">
        <f t="shared" si="15"/>
        <v>4.3200000000000002E-2</v>
      </c>
      <c r="F1011" s="5"/>
    </row>
    <row r="1012" spans="2:6" ht="13.8" hidden="1" outlineLevel="1">
      <c r="B1012" s="187">
        <v>24022</v>
      </c>
      <c r="C1012" s="188">
        <v>4.3099999999999996</v>
      </c>
      <c r="D1012" s="104">
        <f t="shared" si="15"/>
        <v>4.3099999999999999E-2</v>
      </c>
      <c r="F1012" s="5"/>
    </row>
    <row r="1013" spans="2:6" ht="13.8" hidden="1" outlineLevel="1">
      <c r="B1013" s="187">
        <v>24023</v>
      </c>
      <c r="C1013" s="188">
        <v>4.32</v>
      </c>
      <c r="D1013" s="104">
        <f t="shared" si="15"/>
        <v>4.3200000000000002E-2</v>
      </c>
      <c r="F1013" s="5"/>
    </row>
    <row r="1014" spans="2:6" ht="13.8" hidden="1" outlineLevel="1">
      <c r="B1014" s="187">
        <v>24026</v>
      </c>
      <c r="C1014" s="188">
        <v>4.3099999999999996</v>
      </c>
      <c r="D1014" s="104">
        <f t="shared" si="15"/>
        <v>4.3099999999999999E-2</v>
      </c>
      <c r="F1014" s="5"/>
    </row>
    <row r="1015" spans="2:6" ht="13.8" hidden="1" outlineLevel="1">
      <c r="B1015" s="187">
        <v>24027</v>
      </c>
      <c r="C1015" s="188" t="s">
        <v>380</v>
      </c>
      <c r="D1015" s="104">
        <f t="shared" si="15"/>
        <v>4.3099999999999999E-2</v>
      </c>
      <c r="F1015" s="5"/>
    </row>
    <row r="1016" spans="2:6" ht="13.8" hidden="1" outlineLevel="1">
      <c r="B1016" s="187">
        <v>24028</v>
      </c>
      <c r="C1016" s="188">
        <v>4.3</v>
      </c>
      <c r="D1016" s="104">
        <f t="shared" si="15"/>
        <v>4.2999999999999997E-2</v>
      </c>
      <c r="F1016" s="5"/>
    </row>
    <row r="1017" spans="2:6" ht="13.8" hidden="1" outlineLevel="1">
      <c r="B1017" s="187">
        <v>24029</v>
      </c>
      <c r="C1017" s="188">
        <v>4.3099999999999996</v>
      </c>
      <c r="D1017" s="104">
        <f t="shared" si="15"/>
        <v>4.3099999999999999E-2</v>
      </c>
      <c r="F1017" s="5"/>
    </row>
    <row r="1018" spans="2:6" ht="13.8" hidden="1" outlineLevel="1">
      <c r="B1018" s="187">
        <v>24030</v>
      </c>
      <c r="C1018" s="188">
        <v>4.34</v>
      </c>
      <c r="D1018" s="104">
        <f t="shared" si="15"/>
        <v>4.3400000000000001E-2</v>
      </c>
      <c r="F1018" s="5"/>
    </row>
    <row r="1019" spans="2:6" ht="13.8" hidden="1" outlineLevel="1">
      <c r="B1019" s="187">
        <v>24033</v>
      </c>
      <c r="C1019" s="188">
        <v>4.34</v>
      </c>
      <c r="D1019" s="104">
        <f t="shared" si="15"/>
        <v>4.3400000000000001E-2</v>
      </c>
      <c r="F1019" s="5"/>
    </row>
    <row r="1020" spans="2:6" ht="13.8" hidden="1" outlineLevel="1">
      <c r="B1020" s="187">
        <v>24034</v>
      </c>
      <c r="C1020" s="188">
        <v>4.3499999999999996</v>
      </c>
      <c r="D1020" s="104">
        <f t="shared" si="15"/>
        <v>4.3499999999999997E-2</v>
      </c>
      <c r="F1020" s="5"/>
    </row>
    <row r="1021" spans="2:6" ht="13.8" hidden="1" outlineLevel="1">
      <c r="B1021" s="187">
        <v>24035</v>
      </c>
      <c r="C1021" s="188">
        <v>4.3600000000000003</v>
      </c>
      <c r="D1021" s="104">
        <f t="shared" si="15"/>
        <v>4.36E-2</v>
      </c>
      <c r="F1021" s="5"/>
    </row>
    <row r="1022" spans="2:6" ht="13.8" hidden="1" outlineLevel="1">
      <c r="B1022" s="187">
        <v>24036</v>
      </c>
      <c r="C1022" s="188">
        <v>4.37</v>
      </c>
      <c r="D1022" s="104">
        <f t="shared" si="15"/>
        <v>4.3700000000000003E-2</v>
      </c>
      <c r="F1022" s="5"/>
    </row>
    <row r="1023" spans="2:6" ht="13.8" hidden="1" outlineLevel="1">
      <c r="B1023" s="187">
        <v>24037</v>
      </c>
      <c r="C1023" s="188">
        <v>4.3600000000000003</v>
      </c>
      <c r="D1023" s="104">
        <f t="shared" si="15"/>
        <v>4.36E-2</v>
      </c>
      <c r="F1023" s="5"/>
    </row>
    <row r="1024" spans="2:6" ht="13.8" hidden="1" outlineLevel="1">
      <c r="B1024" s="187">
        <v>24040</v>
      </c>
      <c r="C1024" s="188">
        <v>4.38</v>
      </c>
      <c r="D1024" s="104">
        <f t="shared" si="15"/>
        <v>4.3799999999999999E-2</v>
      </c>
      <c r="F1024" s="5"/>
    </row>
    <row r="1025" spans="2:6" ht="13.8" hidden="1" outlineLevel="1">
      <c r="B1025" s="187">
        <v>24041</v>
      </c>
      <c r="C1025" s="188">
        <v>4.38</v>
      </c>
      <c r="D1025" s="104">
        <f t="shared" si="15"/>
        <v>4.3799999999999999E-2</v>
      </c>
      <c r="F1025" s="5"/>
    </row>
    <row r="1026" spans="2:6" ht="13.8" hidden="1" outlineLevel="1">
      <c r="B1026" s="187">
        <v>24042</v>
      </c>
      <c r="C1026" s="188">
        <v>4.3899999999999997</v>
      </c>
      <c r="D1026" s="104">
        <f t="shared" si="15"/>
        <v>4.3899999999999995E-2</v>
      </c>
      <c r="F1026" s="5"/>
    </row>
    <row r="1027" spans="2:6" ht="13.8" hidden="1" outlineLevel="1">
      <c r="B1027" s="187">
        <v>24043</v>
      </c>
      <c r="C1027" s="188">
        <v>4.4000000000000004</v>
      </c>
      <c r="D1027" s="104">
        <f t="shared" si="15"/>
        <v>4.4000000000000004E-2</v>
      </c>
      <c r="F1027" s="5"/>
    </row>
    <row r="1028" spans="2:6" ht="13.8" hidden="1" outlineLevel="1">
      <c r="B1028" s="187">
        <v>24044</v>
      </c>
      <c r="C1028" s="188">
        <v>4.41</v>
      </c>
      <c r="D1028" s="104">
        <f t="shared" si="15"/>
        <v>4.41E-2</v>
      </c>
      <c r="F1028" s="5"/>
    </row>
    <row r="1029" spans="2:6" ht="13.8" hidden="1" outlineLevel="1">
      <c r="B1029" s="187">
        <v>24047</v>
      </c>
      <c r="C1029" s="188">
        <v>4.43</v>
      </c>
      <c r="D1029" s="104">
        <f t="shared" si="15"/>
        <v>4.4299999999999999E-2</v>
      </c>
      <c r="F1029" s="5"/>
    </row>
    <row r="1030" spans="2:6" ht="13.8" hidden="1" outlineLevel="1">
      <c r="B1030" s="187">
        <v>24048</v>
      </c>
      <c r="C1030" s="188" t="s">
        <v>380</v>
      </c>
      <c r="D1030" s="104">
        <f t="shared" si="15"/>
        <v>4.4299999999999999E-2</v>
      </c>
      <c r="F1030" s="5"/>
    </row>
    <row r="1031" spans="2:6" ht="13.8" hidden="1" outlineLevel="1">
      <c r="B1031" s="187">
        <v>24049</v>
      </c>
      <c r="C1031" s="188">
        <v>4.43</v>
      </c>
      <c r="D1031" s="104">
        <f t="shared" si="15"/>
        <v>4.4299999999999999E-2</v>
      </c>
      <c r="F1031" s="5"/>
    </row>
    <row r="1032" spans="2:6" ht="13.8" hidden="1" outlineLevel="1">
      <c r="B1032" s="187">
        <v>24050</v>
      </c>
      <c r="C1032" s="188">
        <v>4.43</v>
      </c>
      <c r="D1032" s="104">
        <f t="shared" si="15"/>
        <v>4.4299999999999999E-2</v>
      </c>
      <c r="F1032" s="5"/>
    </row>
    <row r="1033" spans="2:6" ht="13.8" hidden="1" outlineLevel="1">
      <c r="B1033" s="187">
        <v>24051</v>
      </c>
      <c r="C1033" s="188">
        <v>4.43</v>
      </c>
      <c r="D1033" s="104">
        <f t="shared" si="15"/>
        <v>4.4299999999999999E-2</v>
      </c>
      <c r="F1033" s="5"/>
    </row>
    <row r="1034" spans="2:6" ht="13.8" hidden="1" outlineLevel="1">
      <c r="B1034" s="187">
        <v>24054</v>
      </c>
      <c r="C1034" s="188">
        <v>4.45</v>
      </c>
      <c r="D1034" s="104">
        <f t="shared" si="15"/>
        <v>4.4500000000000005E-2</v>
      </c>
      <c r="F1034" s="5"/>
    </row>
    <row r="1035" spans="2:6" ht="13.8" hidden="1" outlineLevel="1">
      <c r="B1035" s="187">
        <v>24055</v>
      </c>
      <c r="C1035" s="188">
        <v>4.47</v>
      </c>
      <c r="D1035" s="104">
        <f t="shared" si="15"/>
        <v>4.4699999999999997E-2</v>
      </c>
      <c r="F1035" s="5"/>
    </row>
    <row r="1036" spans="2:6" ht="13.8" hidden="1" outlineLevel="1">
      <c r="B1036" s="187">
        <v>24056</v>
      </c>
      <c r="C1036" s="188">
        <v>4.46</v>
      </c>
      <c r="D1036" s="104">
        <f t="shared" si="15"/>
        <v>4.4600000000000001E-2</v>
      </c>
      <c r="F1036" s="5"/>
    </row>
    <row r="1037" spans="2:6" ht="13.8" hidden="1" outlineLevel="1">
      <c r="B1037" s="187">
        <v>24057</v>
      </c>
      <c r="C1037" s="188" t="s">
        <v>380</v>
      </c>
      <c r="D1037" s="104">
        <f t="shared" si="15"/>
        <v>4.4600000000000001E-2</v>
      </c>
      <c r="F1037" s="5"/>
    </row>
    <row r="1038" spans="2:6" ht="13.8" hidden="1" outlineLevel="1">
      <c r="B1038" s="187">
        <v>24058</v>
      </c>
      <c r="C1038" s="188">
        <v>4.4400000000000004</v>
      </c>
      <c r="D1038" s="104">
        <f t="shared" si="15"/>
        <v>4.4400000000000002E-2</v>
      </c>
      <c r="F1038" s="5"/>
    </row>
    <row r="1039" spans="2:6" ht="13.8" hidden="1" outlineLevel="1">
      <c r="B1039" s="187">
        <v>24061</v>
      </c>
      <c r="C1039" s="188">
        <v>4.45</v>
      </c>
      <c r="D1039" s="104">
        <f t="shared" si="15"/>
        <v>4.4500000000000005E-2</v>
      </c>
      <c r="F1039" s="5"/>
    </row>
    <row r="1040" spans="2:6" ht="13.8" hidden="1" outlineLevel="1">
      <c r="B1040" s="187">
        <v>24062</v>
      </c>
      <c r="C1040" s="188">
        <v>4.4400000000000004</v>
      </c>
      <c r="D1040" s="104">
        <f t="shared" si="15"/>
        <v>4.4400000000000002E-2</v>
      </c>
      <c r="F1040" s="5"/>
    </row>
    <row r="1041" spans="2:6" ht="13.8" hidden="1" outlineLevel="1">
      <c r="B1041" s="187">
        <v>24063</v>
      </c>
      <c r="C1041" s="188">
        <v>4.45</v>
      </c>
      <c r="D1041" s="104">
        <f t="shared" si="15"/>
        <v>4.4500000000000005E-2</v>
      </c>
      <c r="F1041" s="5"/>
    </row>
    <row r="1042" spans="2:6" ht="13.8" hidden="1" outlineLevel="1">
      <c r="B1042" s="187">
        <v>24064</v>
      </c>
      <c r="C1042" s="188">
        <v>4.45</v>
      </c>
      <c r="D1042" s="104">
        <f t="shared" si="15"/>
        <v>4.4500000000000005E-2</v>
      </c>
      <c r="F1042" s="5"/>
    </row>
    <row r="1043" spans="2:6" ht="13.8" hidden="1" outlineLevel="1">
      <c r="B1043" s="187">
        <v>24065</v>
      </c>
      <c r="C1043" s="188">
        <v>4.46</v>
      </c>
      <c r="D1043" s="104">
        <f t="shared" si="15"/>
        <v>4.4600000000000001E-2</v>
      </c>
      <c r="F1043" s="5"/>
    </row>
    <row r="1044" spans="2:6" ht="13.8" hidden="1" outlineLevel="1">
      <c r="B1044" s="187">
        <v>24068</v>
      </c>
      <c r="C1044" s="188">
        <v>4.45</v>
      </c>
      <c r="D1044" s="104">
        <f t="shared" si="15"/>
        <v>4.4500000000000005E-2</v>
      </c>
      <c r="F1044" s="5"/>
    </row>
    <row r="1045" spans="2:6" ht="13.8" hidden="1" outlineLevel="1">
      <c r="B1045" s="187">
        <v>24069</v>
      </c>
      <c r="C1045" s="188">
        <v>4.45</v>
      </c>
      <c r="D1045" s="104">
        <f t="shared" si="15"/>
        <v>4.4500000000000005E-2</v>
      </c>
      <c r="F1045" s="5"/>
    </row>
    <row r="1046" spans="2:6" ht="13.8" hidden="1" outlineLevel="1">
      <c r="B1046" s="187">
        <v>24070</v>
      </c>
      <c r="C1046" s="188">
        <v>4.45</v>
      </c>
      <c r="D1046" s="104">
        <f t="shared" si="15"/>
        <v>4.4500000000000005E-2</v>
      </c>
      <c r="F1046" s="5"/>
    </row>
    <row r="1047" spans="2:6" ht="13.8" hidden="1" outlineLevel="1">
      <c r="B1047" s="187">
        <v>24071</v>
      </c>
      <c r="C1047" s="188" t="s">
        <v>380</v>
      </c>
      <c r="D1047" s="104">
        <f t="shared" si="15"/>
        <v>4.4500000000000005E-2</v>
      </c>
      <c r="F1047" s="5"/>
    </row>
    <row r="1048" spans="2:6" ht="13.8" hidden="1" outlineLevel="1">
      <c r="B1048" s="187">
        <v>24072</v>
      </c>
      <c r="C1048" s="188">
        <v>4.45</v>
      </c>
      <c r="D1048" s="104">
        <f t="shared" si="15"/>
        <v>4.4500000000000005E-2</v>
      </c>
      <c r="F1048" s="5"/>
    </row>
    <row r="1049" spans="2:6" ht="13.8" hidden="1" outlineLevel="1">
      <c r="B1049" s="187">
        <v>24075</v>
      </c>
      <c r="C1049" s="188">
        <v>4.46</v>
      </c>
      <c r="D1049" s="104">
        <f t="shared" si="15"/>
        <v>4.4600000000000001E-2</v>
      </c>
      <c r="F1049" s="5"/>
    </row>
    <row r="1050" spans="2:6" ht="13.8" hidden="1" outlineLevel="1">
      <c r="B1050" s="187">
        <v>24076</v>
      </c>
      <c r="C1050" s="188">
        <v>4.4800000000000004</v>
      </c>
      <c r="D1050" s="104">
        <f t="shared" si="15"/>
        <v>4.4800000000000006E-2</v>
      </c>
      <c r="F1050" s="5"/>
    </row>
    <row r="1051" spans="2:6" ht="13.8" hidden="1" outlineLevel="1">
      <c r="B1051" s="187">
        <v>24077</v>
      </c>
      <c r="C1051" s="188">
        <v>4.5199999999999996</v>
      </c>
      <c r="D1051" s="104">
        <f t="shared" si="15"/>
        <v>4.5199999999999997E-2</v>
      </c>
      <c r="F1051" s="5"/>
    </row>
    <row r="1052" spans="2:6" ht="13.8" hidden="1" outlineLevel="1">
      <c r="B1052" s="187">
        <v>24078</v>
      </c>
      <c r="C1052" s="188">
        <v>4.5199999999999996</v>
      </c>
      <c r="D1052" s="104">
        <f t="shared" si="15"/>
        <v>4.5199999999999997E-2</v>
      </c>
      <c r="F1052" s="5"/>
    </row>
    <row r="1053" spans="2:6" ht="13.8" hidden="1" outlineLevel="1">
      <c r="B1053" s="187">
        <v>24079</v>
      </c>
      <c r="C1053" s="188">
        <v>4.5199999999999996</v>
      </c>
      <c r="D1053" s="104">
        <f t="shared" si="15"/>
        <v>4.5199999999999997E-2</v>
      </c>
      <c r="F1053" s="5"/>
    </row>
    <row r="1054" spans="2:6" ht="13.8" hidden="1" outlineLevel="1">
      <c r="B1054" s="187">
        <v>24082</v>
      </c>
      <c r="C1054" s="188">
        <v>4.6100000000000003</v>
      </c>
      <c r="D1054" s="104">
        <f t="shared" ref="D1054:D1117" si="16">IF( LEN( C1054 ) = 0, #N/A, IF( C1054 = "ND", D1053, C1054 / 100 ) )</f>
        <v>4.6100000000000002E-2</v>
      </c>
      <c r="F1054" s="5"/>
    </row>
    <row r="1055" spans="2:6" ht="13.8" hidden="1" outlineLevel="1">
      <c r="B1055" s="187">
        <v>24083</v>
      </c>
      <c r="C1055" s="188">
        <v>4.59</v>
      </c>
      <c r="D1055" s="104">
        <f t="shared" si="16"/>
        <v>4.5899999999999996E-2</v>
      </c>
      <c r="F1055" s="5"/>
    </row>
    <row r="1056" spans="2:6" ht="13.8" hidden="1" outlineLevel="1">
      <c r="B1056" s="187">
        <v>24084</v>
      </c>
      <c r="C1056" s="188">
        <v>4.5999999999999996</v>
      </c>
      <c r="D1056" s="104">
        <f t="shared" si="16"/>
        <v>4.5999999999999999E-2</v>
      </c>
      <c r="F1056" s="5"/>
    </row>
    <row r="1057" spans="2:6" ht="13.8" hidden="1" outlineLevel="1">
      <c r="B1057" s="187">
        <v>24085</v>
      </c>
      <c r="C1057" s="188">
        <v>4.5999999999999996</v>
      </c>
      <c r="D1057" s="104">
        <f t="shared" si="16"/>
        <v>4.5999999999999999E-2</v>
      </c>
      <c r="F1057" s="5"/>
    </row>
    <row r="1058" spans="2:6" ht="13.8" hidden="1" outlineLevel="1">
      <c r="B1058" s="187">
        <v>24086</v>
      </c>
      <c r="C1058" s="188">
        <v>4.5999999999999996</v>
      </c>
      <c r="D1058" s="104">
        <f t="shared" si="16"/>
        <v>4.5999999999999999E-2</v>
      </c>
      <c r="F1058" s="5"/>
    </row>
    <row r="1059" spans="2:6" ht="13.8" hidden="1" outlineLevel="1">
      <c r="B1059" s="187">
        <v>24089</v>
      </c>
      <c r="C1059" s="188">
        <v>4.6500000000000004</v>
      </c>
      <c r="D1059" s="104">
        <f t="shared" si="16"/>
        <v>4.6500000000000007E-2</v>
      </c>
      <c r="F1059" s="5"/>
    </row>
    <row r="1060" spans="2:6" ht="13.8" hidden="1" outlineLevel="1">
      <c r="B1060" s="187">
        <v>24090</v>
      </c>
      <c r="C1060" s="188">
        <v>4.67</v>
      </c>
      <c r="D1060" s="104">
        <f t="shared" si="16"/>
        <v>4.6699999999999998E-2</v>
      </c>
      <c r="F1060" s="5"/>
    </row>
    <row r="1061" spans="2:6" ht="13.8" hidden="1" outlineLevel="1">
      <c r="B1061" s="187">
        <v>24091</v>
      </c>
      <c r="C1061" s="188">
        <v>4.67</v>
      </c>
      <c r="D1061" s="104">
        <f t="shared" si="16"/>
        <v>4.6699999999999998E-2</v>
      </c>
      <c r="F1061" s="5"/>
    </row>
    <row r="1062" spans="2:6" ht="13.8" hidden="1" outlineLevel="1">
      <c r="B1062" s="187">
        <v>24092</v>
      </c>
      <c r="C1062" s="188">
        <v>4.66</v>
      </c>
      <c r="D1062" s="104">
        <f t="shared" si="16"/>
        <v>4.6600000000000003E-2</v>
      </c>
      <c r="F1062" s="5"/>
    </row>
    <row r="1063" spans="2:6" ht="13.8" hidden="1" outlineLevel="1">
      <c r="B1063" s="187">
        <v>24093</v>
      </c>
      <c r="C1063" s="188">
        <v>4.6500000000000004</v>
      </c>
      <c r="D1063" s="104">
        <f t="shared" si="16"/>
        <v>4.6500000000000007E-2</v>
      </c>
      <c r="F1063" s="5"/>
    </row>
    <row r="1064" spans="2:6" ht="13.8" hidden="1" outlineLevel="1">
      <c r="B1064" s="187">
        <v>24096</v>
      </c>
      <c r="C1064" s="188">
        <v>4.6100000000000003</v>
      </c>
      <c r="D1064" s="104">
        <f t="shared" si="16"/>
        <v>4.6100000000000002E-2</v>
      </c>
      <c r="F1064" s="5"/>
    </row>
    <row r="1065" spans="2:6" ht="13.8" hidden="1" outlineLevel="1">
      <c r="B1065" s="187">
        <v>24097</v>
      </c>
      <c r="C1065" s="188">
        <v>4.6399999999999997</v>
      </c>
      <c r="D1065" s="104">
        <f t="shared" si="16"/>
        <v>4.6399999999999997E-2</v>
      </c>
      <c r="F1065" s="5"/>
    </row>
    <row r="1066" spans="2:6" ht="13.8" hidden="1" outlineLevel="1">
      <c r="B1066" s="187">
        <v>24098</v>
      </c>
      <c r="C1066" s="188">
        <v>4.6500000000000004</v>
      </c>
      <c r="D1066" s="104">
        <f t="shared" si="16"/>
        <v>4.6500000000000007E-2</v>
      </c>
      <c r="F1066" s="5"/>
    </row>
    <row r="1067" spans="2:6" ht="13.8" hidden="1" outlineLevel="1">
      <c r="B1067" s="187">
        <v>24099</v>
      </c>
      <c r="C1067" s="188">
        <v>4.6500000000000004</v>
      </c>
      <c r="D1067" s="104">
        <f t="shared" si="16"/>
        <v>4.6500000000000007E-2</v>
      </c>
      <c r="F1067" s="5"/>
    </row>
    <row r="1068" spans="2:6" ht="13.8" hidden="1" outlineLevel="1">
      <c r="B1068" s="187">
        <v>24100</v>
      </c>
      <c r="C1068" s="188" t="s">
        <v>380</v>
      </c>
      <c r="D1068" s="104">
        <f t="shared" si="16"/>
        <v>4.6500000000000007E-2</v>
      </c>
      <c r="F1068" s="5"/>
    </row>
    <row r="1069" spans="2:6" ht="13.8" hidden="1" outlineLevel="1">
      <c r="B1069" s="187">
        <v>24103</v>
      </c>
      <c r="C1069" s="188">
        <v>4.62</v>
      </c>
      <c r="D1069" s="104">
        <f t="shared" si="16"/>
        <v>4.6199999999999998E-2</v>
      </c>
      <c r="F1069" s="5"/>
    </row>
    <row r="1070" spans="2:6" ht="13.8" hidden="1" outlineLevel="1">
      <c r="B1070" s="187">
        <v>24104</v>
      </c>
      <c r="C1070" s="188">
        <v>4.6100000000000003</v>
      </c>
      <c r="D1070" s="104">
        <f t="shared" si="16"/>
        <v>4.6100000000000002E-2</v>
      </c>
      <c r="F1070" s="5"/>
    </row>
    <row r="1071" spans="2:6" ht="13.8" hidden="1" outlineLevel="1">
      <c r="B1071" s="187">
        <v>24105</v>
      </c>
      <c r="C1071" s="188">
        <v>4.62</v>
      </c>
      <c r="D1071" s="104">
        <f t="shared" si="16"/>
        <v>4.6199999999999998E-2</v>
      </c>
      <c r="F1071" s="5"/>
    </row>
    <row r="1072" spans="2:6" ht="13.8" hidden="1" outlineLevel="1">
      <c r="B1072" s="187">
        <v>24106</v>
      </c>
      <c r="C1072" s="188">
        <v>4.63</v>
      </c>
      <c r="D1072" s="104">
        <f t="shared" si="16"/>
        <v>4.6300000000000001E-2</v>
      </c>
      <c r="F1072" s="5"/>
    </row>
    <row r="1073" spans="2:6" ht="13.8" hidden="1" outlineLevel="1">
      <c r="B1073" s="187">
        <v>24107</v>
      </c>
      <c r="C1073" s="188">
        <v>4.6500000000000004</v>
      </c>
      <c r="D1073" s="104">
        <f t="shared" si="16"/>
        <v>4.6500000000000007E-2</v>
      </c>
      <c r="F1073" s="5"/>
    </row>
    <row r="1074" spans="2:6" ht="13.8" hidden="1" outlineLevel="1">
      <c r="B1074" s="187">
        <v>24110</v>
      </c>
      <c r="C1074" s="188">
        <v>4.63</v>
      </c>
      <c r="D1074" s="104">
        <f t="shared" si="16"/>
        <v>4.6300000000000001E-2</v>
      </c>
      <c r="F1074" s="5"/>
    </row>
    <row r="1075" spans="2:6" ht="13.8" hidden="1" outlineLevel="1">
      <c r="B1075" s="187">
        <v>24111</v>
      </c>
      <c r="C1075" s="188">
        <v>4.6500000000000004</v>
      </c>
      <c r="D1075" s="104">
        <f t="shared" si="16"/>
        <v>4.6500000000000007E-2</v>
      </c>
      <c r="F1075" s="5"/>
    </row>
    <row r="1076" spans="2:6" ht="13.8" hidden="1" outlineLevel="1">
      <c r="B1076" s="187">
        <v>24112</v>
      </c>
      <c r="C1076" s="188">
        <v>4.63</v>
      </c>
      <c r="D1076" s="104">
        <f t="shared" si="16"/>
        <v>4.6300000000000001E-2</v>
      </c>
      <c r="F1076" s="5"/>
    </row>
    <row r="1077" spans="2:6" ht="13.8" hidden="1" outlineLevel="1">
      <c r="B1077" s="187">
        <v>24113</v>
      </c>
      <c r="C1077" s="188">
        <v>4.5999999999999996</v>
      </c>
      <c r="D1077" s="104">
        <f t="shared" si="16"/>
        <v>4.5999999999999999E-2</v>
      </c>
      <c r="F1077" s="5"/>
    </row>
    <row r="1078" spans="2:6" ht="13.8" hidden="1" outlineLevel="1">
      <c r="B1078" s="187">
        <v>24114</v>
      </c>
      <c r="C1078" s="188">
        <v>4.5999999999999996</v>
      </c>
      <c r="D1078" s="104">
        <f t="shared" si="16"/>
        <v>4.5999999999999999E-2</v>
      </c>
      <c r="F1078" s="5"/>
    </row>
    <row r="1079" spans="2:6" ht="13.8" hidden="1" outlineLevel="1">
      <c r="B1079" s="187">
        <v>24117</v>
      </c>
      <c r="C1079" s="188">
        <v>4.6100000000000003</v>
      </c>
      <c r="D1079" s="104">
        <f t="shared" si="16"/>
        <v>4.6100000000000002E-2</v>
      </c>
      <c r="F1079" s="5"/>
    </row>
    <row r="1080" spans="2:6" ht="13.8" hidden="1" outlineLevel="1">
      <c r="B1080" s="187">
        <v>24118</v>
      </c>
      <c r="C1080" s="188">
        <v>4.5999999999999996</v>
      </c>
      <c r="D1080" s="104">
        <f t="shared" si="16"/>
        <v>4.5999999999999999E-2</v>
      </c>
      <c r="F1080" s="5"/>
    </row>
    <row r="1081" spans="2:6" ht="13.8" hidden="1" outlineLevel="1">
      <c r="B1081" s="187">
        <v>24119</v>
      </c>
      <c r="C1081" s="188">
        <v>4.5599999999999996</v>
      </c>
      <c r="D1081" s="104">
        <f t="shared" si="16"/>
        <v>4.5599999999999995E-2</v>
      </c>
      <c r="F1081" s="5"/>
    </row>
    <row r="1082" spans="2:6" ht="13.8" hidden="1" outlineLevel="1">
      <c r="B1082" s="187">
        <v>24120</v>
      </c>
      <c r="C1082" s="188">
        <v>4.58</v>
      </c>
      <c r="D1082" s="104">
        <f t="shared" si="16"/>
        <v>4.58E-2</v>
      </c>
      <c r="F1082" s="5"/>
    </row>
    <row r="1083" spans="2:6" ht="13.8" hidden="1" outlineLevel="1">
      <c r="B1083" s="187">
        <v>24121</v>
      </c>
      <c r="C1083" s="188">
        <v>4.59</v>
      </c>
      <c r="D1083" s="104">
        <f t="shared" si="16"/>
        <v>4.5899999999999996E-2</v>
      </c>
      <c r="F1083" s="5"/>
    </row>
    <row r="1084" spans="2:6" ht="13.8" hidden="1" outlineLevel="1">
      <c r="B1084" s="187">
        <v>24124</v>
      </c>
      <c r="C1084" s="188">
        <v>4.6100000000000003</v>
      </c>
      <c r="D1084" s="104">
        <f t="shared" si="16"/>
        <v>4.6100000000000002E-2</v>
      </c>
      <c r="F1084" s="5"/>
    </row>
    <row r="1085" spans="2:6" ht="13.8" hidden="1" outlineLevel="1">
      <c r="B1085" s="187">
        <v>24125</v>
      </c>
      <c r="C1085" s="188">
        <v>4.6100000000000003</v>
      </c>
      <c r="D1085" s="104">
        <f t="shared" si="16"/>
        <v>4.6100000000000002E-2</v>
      </c>
      <c r="F1085" s="5"/>
    </row>
    <row r="1086" spans="2:6" ht="13.8" hidden="1" outlineLevel="1">
      <c r="B1086" s="187">
        <v>24126</v>
      </c>
      <c r="C1086" s="188">
        <v>4.6100000000000003</v>
      </c>
      <c r="D1086" s="104">
        <f t="shared" si="16"/>
        <v>4.6100000000000002E-2</v>
      </c>
      <c r="F1086" s="5"/>
    </row>
    <row r="1087" spans="2:6" ht="13.8" hidden="1" outlineLevel="1">
      <c r="B1087" s="187">
        <v>24127</v>
      </c>
      <c r="C1087" s="188">
        <v>4.5999999999999996</v>
      </c>
      <c r="D1087" s="104">
        <f t="shared" si="16"/>
        <v>4.5999999999999999E-2</v>
      </c>
      <c r="F1087" s="5"/>
    </row>
    <row r="1088" spans="2:6" ht="13.8" hidden="1" outlineLevel="1">
      <c r="B1088" s="187">
        <v>24128</v>
      </c>
      <c r="C1088" s="188">
        <v>4.59</v>
      </c>
      <c r="D1088" s="104">
        <f t="shared" si="16"/>
        <v>4.5899999999999996E-2</v>
      </c>
      <c r="F1088" s="5"/>
    </row>
    <row r="1089" spans="2:6" ht="13.8" hidden="1" outlineLevel="1">
      <c r="B1089" s="187">
        <v>24131</v>
      </c>
      <c r="C1089" s="188">
        <v>4.5999999999999996</v>
      </c>
      <c r="D1089" s="104">
        <f t="shared" si="16"/>
        <v>4.5999999999999999E-2</v>
      </c>
      <c r="F1089" s="5"/>
    </row>
    <row r="1090" spans="2:6" ht="13.8" hidden="1" outlineLevel="1">
      <c r="B1090" s="187">
        <v>24132</v>
      </c>
      <c r="C1090" s="188">
        <v>4.6100000000000003</v>
      </c>
      <c r="D1090" s="104">
        <f t="shared" si="16"/>
        <v>4.6100000000000002E-2</v>
      </c>
      <c r="F1090" s="5"/>
    </row>
    <row r="1091" spans="2:6" ht="13.8" hidden="1" outlineLevel="1">
      <c r="B1091" s="187">
        <v>24133</v>
      </c>
      <c r="C1091" s="188">
        <v>4.6100000000000003</v>
      </c>
      <c r="D1091" s="104">
        <f t="shared" si="16"/>
        <v>4.6100000000000002E-2</v>
      </c>
      <c r="F1091" s="5"/>
    </row>
    <row r="1092" spans="2:6" ht="13.8" hidden="1" outlineLevel="1">
      <c r="B1092" s="187">
        <v>24134</v>
      </c>
      <c r="C1092" s="188">
        <v>4.63</v>
      </c>
      <c r="D1092" s="104">
        <f t="shared" si="16"/>
        <v>4.6300000000000001E-2</v>
      </c>
      <c r="F1092" s="5"/>
    </row>
    <row r="1093" spans="2:6" ht="13.8" hidden="1" outlineLevel="1">
      <c r="B1093" s="187">
        <v>24135</v>
      </c>
      <c r="C1093" s="188">
        <v>4.6500000000000004</v>
      </c>
      <c r="D1093" s="104">
        <f t="shared" si="16"/>
        <v>4.6500000000000007E-2</v>
      </c>
      <c r="F1093" s="5"/>
    </row>
    <row r="1094" spans="2:6" ht="13.8" hidden="1" outlineLevel="1">
      <c r="B1094" s="187">
        <v>24138</v>
      </c>
      <c r="C1094" s="188">
        <v>4.6900000000000004</v>
      </c>
      <c r="D1094" s="104">
        <f t="shared" si="16"/>
        <v>4.6900000000000004E-2</v>
      </c>
      <c r="F1094" s="5"/>
    </row>
    <row r="1095" spans="2:6" ht="13.8" hidden="1" outlineLevel="1">
      <c r="B1095" s="187">
        <v>24139</v>
      </c>
      <c r="C1095" s="188">
        <v>4.6900000000000004</v>
      </c>
      <c r="D1095" s="104">
        <f t="shared" si="16"/>
        <v>4.6900000000000004E-2</v>
      </c>
      <c r="F1095" s="5"/>
    </row>
    <row r="1096" spans="2:6" ht="13.8" hidden="1" outlineLevel="1">
      <c r="B1096" s="187">
        <v>24140</v>
      </c>
      <c r="C1096" s="188">
        <v>4.7</v>
      </c>
      <c r="D1096" s="104">
        <f t="shared" si="16"/>
        <v>4.7E-2</v>
      </c>
      <c r="F1096" s="5"/>
    </row>
    <row r="1097" spans="2:6" ht="13.8" hidden="1" outlineLevel="1">
      <c r="B1097" s="187">
        <v>24141</v>
      </c>
      <c r="C1097" s="188">
        <v>4.7</v>
      </c>
      <c r="D1097" s="104">
        <f t="shared" si="16"/>
        <v>4.7E-2</v>
      </c>
      <c r="F1097" s="5"/>
    </row>
    <row r="1098" spans="2:6" ht="13.8" hidden="1" outlineLevel="1">
      <c r="B1098" s="187">
        <v>24142</v>
      </c>
      <c r="C1098" s="188">
        <v>4.71</v>
      </c>
      <c r="D1098" s="104">
        <f t="shared" si="16"/>
        <v>4.7100000000000003E-2</v>
      </c>
      <c r="F1098" s="5"/>
    </row>
    <row r="1099" spans="2:6" ht="13.8" hidden="1" outlineLevel="1">
      <c r="B1099" s="187">
        <v>24145</v>
      </c>
      <c r="C1099" s="188">
        <v>4.7300000000000004</v>
      </c>
      <c r="D1099" s="104">
        <f t="shared" si="16"/>
        <v>4.7300000000000002E-2</v>
      </c>
      <c r="F1099" s="5"/>
    </row>
    <row r="1100" spans="2:6" ht="13.8" hidden="1" outlineLevel="1">
      <c r="B1100" s="187">
        <v>24146</v>
      </c>
      <c r="C1100" s="188">
        <v>4.72</v>
      </c>
      <c r="D1100" s="104">
        <f t="shared" si="16"/>
        <v>4.7199999999999999E-2</v>
      </c>
      <c r="F1100" s="5"/>
    </row>
    <row r="1101" spans="2:6" ht="13.8" hidden="1" outlineLevel="1">
      <c r="B1101" s="187">
        <v>24147</v>
      </c>
      <c r="C1101" s="188">
        <v>4.74</v>
      </c>
      <c r="D1101" s="104">
        <f t="shared" si="16"/>
        <v>4.7400000000000005E-2</v>
      </c>
      <c r="F1101" s="5"/>
    </row>
    <row r="1102" spans="2:6" ht="13.8" hidden="1" outlineLevel="1">
      <c r="B1102" s="187">
        <v>24148</v>
      </c>
      <c r="C1102" s="188">
        <v>4.78</v>
      </c>
      <c r="D1102" s="104">
        <f t="shared" si="16"/>
        <v>4.7800000000000002E-2</v>
      </c>
      <c r="F1102" s="5"/>
    </row>
    <row r="1103" spans="2:6" ht="13.8" hidden="1" outlineLevel="1">
      <c r="B1103" s="187">
        <v>24149</v>
      </c>
      <c r="C1103" s="188">
        <v>4.8600000000000003</v>
      </c>
      <c r="D1103" s="104">
        <f t="shared" si="16"/>
        <v>4.8600000000000004E-2</v>
      </c>
      <c r="F1103" s="5"/>
    </row>
    <row r="1104" spans="2:6" ht="13.8" hidden="1" outlineLevel="1">
      <c r="B1104" s="187">
        <v>24152</v>
      </c>
      <c r="C1104" s="188">
        <v>4.87</v>
      </c>
      <c r="D1104" s="104">
        <f t="shared" si="16"/>
        <v>4.87E-2</v>
      </c>
      <c r="F1104" s="5"/>
    </row>
    <row r="1105" spans="2:6" ht="13.8" hidden="1" outlineLevel="1">
      <c r="B1105" s="187">
        <v>24153</v>
      </c>
      <c r="C1105" s="188">
        <v>4.88</v>
      </c>
      <c r="D1105" s="104">
        <f t="shared" si="16"/>
        <v>4.8799999999999996E-2</v>
      </c>
      <c r="F1105" s="5"/>
    </row>
    <row r="1106" spans="2:6" ht="13.8" hidden="1" outlineLevel="1">
      <c r="B1106" s="187">
        <v>24154</v>
      </c>
      <c r="C1106" s="188">
        <v>4.8899999999999997</v>
      </c>
      <c r="D1106" s="104">
        <f t="shared" si="16"/>
        <v>4.8899999999999999E-2</v>
      </c>
      <c r="F1106" s="5"/>
    </row>
    <row r="1107" spans="2:6" ht="13.8" hidden="1" outlineLevel="1">
      <c r="B1107" s="187">
        <v>24155</v>
      </c>
      <c r="C1107" s="188">
        <v>4.88</v>
      </c>
      <c r="D1107" s="104">
        <f t="shared" si="16"/>
        <v>4.8799999999999996E-2</v>
      </c>
      <c r="F1107" s="5"/>
    </row>
    <row r="1108" spans="2:6" ht="13.8" hidden="1" outlineLevel="1">
      <c r="B1108" s="187">
        <v>24156</v>
      </c>
      <c r="C1108" s="188">
        <v>4.9000000000000004</v>
      </c>
      <c r="D1108" s="104">
        <f t="shared" si="16"/>
        <v>4.9000000000000002E-2</v>
      </c>
      <c r="F1108" s="5"/>
    </row>
    <row r="1109" spans="2:6" ht="13.8" hidden="1" outlineLevel="1">
      <c r="B1109" s="187">
        <v>24159</v>
      </c>
      <c r="C1109" s="188">
        <v>4.92</v>
      </c>
      <c r="D1109" s="104">
        <f t="shared" si="16"/>
        <v>4.9200000000000001E-2</v>
      </c>
      <c r="F1109" s="5"/>
    </row>
    <row r="1110" spans="2:6" ht="13.8" hidden="1" outlineLevel="1">
      <c r="B1110" s="187">
        <v>24160</v>
      </c>
      <c r="C1110" s="188" t="s">
        <v>380</v>
      </c>
      <c r="D1110" s="104">
        <f t="shared" si="16"/>
        <v>4.9200000000000001E-2</v>
      </c>
      <c r="F1110" s="5"/>
    </row>
    <row r="1111" spans="2:6" ht="13.8" hidden="1" outlineLevel="1">
      <c r="B1111" s="187">
        <v>24161</v>
      </c>
      <c r="C1111" s="188">
        <v>4.92</v>
      </c>
      <c r="D1111" s="104">
        <f t="shared" si="16"/>
        <v>4.9200000000000001E-2</v>
      </c>
      <c r="F1111" s="5"/>
    </row>
    <row r="1112" spans="2:6" ht="13.8" hidden="1" outlineLevel="1">
      <c r="B1112" s="187">
        <v>24162</v>
      </c>
      <c r="C1112" s="188">
        <v>4.93</v>
      </c>
      <c r="D1112" s="104">
        <f t="shared" si="16"/>
        <v>4.9299999999999997E-2</v>
      </c>
      <c r="F1112" s="5"/>
    </row>
    <row r="1113" spans="2:6" ht="13.8" hidden="1" outlineLevel="1">
      <c r="B1113" s="187">
        <v>24163</v>
      </c>
      <c r="C1113" s="188">
        <v>4.97</v>
      </c>
      <c r="D1113" s="104">
        <f t="shared" si="16"/>
        <v>4.9699999999999994E-2</v>
      </c>
      <c r="F1113" s="5"/>
    </row>
    <row r="1114" spans="2:6" ht="13.8" hidden="1" outlineLevel="1">
      <c r="B1114" s="187">
        <v>24166</v>
      </c>
      <c r="C1114" s="188">
        <v>5.0199999999999996</v>
      </c>
      <c r="D1114" s="104">
        <f t="shared" si="16"/>
        <v>5.0199999999999995E-2</v>
      </c>
      <c r="F1114" s="5"/>
    </row>
    <row r="1115" spans="2:6" ht="13.8" hidden="1" outlineLevel="1">
      <c r="B1115" s="187">
        <v>24167</v>
      </c>
      <c r="C1115" s="188">
        <v>5.01</v>
      </c>
      <c r="D1115" s="104">
        <f t="shared" si="16"/>
        <v>5.0099999999999999E-2</v>
      </c>
      <c r="F1115" s="5"/>
    </row>
    <row r="1116" spans="2:6" ht="13.8" hidden="1" outlineLevel="1">
      <c r="B1116" s="187">
        <v>24168</v>
      </c>
      <c r="C1116" s="188">
        <v>5</v>
      </c>
      <c r="D1116" s="104">
        <f t="shared" si="16"/>
        <v>0.05</v>
      </c>
      <c r="F1116" s="5"/>
    </row>
    <row r="1117" spans="2:6" ht="13.8" hidden="1" outlineLevel="1">
      <c r="B1117" s="187">
        <v>24169</v>
      </c>
      <c r="C1117" s="188">
        <v>5</v>
      </c>
      <c r="D1117" s="104">
        <f t="shared" si="16"/>
        <v>0.05</v>
      </c>
      <c r="F1117" s="5"/>
    </row>
    <row r="1118" spans="2:6" ht="13.8" hidden="1" outlineLevel="1">
      <c r="B1118" s="187">
        <v>24170</v>
      </c>
      <c r="C1118" s="188">
        <v>4.9800000000000004</v>
      </c>
      <c r="D1118" s="104">
        <f t="shared" ref="D1118:D1181" si="17">IF( LEN( C1118 ) = 0, #N/A, IF( C1118 = "ND", D1117, C1118 / 100 ) )</f>
        <v>4.9800000000000004E-2</v>
      </c>
      <c r="F1118" s="5"/>
    </row>
    <row r="1119" spans="2:6" ht="13.8" hidden="1" outlineLevel="1">
      <c r="B1119" s="187">
        <v>24173</v>
      </c>
      <c r="C1119" s="188">
        <v>4.96</v>
      </c>
      <c r="D1119" s="104">
        <f t="shared" si="17"/>
        <v>4.9599999999999998E-2</v>
      </c>
      <c r="F1119" s="5"/>
    </row>
    <row r="1120" spans="2:6" ht="13.8" hidden="1" outlineLevel="1">
      <c r="B1120" s="187">
        <v>24174</v>
      </c>
      <c r="C1120" s="188">
        <v>4.93</v>
      </c>
      <c r="D1120" s="104">
        <f t="shared" si="17"/>
        <v>4.9299999999999997E-2</v>
      </c>
      <c r="F1120" s="5"/>
    </row>
    <row r="1121" spans="2:6" ht="13.8" hidden="1" outlineLevel="1">
      <c r="B1121" s="187">
        <v>24175</v>
      </c>
      <c r="C1121" s="188">
        <v>4.93</v>
      </c>
      <c r="D1121" s="104">
        <f t="shared" si="17"/>
        <v>4.9299999999999997E-2</v>
      </c>
      <c r="F1121" s="5"/>
    </row>
    <row r="1122" spans="2:6" ht="13.8" hidden="1" outlineLevel="1">
      <c r="B1122" s="187">
        <v>24176</v>
      </c>
      <c r="C1122" s="188">
        <v>4.95</v>
      </c>
      <c r="D1122" s="104">
        <f t="shared" si="17"/>
        <v>4.9500000000000002E-2</v>
      </c>
      <c r="F1122" s="5"/>
    </row>
    <row r="1123" spans="2:6" ht="13.8" hidden="1" outlineLevel="1">
      <c r="B1123" s="187">
        <v>24177</v>
      </c>
      <c r="C1123" s="188">
        <v>4.96</v>
      </c>
      <c r="D1123" s="104">
        <f t="shared" si="17"/>
        <v>4.9599999999999998E-2</v>
      </c>
      <c r="F1123" s="5"/>
    </row>
    <row r="1124" spans="2:6" ht="13.8" hidden="1" outlineLevel="1">
      <c r="B1124" s="187">
        <v>24180</v>
      </c>
      <c r="C1124" s="188">
        <v>4.9400000000000004</v>
      </c>
      <c r="D1124" s="104">
        <f t="shared" si="17"/>
        <v>4.9400000000000006E-2</v>
      </c>
      <c r="F1124" s="5"/>
    </row>
    <row r="1125" spans="2:6" ht="13.8" hidden="1" outlineLevel="1">
      <c r="B1125" s="187">
        <v>24181</v>
      </c>
      <c r="C1125" s="188">
        <v>4.91</v>
      </c>
      <c r="D1125" s="104">
        <f t="shared" si="17"/>
        <v>4.9100000000000005E-2</v>
      </c>
      <c r="F1125" s="5"/>
    </row>
    <row r="1126" spans="2:6" ht="13.8" hidden="1" outlineLevel="1">
      <c r="B1126" s="187">
        <v>24182</v>
      </c>
      <c r="C1126" s="188">
        <v>4.9000000000000004</v>
      </c>
      <c r="D1126" s="104">
        <f t="shared" si="17"/>
        <v>4.9000000000000002E-2</v>
      </c>
      <c r="F1126" s="5"/>
    </row>
    <row r="1127" spans="2:6" ht="13.8" hidden="1" outlineLevel="1">
      <c r="B1127" s="187">
        <v>24183</v>
      </c>
      <c r="C1127" s="188">
        <v>4.8600000000000003</v>
      </c>
      <c r="D1127" s="104">
        <f t="shared" si="17"/>
        <v>4.8600000000000004E-2</v>
      </c>
      <c r="F1127" s="5"/>
    </row>
    <row r="1128" spans="2:6" ht="13.8" hidden="1" outlineLevel="1">
      <c r="B1128" s="187">
        <v>24184</v>
      </c>
      <c r="C1128" s="188">
        <v>4.84</v>
      </c>
      <c r="D1128" s="104">
        <f t="shared" si="17"/>
        <v>4.8399999999999999E-2</v>
      </c>
      <c r="F1128" s="5"/>
    </row>
    <row r="1129" spans="2:6" ht="13.8" hidden="1" outlineLevel="1">
      <c r="B1129" s="187">
        <v>24187</v>
      </c>
      <c r="C1129" s="188">
        <v>4.8099999999999996</v>
      </c>
      <c r="D1129" s="104">
        <f t="shared" si="17"/>
        <v>4.8099999999999997E-2</v>
      </c>
      <c r="F1129" s="5"/>
    </row>
    <row r="1130" spans="2:6" ht="13.8" hidden="1" outlineLevel="1">
      <c r="B1130" s="187">
        <v>24188</v>
      </c>
      <c r="C1130" s="188">
        <v>4.78</v>
      </c>
      <c r="D1130" s="104">
        <f t="shared" si="17"/>
        <v>4.7800000000000002E-2</v>
      </c>
      <c r="F1130" s="5"/>
    </row>
    <row r="1131" spans="2:6" ht="13.8" hidden="1" outlineLevel="1">
      <c r="B1131" s="187">
        <v>24189</v>
      </c>
      <c r="C1131" s="188">
        <v>4.7300000000000004</v>
      </c>
      <c r="D1131" s="104">
        <f t="shared" si="17"/>
        <v>4.7300000000000002E-2</v>
      </c>
      <c r="F1131" s="5"/>
    </row>
    <row r="1132" spans="2:6" ht="13.8" hidden="1" outlineLevel="1">
      <c r="B1132" s="187">
        <v>24190</v>
      </c>
      <c r="C1132" s="188">
        <v>4.76</v>
      </c>
      <c r="D1132" s="104">
        <f t="shared" si="17"/>
        <v>4.7599999999999996E-2</v>
      </c>
      <c r="F1132" s="5"/>
    </row>
    <row r="1133" spans="2:6" ht="13.8" hidden="1" outlineLevel="1">
      <c r="B1133" s="187">
        <v>24191</v>
      </c>
      <c r="C1133" s="188">
        <v>4.82</v>
      </c>
      <c r="D1133" s="104">
        <f t="shared" si="17"/>
        <v>4.82E-2</v>
      </c>
      <c r="F1133" s="5"/>
    </row>
    <row r="1134" spans="2:6" ht="13.8" hidden="1" outlineLevel="1">
      <c r="B1134" s="187">
        <v>24194</v>
      </c>
      <c r="C1134" s="188">
        <v>4.8099999999999996</v>
      </c>
      <c r="D1134" s="104">
        <f t="shared" si="17"/>
        <v>4.8099999999999997E-2</v>
      </c>
      <c r="F1134" s="5"/>
    </row>
    <row r="1135" spans="2:6" ht="13.8" hidden="1" outlineLevel="1">
      <c r="B1135" s="187">
        <v>24195</v>
      </c>
      <c r="C1135" s="188">
        <v>4.8</v>
      </c>
      <c r="D1135" s="104">
        <f t="shared" si="17"/>
        <v>4.8000000000000001E-2</v>
      </c>
      <c r="F1135" s="5"/>
    </row>
    <row r="1136" spans="2:6" ht="13.8" hidden="1" outlineLevel="1">
      <c r="B1136" s="187">
        <v>24196</v>
      </c>
      <c r="C1136" s="188">
        <v>4.7</v>
      </c>
      <c r="D1136" s="104">
        <f t="shared" si="17"/>
        <v>4.7E-2</v>
      </c>
      <c r="F1136" s="5"/>
    </row>
    <row r="1137" spans="2:6" ht="13.8" hidden="1" outlineLevel="1">
      <c r="B1137" s="187">
        <v>24197</v>
      </c>
      <c r="C1137" s="188">
        <v>4.71</v>
      </c>
      <c r="D1137" s="104">
        <f t="shared" si="17"/>
        <v>4.7100000000000003E-2</v>
      </c>
      <c r="F1137" s="5"/>
    </row>
    <row r="1138" spans="2:6" ht="13.8" hidden="1" outlineLevel="1">
      <c r="B1138" s="187">
        <v>24198</v>
      </c>
      <c r="C1138" s="188">
        <v>4.7</v>
      </c>
      <c r="D1138" s="104">
        <f t="shared" si="17"/>
        <v>4.7E-2</v>
      </c>
      <c r="F1138" s="5"/>
    </row>
    <row r="1139" spans="2:6" ht="13.8" hidden="1" outlineLevel="1">
      <c r="B1139" s="187">
        <v>24201</v>
      </c>
      <c r="C1139" s="188">
        <v>4.6900000000000004</v>
      </c>
      <c r="D1139" s="104">
        <f t="shared" si="17"/>
        <v>4.6900000000000004E-2</v>
      </c>
      <c r="F1139" s="5"/>
    </row>
    <row r="1140" spans="2:6" ht="13.8" hidden="1" outlineLevel="1">
      <c r="B1140" s="187">
        <v>24202</v>
      </c>
      <c r="C1140" s="188">
        <v>4.66</v>
      </c>
      <c r="D1140" s="104">
        <f t="shared" si="17"/>
        <v>4.6600000000000003E-2</v>
      </c>
      <c r="F1140" s="5"/>
    </row>
    <row r="1141" spans="2:6" ht="13.8" hidden="1" outlineLevel="1">
      <c r="B1141" s="187">
        <v>24203</v>
      </c>
      <c r="C1141" s="188">
        <v>4.71</v>
      </c>
      <c r="D1141" s="104">
        <f t="shared" si="17"/>
        <v>4.7100000000000003E-2</v>
      </c>
      <c r="F1141" s="5"/>
    </row>
    <row r="1142" spans="2:6" ht="13.8" hidden="1" outlineLevel="1">
      <c r="B1142" s="187">
        <v>24204</v>
      </c>
      <c r="C1142" s="188">
        <v>4.7300000000000004</v>
      </c>
      <c r="D1142" s="104">
        <f t="shared" si="17"/>
        <v>4.7300000000000002E-2</v>
      </c>
      <c r="F1142" s="5"/>
    </row>
    <row r="1143" spans="2:6" ht="13.8" hidden="1" outlineLevel="1">
      <c r="B1143" s="187">
        <v>24205</v>
      </c>
      <c r="C1143" s="188" t="s">
        <v>380</v>
      </c>
      <c r="D1143" s="104">
        <f t="shared" si="17"/>
        <v>4.7300000000000002E-2</v>
      </c>
      <c r="F1143" s="5"/>
    </row>
    <row r="1144" spans="2:6" ht="13.8" hidden="1" outlineLevel="1">
      <c r="B1144" s="187">
        <v>24208</v>
      </c>
      <c r="C1144" s="188">
        <v>4.7300000000000004</v>
      </c>
      <c r="D1144" s="104">
        <f t="shared" si="17"/>
        <v>4.7300000000000002E-2</v>
      </c>
      <c r="F1144" s="5"/>
    </row>
    <row r="1145" spans="2:6" ht="13.8" hidden="1" outlineLevel="1">
      <c r="B1145" s="187">
        <v>24209</v>
      </c>
      <c r="C1145" s="188">
        <v>4.7300000000000004</v>
      </c>
      <c r="D1145" s="104">
        <f t="shared" si="17"/>
        <v>4.7300000000000002E-2</v>
      </c>
      <c r="F1145" s="5"/>
    </row>
    <row r="1146" spans="2:6" ht="13.8" hidden="1" outlineLevel="1">
      <c r="B1146" s="187">
        <v>24210</v>
      </c>
      <c r="C1146" s="188">
        <v>4.74</v>
      </c>
      <c r="D1146" s="104">
        <f t="shared" si="17"/>
        <v>4.7400000000000005E-2</v>
      </c>
      <c r="F1146" s="5"/>
    </row>
    <row r="1147" spans="2:6" ht="13.8" hidden="1" outlineLevel="1">
      <c r="B1147" s="187">
        <v>24211</v>
      </c>
      <c r="C1147" s="188">
        <v>4.76</v>
      </c>
      <c r="D1147" s="104">
        <f t="shared" si="17"/>
        <v>4.7599999999999996E-2</v>
      </c>
      <c r="F1147" s="5"/>
    </row>
    <row r="1148" spans="2:6" ht="13.8" hidden="1" outlineLevel="1">
      <c r="B1148" s="187">
        <v>24212</v>
      </c>
      <c r="C1148" s="188">
        <v>4.7699999999999996</v>
      </c>
      <c r="D1148" s="104">
        <f t="shared" si="17"/>
        <v>4.7699999999999992E-2</v>
      </c>
      <c r="F1148" s="5"/>
    </row>
    <row r="1149" spans="2:6" ht="13.8" hidden="1" outlineLevel="1">
      <c r="B1149" s="187">
        <v>24215</v>
      </c>
      <c r="C1149" s="188">
        <v>4.76</v>
      </c>
      <c r="D1149" s="104">
        <f t="shared" si="17"/>
        <v>4.7599999999999996E-2</v>
      </c>
      <c r="F1149" s="5"/>
    </row>
    <row r="1150" spans="2:6" ht="13.8" hidden="1" outlineLevel="1">
      <c r="B1150" s="187">
        <v>24216</v>
      </c>
      <c r="C1150" s="188">
        <v>4.76</v>
      </c>
      <c r="D1150" s="104">
        <f t="shared" si="17"/>
        <v>4.7599999999999996E-2</v>
      </c>
      <c r="F1150" s="5"/>
    </row>
    <row r="1151" spans="2:6" ht="13.8" hidden="1" outlineLevel="1">
      <c r="B1151" s="187">
        <v>24217</v>
      </c>
      <c r="C1151" s="188">
        <v>4.8</v>
      </c>
      <c r="D1151" s="104">
        <f t="shared" si="17"/>
        <v>4.8000000000000001E-2</v>
      </c>
      <c r="F1151" s="5"/>
    </row>
    <row r="1152" spans="2:6" ht="13.8" hidden="1" outlineLevel="1">
      <c r="B1152" s="187">
        <v>24218</v>
      </c>
      <c r="C1152" s="188">
        <v>4.7699999999999996</v>
      </c>
      <c r="D1152" s="104">
        <f t="shared" si="17"/>
        <v>4.7699999999999992E-2</v>
      </c>
      <c r="F1152" s="5"/>
    </row>
    <row r="1153" spans="2:6" ht="13.8" hidden="1" outlineLevel="1">
      <c r="B1153" s="187">
        <v>24219</v>
      </c>
      <c r="C1153" s="188">
        <v>4.7699999999999996</v>
      </c>
      <c r="D1153" s="104">
        <f t="shared" si="17"/>
        <v>4.7699999999999992E-2</v>
      </c>
      <c r="F1153" s="5"/>
    </row>
    <row r="1154" spans="2:6" ht="13.8" hidden="1" outlineLevel="1">
      <c r="B1154" s="187">
        <v>24222</v>
      </c>
      <c r="C1154" s="188">
        <v>4.78</v>
      </c>
      <c r="D1154" s="104">
        <f t="shared" si="17"/>
        <v>4.7800000000000002E-2</v>
      </c>
      <c r="F1154" s="5"/>
    </row>
    <row r="1155" spans="2:6" ht="13.8" hidden="1" outlineLevel="1">
      <c r="B1155" s="187">
        <v>24223</v>
      </c>
      <c r="C1155" s="188">
        <v>4.79</v>
      </c>
      <c r="D1155" s="104">
        <f t="shared" si="17"/>
        <v>4.7899999999999998E-2</v>
      </c>
      <c r="F1155" s="5"/>
    </row>
    <row r="1156" spans="2:6" ht="13.8" hidden="1" outlineLevel="1">
      <c r="B1156" s="187">
        <v>24224</v>
      </c>
      <c r="C1156" s="188">
        <v>4.78</v>
      </c>
      <c r="D1156" s="104">
        <f t="shared" si="17"/>
        <v>4.7800000000000002E-2</v>
      </c>
      <c r="F1156" s="5"/>
    </row>
    <row r="1157" spans="2:6" ht="13.8" hidden="1" outlineLevel="1">
      <c r="B1157" s="187">
        <v>24225</v>
      </c>
      <c r="C1157" s="188">
        <v>4.78</v>
      </c>
      <c r="D1157" s="104">
        <f t="shared" si="17"/>
        <v>4.7800000000000002E-2</v>
      </c>
      <c r="F1157" s="5"/>
    </row>
    <row r="1158" spans="2:6" ht="13.8" hidden="1" outlineLevel="1">
      <c r="B1158" s="187">
        <v>24226</v>
      </c>
      <c r="C1158" s="188">
        <v>4.79</v>
      </c>
      <c r="D1158" s="104">
        <f t="shared" si="17"/>
        <v>4.7899999999999998E-2</v>
      </c>
      <c r="F1158" s="5"/>
    </row>
    <row r="1159" spans="2:6" ht="13.8" hidden="1" outlineLevel="1">
      <c r="B1159" s="187">
        <v>24229</v>
      </c>
      <c r="C1159" s="188">
        <v>4.8</v>
      </c>
      <c r="D1159" s="104">
        <f t="shared" si="17"/>
        <v>4.8000000000000001E-2</v>
      </c>
      <c r="F1159" s="5"/>
    </row>
    <row r="1160" spans="2:6" ht="13.8" hidden="1" outlineLevel="1">
      <c r="B1160" s="187">
        <v>24230</v>
      </c>
      <c r="C1160" s="188">
        <v>4.8099999999999996</v>
      </c>
      <c r="D1160" s="104">
        <f t="shared" si="17"/>
        <v>4.8099999999999997E-2</v>
      </c>
      <c r="F1160" s="5"/>
    </row>
    <row r="1161" spans="2:6" ht="13.8" hidden="1" outlineLevel="1">
      <c r="B1161" s="187">
        <v>24231</v>
      </c>
      <c r="C1161" s="188">
        <v>4.8099999999999996</v>
      </c>
      <c r="D1161" s="104">
        <f t="shared" si="17"/>
        <v>4.8099999999999997E-2</v>
      </c>
      <c r="F1161" s="5"/>
    </row>
    <row r="1162" spans="2:6" ht="13.8" hidden="1" outlineLevel="1">
      <c r="B1162" s="187">
        <v>24232</v>
      </c>
      <c r="C1162" s="188">
        <v>4.8099999999999996</v>
      </c>
      <c r="D1162" s="104">
        <f t="shared" si="17"/>
        <v>4.8099999999999997E-2</v>
      </c>
      <c r="F1162" s="5"/>
    </row>
    <row r="1163" spans="2:6" ht="13.8" hidden="1" outlineLevel="1">
      <c r="B1163" s="187">
        <v>24233</v>
      </c>
      <c r="C1163" s="188">
        <v>4.79</v>
      </c>
      <c r="D1163" s="104">
        <f t="shared" si="17"/>
        <v>4.7899999999999998E-2</v>
      </c>
      <c r="F1163" s="5"/>
    </row>
    <row r="1164" spans="2:6" ht="13.8" hidden="1" outlineLevel="1">
      <c r="B1164" s="187">
        <v>24236</v>
      </c>
      <c r="C1164" s="188">
        <v>4.75</v>
      </c>
      <c r="D1164" s="104">
        <f t="shared" si="17"/>
        <v>4.7500000000000001E-2</v>
      </c>
      <c r="F1164" s="5"/>
    </row>
    <row r="1165" spans="2:6" ht="13.8" hidden="1" outlineLevel="1">
      <c r="B1165" s="187">
        <v>24237</v>
      </c>
      <c r="C1165" s="188">
        <v>4.75</v>
      </c>
      <c r="D1165" s="104">
        <f t="shared" si="17"/>
        <v>4.7500000000000001E-2</v>
      </c>
      <c r="F1165" s="5"/>
    </row>
    <row r="1166" spans="2:6" ht="13.8" hidden="1" outlineLevel="1">
      <c r="B1166" s="187">
        <v>24238</v>
      </c>
      <c r="C1166" s="188">
        <v>4.7699999999999996</v>
      </c>
      <c r="D1166" s="104">
        <f t="shared" si="17"/>
        <v>4.7699999999999992E-2</v>
      </c>
      <c r="F1166" s="5"/>
    </row>
    <row r="1167" spans="2:6" ht="13.8" hidden="1" outlineLevel="1">
      <c r="B1167" s="187">
        <v>24239</v>
      </c>
      <c r="C1167" s="188">
        <v>4.7699999999999996</v>
      </c>
      <c r="D1167" s="104">
        <f t="shared" si="17"/>
        <v>4.7699999999999992E-2</v>
      </c>
      <c r="F1167" s="5"/>
    </row>
    <row r="1168" spans="2:6" ht="13.8" hidden="1" outlineLevel="1">
      <c r="B1168" s="187">
        <v>24240</v>
      </c>
      <c r="C1168" s="188">
        <v>4.7699999999999996</v>
      </c>
      <c r="D1168" s="104">
        <f t="shared" si="17"/>
        <v>4.7699999999999992E-2</v>
      </c>
      <c r="F1168" s="5"/>
    </row>
    <row r="1169" spans="2:6" ht="13.8" hidden="1" outlineLevel="1">
      <c r="B1169" s="187">
        <v>24243</v>
      </c>
      <c r="C1169" s="188">
        <v>4.7699999999999996</v>
      </c>
      <c r="D1169" s="104">
        <f t="shared" si="17"/>
        <v>4.7699999999999992E-2</v>
      </c>
      <c r="F1169" s="5"/>
    </row>
    <row r="1170" spans="2:6" ht="13.8" hidden="1" outlineLevel="1">
      <c r="B1170" s="187">
        <v>24244</v>
      </c>
      <c r="C1170" s="188">
        <v>4.75</v>
      </c>
      <c r="D1170" s="104">
        <f t="shared" si="17"/>
        <v>4.7500000000000001E-2</v>
      </c>
      <c r="F1170" s="5"/>
    </row>
    <row r="1171" spans="2:6" ht="13.8" hidden="1" outlineLevel="1">
      <c r="B1171" s="187">
        <v>24245</v>
      </c>
      <c r="C1171" s="188">
        <v>4.75</v>
      </c>
      <c r="D1171" s="104">
        <f t="shared" si="17"/>
        <v>4.7500000000000001E-2</v>
      </c>
      <c r="F1171" s="5"/>
    </row>
    <row r="1172" spans="2:6" ht="13.8" hidden="1" outlineLevel="1">
      <c r="B1172" s="187">
        <v>24246</v>
      </c>
      <c r="C1172" s="188">
        <v>4.75</v>
      </c>
      <c r="D1172" s="104">
        <f t="shared" si="17"/>
        <v>4.7500000000000001E-2</v>
      </c>
      <c r="F1172" s="5"/>
    </row>
    <row r="1173" spans="2:6" ht="13.8" hidden="1" outlineLevel="1">
      <c r="B1173" s="187">
        <v>24247</v>
      </c>
      <c r="C1173" s="188">
        <v>4.75</v>
      </c>
      <c r="D1173" s="104">
        <f t="shared" si="17"/>
        <v>4.7500000000000001E-2</v>
      </c>
      <c r="F1173" s="5"/>
    </row>
    <row r="1174" spans="2:6" ht="13.8" hidden="1" outlineLevel="1">
      <c r="B1174" s="187">
        <v>24250</v>
      </c>
      <c r="C1174" s="188">
        <v>4.7699999999999996</v>
      </c>
      <c r="D1174" s="104">
        <f t="shared" si="17"/>
        <v>4.7699999999999992E-2</v>
      </c>
      <c r="F1174" s="5"/>
    </row>
    <row r="1175" spans="2:6" ht="13.8" hidden="1" outlineLevel="1">
      <c r="B1175" s="187">
        <v>24251</v>
      </c>
      <c r="C1175" s="188">
        <v>4.79</v>
      </c>
      <c r="D1175" s="104">
        <f t="shared" si="17"/>
        <v>4.7899999999999998E-2</v>
      </c>
      <c r="F1175" s="5"/>
    </row>
    <row r="1176" spans="2:6" ht="13.8" hidden="1" outlineLevel="1">
      <c r="B1176" s="187">
        <v>24252</v>
      </c>
      <c r="C1176" s="188">
        <v>4.78</v>
      </c>
      <c r="D1176" s="104">
        <f t="shared" si="17"/>
        <v>4.7800000000000002E-2</v>
      </c>
      <c r="F1176" s="5"/>
    </row>
    <row r="1177" spans="2:6" ht="13.8" hidden="1" outlineLevel="1">
      <c r="B1177" s="187">
        <v>24253</v>
      </c>
      <c r="C1177" s="188">
        <v>4.8</v>
      </c>
      <c r="D1177" s="104">
        <f t="shared" si="17"/>
        <v>4.8000000000000001E-2</v>
      </c>
      <c r="F1177" s="5"/>
    </row>
    <row r="1178" spans="2:6" ht="13.8" hidden="1" outlineLevel="1">
      <c r="B1178" s="187">
        <v>24254</v>
      </c>
      <c r="C1178" s="188">
        <v>4.8099999999999996</v>
      </c>
      <c r="D1178" s="104">
        <f t="shared" si="17"/>
        <v>4.8099999999999997E-2</v>
      </c>
      <c r="F1178" s="5"/>
    </row>
    <row r="1179" spans="2:6" ht="13.8" hidden="1" outlineLevel="1">
      <c r="B1179" s="187">
        <v>24257</v>
      </c>
      <c r="C1179" s="188" t="s">
        <v>380</v>
      </c>
      <c r="D1179" s="104">
        <f t="shared" si="17"/>
        <v>4.8099999999999997E-2</v>
      </c>
      <c r="F1179" s="5"/>
    </row>
    <row r="1180" spans="2:6" ht="13.8" hidden="1" outlineLevel="1">
      <c r="B1180" s="187">
        <v>24258</v>
      </c>
      <c r="C1180" s="188">
        <v>4.8</v>
      </c>
      <c r="D1180" s="104">
        <f t="shared" si="17"/>
        <v>4.8000000000000001E-2</v>
      </c>
      <c r="F1180" s="5"/>
    </row>
    <row r="1181" spans="2:6" ht="13.8" hidden="1" outlineLevel="1">
      <c r="B1181" s="187">
        <v>24259</v>
      </c>
      <c r="C1181" s="188">
        <v>4.79</v>
      </c>
      <c r="D1181" s="104">
        <f t="shared" si="17"/>
        <v>4.7899999999999998E-2</v>
      </c>
      <c r="F1181" s="5"/>
    </row>
    <row r="1182" spans="2:6" ht="13.8" hidden="1" outlineLevel="1">
      <c r="B1182" s="187">
        <v>24260</v>
      </c>
      <c r="C1182" s="188">
        <v>4.7699999999999996</v>
      </c>
      <c r="D1182" s="104">
        <f t="shared" ref="D1182:D1245" si="18">IF( LEN( C1182 ) = 0, #N/A, IF( C1182 = "ND", D1181, C1182 / 100 ) )</f>
        <v>4.7699999999999992E-2</v>
      </c>
      <c r="F1182" s="5"/>
    </row>
    <row r="1183" spans="2:6" ht="13.8" hidden="1" outlineLevel="1">
      <c r="B1183" s="187">
        <v>24261</v>
      </c>
      <c r="C1183" s="188">
        <v>4.78</v>
      </c>
      <c r="D1183" s="104">
        <f t="shared" si="18"/>
        <v>4.7800000000000002E-2</v>
      </c>
      <c r="F1183" s="5"/>
    </row>
    <row r="1184" spans="2:6" ht="13.8" hidden="1" outlineLevel="1">
      <c r="B1184" s="187">
        <v>24264</v>
      </c>
      <c r="C1184" s="188">
        <v>4.79</v>
      </c>
      <c r="D1184" s="104">
        <f t="shared" si="18"/>
        <v>4.7899999999999998E-2</v>
      </c>
      <c r="F1184" s="5"/>
    </row>
    <row r="1185" spans="2:6" ht="13.8" hidden="1" outlineLevel="1">
      <c r="B1185" s="187">
        <v>24265</v>
      </c>
      <c r="C1185" s="188">
        <v>4.8099999999999996</v>
      </c>
      <c r="D1185" s="104">
        <f t="shared" si="18"/>
        <v>4.8099999999999997E-2</v>
      </c>
      <c r="F1185" s="5"/>
    </row>
    <row r="1186" spans="2:6" ht="13.8" hidden="1" outlineLevel="1">
      <c r="B1186" s="187">
        <v>24266</v>
      </c>
      <c r="C1186" s="188">
        <v>4.83</v>
      </c>
      <c r="D1186" s="104">
        <f t="shared" si="18"/>
        <v>4.8300000000000003E-2</v>
      </c>
      <c r="F1186" s="5"/>
    </row>
    <row r="1187" spans="2:6" ht="13.8" hidden="1" outlineLevel="1">
      <c r="B1187" s="187">
        <v>24267</v>
      </c>
      <c r="C1187" s="188">
        <v>4.83</v>
      </c>
      <c r="D1187" s="104">
        <f t="shared" si="18"/>
        <v>4.8300000000000003E-2</v>
      </c>
      <c r="F1187" s="5"/>
    </row>
    <row r="1188" spans="2:6" ht="13.8" hidden="1" outlineLevel="1">
      <c r="B1188" s="187">
        <v>24268</v>
      </c>
      <c r="C1188" s="188">
        <v>4.83</v>
      </c>
      <c r="D1188" s="104">
        <f t="shared" si="18"/>
        <v>4.8300000000000003E-2</v>
      </c>
      <c r="F1188" s="5"/>
    </row>
    <row r="1189" spans="2:6" ht="13.8" hidden="1" outlineLevel="1">
      <c r="B1189" s="187">
        <v>24271</v>
      </c>
      <c r="C1189" s="188">
        <v>4.83</v>
      </c>
      <c r="D1189" s="104">
        <f t="shared" si="18"/>
        <v>4.8300000000000003E-2</v>
      </c>
      <c r="F1189" s="5"/>
    </row>
    <row r="1190" spans="2:6" ht="13.8" hidden="1" outlineLevel="1">
      <c r="B1190" s="187">
        <v>24272</v>
      </c>
      <c r="C1190" s="188">
        <v>4.83</v>
      </c>
      <c r="D1190" s="104">
        <f t="shared" si="18"/>
        <v>4.8300000000000003E-2</v>
      </c>
      <c r="F1190" s="5"/>
    </row>
    <row r="1191" spans="2:6" ht="13.8" hidden="1" outlineLevel="1">
      <c r="B1191" s="187">
        <v>24273</v>
      </c>
      <c r="C1191" s="188">
        <v>4.79</v>
      </c>
      <c r="D1191" s="104">
        <f t="shared" si="18"/>
        <v>4.7899999999999998E-2</v>
      </c>
      <c r="F1191" s="5"/>
    </row>
    <row r="1192" spans="2:6" ht="13.8" hidden="1" outlineLevel="1">
      <c r="B1192" s="187">
        <v>24274</v>
      </c>
      <c r="C1192" s="188">
        <v>4.8099999999999996</v>
      </c>
      <c r="D1192" s="104">
        <f t="shared" si="18"/>
        <v>4.8099999999999997E-2</v>
      </c>
      <c r="F1192" s="5"/>
    </row>
    <row r="1193" spans="2:6" ht="13.8" hidden="1" outlineLevel="1">
      <c r="B1193" s="187">
        <v>24275</v>
      </c>
      <c r="C1193" s="188">
        <v>4.8</v>
      </c>
      <c r="D1193" s="104">
        <f t="shared" si="18"/>
        <v>4.8000000000000001E-2</v>
      </c>
      <c r="F1193" s="5"/>
    </row>
    <row r="1194" spans="2:6" ht="13.8" hidden="1" outlineLevel="1">
      <c r="B1194" s="187">
        <v>24278</v>
      </c>
      <c r="C1194" s="188">
        <v>4.76</v>
      </c>
      <c r="D1194" s="104">
        <f t="shared" si="18"/>
        <v>4.7599999999999996E-2</v>
      </c>
      <c r="F1194" s="5"/>
    </row>
    <row r="1195" spans="2:6" ht="13.8" hidden="1" outlineLevel="1">
      <c r="B1195" s="187">
        <v>24279</v>
      </c>
      <c r="C1195" s="188">
        <v>4.75</v>
      </c>
      <c r="D1195" s="104">
        <f t="shared" si="18"/>
        <v>4.7500000000000001E-2</v>
      </c>
      <c r="F1195" s="5"/>
    </row>
    <row r="1196" spans="2:6" ht="13.8" hidden="1" outlineLevel="1">
      <c r="B1196" s="187">
        <v>24280</v>
      </c>
      <c r="C1196" s="188">
        <v>4.76</v>
      </c>
      <c r="D1196" s="104">
        <f t="shared" si="18"/>
        <v>4.7599999999999996E-2</v>
      </c>
      <c r="F1196" s="5"/>
    </row>
    <row r="1197" spans="2:6" ht="13.8" hidden="1" outlineLevel="1">
      <c r="B1197" s="187">
        <v>24281</v>
      </c>
      <c r="C1197" s="188">
        <v>4.7699999999999996</v>
      </c>
      <c r="D1197" s="104">
        <f t="shared" si="18"/>
        <v>4.7699999999999992E-2</v>
      </c>
      <c r="F1197" s="5"/>
    </row>
    <row r="1198" spans="2:6" ht="13.8" hidden="1" outlineLevel="1">
      <c r="B1198" s="187">
        <v>24282</v>
      </c>
      <c r="C1198" s="188">
        <v>4.8</v>
      </c>
      <c r="D1198" s="104">
        <f t="shared" si="18"/>
        <v>4.8000000000000001E-2</v>
      </c>
      <c r="F1198" s="5"/>
    </row>
    <row r="1199" spans="2:6" ht="13.8" hidden="1" outlineLevel="1">
      <c r="B1199" s="187">
        <v>24285</v>
      </c>
      <c r="C1199" s="188">
        <v>4.83</v>
      </c>
      <c r="D1199" s="104">
        <f t="shared" si="18"/>
        <v>4.8300000000000003E-2</v>
      </c>
      <c r="F1199" s="5"/>
    </row>
    <row r="1200" spans="2:6" ht="13.8" hidden="1" outlineLevel="1">
      <c r="B1200" s="187">
        <v>24286</v>
      </c>
      <c r="C1200" s="188">
        <v>4.8899999999999997</v>
      </c>
      <c r="D1200" s="104">
        <f t="shared" si="18"/>
        <v>4.8899999999999999E-2</v>
      </c>
      <c r="F1200" s="5"/>
    </row>
    <row r="1201" spans="2:6" ht="13.8" hidden="1" outlineLevel="1">
      <c r="B1201" s="187">
        <v>24287</v>
      </c>
      <c r="C1201" s="188">
        <v>4.9000000000000004</v>
      </c>
      <c r="D1201" s="104">
        <f t="shared" si="18"/>
        <v>4.9000000000000002E-2</v>
      </c>
      <c r="F1201" s="5"/>
    </row>
    <row r="1202" spans="2:6" ht="13.8" hidden="1" outlineLevel="1">
      <c r="B1202" s="187">
        <v>24288</v>
      </c>
      <c r="C1202" s="188">
        <v>4.97</v>
      </c>
      <c r="D1202" s="104">
        <f t="shared" si="18"/>
        <v>4.9699999999999994E-2</v>
      </c>
      <c r="F1202" s="5"/>
    </row>
    <row r="1203" spans="2:6" ht="13.8" hidden="1" outlineLevel="1">
      <c r="B1203" s="187">
        <v>24289</v>
      </c>
      <c r="C1203" s="188">
        <v>4.99</v>
      </c>
      <c r="D1203" s="104">
        <f t="shared" si="18"/>
        <v>4.99E-2</v>
      </c>
      <c r="F1203" s="5"/>
    </row>
    <row r="1204" spans="2:6" ht="13.8" hidden="1" outlineLevel="1">
      <c r="B1204" s="187">
        <v>24292</v>
      </c>
      <c r="C1204" s="188" t="s">
        <v>380</v>
      </c>
      <c r="D1204" s="104">
        <f t="shared" si="18"/>
        <v>4.99E-2</v>
      </c>
      <c r="F1204" s="5"/>
    </row>
    <row r="1205" spans="2:6" ht="13.8" hidden="1" outlineLevel="1">
      <c r="B1205" s="187">
        <v>24293</v>
      </c>
      <c r="C1205" s="188">
        <v>4.96</v>
      </c>
      <c r="D1205" s="104">
        <f t="shared" si="18"/>
        <v>4.9599999999999998E-2</v>
      </c>
      <c r="F1205" s="5"/>
    </row>
    <row r="1206" spans="2:6" ht="13.8" hidden="1" outlineLevel="1">
      <c r="B1206" s="187">
        <v>24294</v>
      </c>
      <c r="C1206" s="188">
        <v>4.95</v>
      </c>
      <c r="D1206" s="104">
        <f t="shared" si="18"/>
        <v>4.9500000000000002E-2</v>
      </c>
      <c r="F1206" s="5"/>
    </row>
    <row r="1207" spans="2:6" ht="13.8" hidden="1" outlineLevel="1">
      <c r="B1207" s="187">
        <v>24295</v>
      </c>
      <c r="C1207" s="188">
        <v>4.95</v>
      </c>
      <c r="D1207" s="104">
        <f t="shared" si="18"/>
        <v>4.9500000000000002E-2</v>
      </c>
      <c r="F1207" s="5"/>
    </row>
    <row r="1208" spans="2:6" ht="13.8" hidden="1" outlineLevel="1">
      <c r="B1208" s="187">
        <v>24296</v>
      </c>
      <c r="C1208" s="188">
        <v>4.97</v>
      </c>
      <c r="D1208" s="104">
        <f t="shared" si="18"/>
        <v>4.9699999999999994E-2</v>
      </c>
      <c r="F1208" s="5"/>
    </row>
    <row r="1209" spans="2:6" ht="13.8" hidden="1" outlineLevel="1">
      <c r="B1209" s="187">
        <v>24299</v>
      </c>
      <c r="C1209" s="188">
        <v>5.03</v>
      </c>
      <c r="D1209" s="104">
        <f t="shared" si="18"/>
        <v>5.0300000000000004E-2</v>
      </c>
      <c r="F1209" s="5"/>
    </row>
    <row r="1210" spans="2:6" ht="13.8" hidden="1" outlineLevel="1">
      <c r="B1210" s="187">
        <v>24300</v>
      </c>
      <c r="C1210" s="188">
        <v>5.05</v>
      </c>
      <c r="D1210" s="104">
        <f t="shared" si="18"/>
        <v>5.0499999999999996E-2</v>
      </c>
      <c r="F1210" s="5"/>
    </row>
    <row r="1211" spans="2:6" ht="13.8" hidden="1" outlineLevel="1">
      <c r="B1211" s="187">
        <v>24301</v>
      </c>
      <c r="C1211" s="188">
        <v>5.07</v>
      </c>
      <c r="D1211" s="104">
        <f t="shared" si="18"/>
        <v>5.0700000000000002E-2</v>
      </c>
      <c r="F1211" s="5"/>
    </row>
    <row r="1212" spans="2:6" ht="13.8" hidden="1" outlineLevel="1">
      <c r="B1212" s="187">
        <v>24302</v>
      </c>
      <c r="C1212" s="188">
        <v>5.0999999999999996</v>
      </c>
      <c r="D1212" s="104">
        <f t="shared" si="18"/>
        <v>5.0999999999999997E-2</v>
      </c>
      <c r="F1212" s="5"/>
    </row>
    <row r="1213" spans="2:6" ht="13.8" hidden="1" outlineLevel="1">
      <c r="B1213" s="187">
        <v>24303</v>
      </c>
      <c r="C1213" s="188">
        <v>5.09</v>
      </c>
      <c r="D1213" s="104">
        <f t="shared" si="18"/>
        <v>5.0900000000000001E-2</v>
      </c>
      <c r="F1213" s="5"/>
    </row>
    <row r="1214" spans="2:6" ht="13.8" hidden="1" outlineLevel="1">
      <c r="B1214" s="187">
        <v>24306</v>
      </c>
      <c r="C1214" s="188">
        <v>5.04</v>
      </c>
      <c r="D1214" s="104">
        <f t="shared" si="18"/>
        <v>5.04E-2</v>
      </c>
      <c r="F1214" s="5"/>
    </row>
    <row r="1215" spans="2:6" ht="13.8" hidden="1" outlineLevel="1">
      <c r="B1215" s="187">
        <v>24307</v>
      </c>
      <c r="C1215" s="188">
        <v>5.03</v>
      </c>
      <c r="D1215" s="104">
        <f t="shared" si="18"/>
        <v>5.0300000000000004E-2</v>
      </c>
      <c r="F1215" s="5"/>
    </row>
    <row r="1216" spans="2:6" ht="13.8" hidden="1" outlineLevel="1">
      <c r="B1216" s="187">
        <v>24308</v>
      </c>
      <c r="C1216" s="188">
        <v>5.0199999999999996</v>
      </c>
      <c r="D1216" s="104">
        <f t="shared" si="18"/>
        <v>5.0199999999999995E-2</v>
      </c>
      <c r="F1216" s="5"/>
    </row>
    <row r="1217" spans="2:6" ht="13.8" hidden="1" outlineLevel="1">
      <c r="B1217" s="187">
        <v>24309</v>
      </c>
      <c r="C1217" s="188">
        <v>5.04</v>
      </c>
      <c r="D1217" s="104">
        <f t="shared" si="18"/>
        <v>5.04E-2</v>
      </c>
      <c r="F1217" s="5"/>
    </row>
    <row r="1218" spans="2:6" ht="13.8" hidden="1" outlineLevel="1">
      <c r="B1218" s="187">
        <v>24310</v>
      </c>
      <c r="C1218" s="188">
        <v>5.0199999999999996</v>
      </c>
      <c r="D1218" s="104">
        <f t="shared" si="18"/>
        <v>5.0199999999999995E-2</v>
      </c>
      <c r="F1218" s="5"/>
    </row>
    <row r="1219" spans="2:6" ht="13.8" hidden="1" outlineLevel="1">
      <c r="B1219" s="187">
        <v>24313</v>
      </c>
      <c r="C1219" s="188">
        <v>4.99</v>
      </c>
      <c r="D1219" s="104">
        <f t="shared" si="18"/>
        <v>4.99E-2</v>
      </c>
      <c r="F1219" s="5"/>
    </row>
    <row r="1220" spans="2:6" ht="13.8" hidden="1" outlineLevel="1">
      <c r="B1220" s="187">
        <v>24314</v>
      </c>
      <c r="C1220" s="188">
        <v>4.99</v>
      </c>
      <c r="D1220" s="104">
        <f t="shared" si="18"/>
        <v>4.99E-2</v>
      </c>
      <c r="F1220" s="5"/>
    </row>
    <row r="1221" spans="2:6" ht="13.8" hidden="1" outlineLevel="1">
      <c r="B1221" s="187">
        <v>24315</v>
      </c>
      <c r="C1221" s="188">
        <v>4.99</v>
      </c>
      <c r="D1221" s="104">
        <f t="shared" si="18"/>
        <v>4.99E-2</v>
      </c>
      <c r="F1221" s="5"/>
    </row>
    <row r="1222" spans="2:6" ht="13.8" hidden="1" outlineLevel="1">
      <c r="B1222" s="187">
        <v>24316</v>
      </c>
      <c r="C1222" s="188">
        <v>5.03</v>
      </c>
      <c r="D1222" s="104">
        <f t="shared" si="18"/>
        <v>5.0300000000000004E-2</v>
      </c>
      <c r="F1222" s="5"/>
    </row>
    <row r="1223" spans="2:6" ht="13.8" hidden="1" outlineLevel="1">
      <c r="B1223" s="187">
        <v>24317</v>
      </c>
      <c r="C1223" s="188">
        <v>5.05</v>
      </c>
      <c r="D1223" s="104">
        <f t="shared" si="18"/>
        <v>5.0499999999999996E-2</v>
      </c>
      <c r="F1223" s="5"/>
    </row>
    <row r="1224" spans="2:6" ht="13.8" hidden="1" outlineLevel="1">
      <c r="B1224" s="187">
        <v>24320</v>
      </c>
      <c r="C1224" s="188">
        <v>5.05</v>
      </c>
      <c r="D1224" s="104">
        <f t="shared" si="18"/>
        <v>5.0499999999999996E-2</v>
      </c>
      <c r="F1224" s="5"/>
    </row>
    <row r="1225" spans="2:6" ht="13.8" hidden="1" outlineLevel="1">
      <c r="B1225" s="187">
        <v>24321</v>
      </c>
      <c r="C1225" s="188">
        <v>5.04</v>
      </c>
      <c r="D1225" s="104">
        <f t="shared" si="18"/>
        <v>5.04E-2</v>
      </c>
      <c r="F1225" s="5"/>
    </row>
    <row r="1226" spans="2:6" ht="13.8" hidden="1" outlineLevel="1">
      <c r="B1226" s="187">
        <v>24322</v>
      </c>
      <c r="C1226" s="188">
        <v>5.0599999999999996</v>
      </c>
      <c r="D1226" s="104">
        <f t="shared" si="18"/>
        <v>5.0599999999999999E-2</v>
      </c>
      <c r="F1226" s="5"/>
    </row>
    <row r="1227" spans="2:6" ht="13.8" hidden="1" outlineLevel="1">
      <c r="B1227" s="187">
        <v>24323</v>
      </c>
      <c r="C1227" s="188">
        <v>5.07</v>
      </c>
      <c r="D1227" s="104">
        <f t="shared" si="18"/>
        <v>5.0700000000000002E-2</v>
      </c>
      <c r="F1227" s="5"/>
    </row>
    <row r="1228" spans="2:6" ht="13.8" hidden="1" outlineLevel="1">
      <c r="B1228" s="187">
        <v>24324</v>
      </c>
      <c r="C1228" s="188">
        <v>5.07</v>
      </c>
      <c r="D1228" s="104">
        <f t="shared" si="18"/>
        <v>5.0700000000000002E-2</v>
      </c>
      <c r="F1228" s="5"/>
    </row>
    <row r="1229" spans="2:6" ht="13.8" hidden="1" outlineLevel="1">
      <c r="B1229" s="187">
        <v>24327</v>
      </c>
      <c r="C1229" s="188">
        <v>5.08</v>
      </c>
      <c r="D1229" s="104">
        <f t="shared" si="18"/>
        <v>5.0799999999999998E-2</v>
      </c>
      <c r="F1229" s="5"/>
    </row>
    <row r="1230" spans="2:6" ht="13.8" hidden="1" outlineLevel="1">
      <c r="B1230" s="187">
        <v>24328</v>
      </c>
      <c r="C1230" s="188">
        <v>5.0999999999999996</v>
      </c>
      <c r="D1230" s="104">
        <f t="shared" si="18"/>
        <v>5.0999999999999997E-2</v>
      </c>
      <c r="F1230" s="5"/>
    </row>
    <row r="1231" spans="2:6" ht="13.8" hidden="1" outlineLevel="1">
      <c r="B1231" s="187">
        <v>24329</v>
      </c>
      <c r="C1231" s="188">
        <v>5.0999999999999996</v>
      </c>
      <c r="D1231" s="104">
        <f t="shared" si="18"/>
        <v>5.0999999999999997E-2</v>
      </c>
      <c r="F1231" s="5"/>
    </row>
    <row r="1232" spans="2:6" ht="13.8" hidden="1" outlineLevel="1">
      <c r="B1232" s="187">
        <v>24330</v>
      </c>
      <c r="C1232" s="188">
        <v>5.1100000000000003</v>
      </c>
      <c r="D1232" s="104">
        <f t="shared" si="18"/>
        <v>5.1100000000000007E-2</v>
      </c>
      <c r="F1232" s="5"/>
    </row>
    <row r="1233" spans="2:6" ht="13.8" hidden="1" outlineLevel="1">
      <c r="B1233" s="187">
        <v>24331</v>
      </c>
      <c r="C1233" s="188">
        <v>5.1100000000000003</v>
      </c>
      <c r="D1233" s="104">
        <f t="shared" si="18"/>
        <v>5.1100000000000007E-2</v>
      </c>
      <c r="F1233" s="5"/>
    </row>
    <row r="1234" spans="2:6" ht="13.8" hidden="1" outlineLevel="1">
      <c r="B1234" s="187">
        <v>24334</v>
      </c>
      <c r="C1234" s="188">
        <v>5.15</v>
      </c>
      <c r="D1234" s="104">
        <f t="shared" si="18"/>
        <v>5.1500000000000004E-2</v>
      </c>
      <c r="F1234" s="5"/>
    </row>
    <row r="1235" spans="2:6" ht="13.8" hidden="1" outlineLevel="1">
      <c r="B1235" s="187">
        <v>24335</v>
      </c>
      <c r="C1235" s="188">
        <v>5.18</v>
      </c>
      <c r="D1235" s="104">
        <f t="shared" si="18"/>
        <v>5.1799999999999999E-2</v>
      </c>
      <c r="F1235" s="5"/>
    </row>
    <row r="1236" spans="2:6" ht="13.8" hidden="1" outlineLevel="1">
      <c r="B1236" s="187">
        <v>24336</v>
      </c>
      <c r="C1236" s="188">
        <v>5.24</v>
      </c>
      <c r="D1236" s="104">
        <f t="shared" si="18"/>
        <v>5.2400000000000002E-2</v>
      </c>
      <c r="F1236" s="5"/>
    </row>
    <row r="1237" spans="2:6" ht="13.8" hidden="1" outlineLevel="1">
      <c r="B1237" s="187">
        <v>24337</v>
      </c>
      <c r="C1237" s="188">
        <v>5.29</v>
      </c>
      <c r="D1237" s="104">
        <f t="shared" si="18"/>
        <v>5.2900000000000003E-2</v>
      </c>
      <c r="F1237" s="5"/>
    </row>
    <row r="1238" spans="2:6" ht="13.8" hidden="1" outlineLevel="1">
      <c r="B1238" s="187">
        <v>24338</v>
      </c>
      <c r="C1238" s="188">
        <v>5.31</v>
      </c>
      <c r="D1238" s="104">
        <f t="shared" si="18"/>
        <v>5.3099999999999994E-2</v>
      </c>
      <c r="F1238" s="5"/>
    </row>
    <row r="1239" spans="2:6" ht="13.8" hidden="1" outlineLevel="1">
      <c r="B1239" s="187">
        <v>24341</v>
      </c>
      <c r="C1239" s="188">
        <v>5.29</v>
      </c>
      <c r="D1239" s="104">
        <f t="shared" si="18"/>
        <v>5.2900000000000003E-2</v>
      </c>
      <c r="F1239" s="5"/>
    </row>
    <row r="1240" spans="2:6" ht="13.8" hidden="1" outlineLevel="1">
      <c r="B1240" s="187">
        <v>24342</v>
      </c>
      <c r="C1240" s="188">
        <v>5.33</v>
      </c>
      <c r="D1240" s="104">
        <f t="shared" si="18"/>
        <v>5.33E-2</v>
      </c>
      <c r="F1240" s="5"/>
    </row>
    <row r="1241" spans="2:6" ht="13.8" hidden="1" outlineLevel="1">
      <c r="B1241" s="187">
        <v>24343</v>
      </c>
      <c r="C1241" s="188">
        <v>5.36</v>
      </c>
      <c r="D1241" s="104">
        <f t="shared" si="18"/>
        <v>5.3600000000000002E-2</v>
      </c>
      <c r="F1241" s="5"/>
    </row>
    <row r="1242" spans="2:6" ht="13.8" hidden="1" outlineLevel="1">
      <c r="B1242" s="187">
        <v>24344</v>
      </c>
      <c r="C1242" s="188">
        <v>5.39</v>
      </c>
      <c r="D1242" s="104">
        <f t="shared" si="18"/>
        <v>5.3899999999999997E-2</v>
      </c>
      <c r="F1242" s="5"/>
    </row>
    <row r="1243" spans="2:6" ht="13.8" hidden="1" outlineLevel="1">
      <c r="B1243" s="187">
        <v>24345</v>
      </c>
      <c r="C1243" s="188">
        <v>5.48</v>
      </c>
      <c r="D1243" s="104">
        <f t="shared" si="18"/>
        <v>5.4800000000000001E-2</v>
      </c>
      <c r="F1243" s="5"/>
    </row>
    <row r="1244" spans="2:6" ht="13.8" hidden="1" outlineLevel="1">
      <c r="B1244" s="187">
        <v>24348</v>
      </c>
      <c r="C1244" s="188">
        <v>5.51</v>
      </c>
      <c r="D1244" s="104">
        <f t="shared" si="18"/>
        <v>5.5099999999999996E-2</v>
      </c>
      <c r="F1244" s="5"/>
    </row>
    <row r="1245" spans="2:6" ht="13.8" hidden="1" outlineLevel="1">
      <c r="B1245" s="187">
        <v>24349</v>
      </c>
      <c r="C1245" s="188">
        <v>5.48</v>
      </c>
      <c r="D1245" s="104">
        <f t="shared" si="18"/>
        <v>5.4800000000000001E-2</v>
      </c>
      <c r="F1245" s="5"/>
    </row>
    <row r="1246" spans="2:6" ht="13.8" hidden="1" outlineLevel="1">
      <c r="B1246" s="187">
        <v>24350</v>
      </c>
      <c r="C1246" s="188">
        <v>5.36</v>
      </c>
      <c r="D1246" s="104">
        <f t="shared" ref="D1246:D1309" si="19">IF( LEN( C1246 ) = 0, #N/A, IF( C1246 = "ND", D1245, C1246 / 100 ) )</f>
        <v>5.3600000000000002E-2</v>
      </c>
      <c r="F1246" s="5"/>
    </row>
    <row r="1247" spans="2:6" ht="13.8" hidden="1" outlineLevel="1">
      <c r="B1247" s="187">
        <v>24351</v>
      </c>
      <c r="C1247" s="188">
        <v>5.3</v>
      </c>
      <c r="D1247" s="104">
        <f t="shared" si="19"/>
        <v>5.2999999999999999E-2</v>
      </c>
      <c r="F1247" s="5"/>
    </row>
    <row r="1248" spans="2:6" ht="13.8" hidden="1" outlineLevel="1">
      <c r="B1248" s="187">
        <v>24352</v>
      </c>
      <c r="C1248" s="188">
        <v>5.23</v>
      </c>
      <c r="D1248" s="104">
        <f t="shared" si="19"/>
        <v>5.2300000000000006E-2</v>
      </c>
      <c r="F1248" s="5"/>
    </row>
    <row r="1249" spans="2:6" ht="13.8" hidden="1" outlineLevel="1">
      <c r="B1249" s="187">
        <v>24355</v>
      </c>
      <c r="C1249" s="188" t="s">
        <v>380</v>
      </c>
      <c r="D1249" s="104">
        <f t="shared" si="19"/>
        <v>5.2300000000000006E-2</v>
      </c>
      <c r="F1249" s="5"/>
    </row>
    <row r="1250" spans="2:6" ht="13.8" hidden="1" outlineLevel="1">
      <c r="B1250" s="187">
        <v>24356</v>
      </c>
      <c r="C1250" s="188">
        <v>5.19</v>
      </c>
      <c r="D1250" s="104">
        <f t="shared" si="19"/>
        <v>5.1900000000000002E-2</v>
      </c>
      <c r="F1250" s="5"/>
    </row>
    <row r="1251" spans="2:6" ht="13.8" hidden="1" outlineLevel="1">
      <c r="B1251" s="187">
        <v>24357</v>
      </c>
      <c r="C1251" s="188">
        <v>5.2</v>
      </c>
      <c r="D1251" s="104">
        <f t="shared" si="19"/>
        <v>5.2000000000000005E-2</v>
      </c>
      <c r="F1251" s="5"/>
    </row>
    <row r="1252" spans="2:6" ht="13.8" hidden="1" outlineLevel="1">
      <c r="B1252" s="187">
        <v>24358</v>
      </c>
      <c r="C1252" s="188">
        <v>5.18</v>
      </c>
      <c r="D1252" s="104">
        <f t="shared" si="19"/>
        <v>5.1799999999999999E-2</v>
      </c>
      <c r="F1252" s="5"/>
    </row>
    <row r="1253" spans="2:6" ht="13.8" hidden="1" outlineLevel="1">
      <c r="B1253" s="187">
        <v>24359</v>
      </c>
      <c r="C1253" s="188">
        <v>5.17</v>
      </c>
      <c r="D1253" s="104">
        <f t="shared" si="19"/>
        <v>5.1699999999999996E-2</v>
      </c>
      <c r="F1253" s="5"/>
    </row>
    <row r="1254" spans="2:6" ht="13.8" hidden="1" outlineLevel="1">
      <c r="B1254" s="187">
        <v>24362</v>
      </c>
      <c r="C1254" s="188">
        <v>5.18</v>
      </c>
      <c r="D1254" s="104">
        <f t="shared" si="19"/>
        <v>5.1799999999999999E-2</v>
      </c>
      <c r="F1254" s="5"/>
    </row>
    <row r="1255" spans="2:6" ht="13.8" hidden="1" outlineLevel="1">
      <c r="B1255" s="187">
        <v>24363</v>
      </c>
      <c r="C1255" s="188">
        <v>5.16</v>
      </c>
      <c r="D1255" s="104">
        <f t="shared" si="19"/>
        <v>5.16E-2</v>
      </c>
      <c r="F1255" s="5"/>
    </row>
    <row r="1256" spans="2:6" ht="13.8" hidden="1" outlineLevel="1">
      <c r="B1256" s="187">
        <v>24364</v>
      </c>
      <c r="C1256" s="188">
        <v>5.21</v>
      </c>
      <c r="D1256" s="104">
        <f t="shared" si="19"/>
        <v>5.21E-2</v>
      </c>
      <c r="F1256" s="5"/>
    </row>
    <row r="1257" spans="2:6" ht="13.8" hidden="1" outlineLevel="1">
      <c r="B1257" s="187">
        <v>24365</v>
      </c>
      <c r="C1257" s="188">
        <v>5.25</v>
      </c>
      <c r="D1257" s="104">
        <f t="shared" si="19"/>
        <v>5.2499999999999998E-2</v>
      </c>
      <c r="F1257" s="5"/>
    </row>
    <row r="1258" spans="2:6" ht="13.8" hidden="1" outlineLevel="1">
      <c r="B1258" s="187">
        <v>24366</v>
      </c>
      <c r="C1258" s="188">
        <v>5.24</v>
      </c>
      <c r="D1258" s="104">
        <f t="shared" si="19"/>
        <v>5.2400000000000002E-2</v>
      </c>
      <c r="F1258" s="5"/>
    </row>
    <row r="1259" spans="2:6" ht="13.8" hidden="1" outlineLevel="1">
      <c r="B1259" s="187">
        <v>24369</v>
      </c>
      <c r="C1259" s="188">
        <v>5.32</v>
      </c>
      <c r="D1259" s="104">
        <f t="shared" si="19"/>
        <v>5.3200000000000004E-2</v>
      </c>
      <c r="F1259" s="5"/>
    </row>
    <row r="1260" spans="2:6" ht="13.8" hidden="1" outlineLevel="1">
      <c r="B1260" s="187">
        <v>24370</v>
      </c>
      <c r="C1260" s="188">
        <v>5.27</v>
      </c>
      <c r="D1260" s="104">
        <f t="shared" si="19"/>
        <v>5.2699999999999997E-2</v>
      </c>
      <c r="F1260" s="5"/>
    </row>
    <row r="1261" spans="2:6" ht="13.8" hidden="1" outlineLevel="1">
      <c r="B1261" s="187">
        <v>24371</v>
      </c>
      <c r="C1261" s="188">
        <v>5.21</v>
      </c>
      <c r="D1261" s="104">
        <f t="shared" si="19"/>
        <v>5.21E-2</v>
      </c>
      <c r="F1261" s="5"/>
    </row>
    <row r="1262" spans="2:6" ht="13.8" hidden="1" outlineLevel="1">
      <c r="B1262" s="187">
        <v>24372</v>
      </c>
      <c r="C1262" s="188">
        <v>5.15</v>
      </c>
      <c r="D1262" s="104">
        <f t="shared" si="19"/>
        <v>5.1500000000000004E-2</v>
      </c>
      <c r="F1262" s="5"/>
    </row>
    <row r="1263" spans="2:6" ht="13.8" hidden="1" outlineLevel="1">
      <c r="B1263" s="187">
        <v>24373</v>
      </c>
      <c r="C1263" s="188">
        <v>5.17</v>
      </c>
      <c r="D1263" s="104">
        <f t="shared" si="19"/>
        <v>5.1699999999999996E-2</v>
      </c>
      <c r="F1263" s="5"/>
    </row>
    <row r="1264" spans="2:6" ht="13.8" hidden="1" outlineLevel="1">
      <c r="B1264" s="187">
        <v>24376</v>
      </c>
      <c r="C1264" s="188">
        <v>5.17</v>
      </c>
      <c r="D1264" s="104">
        <f t="shared" si="19"/>
        <v>5.1699999999999996E-2</v>
      </c>
      <c r="F1264" s="5"/>
    </row>
    <row r="1265" spans="2:6" ht="13.8" hidden="1" outlineLevel="1">
      <c r="B1265" s="187">
        <v>24377</v>
      </c>
      <c r="C1265" s="188">
        <v>5.13</v>
      </c>
      <c r="D1265" s="104">
        <f t="shared" si="19"/>
        <v>5.1299999999999998E-2</v>
      </c>
      <c r="F1265" s="5"/>
    </row>
    <row r="1266" spans="2:6" ht="13.8" hidden="1" outlineLevel="1">
      <c r="B1266" s="187">
        <v>24378</v>
      </c>
      <c r="C1266" s="188">
        <v>5.09</v>
      </c>
      <c r="D1266" s="104">
        <f t="shared" si="19"/>
        <v>5.0900000000000001E-2</v>
      </c>
      <c r="F1266" s="5"/>
    </row>
    <row r="1267" spans="2:6" ht="13.8" hidden="1" outlineLevel="1">
      <c r="B1267" s="187">
        <v>24379</v>
      </c>
      <c r="C1267" s="188">
        <v>4.99</v>
      </c>
      <c r="D1267" s="104">
        <f t="shared" si="19"/>
        <v>4.99E-2</v>
      </c>
      <c r="F1267" s="5"/>
    </row>
    <row r="1268" spans="2:6" ht="13.8" hidden="1" outlineLevel="1">
      <c r="B1268" s="187">
        <v>24380</v>
      </c>
      <c r="C1268" s="188">
        <v>5.0199999999999996</v>
      </c>
      <c r="D1268" s="104">
        <f t="shared" si="19"/>
        <v>5.0199999999999995E-2</v>
      </c>
      <c r="F1268" s="5"/>
    </row>
    <row r="1269" spans="2:6" ht="13.8" hidden="1" outlineLevel="1">
      <c r="B1269" s="187">
        <v>24383</v>
      </c>
      <c r="C1269" s="188">
        <v>5.08</v>
      </c>
      <c r="D1269" s="104">
        <f t="shared" si="19"/>
        <v>5.0799999999999998E-2</v>
      </c>
      <c r="F1269" s="5"/>
    </row>
    <row r="1270" spans="2:6" ht="13.8" hidden="1" outlineLevel="1">
      <c r="B1270" s="187">
        <v>24384</v>
      </c>
      <c r="C1270" s="188">
        <v>5.0599999999999996</v>
      </c>
      <c r="D1270" s="104">
        <f t="shared" si="19"/>
        <v>5.0599999999999999E-2</v>
      </c>
      <c r="F1270" s="5"/>
    </row>
    <row r="1271" spans="2:6" ht="13.8" hidden="1" outlineLevel="1">
      <c r="B1271" s="187">
        <v>24385</v>
      </c>
      <c r="C1271" s="188">
        <v>5.05</v>
      </c>
      <c r="D1271" s="104">
        <f t="shared" si="19"/>
        <v>5.0499999999999996E-2</v>
      </c>
      <c r="F1271" s="5"/>
    </row>
    <row r="1272" spans="2:6" ht="13.8" hidden="1" outlineLevel="1">
      <c r="B1272" s="187">
        <v>24386</v>
      </c>
      <c r="C1272" s="188">
        <v>5.03</v>
      </c>
      <c r="D1272" s="104">
        <f t="shared" si="19"/>
        <v>5.0300000000000004E-2</v>
      </c>
      <c r="F1272" s="5"/>
    </row>
    <row r="1273" spans="2:6" ht="13.8" hidden="1" outlineLevel="1">
      <c r="B1273" s="187">
        <v>24387</v>
      </c>
      <c r="C1273" s="188">
        <v>5.0199999999999996</v>
      </c>
      <c r="D1273" s="104">
        <f t="shared" si="19"/>
        <v>5.0199999999999995E-2</v>
      </c>
      <c r="F1273" s="5"/>
    </row>
    <row r="1274" spans="2:6" ht="13.8" hidden="1" outlineLevel="1">
      <c r="B1274" s="187">
        <v>24390</v>
      </c>
      <c r="C1274" s="188">
        <v>5.05</v>
      </c>
      <c r="D1274" s="104">
        <f t="shared" si="19"/>
        <v>5.0499999999999996E-2</v>
      </c>
      <c r="F1274" s="5"/>
    </row>
    <row r="1275" spans="2:6" ht="13.8" hidden="1" outlineLevel="1">
      <c r="B1275" s="187">
        <v>24391</v>
      </c>
      <c r="C1275" s="188">
        <v>5.05</v>
      </c>
      <c r="D1275" s="104">
        <f t="shared" si="19"/>
        <v>5.0499999999999996E-2</v>
      </c>
      <c r="F1275" s="5"/>
    </row>
    <row r="1276" spans="2:6" ht="13.8" hidden="1" outlineLevel="1">
      <c r="B1276" s="187">
        <v>24392</v>
      </c>
      <c r="C1276" s="188" t="s">
        <v>380</v>
      </c>
      <c r="D1276" s="104">
        <f t="shared" si="19"/>
        <v>5.0499999999999996E-2</v>
      </c>
      <c r="F1276" s="5"/>
    </row>
    <row r="1277" spans="2:6" ht="13.8" hidden="1" outlineLevel="1">
      <c r="B1277" s="187">
        <v>24393</v>
      </c>
      <c r="C1277" s="188">
        <v>5.07</v>
      </c>
      <c r="D1277" s="104">
        <f t="shared" si="19"/>
        <v>5.0700000000000002E-2</v>
      </c>
      <c r="F1277" s="5"/>
    </row>
    <row r="1278" spans="2:6" ht="13.8" hidden="1" outlineLevel="1">
      <c r="B1278" s="187">
        <v>24394</v>
      </c>
      <c r="C1278" s="188">
        <v>5.0599999999999996</v>
      </c>
      <c r="D1278" s="104">
        <f t="shared" si="19"/>
        <v>5.0599999999999999E-2</v>
      </c>
      <c r="F1278" s="5"/>
    </row>
    <row r="1279" spans="2:6" ht="13.8" hidden="1" outlineLevel="1">
      <c r="B1279" s="187">
        <v>24397</v>
      </c>
      <c r="C1279" s="188">
        <v>5.04</v>
      </c>
      <c r="D1279" s="104">
        <f t="shared" si="19"/>
        <v>5.04E-2</v>
      </c>
      <c r="F1279" s="5"/>
    </row>
    <row r="1280" spans="2:6" ht="13.8" hidden="1" outlineLevel="1">
      <c r="B1280" s="187">
        <v>24398</v>
      </c>
      <c r="C1280" s="188">
        <v>4.99</v>
      </c>
      <c r="D1280" s="104">
        <f t="shared" si="19"/>
        <v>4.99E-2</v>
      </c>
      <c r="F1280" s="5"/>
    </row>
    <row r="1281" spans="2:6" ht="13.8" hidden="1" outlineLevel="1">
      <c r="B1281" s="187">
        <v>24399</v>
      </c>
      <c r="C1281" s="188">
        <v>5</v>
      </c>
      <c r="D1281" s="104">
        <f t="shared" si="19"/>
        <v>0.05</v>
      </c>
      <c r="F1281" s="5"/>
    </row>
    <row r="1282" spans="2:6" ht="13.8" hidden="1" outlineLevel="1">
      <c r="B1282" s="187">
        <v>24400</v>
      </c>
      <c r="C1282" s="188">
        <v>5.0199999999999996</v>
      </c>
      <c r="D1282" s="104">
        <f t="shared" si="19"/>
        <v>5.0199999999999995E-2</v>
      </c>
      <c r="F1282" s="5"/>
    </row>
    <row r="1283" spans="2:6" ht="13.8" hidden="1" outlineLevel="1">
      <c r="B1283" s="187">
        <v>24401</v>
      </c>
      <c r="C1283" s="188">
        <v>4.9400000000000004</v>
      </c>
      <c r="D1283" s="104">
        <f t="shared" si="19"/>
        <v>4.9400000000000006E-2</v>
      </c>
      <c r="F1283" s="5"/>
    </row>
    <row r="1284" spans="2:6" ht="13.8" hidden="1" outlineLevel="1">
      <c r="B1284" s="187">
        <v>24404</v>
      </c>
      <c r="C1284" s="188">
        <v>4.9400000000000004</v>
      </c>
      <c r="D1284" s="104">
        <f t="shared" si="19"/>
        <v>4.9400000000000006E-2</v>
      </c>
      <c r="F1284" s="5"/>
    </row>
    <row r="1285" spans="2:6" ht="13.8" hidden="1" outlineLevel="1">
      <c r="B1285" s="187">
        <v>24405</v>
      </c>
      <c r="C1285" s="188">
        <v>4.9400000000000004</v>
      </c>
      <c r="D1285" s="104">
        <f t="shared" si="19"/>
        <v>4.9400000000000006E-2</v>
      </c>
      <c r="F1285" s="5"/>
    </row>
    <row r="1286" spans="2:6" ht="13.8" hidden="1" outlineLevel="1">
      <c r="B1286" s="187">
        <v>24406</v>
      </c>
      <c r="C1286" s="188">
        <v>4.96</v>
      </c>
      <c r="D1286" s="104">
        <f t="shared" si="19"/>
        <v>4.9599999999999998E-2</v>
      </c>
      <c r="F1286" s="5"/>
    </row>
    <row r="1287" spans="2:6" ht="13.8" hidden="1" outlineLevel="1">
      <c r="B1287" s="187">
        <v>24407</v>
      </c>
      <c r="C1287" s="188">
        <v>4.99</v>
      </c>
      <c r="D1287" s="104">
        <f t="shared" si="19"/>
        <v>4.99E-2</v>
      </c>
      <c r="F1287" s="5"/>
    </row>
    <row r="1288" spans="2:6" ht="13.8" hidden="1" outlineLevel="1">
      <c r="B1288" s="187">
        <v>24408</v>
      </c>
      <c r="C1288" s="188">
        <v>4.97</v>
      </c>
      <c r="D1288" s="104">
        <f t="shared" si="19"/>
        <v>4.9699999999999994E-2</v>
      </c>
      <c r="F1288" s="5"/>
    </row>
    <row r="1289" spans="2:6" ht="13.8" hidden="1" outlineLevel="1">
      <c r="B1289" s="187">
        <v>24411</v>
      </c>
      <c r="C1289" s="188">
        <v>4.97</v>
      </c>
      <c r="D1289" s="104">
        <f t="shared" si="19"/>
        <v>4.9699999999999994E-2</v>
      </c>
      <c r="F1289" s="5"/>
    </row>
    <row r="1290" spans="2:6" ht="13.8" hidden="1" outlineLevel="1">
      <c r="B1290" s="187">
        <v>24412</v>
      </c>
      <c r="C1290" s="188">
        <v>4.99</v>
      </c>
      <c r="D1290" s="104">
        <f t="shared" si="19"/>
        <v>4.99E-2</v>
      </c>
      <c r="F1290" s="5"/>
    </row>
    <row r="1291" spans="2:6" ht="13.8" hidden="1" outlineLevel="1">
      <c r="B1291" s="187">
        <v>24413</v>
      </c>
      <c r="C1291" s="188">
        <v>5.04</v>
      </c>
      <c r="D1291" s="104">
        <f t="shared" si="19"/>
        <v>5.04E-2</v>
      </c>
      <c r="F1291" s="5"/>
    </row>
    <row r="1292" spans="2:6" ht="13.8" hidden="1" outlineLevel="1">
      <c r="B1292" s="187">
        <v>24414</v>
      </c>
      <c r="C1292" s="188">
        <v>5.0599999999999996</v>
      </c>
      <c r="D1292" s="104">
        <f t="shared" si="19"/>
        <v>5.0599999999999999E-2</v>
      </c>
      <c r="F1292" s="5"/>
    </row>
    <row r="1293" spans="2:6" ht="13.8" hidden="1" outlineLevel="1">
      <c r="B1293" s="187">
        <v>24415</v>
      </c>
      <c r="C1293" s="188">
        <v>5.1100000000000003</v>
      </c>
      <c r="D1293" s="104">
        <f t="shared" si="19"/>
        <v>5.1100000000000007E-2</v>
      </c>
      <c r="F1293" s="5"/>
    </row>
    <row r="1294" spans="2:6" ht="13.8" hidden="1" outlineLevel="1">
      <c r="B1294" s="187">
        <v>24418</v>
      </c>
      <c r="C1294" s="188">
        <v>5.1100000000000003</v>
      </c>
      <c r="D1294" s="104">
        <f t="shared" si="19"/>
        <v>5.1100000000000007E-2</v>
      </c>
      <c r="F1294" s="5"/>
    </row>
    <row r="1295" spans="2:6" ht="13.8" hidden="1" outlineLevel="1">
      <c r="B1295" s="187">
        <v>24419</v>
      </c>
      <c r="C1295" s="188" t="s">
        <v>380</v>
      </c>
      <c r="D1295" s="104">
        <f t="shared" si="19"/>
        <v>5.1100000000000007E-2</v>
      </c>
      <c r="F1295" s="5"/>
    </row>
    <row r="1296" spans="2:6" ht="13.8" hidden="1" outlineLevel="1">
      <c r="B1296" s="187">
        <v>24420</v>
      </c>
      <c r="C1296" s="188">
        <v>5.12</v>
      </c>
      <c r="D1296" s="104">
        <f t="shared" si="19"/>
        <v>5.1200000000000002E-2</v>
      </c>
      <c r="F1296" s="5"/>
    </row>
    <row r="1297" spans="2:6" ht="13.8" hidden="1" outlineLevel="1">
      <c r="B1297" s="187">
        <v>24421</v>
      </c>
      <c r="C1297" s="188">
        <v>5.17</v>
      </c>
      <c r="D1297" s="104">
        <f t="shared" si="19"/>
        <v>5.1699999999999996E-2</v>
      </c>
      <c r="F1297" s="5"/>
    </row>
    <row r="1298" spans="2:6" ht="13.8" hidden="1" outlineLevel="1">
      <c r="B1298" s="187">
        <v>24422</v>
      </c>
      <c r="C1298" s="188" t="s">
        <v>380</v>
      </c>
      <c r="D1298" s="104">
        <f t="shared" si="19"/>
        <v>5.1699999999999996E-2</v>
      </c>
      <c r="F1298" s="5"/>
    </row>
    <row r="1299" spans="2:6" ht="13.8" hidden="1" outlineLevel="1">
      <c r="B1299" s="187">
        <v>24425</v>
      </c>
      <c r="C1299" s="188">
        <v>5.19</v>
      </c>
      <c r="D1299" s="104">
        <f t="shared" si="19"/>
        <v>5.1900000000000002E-2</v>
      </c>
      <c r="F1299" s="5"/>
    </row>
    <row r="1300" spans="2:6" ht="13.8" hidden="1" outlineLevel="1">
      <c r="B1300" s="187">
        <v>24426</v>
      </c>
      <c r="C1300" s="188">
        <v>5.21</v>
      </c>
      <c r="D1300" s="104">
        <f t="shared" si="19"/>
        <v>5.21E-2</v>
      </c>
      <c r="F1300" s="5"/>
    </row>
    <row r="1301" spans="2:6" ht="13.8" hidden="1" outlineLevel="1">
      <c r="B1301" s="187">
        <v>24427</v>
      </c>
      <c r="C1301" s="188">
        <v>5.22</v>
      </c>
      <c r="D1301" s="104">
        <f t="shared" si="19"/>
        <v>5.2199999999999996E-2</v>
      </c>
      <c r="F1301" s="5"/>
    </row>
    <row r="1302" spans="2:6" ht="13.8" hidden="1" outlineLevel="1">
      <c r="B1302" s="187">
        <v>24428</v>
      </c>
      <c r="C1302" s="188">
        <v>5.23</v>
      </c>
      <c r="D1302" s="104">
        <f t="shared" si="19"/>
        <v>5.2300000000000006E-2</v>
      </c>
      <c r="F1302" s="5"/>
    </row>
    <row r="1303" spans="2:6" ht="13.8" hidden="1" outlineLevel="1">
      <c r="B1303" s="187">
        <v>24429</v>
      </c>
      <c r="C1303" s="188">
        <v>5.22</v>
      </c>
      <c r="D1303" s="104">
        <f t="shared" si="19"/>
        <v>5.2199999999999996E-2</v>
      </c>
      <c r="F1303" s="5"/>
    </row>
    <row r="1304" spans="2:6" ht="13.8" hidden="1" outlineLevel="1">
      <c r="B1304" s="187">
        <v>24432</v>
      </c>
      <c r="C1304" s="188">
        <v>5.17</v>
      </c>
      <c r="D1304" s="104">
        <f t="shared" si="19"/>
        <v>5.1699999999999996E-2</v>
      </c>
      <c r="F1304" s="5"/>
    </row>
    <row r="1305" spans="2:6" ht="13.8" hidden="1" outlineLevel="1">
      <c r="B1305" s="187">
        <v>24433</v>
      </c>
      <c r="C1305" s="188">
        <v>5.2</v>
      </c>
      <c r="D1305" s="104">
        <f t="shared" si="19"/>
        <v>5.2000000000000005E-2</v>
      </c>
      <c r="F1305" s="5"/>
    </row>
    <row r="1306" spans="2:6" ht="13.8" hidden="1" outlineLevel="1">
      <c r="B1306" s="187">
        <v>24434</v>
      </c>
      <c r="C1306" s="188">
        <v>5.22</v>
      </c>
      <c r="D1306" s="104">
        <f t="shared" si="19"/>
        <v>5.2199999999999996E-2</v>
      </c>
      <c r="F1306" s="5"/>
    </row>
    <row r="1307" spans="2:6" ht="13.8" hidden="1" outlineLevel="1">
      <c r="B1307" s="187">
        <v>24435</v>
      </c>
      <c r="C1307" s="188" t="s">
        <v>380</v>
      </c>
      <c r="D1307" s="104">
        <f t="shared" si="19"/>
        <v>5.2199999999999996E-2</v>
      </c>
      <c r="F1307" s="5"/>
    </row>
    <row r="1308" spans="2:6" ht="13.8" hidden="1" outlineLevel="1">
      <c r="B1308" s="187">
        <v>24436</v>
      </c>
      <c r="C1308" s="188">
        <v>5.23</v>
      </c>
      <c r="D1308" s="104">
        <f t="shared" si="19"/>
        <v>5.2300000000000006E-2</v>
      </c>
      <c r="F1308" s="5"/>
    </row>
    <row r="1309" spans="2:6" ht="13.8" hidden="1" outlineLevel="1">
      <c r="B1309" s="187">
        <v>24439</v>
      </c>
      <c r="C1309" s="188">
        <v>5.19</v>
      </c>
      <c r="D1309" s="104">
        <f t="shared" si="19"/>
        <v>5.1900000000000002E-2</v>
      </c>
      <c r="F1309" s="5"/>
    </row>
    <row r="1310" spans="2:6" ht="13.8" hidden="1" outlineLevel="1">
      <c r="B1310" s="187">
        <v>24440</v>
      </c>
      <c r="C1310" s="188">
        <v>5.15</v>
      </c>
      <c r="D1310" s="104">
        <f t="shared" ref="D1310:D1373" si="20">IF( LEN( C1310 ) = 0, #N/A, IF( C1310 = "ND", D1309, C1310 / 100 ) )</f>
        <v>5.1500000000000004E-2</v>
      </c>
      <c r="F1310" s="5"/>
    </row>
    <row r="1311" spans="2:6" ht="13.8" hidden="1" outlineLevel="1">
      <c r="B1311" s="187">
        <v>24441</v>
      </c>
      <c r="C1311" s="188">
        <v>5.12</v>
      </c>
      <c r="D1311" s="104">
        <f t="shared" si="20"/>
        <v>5.1200000000000002E-2</v>
      </c>
      <c r="F1311" s="5"/>
    </row>
    <row r="1312" spans="2:6" ht="13.8" hidden="1" outlineLevel="1">
      <c r="B1312" s="187">
        <v>24442</v>
      </c>
      <c r="C1312" s="188">
        <v>5.09</v>
      </c>
      <c r="D1312" s="104">
        <f t="shared" si="20"/>
        <v>5.0900000000000001E-2</v>
      </c>
      <c r="F1312" s="5"/>
    </row>
    <row r="1313" spans="2:6" ht="13.8" hidden="1" outlineLevel="1">
      <c r="B1313" s="187">
        <v>24443</v>
      </c>
      <c r="C1313" s="188">
        <v>5.03</v>
      </c>
      <c r="D1313" s="104">
        <f t="shared" si="20"/>
        <v>5.0300000000000004E-2</v>
      </c>
      <c r="F1313" s="5"/>
    </row>
    <row r="1314" spans="2:6" ht="13.8" hidden="1" outlineLevel="1">
      <c r="B1314" s="187">
        <v>24446</v>
      </c>
      <c r="C1314" s="188">
        <v>5.0599999999999996</v>
      </c>
      <c r="D1314" s="104">
        <f t="shared" si="20"/>
        <v>5.0599999999999999E-2</v>
      </c>
      <c r="F1314" s="5"/>
    </row>
    <row r="1315" spans="2:6" ht="13.8" hidden="1" outlineLevel="1">
      <c r="B1315" s="187">
        <v>24447</v>
      </c>
      <c r="C1315" s="188">
        <v>5.07</v>
      </c>
      <c r="D1315" s="104">
        <f t="shared" si="20"/>
        <v>5.0700000000000002E-2</v>
      </c>
      <c r="F1315" s="5"/>
    </row>
    <row r="1316" spans="2:6" ht="13.8" hidden="1" outlineLevel="1">
      <c r="B1316" s="187">
        <v>24448</v>
      </c>
      <c r="C1316" s="188">
        <v>5.07</v>
      </c>
      <c r="D1316" s="104">
        <f t="shared" si="20"/>
        <v>5.0700000000000002E-2</v>
      </c>
      <c r="F1316" s="5"/>
    </row>
    <row r="1317" spans="2:6" ht="13.8" hidden="1" outlineLevel="1">
      <c r="B1317" s="187">
        <v>24449</v>
      </c>
      <c r="C1317" s="188">
        <v>5.0999999999999996</v>
      </c>
      <c r="D1317" s="104">
        <f t="shared" si="20"/>
        <v>5.0999999999999997E-2</v>
      </c>
      <c r="F1317" s="5"/>
    </row>
    <row r="1318" spans="2:6" ht="13.8" hidden="1" outlineLevel="1">
      <c r="B1318" s="187">
        <v>24450</v>
      </c>
      <c r="C1318" s="188">
        <v>5.05</v>
      </c>
      <c r="D1318" s="104">
        <f t="shared" si="20"/>
        <v>5.0499999999999996E-2</v>
      </c>
      <c r="F1318" s="5"/>
    </row>
    <row r="1319" spans="2:6" ht="13.8" hidden="1" outlineLevel="1">
      <c r="B1319" s="187">
        <v>24453</v>
      </c>
      <c r="C1319" s="188">
        <v>4.93</v>
      </c>
      <c r="D1319" s="104">
        <f t="shared" si="20"/>
        <v>4.9299999999999997E-2</v>
      </c>
      <c r="F1319" s="5"/>
    </row>
    <row r="1320" spans="2:6" ht="13.8" hidden="1" outlineLevel="1">
      <c r="B1320" s="187">
        <v>24454</v>
      </c>
      <c r="C1320" s="188">
        <v>4.8600000000000003</v>
      </c>
      <c r="D1320" s="104">
        <f t="shared" si="20"/>
        <v>4.8600000000000004E-2</v>
      </c>
      <c r="F1320" s="5"/>
    </row>
    <row r="1321" spans="2:6" ht="13.8" hidden="1" outlineLevel="1">
      <c r="B1321" s="187">
        <v>24455</v>
      </c>
      <c r="C1321" s="188">
        <v>4.83</v>
      </c>
      <c r="D1321" s="104">
        <f t="shared" si="20"/>
        <v>4.8300000000000003E-2</v>
      </c>
      <c r="F1321" s="5"/>
    </row>
    <row r="1322" spans="2:6" ht="13.8" hidden="1" outlineLevel="1">
      <c r="B1322" s="187">
        <v>24456</v>
      </c>
      <c r="C1322" s="188">
        <v>4.76</v>
      </c>
      <c r="D1322" s="104">
        <f t="shared" si="20"/>
        <v>4.7599999999999996E-2</v>
      </c>
      <c r="F1322" s="5"/>
    </row>
    <row r="1323" spans="2:6" ht="13.8" hidden="1" outlineLevel="1">
      <c r="B1323" s="187">
        <v>24457</v>
      </c>
      <c r="C1323" s="188">
        <v>4.78</v>
      </c>
      <c r="D1323" s="104">
        <f t="shared" si="20"/>
        <v>4.7800000000000002E-2</v>
      </c>
      <c r="F1323" s="5"/>
    </row>
    <row r="1324" spans="2:6" ht="13.8" hidden="1" outlineLevel="1">
      <c r="B1324" s="187">
        <v>24460</v>
      </c>
      <c r="C1324" s="188">
        <v>4.72</v>
      </c>
      <c r="D1324" s="104">
        <f t="shared" si="20"/>
        <v>4.7199999999999999E-2</v>
      </c>
      <c r="F1324" s="5"/>
    </row>
    <row r="1325" spans="2:6" ht="13.8" hidden="1" outlineLevel="1">
      <c r="B1325" s="187">
        <v>24461</v>
      </c>
      <c r="C1325" s="188">
        <v>4.6900000000000004</v>
      </c>
      <c r="D1325" s="104">
        <f t="shared" si="20"/>
        <v>4.6900000000000004E-2</v>
      </c>
      <c r="F1325" s="5"/>
    </row>
    <row r="1326" spans="2:6" ht="13.8" hidden="1" outlineLevel="1">
      <c r="B1326" s="187">
        <v>24462</v>
      </c>
      <c r="C1326" s="188">
        <v>4.66</v>
      </c>
      <c r="D1326" s="104">
        <f t="shared" si="20"/>
        <v>4.6600000000000003E-2</v>
      </c>
      <c r="F1326" s="5"/>
    </row>
    <row r="1327" spans="2:6" ht="13.8" hidden="1" outlineLevel="1">
      <c r="B1327" s="187">
        <v>24463</v>
      </c>
      <c r="C1327" s="188">
        <v>4.68</v>
      </c>
      <c r="D1327" s="104">
        <f t="shared" si="20"/>
        <v>4.6799999999999994E-2</v>
      </c>
      <c r="F1327" s="5"/>
    </row>
    <row r="1328" spans="2:6" ht="13.8" hidden="1" outlineLevel="1">
      <c r="B1328" s="187">
        <v>24464</v>
      </c>
      <c r="C1328" s="188">
        <v>4.67</v>
      </c>
      <c r="D1328" s="104">
        <f t="shared" si="20"/>
        <v>4.6699999999999998E-2</v>
      </c>
      <c r="F1328" s="5"/>
    </row>
    <row r="1329" spans="2:6" ht="13.8" hidden="1" outlineLevel="1">
      <c r="B1329" s="187">
        <v>24467</v>
      </c>
      <c r="C1329" s="188" t="s">
        <v>380</v>
      </c>
      <c r="D1329" s="104">
        <f t="shared" si="20"/>
        <v>4.6699999999999998E-2</v>
      </c>
      <c r="F1329" s="5"/>
    </row>
    <row r="1330" spans="2:6" ht="13.8" hidden="1" outlineLevel="1">
      <c r="B1330" s="187">
        <v>24468</v>
      </c>
      <c r="C1330" s="188">
        <v>4.71</v>
      </c>
      <c r="D1330" s="104">
        <f t="shared" si="20"/>
        <v>4.7100000000000003E-2</v>
      </c>
      <c r="F1330" s="5"/>
    </row>
    <row r="1331" spans="2:6" ht="13.8" hidden="1" outlineLevel="1">
      <c r="B1331" s="187">
        <v>24469</v>
      </c>
      <c r="C1331" s="188">
        <v>4.6399999999999997</v>
      </c>
      <c r="D1331" s="104">
        <f t="shared" si="20"/>
        <v>4.6399999999999997E-2</v>
      </c>
      <c r="F1331" s="5"/>
    </row>
    <row r="1332" spans="2:6" ht="13.8" hidden="1" outlineLevel="1">
      <c r="B1332" s="187">
        <v>24470</v>
      </c>
      <c r="C1332" s="188">
        <v>4.66</v>
      </c>
      <c r="D1332" s="104">
        <f t="shared" si="20"/>
        <v>4.6600000000000003E-2</v>
      </c>
      <c r="F1332" s="5"/>
    </row>
    <row r="1333" spans="2:6" ht="13.8" hidden="1" outlineLevel="1">
      <c r="B1333" s="187">
        <v>24471</v>
      </c>
      <c r="C1333" s="188">
        <v>4.6399999999999997</v>
      </c>
      <c r="D1333" s="104">
        <f t="shared" si="20"/>
        <v>4.6399999999999997E-2</v>
      </c>
      <c r="F1333" s="5"/>
    </row>
    <row r="1334" spans="2:6" ht="13.8" hidden="1" outlineLevel="1">
      <c r="B1334" s="187">
        <v>24474</v>
      </c>
      <c r="C1334" s="188" t="s">
        <v>380</v>
      </c>
      <c r="D1334" s="104">
        <f t="shared" si="20"/>
        <v>4.6399999999999997E-2</v>
      </c>
      <c r="F1334" s="5"/>
    </row>
    <row r="1335" spans="2:6" ht="13.8" hidden="1" outlineLevel="1">
      <c r="B1335" s="187">
        <v>24475</v>
      </c>
      <c r="C1335" s="188">
        <v>4.6900000000000004</v>
      </c>
      <c r="D1335" s="104">
        <f t="shared" si="20"/>
        <v>4.6900000000000004E-2</v>
      </c>
      <c r="F1335" s="5"/>
    </row>
    <row r="1336" spans="2:6" ht="13.8" hidden="1" outlineLevel="1">
      <c r="B1336" s="187">
        <v>24476</v>
      </c>
      <c r="C1336" s="188">
        <v>4.6500000000000004</v>
      </c>
      <c r="D1336" s="104">
        <f t="shared" si="20"/>
        <v>4.6500000000000007E-2</v>
      </c>
      <c r="F1336" s="5"/>
    </row>
    <row r="1337" spans="2:6" ht="13.8" hidden="1" outlineLevel="1">
      <c r="B1337" s="187">
        <v>24477</v>
      </c>
      <c r="C1337" s="188">
        <v>4.63</v>
      </c>
      <c r="D1337" s="104">
        <f t="shared" si="20"/>
        <v>4.6300000000000001E-2</v>
      </c>
      <c r="F1337" s="5"/>
    </row>
    <row r="1338" spans="2:6" ht="13.8" hidden="1" outlineLevel="1">
      <c r="B1338" s="187">
        <v>24478</v>
      </c>
      <c r="C1338" s="188">
        <v>4.6399999999999997</v>
      </c>
      <c r="D1338" s="104">
        <f t="shared" si="20"/>
        <v>4.6399999999999997E-2</v>
      </c>
      <c r="F1338" s="5"/>
    </row>
    <row r="1339" spans="2:6" ht="13.8" hidden="1" outlineLevel="1">
      <c r="B1339" s="187">
        <v>24481</v>
      </c>
      <c r="C1339" s="188">
        <v>4.71</v>
      </c>
      <c r="D1339" s="104">
        <f t="shared" si="20"/>
        <v>4.7100000000000003E-2</v>
      </c>
      <c r="F1339" s="5"/>
    </row>
    <row r="1340" spans="2:6" ht="13.8" hidden="1" outlineLevel="1">
      <c r="B1340" s="187">
        <v>24482</v>
      </c>
      <c r="C1340" s="188">
        <v>4.6900000000000004</v>
      </c>
      <c r="D1340" s="104">
        <f t="shared" si="20"/>
        <v>4.6900000000000004E-2</v>
      </c>
      <c r="F1340" s="5"/>
    </row>
    <row r="1341" spans="2:6" ht="13.8" hidden="1" outlineLevel="1">
      <c r="B1341" s="187">
        <v>24483</v>
      </c>
      <c r="C1341" s="188">
        <v>4.54</v>
      </c>
      <c r="D1341" s="104">
        <f t="shared" si="20"/>
        <v>4.5400000000000003E-2</v>
      </c>
      <c r="F1341" s="5"/>
    </row>
    <row r="1342" spans="2:6" ht="13.8" hidden="1" outlineLevel="1">
      <c r="B1342" s="187">
        <v>24484</v>
      </c>
      <c r="C1342" s="188">
        <v>4.55</v>
      </c>
      <c r="D1342" s="104">
        <f t="shared" si="20"/>
        <v>4.5499999999999999E-2</v>
      </c>
      <c r="F1342" s="5"/>
    </row>
    <row r="1343" spans="2:6" ht="13.8" hidden="1" outlineLevel="1">
      <c r="B1343" s="187">
        <v>24485</v>
      </c>
      <c r="C1343" s="188">
        <v>4.51</v>
      </c>
      <c r="D1343" s="104">
        <f t="shared" si="20"/>
        <v>4.5100000000000001E-2</v>
      </c>
      <c r="F1343" s="5"/>
    </row>
    <row r="1344" spans="2:6" ht="13.8" hidden="1" outlineLevel="1">
      <c r="B1344" s="187">
        <v>24488</v>
      </c>
      <c r="C1344" s="188">
        <v>4.49</v>
      </c>
      <c r="D1344" s="104">
        <f t="shared" si="20"/>
        <v>4.4900000000000002E-2</v>
      </c>
      <c r="F1344" s="5"/>
    </row>
    <row r="1345" spans="2:6" ht="13.8" hidden="1" outlineLevel="1">
      <c r="B1345" s="187">
        <v>24489</v>
      </c>
      <c r="C1345" s="188">
        <v>4.51</v>
      </c>
      <c r="D1345" s="104">
        <f t="shared" si="20"/>
        <v>4.5100000000000001E-2</v>
      </c>
      <c r="F1345" s="5"/>
    </row>
    <row r="1346" spans="2:6" ht="13.8" hidden="1" outlineLevel="1">
      <c r="B1346" s="187">
        <v>24490</v>
      </c>
      <c r="C1346" s="188">
        <v>4.53</v>
      </c>
      <c r="D1346" s="104">
        <f t="shared" si="20"/>
        <v>4.53E-2</v>
      </c>
      <c r="F1346" s="5"/>
    </row>
    <row r="1347" spans="2:6" ht="13.8" hidden="1" outlineLevel="1">
      <c r="B1347" s="187">
        <v>24491</v>
      </c>
      <c r="C1347" s="188">
        <v>4.58</v>
      </c>
      <c r="D1347" s="104">
        <f t="shared" si="20"/>
        <v>4.58E-2</v>
      </c>
      <c r="F1347" s="5"/>
    </row>
    <row r="1348" spans="2:6" ht="13.8" hidden="1" outlineLevel="1">
      <c r="B1348" s="187">
        <v>24492</v>
      </c>
      <c r="C1348" s="188">
        <v>4.5999999999999996</v>
      </c>
      <c r="D1348" s="104">
        <f t="shared" si="20"/>
        <v>4.5999999999999999E-2</v>
      </c>
      <c r="F1348" s="5"/>
    </row>
    <row r="1349" spans="2:6" ht="13.8" hidden="1" outlineLevel="1">
      <c r="B1349" s="187">
        <v>24495</v>
      </c>
      <c r="C1349" s="188">
        <v>4.5999999999999996</v>
      </c>
      <c r="D1349" s="104">
        <f t="shared" si="20"/>
        <v>4.5999999999999999E-2</v>
      </c>
      <c r="F1349" s="5"/>
    </row>
    <row r="1350" spans="2:6" ht="13.8" hidden="1" outlineLevel="1">
      <c r="B1350" s="187">
        <v>24496</v>
      </c>
      <c r="C1350" s="188">
        <v>4.6500000000000004</v>
      </c>
      <c r="D1350" s="104">
        <f t="shared" si="20"/>
        <v>4.6500000000000007E-2</v>
      </c>
      <c r="F1350" s="5"/>
    </row>
    <row r="1351" spans="2:6" ht="13.8" hidden="1" outlineLevel="1">
      <c r="B1351" s="187">
        <v>24497</v>
      </c>
      <c r="C1351" s="188">
        <v>4.62</v>
      </c>
      <c r="D1351" s="104">
        <f t="shared" si="20"/>
        <v>4.6199999999999998E-2</v>
      </c>
      <c r="F1351" s="5"/>
    </row>
    <row r="1352" spans="2:6" ht="13.8" hidden="1" outlineLevel="1">
      <c r="B1352" s="187">
        <v>24498</v>
      </c>
      <c r="C1352" s="188">
        <v>4.5</v>
      </c>
      <c r="D1352" s="104">
        <f t="shared" si="20"/>
        <v>4.4999999999999998E-2</v>
      </c>
      <c r="F1352" s="5"/>
    </row>
    <row r="1353" spans="2:6" ht="13.8" hidden="1" outlineLevel="1">
      <c r="B1353" s="187">
        <v>24499</v>
      </c>
      <c r="C1353" s="188">
        <v>4.47</v>
      </c>
      <c r="D1353" s="104">
        <f t="shared" si="20"/>
        <v>4.4699999999999997E-2</v>
      </c>
      <c r="F1353" s="5"/>
    </row>
    <row r="1354" spans="2:6" ht="13.8" hidden="1" outlineLevel="1">
      <c r="B1354" s="187">
        <v>24502</v>
      </c>
      <c r="C1354" s="188">
        <v>4.4800000000000004</v>
      </c>
      <c r="D1354" s="104">
        <f t="shared" si="20"/>
        <v>4.4800000000000006E-2</v>
      </c>
      <c r="F1354" s="5"/>
    </row>
    <row r="1355" spans="2:6" ht="13.8" hidden="1" outlineLevel="1">
      <c r="B1355" s="187">
        <v>24503</v>
      </c>
      <c r="C1355" s="188">
        <v>4.5199999999999996</v>
      </c>
      <c r="D1355" s="104">
        <f t="shared" si="20"/>
        <v>4.5199999999999997E-2</v>
      </c>
      <c r="F1355" s="5"/>
    </row>
    <row r="1356" spans="2:6" ht="13.8" hidden="1" outlineLevel="1">
      <c r="B1356" s="187">
        <v>24504</v>
      </c>
      <c r="C1356" s="188">
        <v>4.5199999999999996</v>
      </c>
      <c r="D1356" s="104">
        <f t="shared" si="20"/>
        <v>4.5199999999999997E-2</v>
      </c>
      <c r="F1356" s="5"/>
    </row>
    <row r="1357" spans="2:6" ht="13.8" hidden="1" outlineLevel="1">
      <c r="B1357" s="187">
        <v>24505</v>
      </c>
      <c r="C1357" s="188">
        <v>4.51</v>
      </c>
      <c r="D1357" s="104">
        <f t="shared" si="20"/>
        <v>4.5100000000000001E-2</v>
      </c>
      <c r="F1357" s="5"/>
    </row>
    <row r="1358" spans="2:6" ht="13.8" hidden="1" outlineLevel="1">
      <c r="B1358" s="187">
        <v>24506</v>
      </c>
      <c r="C1358" s="188">
        <v>4.5199999999999996</v>
      </c>
      <c r="D1358" s="104">
        <f t="shared" si="20"/>
        <v>4.5199999999999997E-2</v>
      </c>
      <c r="F1358" s="5"/>
    </row>
    <row r="1359" spans="2:6" ht="13.8" hidden="1" outlineLevel="1">
      <c r="B1359" s="187">
        <v>24509</v>
      </c>
      <c r="C1359" s="188">
        <v>4.53</v>
      </c>
      <c r="D1359" s="104">
        <f t="shared" si="20"/>
        <v>4.53E-2</v>
      </c>
      <c r="F1359" s="5"/>
    </row>
    <row r="1360" spans="2:6" ht="13.8" hidden="1" outlineLevel="1">
      <c r="B1360" s="187">
        <v>24510</v>
      </c>
      <c r="C1360" s="188">
        <v>4.54</v>
      </c>
      <c r="D1360" s="104">
        <f t="shared" si="20"/>
        <v>4.5400000000000003E-2</v>
      </c>
      <c r="F1360" s="5"/>
    </row>
    <row r="1361" spans="2:6" ht="13.8" hidden="1" outlineLevel="1">
      <c r="B1361" s="187">
        <v>24511</v>
      </c>
      <c r="C1361" s="188">
        <v>4.54</v>
      </c>
      <c r="D1361" s="104">
        <f t="shared" si="20"/>
        <v>4.5400000000000003E-2</v>
      </c>
      <c r="F1361" s="5"/>
    </row>
    <row r="1362" spans="2:6" ht="13.8" hidden="1" outlineLevel="1">
      <c r="B1362" s="187">
        <v>24512</v>
      </c>
      <c r="C1362" s="188">
        <v>4.53</v>
      </c>
      <c r="D1362" s="104">
        <f t="shared" si="20"/>
        <v>4.53E-2</v>
      </c>
      <c r="F1362" s="5"/>
    </row>
    <row r="1363" spans="2:6" ht="13.8" hidden="1" outlineLevel="1">
      <c r="B1363" s="187">
        <v>24513</v>
      </c>
      <c r="C1363" s="188">
        <v>4.59</v>
      </c>
      <c r="D1363" s="104">
        <f t="shared" si="20"/>
        <v>4.5899999999999996E-2</v>
      </c>
      <c r="F1363" s="5"/>
    </row>
    <row r="1364" spans="2:6" ht="13.8" hidden="1" outlineLevel="1">
      <c r="B1364" s="187">
        <v>24516</v>
      </c>
      <c r="C1364" s="188" t="s">
        <v>380</v>
      </c>
      <c r="D1364" s="104">
        <f t="shared" si="20"/>
        <v>4.5899999999999996E-2</v>
      </c>
      <c r="F1364" s="5"/>
    </row>
    <row r="1365" spans="2:6" ht="13.8" hidden="1" outlineLevel="1">
      <c r="B1365" s="187">
        <v>24517</v>
      </c>
      <c r="C1365" s="188">
        <v>4.6399999999999997</v>
      </c>
      <c r="D1365" s="104">
        <f t="shared" si="20"/>
        <v>4.6399999999999997E-2</v>
      </c>
      <c r="F1365" s="5"/>
    </row>
    <row r="1366" spans="2:6" ht="13.8" hidden="1" outlineLevel="1">
      <c r="B1366" s="187">
        <v>24518</v>
      </c>
      <c r="C1366" s="188">
        <v>4.6900000000000004</v>
      </c>
      <c r="D1366" s="104">
        <f t="shared" si="20"/>
        <v>4.6900000000000004E-2</v>
      </c>
      <c r="F1366" s="5"/>
    </row>
    <row r="1367" spans="2:6" ht="13.8" hidden="1" outlineLevel="1">
      <c r="B1367" s="187">
        <v>24519</v>
      </c>
      <c r="C1367" s="188">
        <v>4.67</v>
      </c>
      <c r="D1367" s="104">
        <f t="shared" si="20"/>
        <v>4.6699999999999998E-2</v>
      </c>
      <c r="F1367" s="5"/>
    </row>
    <row r="1368" spans="2:6" ht="13.8" hidden="1" outlineLevel="1">
      <c r="B1368" s="187">
        <v>24520</v>
      </c>
      <c r="C1368" s="188">
        <v>4.68</v>
      </c>
      <c r="D1368" s="104">
        <f t="shared" si="20"/>
        <v>4.6799999999999994E-2</v>
      </c>
      <c r="F1368" s="5"/>
    </row>
    <row r="1369" spans="2:6" ht="13.8" hidden="1" outlineLevel="1">
      <c r="B1369" s="187">
        <v>24523</v>
      </c>
      <c r="C1369" s="188">
        <v>4.7</v>
      </c>
      <c r="D1369" s="104">
        <f t="shared" si="20"/>
        <v>4.7E-2</v>
      </c>
      <c r="F1369" s="5"/>
    </row>
    <row r="1370" spans="2:6" ht="13.8" hidden="1" outlineLevel="1">
      <c r="B1370" s="187">
        <v>24524</v>
      </c>
      <c r="C1370" s="188">
        <v>4.71</v>
      </c>
      <c r="D1370" s="104">
        <f t="shared" si="20"/>
        <v>4.7100000000000003E-2</v>
      </c>
      <c r="F1370" s="5"/>
    </row>
    <row r="1371" spans="2:6" ht="13.8" hidden="1" outlineLevel="1">
      <c r="B1371" s="187">
        <v>24525</v>
      </c>
      <c r="C1371" s="188" t="s">
        <v>380</v>
      </c>
      <c r="D1371" s="104">
        <f t="shared" si="20"/>
        <v>4.7100000000000003E-2</v>
      </c>
      <c r="F1371" s="5"/>
    </row>
    <row r="1372" spans="2:6" ht="13.8" hidden="1" outlineLevel="1">
      <c r="B1372" s="187">
        <v>24526</v>
      </c>
      <c r="C1372" s="188">
        <v>4.74</v>
      </c>
      <c r="D1372" s="104">
        <f t="shared" si="20"/>
        <v>4.7400000000000005E-2</v>
      </c>
      <c r="F1372" s="5"/>
    </row>
    <row r="1373" spans="2:6" ht="13.8" hidden="1" outlineLevel="1">
      <c r="B1373" s="187">
        <v>24527</v>
      </c>
      <c r="C1373" s="188">
        <v>4.7300000000000004</v>
      </c>
      <c r="D1373" s="104">
        <f t="shared" si="20"/>
        <v>4.7300000000000002E-2</v>
      </c>
      <c r="F1373" s="5"/>
    </row>
    <row r="1374" spans="2:6" ht="13.8" hidden="1" outlineLevel="1">
      <c r="B1374" s="187">
        <v>24530</v>
      </c>
      <c r="C1374" s="188">
        <v>4.72</v>
      </c>
      <c r="D1374" s="104">
        <f t="shared" ref="D1374:D1437" si="21">IF( LEN( C1374 ) = 0, #N/A, IF( C1374 = "ND", D1373, C1374 / 100 ) )</f>
        <v>4.7199999999999999E-2</v>
      </c>
      <c r="F1374" s="5"/>
    </row>
    <row r="1375" spans="2:6" ht="13.8" hidden="1" outlineLevel="1">
      <c r="B1375" s="187">
        <v>24531</v>
      </c>
      <c r="C1375" s="188">
        <v>4.72</v>
      </c>
      <c r="D1375" s="104">
        <f t="shared" si="21"/>
        <v>4.7199999999999999E-2</v>
      </c>
      <c r="F1375" s="5"/>
    </row>
    <row r="1376" spans="2:6" ht="13.8" hidden="1" outlineLevel="1">
      <c r="B1376" s="187">
        <v>24532</v>
      </c>
      <c r="C1376" s="188">
        <v>4.66</v>
      </c>
      <c r="D1376" s="104">
        <f t="shared" si="21"/>
        <v>4.6600000000000003E-2</v>
      </c>
      <c r="F1376" s="5"/>
    </row>
    <row r="1377" spans="2:6" ht="13.8" hidden="1" outlineLevel="1">
      <c r="B1377" s="187">
        <v>24533</v>
      </c>
      <c r="C1377" s="188">
        <v>4.63</v>
      </c>
      <c r="D1377" s="104">
        <f t="shared" si="21"/>
        <v>4.6300000000000001E-2</v>
      </c>
      <c r="F1377" s="5"/>
    </row>
    <row r="1378" spans="2:6" ht="13.8" hidden="1" outlineLevel="1">
      <c r="B1378" s="187">
        <v>24534</v>
      </c>
      <c r="C1378" s="188">
        <v>4.62</v>
      </c>
      <c r="D1378" s="104">
        <f t="shared" si="21"/>
        <v>4.6199999999999998E-2</v>
      </c>
      <c r="F1378" s="5"/>
    </row>
    <row r="1379" spans="2:6" ht="13.8" hidden="1" outlineLevel="1">
      <c r="B1379" s="187">
        <v>24537</v>
      </c>
      <c r="C1379" s="188">
        <v>4.6100000000000003</v>
      </c>
      <c r="D1379" s="104">
        <f t="shared" si="21"/>
        <v>4.6100000000000002E-2</v>
      </c>
      <c r="F1379" s="5"/>
    </row>
    <row r="1380" spans="2:6" ht="13.8" hidden="1" outlineLevel="1">
      <c r="B1380" s="187">
        <v>24538</v>
      </c>
      <c r="C1380" s="188">
        <v>4.5999999999999996</v>
      </c>
      <c r="D1380" s="104">
        <f t="shared" si="21"/>
        <v>4.5999999999999999E-2</v>
      </c>
      <c r="F1380" s="5"/>
    </row>
    <row r="1381" spans="2:6" ht="13.8" hidden="1" outlineLevel="1">
      <c r="B1381" s="187">
        <v>24539</v>
      </c>
      <c r="C1381" s="188">
        <v>4.6100000000000003</v>
      </c>
      <c r="D1381" s="104">
        <f t="shared" si="21"/>
        <v>4.6100000000000002E-2</v>
      </c>
      <c r="F1381" s="5"/>
    </row>
    <row r="1382" spans="2:6" ht="13.8" hidden="1" outlineLevel="1">
      <c r="B1382" s="187">
        <v>24540</v>
      </c>
      <c r="C1382" s="188">
        <v>4.57</v>
      </c>
      <c r="D1382" s="104">
        <f t="shared" si="21"/>
        <v>4.5700000000000005E-2</v>
      </c>
      <c r="F1382" s="5"/>
    </row>
    <row r="1383" spans="2:6" ht="13.8" hidden="1" outlineLevel="1">
      <c r="B1383" s="187">
        <v>24541</v>
      </c>
      <c r="C1383" s="188">
        <v>4.58</v>
      </c>
      <c r="D1383" s="104">
        <f t="shared" si="21"/>
        <v>4.58E-2</v>
      </c>
      <c r="F1383" s="5"/>
    </row>
    <row r="1384" spans="2:6" ht="13.8" hidden="1" outlineLevel="1">
      <c r="B1384" s="187">
        <v>24544</v>
      </c>
      <c r="C1384" s="188">
        <v>4.5599999999999996</v>
      </c>
      <c r="D1384" s="104">
        <f t="shared" si="21"/>
        <v>4.5599999999999995E-2</v>
      </c>
      <c r="F1384" s="5"/>
    </row>
    <row r="1385" spans="2:6" ht="13.8" hidden="1" outlineLevel="1">
      <c r="B1385" s="187">
        <v>24545</v>
      </c>
      <c r="C1385" s="188">
        <v>4.53</v>
      </c>
      <c r="D1385" s="104">
        <f t="shared" si="21"/>
        <v>4.53E-2</v>
      </c>
      <c r="F1385" s="5"/>
    </row>
    <row r="1386" spans="2:6" ht="13.8" hidden="1" outlineLevel="1">
      <c r="B1386" s="187">
        <v>24546</v>
      </c>
      <c r="C1386" s="188">
        <v>4.49</v>
      </c>
      <c r="D1386" s="104">
        <f t="shared" si="21"/>
        <v>4.4900000000000002E-2</v>
      </c>
      <c r="F1386" s="5"/>
    </row>
    <row r="1387" spans="2:6" ht="13.8" hidden="1" outlineLevel="1">
      <c r="B1387" s="187">
        <v>24547</v>
      </c>
      <c r="C1387" s="188">
        <v>4.45</v>
      </c>
      <c r="D1387" s="104">
        <f t="shared" si="21"/>
        <v>4.4500000000000005E-2</v>
      </c>
      <c r="F1387" s="5"/>
    </row>
    <row r="1388" spans="2:6" ht="13.8" hidden="1" outlineLevel="1">
      <c r="B1388" s="187">
        <v>24548</v>
      </c>
      <c r="C1388" s="188">
        <v>4.47</v>
      </c>
      <c r="D1388" s="104">
        <f t="shared" si="21"/>
        <v>4.4699999999999997E-2</v>
      </c>
      <c r="F1388" s="5"/>
    </row>
    <row r="1389" spans="2:6" ht="13.8" hidden="1" outlineLevel="1">
      <c r="B1389" s="187">
        <v>24551</v>
      </c>
      <c r="C1389" s="188">
        <v>4.45</v>
      </c>
      <c r="D1389" s="104">
        <f t="shared" si="21"/>
        <v>4.4500000000000005E-2</v>
      </c>
      <c r="F1389" s="5"/>
    </row>
    <row r="1390" spans="2:6" ht="13.8" hidden="1" outlineLevel="1">
      <c r="B1390" s="187">
        <v>24552</v>
      </c>
      <c r="C1390" s="188">
        <v>4.51</v>
      </c>
      <c r="D1390" s="104">
        <f t="shared" si="21"/>
        <v>4.5100000000000001E-2</v>
      </c>
      <c r="F1390" s="5"/>
    </row>
    <row r="1391" spans="2:6" ht="13.8" hidden="1" outlineLevel="1">
      <c r="B1391" s="187">
        <v>24553</v>
      </c>
      <c r="C1391" s="188">
        <v>4.5199999999999996</v>
      </c>
      <c r="D1391" s="104">
        <f t="shared" si="21"/>
        <v>4.5199999999999997E-2</v>
      </c>
      <c r="F1391" s="5"/>
    </row>
    <row r="1392" spans="2:6" ht="13.8" hidden="1" outlineLevel="1">
      <c r="B1392" s="187">
        <v>24554</v>
      </c>
      <c r="C1392" s="188">
        <v>4.5</v>
      </c>
      <c r="D1392" s="104">
        <f t="shared" si="21"/>
        <v>4.4999999999999998E-2</v>
      </c>
      <c r="F1392" s="5"/>
    </row>
    <row r="1393" spans="2:6" ht="13.8" hidden="1" outlineLevel="1">
      <c r="B1393" s="187">
        <v>24555</v>
      </c>
      <c r="C1393" s="188" t="s">
        <v>380</v>
      </c>
      <c r="D1393" s="104">
        <f t="shared" si="21"/>
        <v>4.4999999999999998E-2</v>
      </c>
      <c r="F1393" s="5"/>
    </row>
    <row r="1394" spans="2:6" ht="13.8" hidden="1" outlineLevel="1">
      <c r="B1394" s="187">
        <v>24558</v>
      </c>
      <c r="C1394" s="188">
        <v>4.5199999999999996</v>
      </c>
      <c r="D1394" s="104">
        <f t="shared" si="21"/>
        <v>4.5199999999999997E-2</v>
      </c>
      <c r="F1394" s="5"/>
    </row>
    <row r="1395" spans="2:6" ht="13.8" hidden="1" outlineLevel="1">
      <c r="B1395" s="187">
        <v>24559</v>
      </c>
      <c r="C1395" s="188">
        <v>4.5199999999999996</v>
      </c>
      <c r="D1395" s="104">
        <f t="shared" si="21"/>
        <v>4.5199999999999997E-2</v>
      </c>
      <c r="F1395" s="5"/>
    </row>
    <row r="1396" spans="2:6" ht="13.8" hidden="1" outlineLevel="1">
      <c r="B1396" s="187">
        <v>24560</v>
      </c>
      <c r="C1396" s="188">
        <v>4.5199999999999996</v>
      </c>
      <c r="D1396" s="104">
        <f t="shared" si="21"/>
        <v>4.5199999999999997E-2</v>
      </c>
      <c r="F1396" s="5"/>
    </row>
    <row r="1397" spans="2:6" ht="13.8" hidden="1" outlineLevel="1">
      <c r="B1397" s="187">
        <v>24561</v>
      </c>
      <c r="C1397" s="188">
        <v>4.5</v>
      </c>
      <c r="D1397" s="104">
        <f t="shared" si="21"/>
        <v>4.4999999999999998E-2</v>
      </c>
      <c r="F1397" s="5"/>
    </row>
    <row r="1398" spans="2:6" ht="13.8" hidden="1" outlineLevel="1">
      <c r="B1398" s="187">
        <v>24562</v>
      </c>
      <c r="C1398" s="188">
        <v>4.5</v>
      </c>
      <c r="D1398" s="104">
        <f t="shared" si="21"/>
        <v>4.4999999999999998E-2</v>
      </c>
      <c r="F1398" s="5"/>
    </row>
    <row r="1399" spans="2:6" ht="13.8" hidden="1" outlineLevel="1">
      <c r="B1399" s="187">
        <v>24565</v>
      </c>
      <c r="C1399" s="188">
        <v>4.5</v>
      </c>
      <c r="D1399" s="104">
        <f t="shared" si="21"/>
        <v>4.4999999999999998E-2</v>
      </c>
      <c r="F1399" s="5"/>
    </row>
    <row r="1400" spans="2:6" ht="13.8" hidden="1" outlineLevel="1">
      <c r="B1400" s="187">
        <v>24566</v>
      </c>
      <c r="C1400" s="188">
        <v>4.49</v>
      </c>
      <c r="D1400" s="104">
        <f t="shared" si="21"/>
        <v>4.4900000000000002E-2</v>
      </c>
      <c r="F1400" s="5"/>
    </row>
    <row r="1401" spans="2:6" ht="13.8" hidden="1" outlineLevel="1">
      <c r="B1401" s="187">
        <v>24567</v>
      </c>
      <c r="C1401" s="188">
        <v>4.5</v>
      </c>
      <c r="D1401" s="104">
        <f t="shared" si="21"/>
        <v>4.4999999999999998E-2</v>
      </c>
      <c r="F1401" s="5"/>
    </row>
    <row r="1402" spans="2:6" ht="13.8" hidden="1" outlineLevel="1">
      <c r="B1402" s="187">
        <v>24568</v>
      </c>
      <c r="C1402" s="188">
        <v>4.49</v>
      </c>
      <c r="D1402" s="104">
        <f t="shared" si="21"/>
        <v>4.4900000000000002E-2</v>
      </c>
      <c r="F1402" s="5"/>
    </row>
    <row r="1403" spans="2:6" ht="13.8" hidden="1" outlineLevel="1">
      <c r="B1403" s="187">
        <v>24569</v>
      </c>
      <c r="C1403" s="188">
        <v>4.4800000000000004</v>
      </c>
      <c r="D1403" s="104">
        <f t="shared" si="21"/>
        <v>4.4800000000000006E-2</v>
      </c>
      <c r="F1403" s="5"/>
    </row>
    <row r="1404" spans="2:6" ht="13.8" hidden="1" outlineLevel="1">
      <c r="B1404" s="187">
        <v>24572</v>
      </c>
      <c r="C1404" s="188">
        <v>4.5</v>
      </c>
      <c r="D1404" s="104">
        <f t="shared" si="21"/>
        <v>4.4999999999999998E-2</v>
      </c>
      <c r="F1404" s="5"/>
    </row>
    <row r="1405" spans="2:6" ht="13.8" hidden="1" outlineLevel="1">
      <c r="B1405" s="187">
        <v>24573</v>
      </c>
      <c r="C1405" s="188">
        <v>4.51</v>
      </c>
      <c r="D1405" s="104">
        <f t="shared" si="21"/>
        <v>4.5100000000000001E-2</v>
      </c>
      <c r="F1405" s="5"/>
    </row>
    <row r="1406" spans="2:6" ht="13.8" hidden="1" outlineLevel="1">
      <c r="B1406" s="187">
        <v>24574</v>
      </c>
      <c r="C1406" s="188">
        <v>4.51</v>
      </c>
      <c r="D1406" s="104">
        <f t="shared" si="21"/>
        <v>4.5100000000000001E-2</v>
      </c>
      <c r="F1406" s="5"/>
    </row>
    <row r="1407" spans="2:6" ht="13.8" hidden="1" outlineLevel="1">
      <c r="B1407" s="187">
        <v>24575</v>
      </c>
      <c r="C1407" s="188">
        <v>4.54</v>
      </c>
      <c r="D1407" s="104">
        <f t="shared" si="21"/>
        <v>4.5400000000000003E-2</v>
      </c>
      <c r="F1407" s="5"/>
    </row>
    <row r="1408" spans="2:6" ht="13.8" hidden="1" outlineLevel="1">
      <c r="B1408" s="187">
        <v>24576</v>
      </c>
      <c r="C1408" s="188">
        <v>4.5599999999999996</v>
      </c>
      <c r="D1408" s="104">
        <f t="shared" si="21"/>
        <v>4.5599999999999995E-2</v>
      </c>
      <c r="F1408" s="5"/>
    </row>
    <row r="1409" spans="2:6" ht="13.8" hidden="1" outlineLevel="1">
      <c r="B1409" s="187">
        <v>24579</v>
      </c>
      <c r="C1409" s="188">
        <v>4.6100000000000003</v>
      </c>
      <c r="D1409" s="104">
        <f t="shared" si="21"/>
        <v>4.6100000000000002E-2</v>
      </c>
      <c r="F1409" s="5"/>
    </row>
    <row r="1410" spans="2:6" ht="13.8" hidden="1" outlineLevel="1">
      <c r="B1410" s="187">
        <v>24580</v>
      </c>
      <c r="C1410" s="188">
        <v>4.63</v>
      </c>
      <c r="D1410" s="104">
        <f t="shared" si="21"/>
        <v>4.6300000000000001E-2</v>
      </c>
      <c r="F1410" s="5"/>
    </row>
    <row r="1411" spans="2:6" ht="13.8" hidden="1" outlineLevel="1">
      <c r="B1411" s="187">
        <v>24581</v>
      </c>
      <c r="C1411" s="188">
        <v>4.63</v>
      </c>
      <c r="D1411" s="104">
        <f t="shared" si="21"/>
        <v>4.6300000000000001E-2</v>
      </c>
      <c r="F1411" s="5"/>
    </row>
    <row r="1412" spans="2:6" ht="13.8" hidden="1" outlineLevel="1">
      <c r="B1412" s="187">
        <v>24582</v>
      </c>
      <c r="C1412" s="188">
        <v>4.63</v>
      </c>
      <c r="D1412" s="104">
        <f t="shared" si="21"/>
        <v>4.6300000000000001E-2</v>
      </c>
      <c r="F1412" s="5"/>
    </row>
    <row r="1413" spans="2:6" ht="13.8" hidden="1" outlineLevel="1">
      <c r="B1413" s="187">
        <v>24583</v>
      </c>
      <c r="C1413" s="188">
        <v>4.66</v>
      </c>
      <c r="D1413" s="104">
        <f t="shared" si="21"/>
        <v>4.6600000000000003E-2</v>
      </c>
      <c r="F1413" s="5"/>
    </row>
    <row r="1414" spans="2:6" ht="13.8" hidden="1" outlineLevel="1">
      <c r="B1414" s="187">
        <v>24586</v>
      </c>
      <c r="C1414" s="188">
        <v>4.68</v>
      </c>
      <c r="D1414" s="104">
        <f t="shared" si="21"/>
        <v>4.6799999999999994E-2</v>
      </c>
      <c r="F1414" s="5"/>
    </row>
    <row r="1415" spans="2:6" ht="13.8" hidden="1" outlineLevel="1">
      <c r="B1415" s="187">
        <v>24587</v>
      </c>
      <c r="C1415" s="188">
        <v>4.71</v>
      </c>
      <c r="D1415" s="104">
        <f t="shared" si="21"/>
        <v>4.7100000000000003E-2</v>
      </c>
      <c r="F1415" s="5"/>
    </row>
    <row r="1416" spans="2:6" ht="13.8" hidden="1" outlineLevel="1">
      <c r="B1416" s="187">
        <v>24588</v>
      </c>
      <c r="C1416" s="188">
        <v>4.7300000000000004</v>
      </c>
      <c r="D1416" s="104">
        <f t="shared" si="21"/>
        <v>4.7300000000000002E-2</v>
      </c>
      <c r="F1416" s="5"/>
    </row>
    <row r="1417" spans="2:6" ht="13.8" hidden="1" outlineLevel="1">
      <c r="B1417" s="187">
        <v>24589</v>
      </c>
      <c r="C1417" s="188">
        <v>4.7300000000000004</v>
      </c>
      <c r="D1417" s="104">
        <f t="shared" si="21"/>
        <v>4.7300000000000002E-2</v>
      </c>
      <c r="F1417" s="5"/>
    </row>
    <row r="1418" spans="2:6" ht="13.8" hidden="1" outlineLevel="1">
      <c r="B1418" s="187">
        <v>24590</v>
      </c>
      <c r="C1418" s="188">
        <v>4.78</v>
      </c>
      <c r="D1418" s="104">
        <f t="shared" si="21"/>
        <v>4.7800000000000002E-2</v>
      </c>
      <c r="F1418" s="5"/>
    </row>
    <row r="1419" spans="2:6" ht="13.8" hidden="1" outlineLevel="1">
      <c r="B1419" s="187">
        <v>24593</v>
      </c>
      <c r="C1419" s="188">
        <v>4.7699999999999996</v>
      </c>
      <c r="D1419" s="104">
        <f t="shared" si="21"/>
        <v>4.7699999999999992E-2</v>
      </c>
      <c r="F1419" s="5"/>
    </row>
    <row r="1420" spans="2:6" ht="13.8" hidden="1" outlineLevel="1">
      <c r="B1420" s="187">
        <v>24594</v>
      </c>
      <c r="C1420" s="188">
        <v>4.75</v>
      </c>
      <c r="D1420" s="104">
        <f t="shared" si="21"/>
        <v>4.7500000000000001E-2</v>
      </c>
      <c r="F1420" s="5"/>
    </row>
    <row r="1421" spans="2:6" ht="13.8" hidden="1" outlineLevel="1">
      <c r="B1421" s="187">
        <v>24595</v>
      </c>
      <c r="C1421" s="188">
        <v>4.75</v>
      </c>
      <c r="D1421" s="104">
        <f t="shared" si="21"/>
        <v>4.7500000000000001E-2</v>
      </c>
      <c r="F1421" s="5"/>
    </row>
    <row r="1422" spans="2:6" ht="13.8" hidden="1" outlineLevel="1">
      <c r="B1422" s="187">
        <v>24596</v>
      </c>
      <c r="C1422" s="188">
        <v>4.76</v>
      </c>
      <c r="D1422" s="104">
        <f t="shared" si="21"/>
        <v>4.7599999999999996E-2</v>
      </c>
      <c r="F1422" s="5"/>
    </row>
    <row r="1423" spans="2:6" ht="13.8" hidden="1" outlineLevel="1">
      <c r="B1423" s="187">
        <v>24597</v>
      </c>
      <c r="C1423" s="188">
        <v>4.7699999999999996</v>
      </c>
      <c r="D1423" s="104">
        <f t="shared" si="21"/>
        <v>4.7699999999999992E-2</v>
      </c>
      <c r="F1423" s="5"/>
    </row>
    <row r="1424" spans="2:6" ht="13.8" hidden="1" outlineLevel="1">
      <c r="B1424" s="187">
        <v>24600</v>
      </c>
      <c r="C1424" s="188">
        <v>4.83</v>
      </c>
      <c r="D1424" s="104">
        <f t="shared" si="21"/>
        <v>4.8300000000000003E-2</v>
      </c>
      <c r="F1424" s="5"/>
    </row>
    <row r="1425" spans="2:6" ht="13.8" hidden="1" outlineLevel="1">
      <c r="B1425" s="187">
        <v>24601</v>
      </c>
      <c r="C1425" s="188">
        <v>4.87</v>
      </c>
      <c r="D1425" s="104">
        <f t="shared" si="21"/>
        <v>4.87E-2</v>
      </c>
      <c r="F1425" s="5"/>
    </row>
    <row r="1426" spans="2:6" ht="13.8" hidden="1" outlineLevel="1">
      <c r="B1426" s="187">
        <v>24602</v>
      </c>
      <c r="C1426" s="188">
        <v>4.87</v>
      </c>
      <c r="D1426" s="104">
        <f t="shared" si="21"/>
        <v>4.87E-2</v>
      </c>
      <c r="F1426" s="5"/>
    </row>
    <row r="1427" spans="2:6" ht="13.8" hidden="1" outlineLevel="1">
      <c r="B1427" s="187">
        <v>24603</v>
      </c>
      <c r="C1427" s="188">
        <v>4.84</v>
      </c>
      <c r="D1427" s="104">
        <f t="shared" si="21"/>
        <v>4.8399999999999999E-2</v>
      </c>
      <c r="F1427" s="5"/>
    </row>
    <row r="1428" spans="2:6" ht="13.8" hidden="1" outlineLevel="1">
      <c r="B1428" s="187">
        <v>24604</v>
      </c>
      <c r="C1428" s="188">
        <v>4.82</v>
      </c>
      <c r="D1428" s="104">
        <f t="shared" si="21"/>
        <v>4.82E-2</v>
      </c>
      <c r="F1428" s="5"/>
    </row>
    <row r="1429" spans="2:6" ht="13.8" hidden="1" outlineLevel="1">
      <c r="B1429" s="187">
        <v>24607</v>
      </c>
      <c r="C1429" s="188">
        <v>4.8600000000000003</v>
      </c>
      <c r="D1429" s="104">
        <f t="shared" si="21"/>
        <v>4.8600000000000004E-2</v>
      </c>
      <c r="F1429" s="5"/>
    </row>
    <row r="1430" spans="2:6" ht="13.8" hidden="1" outlineLevel="1">
      <c r="B1430" s="187">
        <v>24608</v>
      </c>
      <c r="C1430" s="188">
        <v>4.87</v>
      </c>
      <c r="D1430" s="104">
        <f t="shared" si="21"/>
        <v>4.87E-2</v>
      </c>
      <c r="F1430" s="5"/>
    </row>
    <row r="1431" spans="2:6" ht="13.8" hidden="1" outlineLevel="1">
      <c r="B1431" s="187">
        <v>24609</v>
      </c>
      <c r="C1431" s="188">
        <v>4.88</v>
      </c>
      <c r="D1431" s="104">
        <f t="shared" si="21"/>
        <v>4.8799999999999996E-2</v>
      </c>
      <c r="F1431" s="5"/>
    </row>
    <row r="1432" spans="2:6" ht="13.8" hidden="1" outlineLevel="1">
      <c r="B1432" s="187">
        <v>24610</v>
      </c>
      <c r="C1432" s="188">
        <v>4.88</v>
      </c>
      <c r="D1432" s="104">
        <f t="shared" si="21"/>
        <v>4.8799999999999996E-2</v>
      </c>
      <c r="F1432" s="5"/>
    </row>
    <row r="1433" spans="2:6" ht="13.8" hidden="1" outlineLevel="1">
      <c r="B1433" s="187">
        <v>24611</v>
      </c>
      <c r="C1433" s="188">
        <v>4.8899999999999997</v>
      </c>
      <c r="D1433" s="104">
        <f t="shared" si="21"/>
        <v>4.8899999999999999E-2</v>
      </c>
      <c r="F1433" s="5"/>
    </row>
    <row r="1434" spans="2:6" ht="13.8" hidden="1" outlineLevel="1">
      <c r="B1434" s="187">
        <v>24614</v>
      </c>
      <c r="C1434" s="188">
        <v>4.9400000000000004</v>
      </c>
      <c r="D1434" s="104">
        <f t="shared" si="21"/>
        <v>4.9400000000000006E-2</v>
      </c>
      <c r="F1434" s="5"/>
    </row>
    <row r="1435" spans="2:6" ht="13.8" hidden="1" outlineLevel="1">
      <c r="B1435" s="187">
        <v>24615</v>
      </c>
      <c r="C1435" s="188">
        <v>4.9400000000000004</v>
      </c>
      <c r="D1435" s="104">
        <f t="shared" si="21"/>
        <v>4.9400000000000006E-2</v>
      </c>
      <c r="F1435" s="5"/>
    </row>
    <row r="1436" spans="2:6" ht="13.8" hidden="1" outlineLevel="1">
      <c r="B1436" s="187">
        <v>24616</v>
      </c>
      <c r="C1436" s="188">
        <v>4.93</v>
      </c>
      <c r="D1436" s="104">
        <f t="shared" si="21"/>
        <v>4.9299999999999997E-2</v>
      </c>
      <c r="F1436" s="5"/>
    </row>
    <row r="1437" spans="2:6" ht="13.8" hidden="1" outlineLevel="1">
      <c r="B1437" s="187">
        <v>24617</v>
      </c>
      <c r="C1437" s="188">
        <v>4.92</v>
      </c>
      <c r="D1437" s="104">
        <f t="shared" si="21"/>
        <v>4.9200000000000001E-2</v>
      </c>
      <c r="F1437" s="5"/>
    </row>
    <row r="1438" spans="2:6" ht="13.8" hidden="1" outlineLevel="1">
      <c r="B1438" s="187">
        <v>24618</v>
      </c>
      <c r="C1438" s="188">
        <v>4.8600000000000003</v>
      </c>
      <c r="D1438" s="104">
        <f t="shared" ref="D1438:D1501" si="22">IF( LEN( C1438 ) = 0, #N/A, IF( C1438 = "ND", D1437, C1438 / 100 ) )</f>
        <v>4.8600000000000004E-2</v>
      </c>
      <c r="F1438" s="5"/>
    </row>
    <row r="1439" spans="2:6" ht="13.8" hidden="1" outlineLevel="1">
      <c r="B1439" s="187">
        <v>24621</v>
      </c>
      <c r="C1439" s="188">
        <v>4.84</v>
      </c>
      <c r="D1439" s="104">
        <f t="shared" si="22"/>
        <v>4.8399999999999999E-2</v>
      </c>
      <c r="F1439" s="5"/>
    </row>
    <row r="1440" spans="2:6" ht="13.8" hidden="1" outlineLevel="1">
      <c r="B1440" s="187">
        <v>24622</v>
      </c>
      <c r="C1440" s="188" t="s">
        <v>380</v>
      </c>
      <c r="D1440" s="104">
        <f t="shared" si="22"/>
        <v>4.8399999999999999E-2</v>
      </c>
      <c r="F1440" s="5"/>
    </row>
    <row r="1441" spans="2:6" ht="13.8" hidden="1" outlineLevel="1">
      <c r="B1441" s="187">
        <v>24623</v>
      </c>
      <c r="C1441" s="188">
        <v>4.8099999999999996</v>
      </c>
      <c r="D1441" s="104">
        <f t="shared" si="22"/>
        <v>4.8099999999999997E-2</v>
      </c>
      <c r="F1441" s="5"/>
    </row>
    <row r="1442" spans="2:6" ht="13.8" hidden="1" outlineLevel="1">
      <c r="B1442" s="187">
        <v>24624</v>
      </c>
      <c r="C1442" s="188">
        <v>4.8099999999999996</v>
      </c>
      <c r="D1442" s="104">
        <f t="shared" si="22"/>
        <v>4.8099999999999997E-2</v>
      </c>
      <c r="F1442" s="5"/>
    </row>
    <row r="1443" spans="2:6" ht="13.8" hidden="1" outlineLevel="1">
      <c r="B1443" s="187">
        <v>24625</v>
      </c>
      <c r="C1443" s="188">
        <v>4.82</v>
      </c>
      <c r="D1443" s="104">
        <f t="shared" si="22"/>
        <v>4.82E-2</v>
      </c>
      <c r="F1443" s="5"/>
    </row>
    <row r="1444" spans="2:6" ht="13.8" hidden="1" outlineLevel="1">
      <c r="B1444" s="187">
        <v>24628</v>
      </c>
      <c r="C1444" s="188">
        <v>4.8499999999999996</v>
      </c>
      <c r="D1444" s="104">
        <f t="shared" si="22"/>
        <v>4.8499999999999995E-2</v>
      </c>
      <c r="F1444" s="5"/>
    </row>
    <row r="1445" spans="2:6" ht="13.8" hidden="1" outlineLevel="1">
      <c r="B1445" s="187">
        <v>24629</v>
      </c>
      <c r="C1445" s="188">
        <v>4.84</v>
      </c>
      <c r="D1445" s="104">
        <f t="shared" si="22"/>
        <v>4.8399999999999999E-2</v>
      </c>
      <c r="F1445" s="5"/>
    </row>
    <row r="1446" spans="2:6" ht="13.8" hidden="1" outlineLevel="1">
      <c r="B1446" s="187">
        <v>24630</v>
      </c>
      <c r="C1446" s="188">
        <v>4.84</v>
      </c>
      <c r="D1446" s="104">
        <f t="shared" si="22"/>
        <v>4.8399999999999999E-2</v>
      </c>
      <c r="F1446" s="5"/>
    </row>
    <row r="1447" spans="2:6" ht="13.8" hidden="1" outlineLevel="1">
      <c r="B1447" s="187">
        <v>24631</v>
      </c>
      <c r="C1447" s="188">
        <v>4.8600000000000003</v>
      </c>
      <c r="D1447" s="104">
        <f t="shared" si="22"/>
        <v>4.8600000000000004E-2</v>
      </c>
      <c r="F1447" s="5"/>
    </row>
    <row r="1448" spans="2:6" ht="13.8" hidden="1" outlineLevel="1">
      <c r="B1448" s="187">
        <v>24632</v>
      </c>
      <c r="C1448" s="188">
        <v>4.8899999999999997</v>
      </c>
      <c r="D1448" s="104">
        <f t="shared" si="22"/>
        <v>4.8899999999999999E-2</v>
      </c>
      <c r="F1448" s="5"/>
    </row>
    <row r="1449" spans="2:6" ht="13.8" hidden="1" outlineLevel="1">
      <c r="B1449" s="187">
        <v>24635</v>
      </c>
      <c r="C1449" s="188">
        <v>4.9400000000000004</v>
      </c>
      <c r="D1449" s="104">
        <f t="shared" si="22"/>
        <v>4.9400000000000006E-2</v>
      </c>
      <c r="F1449" s="5"/>
    </row>
    <row r="1450" spans="2:6" ht="13.8" hidden="1" outlineLevel="1">
      <c r="B1450" s="187">
        <v>24636</v>
      </c>
      <c r="C1450" s="188">
        <v>4.95</v>
      </c>
      <c r="D1450" s="104">
        <f t="shared" si="22"/>
        <v>4.9500000000000002E-2</v>
      </c>
      <c r="F1450" s="5"/>
    </row>
    <row r="1451" spans="2:6" ht="13.8" hidden="1" outlineLevel="1">
      <c r="B1451" s="187">
        <v>24637</v>
      </c>
      <c r="C1451" s="188">
        <v>5.0199999999999996</v>
      </c>
      <c r="D1451" s="104">
        <f t="shared" si="22"/>
        <v>5.0199999999999995E-2</v>
      </c>
      <c r="F1451" s="5"/>
    </row>
    <row r="1452" spans="2:6" ht="13.8" hidden="1" outlineLevel="1">
      <c r="B1452" s="187">
        <v>24638</v>
      </c>
      <c r="C1452" s="188">
        <v>5.0199999999999996</v>
      </c>
      <c r="D1452" s="104">
        <f t="shared" si="22"/>
        <v>5.0199999999999995E-2</v>
      </c>
      <c r="F1452" s="5"/>
    </row>
    <row r="1453" spans="2:6" ht="13.8" hidden="1" outlineLevel="1">
      <c r="B1453" s="187">
        <v>24639</v>
      </c>
      <c r="C1453" s="188">
        <v>5.07</v>
      </c>
      <c r="D1453" s="104">
        <f t="shared" si="22"/>
        <v>5.0700000000000002E-2</v>
      </c>
      <c r="F1453" s="5"/>
    </row>
    <row r="1454" spans="2:6" ht="13.8" hidden="1" outlineLevel="1">
      <c r="B1454" s="187">
        <v>24642</v>
      </c>
      <c r="C1454" s="188">
        <v>5.07</v>
      </c>
      <c r="D1454" s="104">
        <f t="shared" si="22"/>
        <v>5.0700000000000002E-2</v>
      </c>
      <c r="F1454" s="5"/>
    </row>
    <row r="1455" spans="2:6" ht="13.8" hidden="1" outlineLevel="1">
      <c r="B1455" s="187">
        <v>24643</v>
      </c>
      <c r="C1455" s="188">
        <v>5.14</v>
      </c>
      <c r="D1455" s="104">
        <f t="shared" si="22"/>
        <v>5.1399999999999994E-2</v>
      </c>
      <c r="F1455" s="5"/>
    </row>
    <row r="1456" spans="2:6" ht="13.8" hidden="1" outlineLevel="1">
      <c r="B1456" s="187">
        <v>24644</v>
      </c>
      <c r="C1456" s="188">
        <v>5.14</v>
      </c>
      <c r="D1456" s="104">
        <f t="shared" si="22"/>
        <v>5.1399999999999994E-2</v>
      </c>
      <c r="F1456" s="5"/>
    </row>
    <row r="1457" spans="2:6" ht="13.8" hidden="1" outlineLevel="1">
      <c r="B1457" s="187">
        <v>24645</v>
      </c>
      <c r="C1457" s="188">
        <v>5.13</v>
      </c>
      <c r="D1457" s="104">
        <f t="shared" si="22"/>
        <v>5.1299999999999998E-2</v>
      </c>
      <c r="F1457" s="5"/>
    </row>
    <row r="1458" spans="2:6" ht="13.8" hidden="1" outlineLevel="1">
      <c r="B1458" s="187">
        <v>24646</v>
      </c>
      <c r="C1458" s="188">
        <v>5.14</v>
      </c>
      <c r="D1458" s="104">
        <f t="shared" si="22"/>
        <v>5.1399999999999994E-2</v>
      </c>
      <c r="F1458" s="5"/>
    </row>
    <row r="1459" spans="2:6" ht="13.8" hidden="1" outlineLevel="1">
      <c r="B1459" s="187">
        <v>24649</v>
      </c>
      <c r="C1459" s="188">
        <v>5.16</v>
      </c>
      <c r="D1459" s="104">
        <f t="shared" si="22"/>
        <v>5.16E-2</v>
      </c>
      <c r="F1459" s="5"/>
    </row>
    <row r="1460" spans="2:6" ht="13.8" hidden="1" outlineLevel="1">
      <c r="B1460" s="187">
        <v>24650</v>
      </c>
      <c r="C1460" s="188">
        <v>5.21</v>
      </c>
      <c r="D1460" s="104">
        <f t="shared" si="22"/>
        <v>5.21E-2</v>
      </c>
      <c r="F1460" s="5"/>
    </row>
    <row r="1461" spans="2:6" ht="13.8" hidden="1" outlineLevel="1">
      <c r="B1461" s="187">
        <v>24651</v>
      </c>
      <c r="C1461" s="188">
        <v>5.18</v>
      </c>
      <c r="D1461" s="104">
        <f t="shared" si="22"/>
        <v>5.1799999999999999E-2</v>
      </c>
      <c r="F1461" s="5"/>
    </row>
    <row r="1462" spans="2:6" ht="13.8" hidden="1" outlineLevel="1">
      <c r="B1462" s="187">
        <v>24652</v>
      </c>
      <c r="C1462" s="188">
        <v>5.2</v>
      </c>
      <c r="D1462" s="104">
        <f t="shared" si="22"/>
        <v>5.2000000000000005E-2</v>
      </c>
      <c r="F1462" s="5"/>
    </row>
    <row r="1463" spans="2:6" ht="13.8" hidden="1" outlineLevel="1">
      <c r="B1463" s="187">
        <v>24653</v>
      </c>
      <c r="C1463" s="188">
        <v>5.22</v>
      </c>
      <c r="D1463" s="104">
        <f t="shared" si="22"/>
        <v>5.2199999999999996E-2</v>
      </c>
      <c r="F1463" s="5"/>
    </row>
    <row r="1464" spans="2:6" ht="13.8" hidden="1" outlineLevel="1">
      <c r="B1464" s="187">
        <v>24656</v>
      </c>
      <c r="C1464" s="188">
        <v>5.22</v>
      </c>
      <c r="D1464" s="104">
        <f t="shared" si="22"/>
        <v>5.2199999999999996E-2</v>
      </c>
      <c r="F1464" s="5"/>
    </row>
    <row r="1465" spans="2:6" ht="13.8" hidden="1" outlineLevel="1">
      <c r="B1465" s="187">
        <v>24657</v>
      </c>
      <c r="C1465" s="188" t="s">
        <v>380</v>
      </c>
      <c r="D1465" s="104">
        <f t="shared" si="22"/>
        <v>5.2199999999999996E-2</v>
      </c>
      <c r="F1465" s="5"/>
    </row>
    <row r="1466" spans="2:6" ht="13.8" hidden="1" outlineLevel="1">
      <c r="B1466" s="187">
        <v>24658</v>
      </c>
      <c r="C1466" s="188">
        <v>5.17</v>
      </c>
      <c r="D1466" s="104">
        <f t="shared" si="22"/>
        <v>5.1699999999999996E-2</v>
      </c>
      <c r="F1466" s="5"/>
    </row>
    <row r="1467" spans="2:6" ht="13.8" hidden="1" outlineLevel="1">
      <c r="B1467" s="187">
        <v>24659</v>
      </c>
      <c r="C1467" s="188">
        <v>5.1100000000000003</v>
      </c>
      <c r="D1467" s="104">
        <f t="shared" si="22"/>
        <v>5.1100000000000007E-2</v>
      </c>
      <c r="F1467" s="5"/>
    </row>
    <row r="1468" spans="2:6" ht="13.8" hidden="1" outlineLevel="1">
      <c r="B1468" s="187">
        <v>24660</v>
      </c>
      <c r="C1468" s="188">
        <v>5.15</v>
      </c>
      <c r="D1468" s="104">
        <f t="shared" si="22"/>
        <v>5.1500000000000004E-2</v>
      </c>
      <c r="F1468" s="5"/>
    </row>
    <row r="1469" spans="2:6" ht="13.8" hidden="1" outlineLevel="1">
      <c r="B1469" s="187">
        <v>24663</v>
      </c>
      <c r="C1469" s="188">
        <v>5.16</v>
      </c>
      <c r="D1469" s="104">
        <f t="shared" si="22"/>
        <v>5.16E-2</v>
      </c>
      <c r="F1469" s="5"/>
    </row>
    <row r="1470" spans="2:6" ht="13.8" hidden="1" outlineLevel="1">
      <c r="B1470" s="187">
        <v>24664</v>
      </c>
      <c r="C1470" s="188">
        <v>5.09</v>
      </c>
      <c r="D1470" s="104">
        <f t="shared" si="22"/>
        <v>5.0900000000000001E-2</v>
      </c>
      <c r="F1470" s="5"/>
    </row>
    <row r="1471" spans="2:6" ht="13.8" hidden="1" outlineLevel="1">
      <c r="B1471" s="187">
        <v>24665</v>
      </c>
      <c r="C1471" s="188">
        <v>5.0599999999999996</v>
      </c>
      <c r="D1471" s="104">
        <f t="shared" si="22"/>
        <v>5.0599999999999999E-2</v>
      </c>
      <c r="F1471" s="5"/>
    </row>
    <row r="1472" spans="2:6" ht="13.8" hidden="1" outlineLevel="1">
      <c r="B1472" s="187">
        <v>24666</v>
      </c>
      <c r="C1472" s="188">
        <v>5.08</v>
      </c>
      <c r="D1472" s="104">
        <f t="shared" si="22"/>
        <v>5.0799999999999998E-2</v>
      </c>
      <c r="F1472" s="5"/>
    </row>
    <row r="1473" spans="2:6" ht="13.8" hidden="1" outlineLevel="1">
      <c r="B1473" s="187">
        <v>24667</v>
      </c>
      <c r="C1473" s="188">
        <v>5.08</v>
      </c>
      <c r="D1473" s="104">
        <f t="shared" si="22"/>
        <v>5.0799999999999998E-2</v>
      </c>
      <c r="F1473" s="5"/>
    </row>
    <row r="1474" spans="2:6" ht="13.8" hidden="1" outlineLevel="1">
      <c r="B1474" s="187">
        <v>24670</v>
      </c>
      <c r="C1474" s="188">
        <v>5.09</v>
      </c>
      <c r="D1474" s="104">
        <f t="shared" si="22"/>
        <v>5.0900000000000001E-2</v>
      </c>
      <c r="F1474" s="5"/>
    </row>
    <row r="1475" spans="2:6" ht="13.8" hidden="1" outlineLevel="1">
      <c r="B1475" s="187">
        <v>24671</v>
      </c>
      <c r="C1475" s="188">
        <v>5.16</v>
      </c>
      <c r="D1475" s="104">
        <f t="shared" si="22"/>
        <v>5.16E-2</v>
      </c>
      <c r="F1475" s="5"/>
    </row>
    <row r="1476" spans="2:6" ht="13.8" hidden="1" outlineLevel="1">
      <c r="B1476" s="187">
        <v>24672</v>
      </c>
      <c r="C1476" s="188">
        <v>5.18</v>
      </c>
      <c r="D1476" s="104">
        <f t="shared" si="22"/>
        <v>5.1799999999999999E-2</v>
      </c>
      <c r="F1476" s="5"/>
    </row>
    <row r="1477" spans="2:6" ht="13.8" hidden="1" outlineLevel="1">
      <c r="B1477" s="187">
        <v>24673</v>
      </c>
      <c r="C1477" s="188">
        <v>5.2</v>
      </c>
      <c r="D1477" s="104">
        <f t="shared" si="22"/>
        <v>5.2000000000000005E-2</v>
      </c>
      <c r="F1477" s="5"/>
    </row>
    <row r="1478" spans="2:6" ht="13.8" hidden="1" outlineLevel="1">
      <c r="B1478" s="187">
        <v>24674</v>
      </c>
      <c r="C1478" s="188">
        <v>5.2</v>
      </c>
      <c r="D1478" s="104">
        <f t="shared" si="22"/>
        <v>5.2000000000000005E-2</v>
      </c>
      <c r="F1478" s="5"/>
    </row>
    <row r="1479" spans="2:6" ht="13.8" hidden="1" outlineLevel="1">
      <c r="B1479" s="187">
        <v>24677</v>
      </c>
      <c r="C1479" s="188">
        <v>5.23</v>
      </c>
      <c r="D1479" s="104">
        <f t="shared" si="22"/>
        <v>5.2300000000000006E-2</v>
      </c>
      <c r="F1479" s="5"/>
    </row>
    <row r="1480" spans="2:6" ht="13.8" hidden="1" outlineLevel="1">
      <c r="B1480" s="187">
        <v>24678</v>
      </c>
      <c r="C1480" s="188">
        <v>5.23</v>
      </c>
      <c r="D1480" s="104">
        <f t="shared" si="22"/>
        <v>5.2300000000000006E-2</v>
      </c>
      <c r="F1480" s="5"/>
    </row>
    <row r="1481" spans="2:6" ht="13.8" hidden="1" outlineLevel="1">
      <c r="B1481" s="187">
        <v>24679</v>
      </c>
      <c r="C1481" s="188">
        <v>5.23</v>
      </c>
      <c r="D1481" s="104">
        <f t="shared" si="22"/>
        <v>5.2300000000000006E-2</v>
      </c>
      <c r="F1481" s="5"/>
    </row>
    <row r="1482" spans="2:6" ht="13.8" hidden="1" outlineLevel="1">
      <c r="B1482" s="187">
        <v>24680</v>
      </c>
      <c r="C1482" s="188">
        <v>5.2</v>
      </c>
      <c r="D1482" s="104">
        <f t="shared" si="22"/>
        <v>5.2000000000000005E-2</v>
      </c>
      <c r="F1482" s="5"/>
    </row>
    <row r="1483" spans="2:6" ht="13.8" hidden="1" outlineLevel="1">
      <c r="B1483" s="187">
        <v>24681</v>
      </c>
      <c r="C1483" s="188">
        <v>5.18</v>
      </c>
      <c r="D1483" s="104">
        <f t="shared" si="22"/>
        <v>5.1799999999999999E-2</v>
      </c>
      <c r="F1483" s="5"/>
    </row>
    <row r="1484" spans="2:6" ht="13.8" hidden="1" outlineLevel="1">
      <c r="B1484" s="187">
        <v>24684</v>
      </c>
      <c r="C1484" s="188">
        <v>5.16</v>
      </c>
      <c r="D1484" s="104">
        <f t="shared" si="22"/>
        <v>5.16E-2</v>
      </c>
      <c r="F1484" s="5"/>
    </row>
    <row r="1485" spans="2:6" ht="13.8" hidden="1" outlineLevel="1">
      <c r="B1485" s="187">
        <v>24685</v>
      </c>
      <c r="C1485" s="188">
        <v>5.18</v>
      </c>
      <c r="D1485" s="104">
        <f t="shared" si="22"/>
        <v>5.1799999999999999E-2</v>
      </c>
      <c r="F1485" s="5"/>
    </row>
    <row r="1486" spans="2:6" ht="13.8" hidden="1" outlineLevel="1">
      <c r="B1486" s="187">
        <v>24686</v>
      </c>
      <c r="C1486" s="188">
        <v>5.21</v>
      </c>
      <c r="D1486" s="104">
        <f t="shared" si="22"/>
        <v>5.21E-2</v>
      </c>
      <c r="F1486" s="5"/>
    </row>
    <row r="1487" spans="2:6" ht="13.8" hidden="1" outlineLevel="1">
      <c r="B1487" s="187">
        <v>24687</v>
      </c>
      <c r="C1487" s="188">
        <v>5.2</v>
      </c>
      <c r="D1487" s="104">
        <f t="shared" si="22"/>
        <v>5.2000000000000005E-2</v>
      </c>
      <c r="F1487" s="5"/>
    </row>
    <row r="1488" spans="2:6" ht="13.8" hidden="1" outlineLevel="1">
      <c r="B1488" s="187">
        <v>24688</v>
      </c>
      <c r="C1488" s="188">
        <v>5.26</v>
      </c>
      <c r="D1488" s="104">
        <f t="shared" si="22"/>
        <v>5.2600000000000001E-2</v>
      </c>
      <c r="F1488" s="5"/>
    </row>
    <row r="1489" spans="2:6" ht="13.8" hidden="1" outlineLevel="1">
      <c r="B1489" s="187">
        <v>24691</v>
      </c>
      <c r="C1489" s="188">
        <v>5.3</v>
      </c>
      <c r="D1489" s="104">
        <f t="shared" si="22"/>
        <v>5.2999999999999999E-2</v>
      </c>
      <c r="F1489" s="5"/>
    </row>
    <row r="1490" spans="2:6" ht="13.8" hidden="1" outlineLevel="1">
      <c r="B1490" s="187">
        <v>24692</v>
      </c>
      <c r="C1490" s="188">
        <v>5.28</v>
      </c>
      <c r="D1490" s="104">
        <f t="shared" si="22"/>
        <v>5.28E-2</v>
      </c>
      <c r="F1490" s="5"/>
    </row>
    <row r="1491" spans="2:6" ht="13.8" hidden="1" outlineLevel="1">
      <c r="B1491" s="187">
        <v>24693</v>
      </c>
      <c r="C1491" s="188">
        <v>5.27</v>
      </c>
      <c r="D1491" s="104">
        <f t="shared" si="22"/>
        <v>5.2699999999999997E-2</v>
      </c>
      <c r="F1491" s="5"/>
    </row>
    <row r="1492" spans="2:6" ht="13.8" hidden="1" outlineLevel="1">
      <c r="B1492" s="187">
        <v>24694</v>
      </c>
      <c r="C1492" s="188">
        <v>5.28</v>
      </c>
      <c r="D1492" s="104">
        <f t="shared" si="22"/>
        <v>5.28E-2</v>
      </c>
      <c r="F1492" s="5"/>
    </row>
    <row r="1493" spans="2:6" ht="13.8" hidden="1" outlineLevel="1">
      <c r="B1493" s="187">
        <v>24695</v>
      </c>
      <c r="C1493" s="188">
        <v>5.29</v>
      </c>
      <c r="D1493" s="104">
        <f t="shared" si="22"/>
        <v>5.2900000000000003E-2</v>
      </c>
      <c r="F1493" s="5"/>
    </row>
    <row r="1494" spans="2:6" ht="13.8" hidden="1" outlineLevel="1">
      <c r="B1494" s="187">
        <v>24698</v>
      </c>
      <c r="C1494" s="188">
        <v>5.29</v>
      </c>
      <c r="D1494" s="104">
        <f t="shared" si="22"/>
        <v>5.2900000000000003E-2</v>
      </c>
      <c r="F1494" s="5"/>
    </row>
    <row r="1495" spans="2:6" ht="13.8" hidden="1" outlineLevel="1">
      <c r="B1495" s="187">
        <v>24699</v>
      </c>
      <c r="C1495" s="188">
        <v>5.29</v>
      </c>
      <c r="D1495" s="104">
        <f t="shared" si="22"/>
        <v>5.2900000000000003E-2</v>
      </c>
      <c r="F1495" s="5"/>
    </row>
    <row r="1496" spans="2:6" ht="13.8" hidden="1" outlineLevel="1">
      <c r="B1496" s="187">
        <v>24700</v>
      </c>
      <c r="C1496" s="188">
        <v>5.28</v>
      </c>
      <c r="D1496" s="104">
        <f t="shared" si="22"/>
        <v>5.28E-2</v>
      </c>
      <c r="F1496" s="5"/>
    </row>
    <row r="1497" spans="2:6" ht="13.8" hidden="1" outlineLevel="1">
      <c r="B1497" s="187">
        <v>24701</v>
      </c>
      <c r="C1497" s="188">
        <v>5.28</v>
      </c>
      <c r="D1497" s="104">
        <f t="shared" si="22"/>
        <v>5.28E-2</v>
      </c>
      <c r="F1497" s="5"/>
    </row>
    <row r="1498" spans="2:6" ht="13.8" hidden="1" outlineLevel="1">
      <c r="B1498" s="187">
        <v>24702</v>
      </c>
      <c r="C1498" s="188">
        <v>5.28</v>
      </c>
      <c r="D1498" s="104">
        <f t="shared" si="22"/>
        <v>5.28E-2</v>
      </c>
      <c r="F1498" s="5"/>
    </row>
    <row r="1499" spans="2:6" ht="13.8" hidden="1" outlineLevel="1">
      <c r="B1499" s="187">
        <v>24705</v>
      </c>
      <c r="C1499" s="188">
        <v>5.3</v>
      </c>
      <c r="D1499" s="104">
        <f t="shared" si="22"/>
        <v>5.2999999999999999E-2</v>
      </c>
      <c r="F1499" s="5"/>
    </row>
    <row r="1500" spans="2:6" ht="13.8" hidden="1" outlineLevel="1">
      <c r="B1500" s="187">
        <v>24706</v>
      </c>
      <c r="C1500" s="188">
        <v>5.3</v>
      </c>
      <c r="D1500" s="104">
        <f t="shared" si="22"/>
        <v>5.2999999999999999E-2</v>
      </c>
      <c r="F1500" s="5"/>
    </row>
    <row r="1501" spans="2:6" ht="13.8" hidden="1" outlineLevel="1">
      <c r="B1501" s="187">
        <v>24707</v>
      </c>
      <c r="C1501" s="188">
        <v>5.31</v>
      </c>
      <c r="D1501" s="104">
        <f t="shared" si="22"/>
        <v>5.3099999999999994E-2</v>
      </c>
      <c r="F1501" s="5"/>
    </row>
    <row r="1502" spans="2:6" ht="13.8" hidden="1" outlineLevel="1">
      <c r="B1502" s="187">
        <v>24708</v>
      </c>
      <c r="C1502" s="188">
        <v>5.31</v>
      </c>
      <c r="D1502" s="104">
        <f t="shared" ref="D1502:D1565" si="23">IF( LEN( C1502 ) = 0, #N/A, IF( C1502 = "ND", D1501, C1502 / 100 ) )</f>
        <v>5.3099999999999994E-2</v>
      </c>
      <c r="F1502" s="5"/>
    </row>
    <row r="1503" spans="2:6" ht="13.8" hidden="1" outlineLevel="1">
      <c r="B1503" s="187">
        <v>24709</v>
      </c>
      <c r="C1503" s="188">
        <v>5.32</v>
      </c>
      <c r="D1503" s="104">
        <f t="shared" si="23"/>
        <v>5.3200000000000004E-2</v>
      </c>
      <c r="F1503" s="5"/>
    </row>
    <row r="1504" spans="2:6" ht="13.8" hidden="1" outlineLevel="1">
      <c r="B1504" s="187">
        <v>24712</v>
      </c>
      <c r="C1504" s="188">
        <v>5.29</v>
      </c>
      <c r="D1504" s="104">
        <f t="shared" si="23"/>
        <v>5.2900000000000003E-2</v>
      </c>
      <c r="F1504" s="5"/>
    </row>
    <row r="1505" spans="2:6" ht="13.8" hidden="1" outlineLevel="1">
      <c r="B1505" s="187">
        <v>24713</v>
      </c>
      <c r="C1505" s="188">
        <v>5.27</v>
      </c>
      <c r="D1505" s="104">
        <f t="shared" si="23"/>
        <v>5.2699999999999997E-2</v>
      </c>
      <c r="F1505" s="5"/>
    </row>
    <row r="1506" spans="2:6" ht="13.8" hidden="1" outlineLevel="1">
      <c r="B1506" s="187">
        <v>24714</v>
      </c>
      <c r="C1506" s="188">
        <v>5.28</v>
      </c>
      <c r="D1506" s="104">
        <f t="shared" si="23"/>
        <v>5.28E-2</v>
      </c>
      <c r="F1506" s="5"/>
    </row>
    <row r="1507" spans="2:6" ht="13.8" hidden="1" outlineLevel="1">
      <c r="B1507" s="187">
        <v>24715</v>
      </c>
      <c r="C1507" s="188">
        <v>5.27</v>
      </c>
      <c r="D1507" s="104">
        <f t="shared" si="23"/>
        <v>5.2699999999999997E-2</v>
      </c>
      <c r="F1507" s="5"/>
    </row>
    <row r="1508" spans="2:6" ht="13.8" hidden="1" outlineLevel="1">
      <c r="B1508" s="187">
        <v>24716</v>
      </c>
      <c r="C1508" s="188">
        <v>5.25</v>
      </c>
      <c r="D1508" s="104">
        <f t="shared" si="23"/>
        <v>5.2499999999999998E-2</v>
      </c>
      <c r="F1508" s="5"/>
    </row>
    <row r="1509" spans="2:6" ht="13.8" hidden="1" outlineLevel="1">
      <c r="B1509" s="187">
        <v>24719</v>
      </c>
      <c r="C1509" s="188" t="s">
        <v>380</v>
      </c>
      <c r="D1509" s="104">
        <f t="shared" si="23"/>
        <v>5.2499999999999998E-2</v>
      </c>
      <c r="F1509" s="5"/>
    </row>
    <row r="1510" spans="2:6" ht="13.8" hidden="1" outlineLevel="1">
      <c r="B1510" s="187">
        <v>24720</v>
      </c>
      <c r="C1510" s="188">
        <v>5.22</v>
      </c>
      <c r="D1510" s="104">
        <f t="shared" si="23"/>
        <v>5.2199999999999996E-2</v>
      </c>
      <c r="F1510" s="5"/>
    </row>
    <row r="1511" spans="2:6" ht="13.8" hidden="1" outlineLevel="1">
      <c r="B1511" s="187">
        <v>24721</v>
      </c>
      <c r="C1511" s="188">
        <v>5.2</v>
      </c>
      <c r="D1511" s="104">
        <f t="shared" si="23"/>
        <v>5.2000000000000005E-2</v>
      </c>
      <c r="F1511" s="5"/>
    </row>
    <row r="1512" spans="2:6" ht="13.8" hidden="1" outlineLevel="1">
      <c r="B1512" s="187">
        <v>24722</v>
      </c>
      <c r="C1512" s="188">
        <v>5.2</v>
      </c>
      <c r="D1512" s="104">
        <f t="shared" si="23"/>
        <v>5.2000000000000005E-2</v>
      </c>
      <c r="F1512" s="5"/>
    </row>
    <row r="1513" spans="2:6" ht="13.8" hidden="1" outlineLevel="1">
      <c r="B1513" s="187">
        <v>24723</v>
      </c>
      <c r="C1513" s="188">
        <v>5.26</v>
      </c>
      <c r="D1513" s="104">
        <f t="shared" si="23"/>
        <v>5.2600000000000001E-2</v>
      </c>
      <c r="F1513" s="5"/>
    </row>
    <row r="1514" spans="2:6" ht="13.8" hidden="1" outlineLevel="1">
      <c r="B1514" s="187">
        <v>24726</v>
      </c>
      <c r="C1514" s="188">
        <v>5.28</v>
      </c>
      <c r="D1514" s="104">
        <f t="shared" si="23"/>
        <v>5.28E-2</v>
      </c>
      <c r="F1514" s="5"/>
    </row>
    <row r="1515" spans="2:6" ht="13.8" hidden="1" outlineLevel="1">
      <c r="B1515" s="187">
        <v>24727</v>
      </c>
      <c r="C1515" s="188">
        <v>5.29</v>
      </c>
      <c r="D1515" s="104">
        <f t="shared" si="23"/>
        <v>5.2900000000000003E-2</v>
      </c>
      <c r="F1515" s="5"/>
    </row>
    <row r="1516" spans="2:6" ht="13.8" hidden="1" outlineLevel="1">
      <c r="B1516" s="187">
        <v>24728</v>
      </c>
      <c r="C1516" s="188">
        <v>5.27</v>
      </c>
      <c r="D1516" s="104">
        <f t="shared" si="23"/>
        <v>5.2699999999999997E-2</v>
      </c>
      <c r="F1516" s="5"/>
    </row>
    <row r="1517" spans="2:6" ht="13.8" hidden="1" outlineLevel="1">
      <c r="B1517" s="187">
        <v>24729</v>
      </c>
      <c r="C1517" s="188">
        <v>5.28</v>
      </c>
      <c r="D1517" s="104">
        <f t="shared" si="23"/>
        <v>5.28E-2</v>
      </c>
      <c r="F1517" s="5"/>
    </row>
    <row r="1518" spans="2:6" ht="13.8" hidden="1" outlineLevel="1">
      <c r="B1518" s="187">
        <v>24730</v>
      </c>
      <c r="C1518" s="188">
        <v>5.29</v>
      </c>
      <c r="D1518" s="104">
        <f t="shared" si="23"/>
        <v>5.2900000000000003E-2</v>
      </c>
      <c r="F1518" s="5"/>
    </row>
    <row r="1519" spans="2:6" ht="13.8" hidden="1" outlineLevel="1">
      <c r="B1519" s="187">
        <v>24733</v>
      </c>
      <c r="C1519" s="188">
        <v>5.3</v>
      </c>
      <c r="D1519" s="104">
        <f t="shared" si="23"/>
        <v>5.2999999999999999E-2</v>
      </c>
      <c r="F1519" s="5"/>
    </row>
    <row r="1520" spans="2:6" ht="13.8" hidden="1" outlineLevel="1">
      <c r="B1520" s="187">
        <v>24734</v>
      </c>
      <c r="C1520" s="188">
        <v>5.35</v>
      </c>
      <c r="D1520" s="104">
        <f t="shared" si="23"/>
        <v>5.3499999999999999E-2</v>
      </c>
      <c r="F1520" s="5"/>
    </row>
    <row r="1521" spans="2:6" ht="13.8" hidden="1" outlineLevel="1">
      <c r="B1521" s="187">
        <v>24735</v>
      </c>
      <c r="C1521" s="188">
        <v>5.34</v>
      </c>
      <c r="D1521" s="104">
        <f t="shared" si="23"/>
        <v>5.3399999999999996E-2</v>
      </c>
      <c r="F1521" s="5"/>
    </row>
    <row r="1522" spans="2:6" ht="13.8" hidden="1" outlineLevel="1">
      <c r="B1522" s="187">
        <v>24736</v>
      </c>
      <c r="C1522" s="188">
        <v>5.36</v>
      </c>
      <c r="D1522" s="104">
        <f t="shared" si="23"/>
        <v>5.3600000000000002E-2</v>
      </c>
      <c r="F1522" s="5"/>
    </row>
    <row r="1523" spans="2:6" ht="13.8" hidden="1" outlineLevel="1">
      <c r="B1523" s="187">
        <v>24737</v>
      </c>
      <c r="C1523" s="188">
        <v>5.36</v>
      </c>
      <c r="D1523" s="104">
        <f t="shared" si="23"/>
        <v>5.3600000000000002E-2</v>
      </c>
      <c r="F1523" s="5"/>
    </row>
    <row r="1524" spans="2:6" ht="13.8" hidden="1" outlineLevel="1">
      <c r="B1524" s="187">
        <v>24740</v>
      </c>
      <c r="C1524" s="188">
        <v>5.38</v>
      </c>
      <c r="D1524" s="104">
        <f t="shared" si="23"/>
        <v>5.3800000000000001E-2</v>
      </c>
      <c r="F1524" s="5"/>
    </row>
    <row r="1525" spans="2:6" ht="13.8" hidden="1" outlineLevel="1">
      <c r="B1525" s="187">
        <v>24741</v>
      </c>
      <c r="C1525" s="188">
        <v>5.37</v>
      </c>
      <c r="D1525" s="104">
        <f t="shared" si="23"/>
        <v>5.3699999999999998E-2</v>
      </c>
      <c r="F1525" s="5"/>
    </row>
    <row r="1526" spans="2:6" ht="13.8" hidden="1" outlineLevel="1">
      <c r="B1526" s="187">
        <v>24742</v>
      </c>
      <c r="C1526" s="188">
        <v>5.37</v>
      </c>
      <c r="D1526" s="104">
        <f t="shared" si="23"/>
        <v>5.3699999999999998E-2</v>
      </c>
      <c r="F1526" s="5"/>
    </row>
    <row r="1527" spans="2:6" ht="13.8" hidden="1" outlineLevel="1">
      <c r="B1527" s="187">
        <v>24743</v>
      </c>
      <c r="C1527" s="188">
        <v>5.36</v>
      </c>
      <c r="D1527" s="104">
        <f t="shared" si="23"/>
        <v>5.3600000000000002E-2</v>
      </c>
      <c r="F1527" s="5"/>
    </row>
    <row r="1528" spans="2:6" ht="13.8" hidden="1" outlineLevel="1">
      <c r="B1528" s="187">
        <v>24744</v>
      </c>
      <c r="C1528" s="188">
        <v>5.31</v>
      </c>
      <c r="D1528" s="104">
        <f t="shared" si="23"/>
        <v>5.3099999999999994E-2</v>
      </c>
      <c r="F1528" s="5"/>
    </row>
    <row r="1529" spans="2:6" ht="13.8" hidden="1" outlineLevel="1">
      <c r="B1529" s="187">
        <v>24747</v>
      </c>
      <c r="C1529" s="188">
        <v>5.35</v>
      </c>
      <c r="D1529" s="104">
        <f t="shared" si="23"/>
        <v>5.3499999999999999E-2</v>
      </c>
      <c r="F1529" s="5"/>
    </row>
    <row r="1530" spans="2:6" ht="13.8" hidden="1" outlineLevel="1">
      <c r="B1530" s="187">
        <v>24748</v>
      </c>
      <c r="C1530" s="188">
        <v>5.35</v>
      </c>
      <c r="D1530" s="104">
        <f t="shared" si="23"/>
        <v>5.3499999999999999E-2</v>
      </c>
      <c r="F1530" s="5"/>
    </row>
    <row r="1531" spans="2:6" ht="13.8" hidden="1" outlineLevel="1">
      <c r="B1531" s="187">
        <v>24749</v>
      </c>
      <c r="C1531" s="188">
        <v>5.37</v>
      </c>
      <c r="D1531" s="104">
        <f t="shared" si="23"/>
        <v>5.3699999999999998E-2</v>
      </c>
      <c r="F1531" s="5"/>
    </row>
    <row r="1532" spans="2:6" ht="13.8" hidden="1" outlineLevel="1">
      <c r="B1532" s="187">
        <v>24750</v>
      </c>
      <c r="C1532" s="188">
        <v>5.37</v>
      </c>
      <c r="D1532" s="104">
        <f t="shared" si="23"/>
        <v>5.3699999999999998E-2</v>
      </c>
      <c r="F1532" s="5"/>
    </row>
    <row r="1533" spans="2:6" ht="13.8" hidden="1" outlineLevel="1">
      <c r="B1533" s="187">
        <v>24751</v>
      </c>
      <c r="C1533" s="188">
        <v>5.37</v>
      </c>
      <c r="D1533" s="104">
        <f t="shared" si="23"/>
        <v>5.3699999999999998E-2</v>
      </c>
      <c r="F1533" s="5"/>
    </row>
    <row r="1534" spans="2:6" ht="13.8" hidden="1" outlineLevel="1">
      <c r="B1534" s="187">
        <v>24754</v>
      </c>
      <c r="C1534" s="188">
        <v>5.39</v>
      </c>
      <c r="D1534" s="104">
        <f t="shared" si="23"/>
        <v>5.3899999999999997E-2</v>
      </c>
      <c r="F1534" s="5"/>
    </row>
    <row r="1535" spans="2:6" ht="13.8" hidden="1" outlineLevel="1">
      <c r="B1535" s="187">
        <v>24755</v>
      </c>
      <c r="C1535" s="188">
        <v>5.42</v>
      </c>
      <c r="D1535" s="104">
        <f t="shared" si="23"/>
        <v>5.4199999999999998E-2</v>
      </c>
      <c r="F1535" s="5"/>
    </row>
    <row r="1536" spans="2:6" ht="13.8" hidden="1" outlineLevel="1">
      <c r="B1536" s="187">
        <v>24756</v>
      </c>
      <c r="C1536" s="188">
        <v>5.42</v>
      </c>
      <c r="D1536" s="104">
        <f t="shared" si="23"/>
        <v>5.4199999999999998E-2</v>
      </c>
      <c r="F1536" s="5"/>
    </row>
    <row r="1537" spans="2:6" ht="13.8" hidden="1" outlineLevel="1">
      <c r="B1537" s="187">
        <v>24757</v>
      </c>
      <c r="C1537" s="188" t="s">
        <v>380</v>
      </c>
      <c r="D1537" s="104">
        <f t="shared" si="23"/>
        <v>5.4199999999999998E-2</v>
      </c>
      <c r="F1537" s="5"/>
    </row>
    <row r="1538" spans="2:6" ht="13.8" hidden="1" outlineLevel="1">
      <c r="B1538" s="187">
        <v>24758</v>
      </c>
      <c r="C1538" s="188">
        <v>5.45</v>
      </c>
      <c r="D1538" s="104">
        <f t="shared" si="23"/>
        <v>5.45E-2</v>
      </c>
      <c r="F1538" s="5"/>
    </row>
    <row r="1539" spans="2:6" ht="13.8" hidden="1" outlineLevel="1">
      <c r="B1539" s="187">
        <v>24761</v>
      </c>
      <c r="C1539" s="188">
        <v>5.47</v>
      </c>
      <c r="D1539" s="104">
        <f t="shared" si="23"/>
        <v>5.4699999999999999E-2</v>
      </c>
      <c r="F1539" s="5"/>
    </row>
    <row r="1540" spans="2:6" ht="13.8" hidden="1" outlineLevel="1">
      <c r="B1540" s="187">
        <v>24762</v>
      </c>
      <c r="C1540" s="188">
        <v>5.49</v>
      </c>
      <c r="D1540" s="104">
        <f t="shared" si="23"/>
        <v>5.4900000000000004E-2</v>
      </c>
      <c r="F1540" s="5"/>
    </row>
    <row r="1541" spans="2:6" ht="13.8" hidden="1" outlineLevel="1">
      <c r="B1541" s="187">
        <v>24763</v>
      </c>
      <c r="C1541" s="188">
        <v>5.52</v>
      </c>
      <c r="D1541" s="104">
        <f t="shared" si="23"/>
        <v>5.5199999999999999E-2</v>
      </c>
      <c r="F1541" s="5"/>
    </row>
    <row r="1542" spans="2:6" ht="13.8" hidden="1" outlineLevel="1">
      <c r="B1542" s="187">
        <v>24764</v>
      </c>
      <c r="C1542" s="188">
        <v>5.53</v>
      </c>
      <c r="D1542" s="104">
        <f t="shared" si="23"/>
        <v>5.5300000000000002E-2</v>
      </c>
      <c r="F1542" s="5"/>
    </row>
    <row r="1543" spans="2:6" ht="13.8" hidden="1" outlineLevel="1">
      <c r="B1543" s="187">
        <v>24765</v>
      </c>
      <c r="C1543" s="188">
        <v>5.52</v>
      </c>
      <c r="D1543" s="104">
        <f t="shared" si="23"/>
        <v>5.5199999999999999E-2</v>
      </c>
      <c r="F1543" s="5"/>
    </row>
    <row r="1544" spans="2:6" ht="13.8" hidden="1" outlineLevel="1">
      <c r="B1544" s="187">
        <v>24768</v>
      </c>
      <c r="C1544" s="188">
        <v>5.56</v>
      </c>
      <c r="D1544" s="104">
        <f t="shared" si="23"/>
        <v>5.5599999999999997E-2</v>
      </c>
      <c r="F1544" s="5"/>
    </row>
    <row r="1545" spans="2:6" ht="13.8" hidden="1" outlineLevel="1">
      <c r="B1545" s="187">
        <v>24769</v>
      </c>
      <c r="C1545" s="188">
        <v>5.56</v>
      </c>
      <c r="D1545" s="104">
        <f t="shared" si="23"/>
        <v>5.5599999999999997E-2</v>
      </c>
      <c r="F1545" s="5"/>
    </row>
    <row r="1546" spans="2:6" ht="13.8" hidden="1" outlineLevel="1">
      <c r="B1546" s="187">
        <v>24770</v>
      </c>
      <c r="C1546" s="188">
        <v>5.57</v>
      </c>
      <c r="D1546" s="104">
        <f t="shared" si="23"/>
        <v>5.57E-2</v>
      </c>
      <c r="F1546" s="5"/>
    </row>
    <row r="1547" spans="2:6" ht="13.8" hidden="1" outlineLevel="1">
      <c r="B1547" s="187">
        <v>24771</v>
      </c>
      <c r="C1547" s="188">
        <v>5.58</v>
      </c>
      <c r="D1547" s="104">
        <f t="shared" si="23"/>
        <v>5.5800000000000002E-2</v>
      </c>
      <c r="F1547" s="5"/>
    </row>
    <row r="1548" spans="2:6" ht="13.8" hidden="1" outlineLevel="1">
      <c r="B1548" s="187">
        <v>24772</v>
      </c>
      <c r="C1548" s="188">
        <v>5.57</v>
      </c>
      <c r="D1548" s="104">
        <f t="shared" si="23"/>
        <v>5.57E-2</v>
      </c>
      <c r="F1548" s="5"/>
    </row>
    <row r="1549" spans="2:6" ht="13.8" hidden="1" outlineLevel="1">
      <c r="B1549" s="187">
        <v>24775</v>
      </c>
      <c r="C1549" s="188">
        <v>5.6</v>
      </c>
      <c r="D1549" s="104">
        <f t="shared" si="23"/>
        <v>5.5999999999999994E-2</v>
      </c>
      <c r="F1549" s="5"/>
    </row>
    <row r="1550" spans="2:6" ht="13.8" hidden="1" outlineLevel="1">
      <c r="B1550" s="187">
        <v>24776</v>
      </c>
      <c r="C1550" s="188">
        <v>5.64</v>
      </c>
      <c r="D1550" s="104">
        <f t="shared" si="23"/>
        <v>5.6399999999999999E-2</v>
      </c>
      <c r="F1550" s="5"/>
    </row>
    <row r="1551" spans="2:6" ht="13.8" hidden="1" outlineLevel="1">
      <c r="B1551" s="187">
        <v>24777</v>
      </c>
      <c r="C1551" s="188">
        <v>5.7</v>
      </c>
      <c r="D1551" s="104">
        <f t="shared" si="23"/>
        <v>5.7000000000000002E-2</v>
      </c>
      <c r="F1551" s="5"/>
    </row>
    <row r="1552" spans="2:6" ht="13.8" hidden="1" outlineLevel="1">
      <c r="B1552" s="187">
        <v>24778</v>
      </c>
      <c r="C1552" s="188">
        <v>5.71</v>
      </c>
      <c r="D1552" s="104">
        <f t="shared" si="23"/>
        <v>5.7099999999999998E-2</v>
      </c>
      <c r="F1552" s="5"/>
    </row>
    <row r="1553" spans="2:6" ht="13.8" hidden="1" outlineLevel="1">
      <c r="B1553" s="187">
        <v>24779</v>
      </c>
      <c r="C1553" s="188">
        <v>5.75</v>
      </c>
      <c r="D1553" s="104">
        <f t="shared" si="23"/>
        <v>5.7500000000000002E-2</v>
      </c>
      <c r="F1553" s="5"/>
    </row>
    <row r="1554" spans="2:6" ht="13.8" hidden="1" outlineLevel="1">
      <c r="B1554" s="187">
        <v>24782</v>
      </c>
      <c r="C1554" s="188">
        <v>5.77</v>
      </c>
      <c r="D1554" s="104">
        <f t="shared" si="23"/>
        <v>5.7699999999999994E-2</v>
      </c>
      <c r="F1554" s="5"/>
    </row>
    <row r="1555" spans="2:6" ht="13.8" hidden="1" outlineLevel="1">
      <c r="B1555" s="187">
        <v>24783</v>
      </c>
      <c r="C1555" s="188" t="s">
        <v>380</v>
      </c>
      <c r="D1555" s="104">
        <f t="shared" si="23"/>
        <v>5.7699999999999994E-2</v>
      </c>
      <c r="F1555" s="5"/>
    </row>
    <row r="1556" spans="2:6" ht="13.8" hidden="1" outlineLevel="1">
      <c r="B1556" s="187">
        <v>24784</v>
      </c>
      <c r="C1556" s="188">
        <v>5.74</v>
      </c>
      <c r="D1556" s="104">
        <f t="shared" si="23"/>
        <v>5.74E-2</v>
      </c>
      <c r="F1556" s="5"/>
    </row>
    <row r="1557" spans="2:6" ht="13.8" hidden="1" outlineLevel="1">
      <c r="B1557" s="187">
        <v>24785</v>
      </c>
      <c r="C1557" s="188">
        <v>5.78</v>
      </c>
      <c r="D1557" s="104">
        <f t="shared" si="23"/>
        <v>5.7800000000000004E-2</v>
      </c>
      <c r="F1557" s="5"/>
    </row>
    <row r="1558" spans="2:6" ht="13.8" hidden="1" outlineLevel="1">
      <c r="B1558" s="187">
        <v>24786</v>
      </c>
      <c r="C1558" s="188">
        <v>5.83</v>
      </c>
      <c r="D1558" s="104">
        <f t="shared" si="23"/>
        <v>5.8299999999999998E-2</v>
      </c>
      <c r="F1558" s="5"/>
    </row>
    <row r="1559" spans="2:6" ht="13.8" hidden="1" outlineLevel="1">
      <c r="B1559" s="187">
        <v>24789</v>
      </c>
      <c r="C1559" s="188">
        <v>5.87</v>
      </c>
      <c r="D1559" s="104">
        <f t="shared" si="23"/>
        <v>5.8700000000000002E-2</v>
      </c>
      <c r="F1559" s="5"/>
    </row>
    <row r="1560" spans="2:6" ht="13.8" hidden="1" outlineLevel="1">
      <c r="B1560" s="187">
        <v>24790</v>
      </c>
      <c r="C1560" s="188">
        <v>5.81</v>
      </c>
      <c r="D1560" s="104">
        <f t="shared" si="23"/>
        <v>5.8099999999999999E-2</v>
      </c>
      <c r="F1560" s="5"/>
    </row>
    <row r="1561" spans="2:6" ht="13.8" hidden="1" outlineLevel="1">
      <c r="B1561" s="187">
        <v>24791</v>
      </c>
      <c r="C1561" s="188">
        <v>5.78</v>
      </c>
      <c r="D1561" s="104">
        <f t="shared" si="23"/>
        <v>5.7800000000000004E-2</v>
      </c>
      <c r="F1561" s="5"/>
    </row>
    <row r="1562" spans="2:6" ht="13.8" hidden="1" outlineLevel="1">
      <c r="B1562" s="187">
        <v>24792</v>
      </c>
      <c r="C1562" s="188">
        <v>5.72</v>
      </c>
      <c r="D1562" s="104">
        <f t="shared" si="23"/>
        <v>5.7200000000000001E-2</v>
      </c>
      <c r="F1562" s="5"/>
    </row>
    <row r="1563" spans="2:6" ht="13.8" hidden="1" outlineLevel="1">
      <c r="B1563" s="187">
        <v>24793</v>
      </c>
      <c r="C1563" s="188">
        <v>5.75</v>
      </c>
      <c r="D1563" s="104">
        <f t="shared" si="23"/>
        <v>5.7500000000000002E-2</v>
      </c>
      <c r="F1563" s="5"/>
    </row>
    <row r="1564" spans="2:6" ht="13.8" hidden="1" outlineLevel="1">
      <c r="B1564" s="187">
        <v>24796</v>
      </c>
      <c r="C1564" s="188">
        <v>5.85</v>
      </c>
      <c r="D1564" s="104">
        <f t="shared" si="23"/>
        <v>5.8499999999999996E-2</v>
      </c>
      <c r="F1564" s="5"/>
    </row>
    <row r="1565" spans="2:6" ht="13.8" hidden="1" outlineLevel="1">
      <c r="B1565" s="187">
        <v>24797</v>
      </c>
      <c r="C1565" s="188">
        <v>5.71</v>
      </c>
      <c r="D1565" s="104">
        <f t="shared" si="23"/>
        <v>5.7099999999999998E-2</v>
      </c>
      <c r="F1565" s="5"/>
    </row>
    <row r="1566" spans="2:6" ht="13.8" hidden="1" outlineLevel="1">
      <c r="B1566" s="187">
        <v>24798</v>
      </c>
      <c r="C1566" s="188">
        <v>5.7</v>
      </c>
      <c r="D1566" s="104">
        <f t="shared" ref="D1566:D1629" si="24">IF( LEN( C1566 ) = 0, #N/A, IF( C1566 = "ND", D1565, C1566 / 100 ) )</f>
        <v>5.7000000000000002E-2</v>
      </c>
      <c r="F1566" s="5"/>
    </row>
    <row r="1567" spans="2:6" ht="13.8" hidden="1" outlineLevel="1">
      <c r="B1567" s="187">
        <v>24799</v>
      </c>
      <c r="C1567" s="188" t="s">
        <v>380</v>
      </c>
      <c r="D1567" s="104">
        <f t="shared" si="24"/>
        <v>5.7000000000000002E-2</v>
      </c>
      <c r="F1567" s="5"/>
    </row>
    <row r="1568" spans="2:6" ht="13.8" hidden="1" outlineLevel="1">
      <c r="B1568" s="187">
        <v>24800</v>
      </c>
      <c r="C1568" s="188">
        <v>5.78</v>
      </c>
      <c r="D1568" s="104">
        <f t="shared" si="24"/>
        <v>5.7800000000000004E-2</v>
      </c>
      <c r="F1568" s="5"/>
    </row>
    <row r="1569" spans="2:6" ht="13.8" hidden="1" outlineLevel="1">
      <c r="B1569" s="187">
        <v>24803</v>
      </c>
      <c r="C1569" s="188">
        <v>5.76</v>
      </c>
      <c r="D1569" s="104">
        <f t="shared" si="24"/>
        <v>5.7599999999999998E-2</v>
      </c>
      <c r="F1569" s="5"/>
    </row>
    <row r="1570" spans="2:6" ht="13.8" hidden="1" outlineLevel="1">
      <c r="B1570" s="187">
        <v>24804</v>
      </c>
      <c r="C1570" s="188">
        <v>5.65</v>
      </c>
      <c r="D1570" s="104">
        <f t="shared" si="24"/>
        <v>5.6500000000000002E-2</v>
      </c>
      <c r="F1570" s="5"/>
    </row>
    <row r="1571" spans="2:6" ht="13.8" hidden="1" outlineLevel="1">
      <c r="B1571" s="187">
        <v>24805</v>
      </c>
      <c r="C1571" s="188">
        <v>5.67</v>
      </c>
      <c r="D1571" s="104">
        <f t="shared" si="24"/>
        <v>5.67E-2</v>
      </c>
      <c r="F1571" s="5"/>
    </row>
    <row r="1572" spans="2:6" ht="13.8" hidden="1" outlineLevel="1">
      <c r="B1572" s="187">
        <v>24806</v>
      </c>
      <c r="C1572" s="188">
        <v>5.74</v>
      </c>
      <c r="D1572" s="104">
        <f t="shared" si="24"/>
        <v>5.74E-2</v>
      </c>
      <c r="F1572" s="5"/>
    </row>
    <row r="1573" spans="2:6" ht="13.8" hidden="1" outlineLevel="1">
      <c r="B1573" s="187">
        <v>24807</v>
      </c>
      <c r="C1573" s="188">
        <v>5.78</v>
      </c>
      <c r="D1573" s="104">
        <f t="shared" si="24"/>
        <v>5.7800000000000004E-2</v>
      </c>
      <c r="F1573" s="5"/>
    </row>
    <row r="1574" spans="2:6" ht="13.8" hidden="1" outlineLevel="1">
      <c r="B1574" s="187">
        <v>24810</v>
      </c>
      <c r="C1574" s="188">
        <v>5.76</v>
      </c>
      <c r="D1574" s="104">
        <f t="shared" si="24"/>
        <v>5.7599999999999998E-2</v>
      </c>
      <c r="F1574" s="5"/>
    </row>
    <row r="1575" spans="2:6" ht="13.8" hidden="1" outlineLevel="1">
      <c r="B1575" s="187">
        <v>24811</v>
      </c>
      <c r="C1575" s="188">
        <v>5.74</v>
      </c>
      <c r="D1575" s="104">
        <f t="shared" si="24"/>
        <v>5.74E-2</v>
      </c>
      <c r="F1575" s="5"/>
    </row>
    <row r="1576" spans="2:6" ht="13.8" hidden="1" outlineLevel="1">
      <c r="B1576" s="187">
        <v>24812</v>
      </c>
      <c r="C1576" s="188">
        <v>5.69</v>
      </c>
      <c r="D1576" s="104">
        <f t="shared" si="24"/>
        <v>5.6900000000000006E-2</v>
      </c>
      <c r="F1576" s="5"/>
    </row>
    <row r="1577" spans="2:6" ht="13.8" hidden="1" outlineLevel="1">
      <c r="B1577" s="187">
        <v>24813</v>
      </c>
      <c r="C1577" s="188">
        <v>5.71</v>
      </c>
      <c r="D1577" s="104">
        <f t="shared" si="24"/>
        <v>5.7099999999999998E-2</v>
      </c>
      <c r="F1577" s="5"/>
    </row>
    <row r="1578" spans="2:6" ht="13.8" hidden="1" outlineLevel="1">
      <c r="B1578" s="187">
        <v>24814</v>
      </c>
      <c r="C1578" s="188">
        <v>5.72</v>
      </c>
      <c r="D1578" s="104">
        <f t="shared" si="24"/>
        <v>5.7200000000000001E-2</v>
      </c>
      <c r="F1578" s="5"/>
    </row>
    <row r="1579" spans="2:6" ht="13.8" hidden="1" outlineLevel="1">
      <c r="B1579" s="187">
        <v>24817</v>
      </c>
      <c r="C1579" s="188">
        <v>5.74</v>
      </c>
      <c r="D1579" s="104">
        <f t="shared" si="24"/>
        <v>5.74E-2</v>
      </c>
      <c r="F1579" s="5"/>
    </row>
    <row r="1580" spans="2:6" ht="13.8" hidden="1" outlineLevel="1">
      <c r="B1580" s="187">
        <v>24818</v>
      </c>
      <c r="C1580" s="188">
        <v>5.75</v>
      </c>
      <c r="D1580" s="104">
        <f t="shared" si="24"/>
        <v>5.7500000000000002E-2</v>
      </c>
      <c r="F1580" s="5"/>
    </row>
    <row r="1581" spans="2:6" ht="13.8" hidden="1" outlineLevel="1">
      <c r="B1581" s="187">
        <v>24819</v>
      </c>
      <c r="C1581" s="188">
        <v>5.71</v>
      </c>
      <c r="D1581" s="104">
        <f t="shared" si="24"/>
        <v>5.7099999999999998E-2</v>
      </c>
      <c r="F1581" s="5"/>
    </row>
    <row r="1582" spans="2:6" ht="13.8" hidden="1" outlineLevel="1">
      <c r="B1582" s="187">
        <v>24820</v>
      </c>
      <c r="C1582" s="188">
        <v>5.7</v>
      </c>
      <c r="D1582" s="104">
        <f t="shared" si="24"/>
        <v>5.7000000000000002E-2</v>
      </c>
      <c r="F1582" s="5"/>
    </row>
    <row r="1583" spans="2:6" ht="13.8" hidden="1" outlineLevel="1">
      <c r="B1583" s="187">
        <v>24821</v>
      </c>
      <c r="C1583" s="188">
        <v>5.71</v>
      </c>
      <c r="D1583" s="104">
        <f t="shared" si="24"/>
        <v>5.7099999999999998E-2</v>
      </c>
      <c r="F1583" s="5"/>
    </row>
    <row r="1584" spans="2:6" ht="13.8" hidden="1" outlineLevel="1">
      <c r="B1584" s="187">
        <v>24824</v>
      </c>
      <c r="C1584" s="188">
        <v>5.68</v>
      </c>
      <c r="D1584" s="104">
        <f t="shared" si="24"/>
        <v>5.6799999999999996E-2</v>
      </c>
      <c r="F1584" s="5"/>
    </row>
    <row r="1585" spans="2:6" ht="13.8" hidden="1" outlineLevel="1">
      <c r="B1585" s="187">
        <v>24825</v>
      </c>
      <c r="C1585" s="188">
        <v>5.66</v>
      </c>
      <c r="D1585" s="104">
        <f t="shared" si="24"/>
        <v>5.6600000000000004E-2</v>
      </c>
      <c r="F1585" s="5"/>
    </row>
    <row r="1586" spans="2:6" ht="13.8" hidden="1" outlineLevel="1">
      <c r="B1586" s="187">
        <v>24826</v>
      </c>
      <c r="C1586" s="188">
        <v>5.62</v>
      </c>
      <c r="D1586" s="104">
        <f t="shared" si="24"/>
        <v>5.62E-2</v>
      </c>
      <c r="F1586" s="5"/>
    </row>
    <row r="1587" spans="2:6" ht="13.8" hidden="1" outlineLevel="1">
      <c r="B1587" s="187">
        <v>24827</v>
      </c>
      <c r="C1587" s="188">
        <v>5.64</v>
      </c>
      <c r="D1587" s="104">
        <f t="shared" si="24"/>
        <v>5.6399999999999999E-2</v>
      </c>
      <c r="F1587" s="5"/>
    </row>
    <row r="1588" spans="2:6" ht="13.8" hidden="1" outlineLevel="1">
      <c r="B1588" s="187">
        <v>24828</v>
      </c>
      <c r="C1588" s="188">
        <v>5.69</v>
      </c>
      <c r="D1588" s="104">
        <f t="shared" si="24"/>
        <v>5.6900000000000006E-2</v>
      </c>
      <c r="F1588" s="5"/>
    </row>
    <row r="1589" spans="2:6" ht="13.8" hidden="1" outlineLevel="1">
      <c r="B1589" s="187">
        <v>24831</v>
      </c>
      <c r="C1589" s="188" t="s">
        <v>380</v>
      </c>
      <c r="D1589" s="104">
        <f t="shared" si="24"/>
        <v>5.6900000000000006E-2</v>
      </c>
      <c r="F1589" s="5"/>
    </row>
    <row r="1590" spans="2:6" ht="13.8" hidden="1" outlineLevel="1">
      <c r="B1590" s="187">
        <v>24832</v>
      </c>
      <c r="C1590" s="188">
        <v>5.64</v>
      </c>
      <c r="D1590" s="104">
        <f t="shared" si="24"/>
        <v>5.6399999999999999E-2</v>
      </c>
      <c r="F1590" s="5"/>
    </row>
    <row r="1591" spans="2:6" ht="13.8" hidden="1" outlineLevel="1">
      <c r="B1591" s="187">
        <v>24833</v>
      </c>
      <c r="C1591" s="188">
        <v>5.64</v>
      </c>
      <c r="D1591" s="104">
        <f t="shared" si="24"/>
        <v>5.6399999999999999E-2</v>
      </c>
      <c r="F1591" s="5"/>
    </row>
    <row r="1592" spans="2:6" ht="13.8" hidden="1" outlineLevel="1">
      <c r="B1592" s="187">
        <v>24834</v>
      </c>
      <c r="C1592" s="188">
        <v>5.7</v>
      </c>
      <c r="D1592" s="104">
        <f t="shared" si="24"/>
        <v>5.7000000000000002E-2</v>
      </c>
      <c r="F1592" s="5"/>
    </row>
    <row r="1593" spans="2:6" ht="13.8" hidden="1" outlineLevel="1">
      <c r="B1593" s="187">
        <v>24835</v>
      </c>
      <c r="C1593" s="188">
        <v>5.7</v>
      </c>
      <c r="D1593" s="104">
        <f t="shared" si="24"/>
        <v>5.7000000000000002E-2</v>
      </c>
      <c r="F1593" s="5"/>
    </row>
    <row r="1594" spans="2:6" ht="13.8" hidden="1" outlineLevel="1">
      <c r="B1594" s="187">
        <v>24838</v>
      </c>
      <c r="C1594" s="188" t="s">
        <v>380</v>
      </c>
      <c r="D1594" s="104">
        <f t="shared" si="24"/>
        <v>5.7000000000000002E-2</v>
      </c>
      <c r="F1594" s="5"/>
    </row>
    <row r="1595" spans="2:6" ht="13.8" hidden="1" outlineLevel="1">
      <c r="B1595" s="187">
        <v>24839</v>
      </c>
      <c r="C1595" s="188">
        <v>5.63</v>
      </c>
      <c r="D1595" s="104">
        <f t="shared" si="24"/>
        <v>5.6299999999999996E-2</v>
      </c>
      <c r="F1595" s="5"/>
    </row>
    <row r="1596" spans="2:6" ht="13.8" hidden="1" outlineLevel="1">
      <c r="B1596" s="187">
        <v>24840</v>
      </c>
      <c r="C1596" s="188">
        <v>5.63</v>
      </c>
      <c r="D1596" s="104">
        <f t="shared" si="24"/>
        <v>5.6299999999999996E-2</v>
      </c>
      <c r="F1596" s="5"/>
    </row>
    <row r="1597" spans="2:6" ht="13.8" hidden="1" outlineLevel="1">
      <c r="B1597" s="187">
        <v>24841</v>
      </c>
      <c r="C1597" s="188">
        <v>5.51</v>
      </c>
      <c r="D1597" s="104">
        <f t="shared" si="24"/>
        <v>5.5099999999999996E-2</v>
      </c>
      <c r="F1597" s="5"/>
    </row>
    <row r="1598" spans="2:6" ht="13.8" hidden="1" outlineLevel="1">
      <c r="B1598" s="187">
        <v>24842</v>
      </c>
      <c r="C1598" s="188">
        <v>5.48</v>
      </c>
      <c r="D1598" s="104">
        <f t="shared" si="24"/>
        <v>5.4800000000000001E-2</v>
      </c>
      <c r="F1598" s="5"/>
    </row>
    <row r="1599" spans="2:6" ht="13.8" hidden="1" outlineLevel="1">
      <c r="B1599" s="187">
        <v>24845</v>
      </c>
      <c r="C1599" s="188">
        <v>5.5</v>
      </c>
      <c r="D1599" s="104">
        <f t="shared" si="24"/>
        <v>5.5E-2</v>
      </c>
      <c r="F1599" s="5"/>
    </row>
    <row r="1600" spans="2:6" ht="13.8" hidden="1" outlineLevel="1">
      <c r="B1600" s="187">
        <v>24846</v>
      </c>
      <c r="C1600" s="188">
        <v>5.52</v>
      </c>
      <c r="D1600" s="104">
        <f t="shared" si="24"/>
        <v>5.5199999999999999E-2</v>
      </c>
      <c r="F1600" s="5"/>
    </row>
    <row r="1601" spans="2:6" ht="13.8" hidden="1" outlineLevel="1">
      <c r="B1601" s="187">
        <v>24847</v>
      </c>
      <c r="C1601" s="188">
        <v>5.46</v>
      </c>
      <c r="D1601" s="104">
        <f t="shared" si="24"/>
        <v>5.4600000000000003E-2</v>
      </c>
      <c r="F1601" s="5"/>
    </row>
    <row r="1602" spans="2:6" ht="13.8" hidden="1" outlineLevel="1">
      <c r="B1602" s="187">
        <v>24848</v>
      </c>
      <c r="C1602" s="188">
        <v>5.46</v>
      </c>
      <c r="D1602" s="104">
        <f t="shared" si="24"/>
        <v>5.4600000000000003E-2</v>
      </c>
      <c r="F1602" s="5"/>
    </row>
    <row r="1603" spans="2:6" ht="13.8" hidden="1" outlineLevel="1">
      <c r="B1603" s="187">
        <v>24849</v>
      </c>
      <c r="C1603" s="188">
        <v>5.43</v>
      </c>
      <c r="D1603" s="104">
        <f t="shared" si="24"/>
        <v>5.4299999999999994E-2</v>
      </c>
      <c r="F1603" s="5"/>
    </row>
    <row r="1604" spans="2:6" ht="13.8" hidden="1" outlineLevel="1">
      <c r="B1604" s="187">
        <v>24852</v>
      </c>
      <c r="C1604" s="188">
        <v>5.49</v>
      </c>
      <c r="D1604" s="104">
        <f t="shared" si="24"/>
        <v>5.4900000000000004E-2</v>
      </c>
      <c r="F1604" s="5"/>
    </row>
    <row r="1605" spans="2:6" ht="13.8" hidden="1" outlineLevel="1">
      <c r="B1605" s="187">
        <v>24853</v>
      </c>
      <c r="C1605" s="188">
        <v>5.52</v>
      </c>
      <c r="D1605" s="104">
        <f t="shared" si="24"/>
        <v>5.5199999999999999E-2</v>
      </c>
      <c r="F1605" s="5"/>
    </row>
    <row r="1606" spans="2:6" ht="13.8" hidden="1" outlineLevel="1">
      <c r="B1606" s="187">
        <v>24854</v>
      </c>
      <c r="C1606" s="188">
        <v>5.48</v>
      </c>
      <c r="D1606" s="104">
        <f t="shared" si="24"/>
        <v>5.4800000000000001E-2</v>
      </c>
      <c r="F1606" s="5"/>
    </row>
    <row r="1607" spans="2:6" ht="13.8" hidden="1" outlineLevel="1">
      <c r="B1607" s="187">
        <v>24855</v>
      </c>
      <c r="C1607" s="188">
        <v>5.55</v>
      </c>
      <c r="D1607" s="104">
        <f t="shared" si="24"/>
        <v>5.5500000000000001E-2</v>
      </c>
      <c r="F1607" s="5"/>
    </row>
    <row r="1608" spans="2:6" ht="13.8" hidden="1" outlineLevel="1">
      <c r="B1608" s="187">
        <v>24856</v>
      </c>
      <c r="C1608" s="188">
        <v>5.59</v>
      </c>
      <c r="D1608" s="104">
        <f t="shared" si="24"/>
        <v>5.5899999999999998E-2</v>
      </c>
      <c r="F1608" s="5"/>
    </row>
    <row r="1609" spans="2:6" ht="13.8" hidden="1" outlineLevel="1">
      <c r="B1609" s="187">
        <v>24859</v>
      </c>
      <c r="C1609" s="188">
        <v>5.61</v>
      </c>
      <c r="D1609" s="104">
        <f t="shared" si="24"/>
        <v>5.6100000000000004E-2</v>
      </c>
      <c r="F1609" s="5"/>
    </row>
    <row r="1610" spans="2:6" ht="13.8" hidden="1" outlineLevel="1">
      <c r="B1610" s="187">
        <v>24860</v>
      </c>
      <c r="C1610" s="188">
        <v>5.56</v>
      </c>
      <c r="D1610" s="104">
        <f t="shared" si="24"/>
        <v>5.5599999999999997E-2</v>
      </c>
      <c r="F1610" s="5"/>
    </row>
    <row r="1611" spans="2:6" ht="13.8" hidden="1" outlineLevel="1">
      <c r="B1611" s="187">
        <v>24861</v>
      </c>
      <c r="C1611" s="188">
        <v>5.56</v>
      </c>
      <c r="D1611" s="104">
        <f t="shared" si="24"/>
        <v>5.5599999999999997E-2</v>
      </c>
      <c r="F1611" s="5"/>
    </row>
    <row r="1612" spans="2:6" ht="13.8" hidden="1" outlineLevel="1">
      <c r="B1612" s="187">
        <v>24862</v>
      </c>
      <c r="C1612" s="188">
        <v>5.52</v>
      </c>
      <c r="D1612" s="104">
        <f t="shared" si="24"/>
        <v>5.5199999999999999E-2</v>
      </c>
      <c r="F1612" s="5"/>
    </row>
    <row r="1613" spans="2:6" ht="13.8" hidden="1" outlineLevel="1">
      <c r="B1613" s="187">
        <v>24863</v>
      </c>
      <c r="C1613" s="188">
        <v>5.53</v>
      </c>
      <c r="D1613" s="104">
        <f t="shared" si="24"/>
        <v>5.5300000000000002E-2</v>
      </c>
      <c r="F1613" s="5"/>
    </row>
    <row r="1614" spans="2:6" ht="13.8" hidden="1" outlineLevel="1">
      <c r="B1614" s="187">
        <v>24866</v>
      </c>
      <c r="C1614" s="188">
        <v>5.53</v>
      </c>
      <c r="D1614" s="104">
        <f t="shared" si="24"/>
        <v>5.5300000000000002E-2</v>
      </c>
      <c r="F1614" s="5"/>
    </row>
    <row r="1615" spans="2:6" ht="13.8" hidden="1" outlineLevel="1">
      <c r="B1615" s="187">
        <v>24867</v>
      </c>
      <c r="C1615" s="188">
        <v>5.53</v>
      </c>
      <c r="D1615" s="104">
        <f t="shared" si="24"/>
        <v>5.5300000000000002E-2</v>
      </c>
      <c r="F1615" s="5"/>
    </row>
    <row r="1616" spans="2:6" ht="13.8" hidden="1" outlineLevel="1">
      <c r="B1616" s="187">
        <v>24868</v>
      </c>
      <c r="C1616" s="188">
        <v>5.54</v>
      </c>
      <c r="D1616" s="104">
        <f t="shared" si="24"/>
        <v>5.5399999999999998E-2</v>
      </c>
      <c r="F1616" s="5"/>
    </row>
    <row r="1617" spans="2:6" ht="13.8" hidden="1" outlineLevel="1">
      <c r="B1617" s="187">
        <v>24869</v>
      </c>
      <c r="C1617" s="188">
        <v>5.58</v>
      </c>
      <c r="D1617" s="104">
        <f t="shared" si="24"/>
        <v>5.5800000000000002E-2</v>
      </c>
      <c r="F1617" s="5"/>
    </row>
    <row r="1618" spans="2:6" ht="13.8" hidden="1" outlineLevel="1">
      <c r="B1618" s="187">
        <v>24870</v>
      </c>
      <c r="C1618" s="188">
        <v>5.58</v>
      </c>
      <c r="D1618" s="104">
        <f t="shared" si="24"/>
        <v>5.5800000000000002E-2</v>
      </c>
      <c r="F1618" s="5"/>
    </row>
    <row r="1619" spans="2:6" ht="13.8" hidden="1" outlineLevel="1">
      <c r="B1619" s="187">
        <v>24873</v>
      </c>
      <c r="C1619" s="188">
        <v>5.6</v>
      </c>
      <c r="D1619" s="104">
        <f t="shared" si="24"/>
        <v>5.5999999999999994E-2</v>
      </c>
      <c r="F1619" s="5"/>
    </row>
    <row r="1620" spans="2:6" ht="13.8" hidden="1" outlineLevel="1">
      <c r="B1620" s="187">
        <v>24874</v>
      </c>
      <c r="C1620" s="188">
        <v>5.61</v>
      </c>
      <c r="D1620" s="104">
        <f t="shared" si="24"/>
        <v>5.6100000000000004E-2</v>
      </c>
      <c r="F1620" s="5"/>
    </row>
    <row r="1621" spans="2:6" ht="13.8" hidden="1" outlineLevel="1">
      <c r="B1621" s="187">
        <v>24875</v>
      </c>
      <c r="C1621" s="188">
        <v>5.59</v>
      </c>
      <c r="D1621" s="104">
        <f t="shared" si="24"/>
        <v>5.5899999999999998E-2</v>
      </c>
      <c r="F1621" s="5"/>
    </row>
    <row r="1622" spans="2:6" ht="13.8" hidden="1" outlineLevel="1">
      <c r="B1622" s="187">
        <v>24876</v>
      </c>
      <c r="C1622" s="188">
        <v>5.6</v>
      </c>
      <c r="D1622" s="104">
        <f t="shared" si="24"/>
        <v>5.5999999999999994E-2</v>
      </c>
      <c r="F1622" s="5"/>
    </row>
    <row r="1623" spans="2:6" ht="13.8" hidden="1" outlineLevel="1">
      <c r="B1623" s="187">
        <v>24877</v>
      </c>
      <c r="C1623" s="188">
        <v>5.59</v>
      </c>
      <c r="D1623" s="104">
        <f t="shared" si="24"/>
        <v>5.5899999999999998E-2</v>
      </c>
      <c r="F1623" s="5"/>
    </row>
    <row r="1624" spans="2:6" ht="13.8" hidden="1" outlineLevel="1">
      <c r="B1624" s="187">
        <v>24880</v>
      </c>
      <c r="C1624" s="188" t="s">
        <v>380</v>
      </c>
      <c r="D1624" s="104">
        <f t="shared" si="24"/>
        <v>5.5899999999999998E-2</v>
      </c>
      <c r="F1624" s="5"/>
    </row>
    <row r="1625" spans="2:6" ht="13.8" hidden="1" outlineLevel="1">
      <c r="B1625" s="187">
        <v>24881</v>
      </c>
      <c r="C1625" s="188">
        <v>5.55</v>
      </c>
      <c r="D1625" s="104">
        <f t="shared" si="24"/>
        <v>5.5500000000000001E-2</v>
      </c>
      <c r="F1625" s="5"/>
    </row>
    <row r="1626" spans="2:6" ht="13.8" hidden="1" outlineLevel="1">
      <c r="B1626" s="187">
        <v>24882</v>
      </c>
      <c r="C1626" s="188">
        <v>5.54</v>
      </c>
      <c r="D1626" s="104">
        <f t="shared" si="24"/>
        <v>5.5399999999999998E-2</v>
      </c>
      <c r="F1626" s="5"/>
    </row>
    <row r="1627" spans="2:6" ht="13.8" hidden="1" outlineLevel="1">
      <c r="B1627" s="187">
        <v>24883</v>
      </c>
      <c r="C1627" s="188">
        <v>5.51</v>
      </c>
      <c r="D1627" s="104">
        <f t="shared" si="24"/>
        <v>5.5099999999999996E-2</v>
      </c>
      <c r="F1627" s="5"/>
    </row>
    <row r="1628" spans="2:6" ht="13.8" hidden="1" outlineLevel="1">
      <c r="B1628" s="187">
        <v>24884</v>
      </c>
      <c r="C1628" s="188">
        <v>5.5</v>
      </c>
      <c r="D1628" s="104">
        <f t="shared" si="24"/>
        <v>5.5E-2</v>
      </c>
      <c r="F1628" s="5"/>
    </row>
    <row r="1629" spans="2:6" ht="13.8" hidden="1" outlineLevel="1">
      <c r="B1629" s="187">
        <v>24887</v>
      </c>
      <c r="C1629" s="188">
        <v>5.53</v>
      </c>
      <c r="D1629" s="104">
        <f t="shared" si="24"/>
        <v>5.5300000000000002E-2</v>
      </c>
      <c r="F1629" s="5"/>
    </row>
    <row r="1630" spans="2:6" ht="13.8" hidden="1" outlineLevel="1">
      <c r="B1630" s="187">
        <v>24888</v>
      </c>
      <c r="C1630" s="188">
        <v>5.54</v>
      </c>
      <c r="D1630" s="104">
        <f t="shared" ref="D1630:D1693" si="25">IF( LEN( C1630 ) = 0, #N/A, IF( C1630 = "ND", D1629, C1630 / 100 ) )</f>
        <v>5.5399999999999998E-2</v>
      </c>
      <c r="F1630" s="5"/>
    </row>
    <row r="1631" spans="2:6" ht="13.8" hidden="1" outlineLevel="1">
      <c r="B1631" s="187">
        <v>24889</v>
      </c>
      <c r="C1631" s="188">
        <v>5.54</v>
      </c>
      <c r="D1631" s="104">
        <f t="shared" si="25"/>
        <v>5.5399999999999998E-2</v>
      </c>
      <c r="F1631" s="5"/>
    </row>
    <row r="1632" spans="2:6" ht="13.8" hidden="1" outlineLevel="1">
      <c r="B1632" s="187">
        <v>24890</v>
      </c>
      <c r="C1632" s="188" t="s">
        <v>380</v>
      </c>
      <c r="D1632" s="104">
        <f t="shared" si="25"/>
        <v>5.5399999999999998E-2</v>
      </c>
      <c r="F1632" s="5"/>
    </row>
    <row r="1633" spans="2:6" ht="13.8" hidden="1" outlineLevel="1">
      <c r="B1633" s="187">
        <v>24891</v>
      </c>
      <c r="C1633" s="188">
        <v>5.56</v>
      </c>
      <c r="D1633" s="104">
        <f t="shared" si="25"/>
        <v>5.5599999999999997E-2</v>
      </c>
      <c r="F1633" s="5"/>
    </row>
    <row r="1634" spans="2:6" ht="13.8" hidden="1" outlineLevel="1">
      <c r="B1634" s="187">
        <v>24894</v>
      </c>
      <c r="C1634" s="188">
        <v>5.58</v>
      </c>
      <c r="D1634" s="104">
        <f t="shared" si="25"/>
        <v>5.5800000000000002E-2</v>
      </c>
      <c r="F1634" s="5"/>
    </row>
    <row r="1635" spans="2:6" ht="13.8" hidden="1" outlineLevel="1">
      <c r="B1635" s="187">
        <v>24895</v>
      </c>
      <c r="C1635" s="188">
        <v>5.58</v>
      </c>
      <c r="D1635" s="104">
        <f t="shared" si="25"/>
        <v>5.5800000000000002E-2</v>
      </c>
      <c r="F1635" s="5"/>
    </row>
    <row r="1636" spans="2:6" ht="13.8" hidden="1" outlineLevel="1">
      <c r="B1636" s="187">
        <v>24896</v>
      </c>
      <c r="C1636" s="188">
        <v>5.57</v>
      </c>
      <c r="D1636" s="104">
        <f t="shared" si="25"/>
        <v>5.57E-2</v>
      </c>
      <c r="F1636" s="5"/>
    </row>
    <row r="1637" spans="2:6" ht="13.8" hidden="1" outlineLevel="1">
      <c r="B1637" s="187">
        <v>24897</v>
      </c>
      <c r="C1637" s="188">
        <v>5.56</v>
      </c>
      <c r="D1637" s="104">
        <f t="shared" si="25"/>
        <v>5.5599999999999997E-2</v>
      </c>
      <c r="F1637" s="5"/>
    </row>
    <row r="1638" spans="2:6" ht="13.8" hidden="1" outlineLevel="1">
      <c r="B1638" s="187">
        <v>24898</v>
      </c>
      <c r="C1638" s="188">
        <v>5.56</v>
      </c>
      <c r="D1638" s="104">
        <f t="shared" si="25"/>
        <v>5.5599999999999997E-2</v>
      </c>
      <c r="F1638" s="5"/>
    </row>
    <row r="1639" spans="2:6" ht="13.8" hidden="1" outlineLevel="1">
      <c r="B1639" s="187">
        <v>24901</v>
      </c>
      <c r="C1639" s="188">
        <v>5.57</v>
      </c>
      <c r="D1639" s="104">
        <f t="shared" si="25"/>
        <v>5.57E-2</v>
      </c>
      <c r="F1639" s="5"/>
    </row>
    <row r="1640" spans="2:6" ht="13.8" hidden="1" outlineLevel="1">
      <c r="B1640" s="187">
        <v>24902</v>
      </c>
      <c r="C1640" s="188">
        <v>5.59</v>
      </c>
      <c r="D1640" s="104">
        <f t="shared" si="25"/>
        <v>5.5899999999999998E-2</v>
      </c>
      <c r="F1640" s="5"/>
    </row>
    <row r="1641" spans="2:6" ht="13.8" hidden="1" outlineLevel="1">
      <c r="B1641" s="187">
        <v>24903</v>
      </c>
      <c r="C1641" s="188">
        <v>5.61</v>
      </c>
      <c r="D1641" s="104">
        <f t="shared" si="25"/>
        <v>5.6100000000000004E-2</v>
      </c>
      <c r="F1641" s="5"/>
    </row>
    <row r="1642" spans="2:6" ht="13.8" hidden="1" outlineLevel="1">
      <c r="B1642" s="187">
        <v>24904</v>
      </c>
      <c r="C1642" s="188">
        <v>5.67</v>
      </c>
      <c r="D1642" s="104">
        <f t="shared" si="25"/>
        <v>5.67E-2</v>
      </c>
      <c r="F1642" s="5"/>
    </row>
    <row r="1643" spans="2:6" ht="13.8" hidden="1" outlineLevel="1">
      <c r="B1643" s="187">
        <v>24905</v>
      </c>
      <c r="C1643" s="188">
        <v>5.75</v>
      </c>
      <c r="D1643" s="104">
        <f t="shared" si="25"/>
        <v>5.7500000000000002E-2</v>
      </c>
      <c r="F1643" s="5"/>
    </row>
    <row r="1644" spans="2:6" ht="13.8" hidden="1" outlineLevel="1">
      <c r="B1644" s="187">
        <v>24908</v>
      </c>
      <c r="C1644" s="188">
        <v>5.75</v>
      </c>
      <c r="D1644" s="104">
        <f t="shared" si="25"/>
        <v>5.7500000000000002E-2</v>
      </c>
      <c r="F1644" s="5"/>
    </row>
    <row r="1645" spans="2:6" ht="13.8" hidden="1" outlineLevel="1">
      <c r="B1645" s="187">
        <v>24909</v>
      </c>
      <c r="C1645" s="188">
        <v>5.79</v>
      </c>
      <c r="D1645" s="104">
        <f t="shared" si="25"/>
        <v>5.79E-2</v>
      </c>
      <c r="F1645" s="5"/>
    </row>
    <row r="1646" spans="2:6" ht="13.8" hidden="1" outlineLevel="1">
      <c r="B1646" s="187">
        <v>24910</v>
      </c>
      <c r="C1646" s="188">
        <v>5.86</v>
      </c>
      <c r="D1646" s="104">
        <f t="shared" si="25"/>
        <v>5.8600000000000006E-2</v>
      </c>
      <c r="F1646" s="5"/>
    </row>
    <row r="1647" spans="2:6" ht="13.8" hidden="1" outlineLevel="1">
      <c r="B1647" s="187">
        <v>24911</v>
      </c>
      <c r="C1647" s="188">
        <v>5.95</v>
      </c>
      <c r="D1647" s="104">
        <f t="shared" si="25"/>
        <v>5.9500000000000004E-2</v>
      </c>
      <c r="F1647" s="5"/>
    </row>
    <row r="1648" spans="2:6" ht="13.8" hidden="1" outlineLevel="1">
      <c r="B1648" s="187">
        <v>24912</v>
      </c>
      <c r="C1648" s="188">
        <v>5.84</v>
      </c>
      <c r="D1648" s="104">
        <f t="shared" si="25"/>
        <v>5.8400000000000001E-2</v>
      </c>
      <c r="F1648" s="5"/>
    </row>
    <row r="1649" spans="2:6" ht="13.8" hidden="1" outlineLevel="1">
      <c r="B1649" s="187">
        <v>24915</v>
      </c>
      <c r="C1649" s="188">
        <v>5.76</v>
      </c>
      <c r="D1649" s="104">
        <f t="shared" si="25"/>
        <v>5.7599999999999998E-2</v>
      </c>
      <c r="F1649" s="5"/>
    </row>
    <row r="1650" spans="2:6" ht="13.8" hidden="1" outlineLevel="1">
      <c r="B1650" s="187">
        <v>24916</v>
      </c>
      <c r="C1650" s="188">
        <v>5.77</v>
      </c>
      <c r="D1650" s="104">
        <f t="shared" si="25"/>
        <v>5.7699999999999994E-2</v>
      </c>
      <c r="F1650" s="5"/>
    </row>
    <row r="1651" spans="2:6" ht="13.8" hidden="1" outlineLevel="1">
      <c r="B1651" s="187">
        <v>24917</v>
      </c>
      <c r="C1651" s="188">
        <v>5.73</v>
      </c>
      <c r="D1651" s="104">
        <f t="shared" si="25"/>
        <v>5.7300000000000004E-2</v>
      </c>
      <c r="F1651" s="5"/>
    </row>
    <row r="1652" spans="2:6" ht="13.8" hidden="1" outlineLevel="1">
      <c r="B1652" s="187">
        <v>24918</v>
      </c>
      <c r="C1652" s="188">
        <v>5.76</v>
      </c>
      <c r="D1652" s="104">
        <f t="shared" si="25"/>
        <v>5.7599999999999998E-2</v>
      </c>
      <c r="F1652" s="5"/>
    </row>
    <row r="1653" spans="2:6" ht="13.8" hidden="1" outlineLevel="1">
      <c r="B1653" s="187">
        <v>24919</v>
      </c>
      <c r="C1653" s="188">
        <v>5.74</v>
      </c>
      <c r="D1653" s="104">
        <f t="shared" si="25"/>
        <v>5.74E-2</v>
      </c>
      <c r="F1653" s="5"/>
    </row>
    <row r="1654" spans="2:6" ht="13.8" hidden="1" outlineLevel="1">
      <c r="B1654" s="187">
        <v>24922</v>
      </c>
      <c r="C1654" s="188">
        <v>5.74</v>
      </c>
      <c r="D1654" s="104">
        <f t="shared" si="25"/>
        <v>5.74E-2</v>
      </c>
      <c r="F1654" s="5"/>
    </row>
    <row r="1655" spans="2:6" ht="13.8" hidden="1" outlineLevel="1">
      <c r="B1655" s="187">
        <v>24923</v>
      </c>
      <c r="C1655" s="188">
        <v>5.78</v>
      </c>
      <c r="D1655" s="104">
        <f t="shared" si="25"/>
        <v>5.7800000000000004E-2</v>
      </c>
      <c r="F1655" s="5"/>
    </row>
    <row r="1656" spans="2:6" ht="13.8" hidden="1" outlineLevel="1">
      <c r="B1656" s="187">
        <v>24924</v>
      </c>
      <c r="C1656" s="188">
        <v>5.78</v>
      </c>
      <c r="D1656" s="104">
        <f t="shared" si="25"/>
        <v>5.7800000000000004E-2</v>
      </c>
      <c r="F1656" s="5"/>
    </row>
    <row r="1657" spans="2:6" ht="13.8" hidden="1" outlineLevel="1">
      <c r="B1657" s="187">
        <v>24925</v>
      </c>
      <c r="C1657" s="188">
        <v>5.78</v>
      </c>
      <c r="D1657" s="104">
        <f t="shared" si="25"/>
        <v>5.7800000000000004E-2</v>
      </c>
      <c r="F1657" s="5"/>
    </row>
    <row r="1658" spans="2:6" ht="13.8" hidden="1" outlineLevel="1">
      <c r="B1658" s="187">
        <v>24926</v>
      </c>
      <c r="C1658" s="188">
        <v>5.76</v>
      </c>
      <c r="D1658" s="104">
        <f t="shared" si="25"/>
        <v>5.7599999999999998E-2</v>
      </c>
      <c r="F1658" s="5"/>
    </row>
    <row r="1659" spans="2:6" ht="13.8" hidden="1" outlineLevel="1">
      <c r="B1659" s="187">
        <v>24929</v>
      </c>
      <c r="C1659" s="188">
        <v>5.64</v>
      </c>
      <c r="D1659" s="104">
        <f t="shared" si="25"/>
        <v>5.6399999999999999E-2</v>
      </c>
      <c r="F1659" s="5"/>
    </row>
    <row r="1660" spans="2:6" ht="13.8" hidden="1" outlineLevel="1">
      <c r="B1660" s="187">
        <v>24930</v>
      </c>
      <c r="C1660" s="188">
        <v>5.62</v>
      </c>
      <c r="D1660" s="104">
        <f t="shared" si="25"/>
        <v>5.62E-2</v>
      </c>
      <c r="F1660" s="5"/>
    </row>
    <row r="1661" spans="2:6" ht="13.8" hidden="1" outlineLevel="1">
      <c r="B1661" s="187">
        <v>24931</v>
      </c>
      <c r="C1661" s="188">
        <v>5.49</v>
      </c>
      <c r="D1661" s="104">
        <f t="shared" si="25"/>
        <v>5.4900000000000004E-2</v>
      </c>
      <c r="F1661" s="5"/>
    </row>
    <row r="1662" spans="2:6" ht="13.8" hidden="1" outlineLevel="1">
      <c r="B1662" s="187">
        <v>24932</v>
      </c>
      <c r="C1662" s="188">
        <v>5.52</v>
      </c>
      <c r="D1662" s="104">
        <f t="shared" si="25"/>
        <v>5.5199999999999999E-2</v>
      </c>
      <c r="F1662" s="5"/>
    </row>
    <row r="1663" spans="2:6" ht="13.8" hidden="1" outlineLevel="1">
      <c r="B1663" s="187">
        <v>24933</v>
      </c>
      <c r="C1663" s="188">
        <v>5.52</v>
      </c>
      <c r="D1663" s="104">
        <f t="shared" si="25"/>
        <v>5.5199999999999999E-2</v>
      </c>
      <c r="F1663" s="5"/>
    </row>
    <row r="1664" spans="2:6" ht="13.8" hidden="1" outlineLevel="1">
      <c r="B1664" s="187">
        <v>24936</v>
      </c>
      <c r="C1664" s="188">
        <v>5.54</v>
      </c>
      <c r="D1664" s="104">
        <f t="shared" si="25"/>
        <v>5.5399999999999998E-2</v>
      </c>
      <c r="F1664" s="5"/>
    </row>
    <row r="1665" spans="2:6" ht="13.8" hidden="1" outlineLevel="1">
      <c r="B1665" s="187">
        <v>24937</v>
      </c>
      <c r="C1665" s="188" t="s">
        <v>380</v>
      </c>
      <c r="D1665" s="104">
        <f t="shared" si="25"/>
        <v>5.5399999999999998E-2</v>
      </c>
      <c r="F1665" s="5"/>
    </row>
    <row r="1666" spans="2:6" ht="13.8" hidden="1" outlineLevel="1">
      <c r="B1666" s="187">
        <v>24938</v>
      </c>
      <c r="C1666" s="188">
        <v>5.53</v>
      </c>
      <c r="D1666" s="104">
        <f t="shared" si="25"/>
        <v>5.5300000000000002E-2</v>
      </c>
      <c r="F1666" s="5"/>
    </row>
    <row r="1667" spans="2:6" ht="13.8" hidden="1" outlineLevel="1">
      <c r="B1667" s="187">
        <v>24939</v>
      </c>
      <c r="C1667" s="188">
        <v>5.54</v>
      </c>
      <c r="D1667" s="104">
        <f t="shared" si="25"/>
        <v>5.5399999999999998E-2</v>
      </c>
      <c r="F1667" s="5"/>
    </row>
    <row r="1668" spans="2:6" ht="13.8" hidden="1" outlineLevel="1">
      <c r="B1668" s="187">
        <v>24940</v>
      </c>
      <c r="C1668" s="188" t="s">
        <v>380</v>
      </c>
      <c r="D1668" s="104">
        <f t="shared" si="25"/>
        <v>5.5399999999999998E-2</v>
      </c>
      <c r="F1668" s="5"/>
    </row>
    <row r="1669" spans="2:6" ht="13.8" hidden="1" outlineLevel="1">
      <c r="B1669" s="187">
        <v>24943</v>
      </c>
      <c r="C1669" s="188">
        <v>5.6</v>
      </c>
      <c r="D1669" s="104">
        <f t="shared" si="25"/>
        <v>5.5999999999999994E-2</v>
      </c>
      <c r="F1669" s="5"/>
    </row>
    <row r="1670" spans="2:6" ht="13.8" hidden="1" outlineLevel="1">
      <c r="B1670" s="187">
        <v>24944</v>
      </c>
      <c r="C1670" s="188">
        <v>5.62</v>
      </c>
      <c r="D1670" s="104">
        <f t="shared" si="25"/>
        <v>5.62E-2</v>
      </c>
      <c r="F1670" s="5"/>
    </row>
    <row r="1671" spans="2:6" ht="13.8" hidden="1" outlineLevel="1">
      <c r="B1671" s="187">
        <v>24945</v>
      </c>
      <c r="C1671" s="188">
        <v>5.62</v>
      </c>
      <c r="D1671" s="104">
        <f t="shared" si="25"/>
        <v>5.62E-2</v>
      </c>
      <c r="F1671" s="5"/>
    </row>
    <row r="1672" spans="2:6" ht="13.8" hidden="1" outlineLevel="1">
      <c r="B1672" s="187">
        <v>24946</v>
      </c>
      <c r="C1672" s="188">
        <v>5.64</v>
      </c>
      <c r="D1672" s="104">
        <f t="shared" si="25"/>
        <v>5.6399999999999999E-2</v>
      </c>
      <c r="F1672" s="5"/>
    </row>
    <row r="1673" spans="2:6" ht="13.8" hidden="1" outlineLevel="1">
      <c r="B1673" s="187">
        <v>24947</v>
      </c>
      <c r="C1673" s="188">
        <v>5.76</v>
      </c>
      <c r="D1673" s="104">
        <f t="shared" si="25"/>
        <v>5.7599999999999998E-2</v>
      </c>
      <c r="F1673" s="5"/>
    </row>
    <row r="1674" spans="2:6" ht="13.8" hidden="1" outlineLevel="1">
      <c r="B1674" s="187">
        <v>24950</v>
      </c>
      <c r="C1674" s="188">
        <v>5.78</v>
      </c>
      <c r="D1674" s="104">
        <f t="shared" si="25"/>
        <v>5.7800000000000004E-2</v>
      </c>
      <c r="F1674" s="5"/>
    </row>
    <row r="1675" spans="2:6" ht="13.8" hidden="1" outlineLevel="1">
      <c r="B1675" s="187">
        <v>24951</v>
      </c>
      <c r="C1675" s="188">
        <v>5.73</v>
      </c>
      <c r="D1675" s="104">
        <f t="shared" si="25"/>
        <v>5.7300000000000004E-2</v>
      </c>
      <c r="F1675" s="5"/>
    </row>
    <row r="1676" spans="2:6" ht="13.8" hidden="1" outlineLevel="1">
      <c r="B1676" s="187">
        <v>24952</v>
      </c>
      <c r="C1676" s="188">
        <v>5.72</v>
      </c>
      <c r="D1676" s="104">
        <f t="shared" si="25"/>
        <v>5.7200000000000001E-2</v>
      </c>
      <c r="F1676" s="5"/>
    </row>
    <row r="1677" spans="2:6" ht="13.8" hidden="1" outlineLevel="1">
      <c r="B1677" s="187">
        <v>24953</v>
      </c>
      <c r="C1677" s="188">
        <v>5.72</v>
      </c>
      <c r="D1677" s="104">
        <f t="shared" si="25"/>
        <v>5.7200000000000001E-2</v>
      </c>
      <c r="F1677" s="5"/>
    </row>
    <row r="1678" spans="2:6" ht="13.8" hidden="1" outlineLevel="1">
      <c r="B1678" s="187">
        <v>24954</v>
      </c>
      <c r="C1678" s="188">
        <v>5.71</v>
      </c>
      <c r="D1678" s="104">
        <f t="shared" si="25"/>
        <v>5.7099999999999998E-2</v>
      </c>
      <c r="F1678" s="5"/>
    </row>
    <row r="1679" spans="2:6" ht="13.8" hidden="1" outlineLevel="1">
      <c r="B1679" s="187">
        <v>24957</v>
      </c>
      <c r="C1679" s="188">
        <v>5.73</v>
      </c>
      <c r="D1679" s="104">
        <f t="shared" si="25"/>
        <v>5.7300000000000004E-2</v>
      </c>
      <c r="F1679" s="5"/>
    </row>
    <row r="1680" spans="2:6" ht="13.8" hidden="1" outlineLevel="1">
      <c r="B1680" s="187">
        <v>24958</v>
      </c>
      <c r="C1680" s="188">
        <v>5.74</v>
      </c>
      <c r="D1680" s="104">
        <f t="shared" si="25"/>
        <v>5.74E-2</v>
      </c>
      <c r="F1680" s="5"/>
    </row>
    <row r="1681" spans="2:6" ht="13.8" hidden="1" outlineLevel="1">
      <c r="B1681" s="187">
        <v>24959</v>
      </c>
      <c r="C1681" s="188">
        <v>5.73</v>
      </c>
      <c r="D1681" s="104">
        <f t="shared" si="25"/>
        <v>5.7300000000000004E-2</v>
      </c>
      <c r="F1681" s="5"/>
    </row>
    <row r="1682" spans="2:6" ht="13.8" hidden="1" outlineLevel="1">
      <c r="B1682" s="187">
        <v>24960</v>
      </c>
      <c r="C1682" s="188">
        <v>5.76</v>
      </c>
      <c r="D1682" s="104">
        <f t="shared" si="25"/>
        <v>5.7599999999999998E-2</v>
      </c>
      <c r="F1682" s="5"/>
    </row>
    <row r="1683" spans="2:6" ht="13.8" hidden="1" outlineLevel="1">
      <c r="B1683" s="187">
        <v>24961</v>
      </c>
      <c r="C1683" s="188">
        <v>5.8</v>
      </c>
      <c r="D1683" s="104">
        <f t="shared" si="25"/>
        <v>5.7999999999999996E-2</v>
      </c>
      <c r="F1683" s="5"/>
    </row>
    <row r="1684" spans="2:6" ht="13.8" hidden="1" outlineLevel="1">
      <c r="B1684" s="187">
        <v>24964</v>
      </c>
      <c r="C1684" s="188">
        <v>5.78</v>
      </c>
      <c r="D1684" s="104">
        <f t="shared" si="25"/>
        <v>5.7800000000000004E-2</v>
      </c>
      <c r="F1684" s="5"/>
    </row>
    <row r="1685" spans="2:6" ht="13.8" hidden="1" outlineLevel="1">
      <c r="B1685" s="187">
        <v>24965</v>
      </c>
      <c r="C1685" s="188">
        <v>5.79</v>
      </c>
      <c r="D1685" s="104">
        <f t="shared" si="25"/>
        <v>5.79E-2</v>
      </c>
      <c r="F1685" s="5"/>
    </row>
    <row r="1686" spans="2:6" ht="13.8" hidden="1" outlineLevel="1">
      <c r="B1686" s="187">
        <v>24966</v>
      </c>
      <c r="C1686" s="188">
        <v>5.8</v>
      </c>
      <c r="D1686" s="104">
        <f t="shared" si="25"/>
        <v>5.7999999999999996E-2</v>
      </c>
      <c r="F1686" s="5"/>
    </row>
    <row r="1687" spans="2:6" ht="13.8" hidden="1" outlineLevel="1">
      <c r="B1687" s="187">
        <v>24967</v>
      </c>
      <c r="C1687" s="188">
        <v>5.79</v>
      </c>
      <c r="D1687" s="104">
        <f t="shared" si="25"/>
        <v>5.79E-2</v>
      </c>
      <c r="F1687" s="5"/>
    </row>
    <row r="1688" spans="2:6" ht="13.8" hidden="1" outlineLevel="1">
      <c r="B1688" s="187">
        <v>24968</v>
      </c>
      <c r="C1688" s="188">
        <v>5.79</v>
      </c>
      <c r="D1688" s="104">
        <f t="shared" si="25"/>
        <v>5.79E-2</v>
      </c>
      <c r="F1688" s="5"/>
    </row>
    <row r="1689" spans="2:6" ht="13.8" hidden="1" outlineLevel="1">
      <c r="B1689" s="187">
        <v>24971</v>
      </c>
      <c r="C1689" s="188">
        <v>5.79</v>
      </c>
      <c r="D1689" s="104">
        <f t="shared" si="25"/>
        <v>5.79E-2</v>
      </c>
      <c r="F1689" s="5"/>
    </row>
    <row r="1690" spans="2:6" ht="13.8" hidden="1" outlineLevel="1">
      <c r="B1690" s="187">
        <v>24972</v>
      </c>
      <c r="C1690" s="188">
        <v>5.82</v>
      </c>
      <c r="D1690" s="104">
        <f t="shared" si="25"/>
        <v>5.8200000000000002E-2</v>
      </c>
      <c r="F1690" s="5"/>
    </row>
    <row r="1691" spans="2:6" ht="13.8" hidden="1" outlineLevel="1">
      <c r="B1691" s="187">
        <v>24973</v>
      </c>
      <c r="C1691" s="188">
        <v>5.85</v>
      </c>
      <c r="D1691" s="104">
        <f t="shared" si="25"/>
        <v>5.8499999999999996E-2</v>
      </c>
      <c r="F1691" s="5"/>
    </row>
    <row r="1692" spans="2:6" ht="13.8" hidden="1" outlineLevel="1">
      <c r="B1692" s="187">
        <v>24974</v>
      </c>
      <c r="C1692" s="188">
        <v>5.9</v>
      </c>
      <c r="D1692" s="104">
        <f t="shared" si="25"/>
        <v>5.9000000000000004E-2</v>
      </c>
      <c r="F1692" s="5"/>
    </row>
    <row r="1693" spans="2:6" ht="13.8" hidden="1" outlineLevel="1">
      <c r="B1693" s="187">
        <v>24975</v>
      </c>
      <c r="C1693" s="188">
        <v>5.92</v>
      </c>
      <c r="D1693" s="104">
        <f t="shared" si="25"/>
        <v>5.9200000000000003E-2</v>
      </c>
      <c r="F1693" s="5"/>
    </row>
    <row r="1694" spans="2:6" ht="13.8" hidden="1" outlineLevel="1">
      <c r="B1694" s="187">
        <v>24978</v>
      </c>
      <c r="C1694" s="188">
        <v>5.96</v>
      </c>
      <c r="D1694" s="104">
        <f t="shared" ref="D1694:D1757" si="26">IF( LEN( C1694 ) = 0, #N/A, IF( C1694 = "ND", D1693, C1694 / 100 ) )</f>
        <v>5.96E-2</v>
      </c>
      <c r="F1694" s="5"/>
    </row>
    <row r="1695" spans="2:6" ht="13.8" hidden="1" outlineLevel="1">
      <c r="B1695" s="187">
        <v>24979</v>
      </c>
      <c r="C1695" s="188">
        <v>6.02</v>
      </c>
      <c r="D1695" s="104">
        <f t="shared" si="26"/>
        <v>6.0199999999999997E-2</v>
      </c>
      <c r="F1695" s="5"/>
    </row>
    <row r="1696" spans="2:6" ht="13.8" hidden="1" outlineLevel="1">
      <c r="B1696" s="187">
        <v>24980</v>
      </c>
      <c r="C1696" s="188">
        <v>6.02</v>
      </c>
      <c r="D1696" s="104">
        <f t="shared" si="26"/>
        <v>6.0199999999999997E-2</v>
      </c>
      <c r="F1696" s="5"/>
    </row>
    <row r="1697" spans="2:6" ht="13.8" hidden="1" outlineLevel="1">
      <c r="B1697" s="187">
        <v>24981</v>
      </c>
      <c r="C1697" s="188">
        <v>5.98</v>
      </c>
      <c r="D1697" s="104">
        <f t="shared" si="26"/>
        <v>5.9800000000000006E-2</v>
      </c>
      <c r="F1697" s="5"/>
    </row>
    <row r="1698" spans="2:6" ht="13.8" hidden="1" outlineLevel="1">
      <c r="B1698" s="187">
        <v>24982</v>
      </c>
      <c r="C1698" s="188">
        <v>5.96</v>
      </c>
      <c r="D1698" s="104">
        <f t="shared" si="26"/>
        <v>5.96E-2</v>
      </c>
      <c r="F1698" s="5"/>
    </row>
    <row r="1699" spans="2:6" ht="13.8" hidden="1" outlineLevel="1">
      <c r="B1699" s="187">
        <v>24985</v>
      </c>
      <c r="C1699" s="188">
        <v>5.92</v>
      </c>
      <c r="D1699" s="104">
        <f t="shared" si="26"/>
        <v>5.9200000000000003E-2</v>
      </c>
      <c r="F1699" s="5"/>
    </row>
    <row r="1700" spans="2:6" ht="13.8" hidden="1" outlineLevel="1">
      <c r="B1700" s="187">
        <v>24986</v>
      </c>
      <c r="C1700" s="188">
        <v>5.94</v>
      </c>
      <c r="D1700" s="104">
        <f t="shared" si="26"/>
        <v>5.9400000000000001E-2</v>
      </c>
      <c r="F1700" s="5"/>
    </row>
    <row r="1701" spans="2:6" ht="13.8" hidden="1" outlineLevel="1">
      <c r="B1701" s="187">
        <v>24987</v>
      </c>
      <c r="C1701" s="188">
        <v>5.95</v>
      </c>
      <c r="D1701" s="104">
        <f t="shared" si="26"/>
        <v>5.9500000000000004E-2</v>
      </c>
      <c r="F1701" s="5"/>
    </row>
    <row r="1702" spans="2:6" ht="13.8" hidden="1" outlineLevel="1">
      <c r="B1702" s="187">
        <v>24988</v>
      </c>
      <c r="C1702" s="188" t="s">
        <v>380</v>
      </c>
      <c r="D1702" s="104">
        <f t="shared" si="26"/>
        <v>5.9500000000000004E-2</v>
      </c>
      <c r="F1702" s="5"/>
    </row>
    <row r="1703" spans="2:6" ht="13.8" hidden="1" outlineLevel="1">
      <c r="B1703" s="187">
        <v>24989</v>
      </c>
      <c r="C1703" s="188">
        <v>5.86</v>
      </c>
      <c r="D1703" s="104">
        <f t="shared" si="26"/>
        <v>5.8600000000000006E-2</v>
      </c>
      <c r="F1703" s="5"/>
    </row>
    <row r="1704" spans="2:6" ht="13.8" hidden="1" outlineLevel="1">
      <c r="B1704" s="187">
        <v>24992</v>
      </c>
      <c r="C1704" s="188">
        <v>5.79</v>
      </c>
      <c r="D1704" s="104">
        <f t="shared" si="26"/>
        <v>5.79E-2</v>
      </c>
      <c r="F1704" s="5"/>
    </row>
    <row r="1705" spans="2:6" ht="13.8" hidden="1" outlineLevel="1">
      <c r="B1705" s="187">
        <v>24993</v>
      </c>
      <c r="C1705" s="188">
        <v>5.78</v>
      </c>
      <c r="D1705" s="104">
        <f t="shared" si="26"/>
        <v>5.7800000000000004E-2</v>
      </c>
      <c r="F1705" s="5"/>
    </row>
    <row r="1706" spans="2:6" ht="13.8" hidden="1" outlineLevel="1">
      <c r="B1706" s="187">
        <v>24994</v>
      </c>
      <c r="C1706" s="188">
        <v>5.81</v>
      </c>
      <c r="D1706" s="104">
        <f t="shared" si="26"/>
        <v>5.8099999999999999E-2</v>
      </c>
      <c r="F1706" s="5"/>
    </row>
    <row r="1707" spans="2:6" ht="13.8" hidden="1" outlineLevel="1">
      <c r="B1707" s="187">
        <v>24995</v>
      </c>
      <c r="C1707" s="188">
        <v>5.83</v>
      </c>
      <c r="D1707" s="104">
        <f t="shared" si="26"/>
        <v>5.8299999999999998E-2</v>
      </c>
      <c r="F1707" s="5"/>
    </row>
    <row r="1708" spans="2:6" ht="13.8" hidden="1" outlineLevel="1">
      <c r="B1708" s="187">
        <v>24996</v>
      </c>
      <c r="C1708" s="188">
        <v>5.82</v>
      </c>
      <c r="D1708" s="104">
        <f t="shared" si="26"/>
        <v>5.8200000000000002E-2</v>
      </c>
      <c r="F1708" s="5"/>
    </row>
    <row r="1709" spans="2:6" ht="13.8" hidden="1" outlineLevel="1">
      <c r="B1709" s="187">
        <v>24999</v>
      </c>
      <c r="C1709" s="188">
        <v>5.8</v>
      </c>
      <c r="D1709" s="104">
        <f t="shared" si="26"/>
        <v>5.7999999999999996E-2</v>
      </c>
      <c r="F1709" s="5"/>
    </row>
    <row r="1710" spans="2:6" ht="13.8" hidden="1" outlineLevel="1">
      <c r="B1710" s="187">
        <v>25000</v>
      </c>
      <c r="C1710" s="188">
        <v>5.79</v>
      </c>
      <c r="D1710" s="104">
        <f t="shared" si="26"/>
        <v>5.79E-2</v>
      </c>
      <c r="F1710" s="5"/>
    </row>
    <row r="1711" spans="2:6" ht="13.8" hidden="1" outlineLevel="1">
      <c r="B1711" s="187">
        <v>25001</v>
      </c>
      <c r="C1711" s="188">
        <v>5.77</v>
      </c>
      <c r="D1711" s="104">
        <f t="shared" si="26"/>
        <v>5.7699999999999994E-2</v>
      </c>
      <c r="F1711" s="5"/>
    </row>
    <row r="1712" spans="2:6" ht="13.8" hidden="1" outlineLevel="1">
      <c r="B1712" s="187">
        <v>25002</v>
      </c>
      <c r="C1712" s="188">
        <v>5.76</v>
      </c>
      <c r="D1712" s="104">
        <f t="shared" si="26"/>
        <v>5.7599999999999998E-2</v>
      </c>
      <c r="F1712" s="5"/>
    </row>
    <row r="1713" spans="2:6" ht="13.8" hidden="1" outlineLevel="1">
      <c r="B1713" s="187">
        <v>25003</v>
      </c>
      <c r="C1713" s="188">
        <v>5.72</v>
      </c>
      <c r="D1713" s="104">
        <f t="shared" si="26"/>
        <v>5.7200000000000001E-2</v>
      </c>
      <c r="F1713" s="5"/>
    </row>
    <row r="1714" spans="2:6" ht="13.8" hidden="1" outlineLevel="1">
      <c r="B1714" s="187">
        <v>25006</v>
      </c>
      <c r="C1714" s="188">
        <v>5.71</v>
      </c>
      <c r="D1714" s="104">
        <f t="shared" si="26"/>
        <v>5.7099999999999998E-2</v>
      </c>
      <c r="F1714" s="5"/>
    </row>
    <row r="1715" spans="2:6" ht="13.8" hidden="1" outlineLevel="1">
      <c r="B1715" s="187">
        <v>25007</v>
      </c>
      <c r="C1715" s="188">
        <v>5.71</v>
      </c>
      <c r="D1715" s="104">
        <f t="shared" si="26"/>
        <v>5.7099999999999998E-2</v>
      </c>
      <c r="F1715" s="5"/>
    </row>
    <row r="1716" spans="2:6" ht="13.8" hidden="1" outlineLevel="1">
      <c r="B1716" s="187">
        <v>25008</v>
      </c>
      <c r="C1716" s="188">
        <v>5.67</v>
      </c>
      <c r="D1716" s="104">
        <f t="shared" si="26"/>
        <v>5.67E-2</v>
      </c>
      <c r="F1716" s="5"/>
    </row>
    <row r="1717" spans="2:6" ht="13.8" hidden="1" outlineLevel="1">
      <c r="B1717" s="187">
        <v>25009</v>
      </c>
      <c r="C1717" s="188">
        <v>5.62</v>
      </c>
      <c r="D1717" s="104">
        <f t="shared" si="26"/>
        <v>5.62E-2</v>
      </c>
      <c r="F1717" s="5"/>
    </row>
    <row r="1718" spans="2:6" ht="13.8" hidden="1" outlineLevel="1">
      <c r="B1718" s="187">
        <v>25010</v>
      </c>
      <c r="C1718" s="188">
        <v>5.6</v>
      </c>
      <c r="D1718" s="104">
        <f t="shared" si="26"/>
        <v>5.5999999999999994E-2</v>
      </c>
      <c r="F1718" s="5"/>
    </row>
    <row r="1719" spans="2:6" ht="13.8" hidden="1" outlineLevel="1">
      <c r="B1719" s="187">
        <v>25013</v>
      </c>
      <c r="C1719" s="188">
        <v>5.61</v>
      </c>
      <c r="D1719" s="104">
        <f t="shared" si="26"/>
        <v>5.6100000000000004E-2</v>
      </c>
      <c r="F1719" s="5"/>
    </row>
    <row r="1720" spans="2:6" ht="13.8" hidden="1" outlineLevel="1">
      <c r="B1720" s="187">
        <v>25014</v>
      </c>
      <c r="C1720" s="188">
        <v>5.64</v>
      </c>
      <c r="D1720" s="104">
        <f t="shared" si="26"/>
        <v>5.6399999999999999E-2</v>
      </c>
      <c r="F1720" s="5"/>
    </row>
    <row r="1721" spans="2:6" ht="13.8" hidden="1" outlineLevel="1">
      <c r="B1721" s="187">
        <v>25015</v>
      </c>
      <c r="C1721" s="188">
        <v>5.64</v>
      </c>
      <c r="D1721" s="104">
        <f t="shared" si="26"/>
        <v>5.6399999999999999E-2</v>
      </c>
      <c r="F1721" s="5"/>
    </row>
    <row r="1722" spans="2:6" ht="13.8" hidden="1" outlineLevel="1">
      <c r="B1722" s="187">
        <v>25016</v>
      </c>
      <c r="C1722" s="188">
        <v>5.65</v>
      </c>
      <c r="D1722" s="104">
        <f t="shared" si="26"/>
        <v>5.6500000000000002E-2</v>
      </c>
      <c r="F1722" s="5"/>
    </row>
    <row r="1723" spans="2:6" ht="13.8" hidden="1" outlineLevel="1">
      <c r="B1723" s="187">
        <v>25017</v>
      </c>
      <c r="C1723" s="188">
        <v>5.64</v>
      </c>
      <c r="D1723" s="104">
        <f t="shared" si="26"/>
        <v>5.6399999999999999E-2</v>
      </c>
      <c r="F1723" s="5"/>
    </row>
    <row r="1724" spans="2:6" ht="13.8" hidden="1" outlineLevel="1">
      <c r="B1724" s="187">
        <v>25020</v>
      </c>
      <c r="C1724" s="188">
        <v>5.62</v>
      </c>
      <c r="D1724" s="104">
        <f t="shared" si="26"/>
        <v>5.62E-2</v>
      </c>
      <c r="F1724" s="5"/>
    </row>
    <row r="1725" spans="2:6" ht="13.8" hidden="1" outlineLevel="1">
      <c r="B1725" s="187">
        <v>25021</v>
      </c>
      <c r="C1725" s="188">
        <v>5.58</v>
      </c>
      <c r="D1725" s="104">
        <f t="shared" si="26"/>
        <v>5.5800000000000002E-2</v>
      </c>
      <c r="F1725" s="5"/>
    </row>
    <row r="1726" spans="2:6" ht="13.8" hidden="1" outlineLevel="1">
      <c r="B1726" s="187">
        <v>25022</v>
      </c>
      <c r="C1726" s="188">
        <v>5.57</v>
      </c>
      <c r="D1726" s="104">
        <f t="shared" si="26"/>
        <v>5.57E-2</v>
      </c>
      <c r="F1726" s="5"/>
    </row>
    <row r="1727" spans="2:6" ht="13.8" hidden="1" outlineLevel="1">
      <c r="B1727" s="187">
        <v>25023</v>
      </c>
      <c r="C1727" s="188" t="s">
        <v>380</v>
      </c>
      <c r="D1727" s="104">
        <f t="shared" si="26"/>
        <v>5.57E-2</v>
      </c>
      <c r="F1727" s="5"/>
    </row>
    <row r="1728" spans="2:6" ht="13.8" hidden="1" outlineLevel="1">
      <c r="B1728" s="187">
        <v>25024</v>
      </c>
      <c r="C1728" s="188">
        <v>5.56</v>
      </c>
      <c r="D1728" s="104">
        <f t="shared" si="26"/>
        <v>5.5599999999999997E-2</v>
      </c>
      <c r="F1728" s="5"/>
    </row>
    <row r="1729" spans="2:6" ht="13.8" hidden="1" outlineLevel="1">
      <c r="B1729" s="187">
        <v>25027</v>
      </c>
      <c r="C1729" s="188">
        <v>5.53</v>
      </c>
      <c r="D1729" s="104">
        <f t="shared" si="26"/>
        <v>5.5300000000000002E-2</v>
      </c>
      <c r="F1729" s="5"/>
    </row>
    <row r="1730" spans="2:6" ht="13.8" hidden="1" outlineLevel="1">
      <c r="B1730" s="187">
        <v>25028</v>
      </c>
      <c r="C1730" s="188">
        <v>5.51</v>
      </c>
      <c r="D1730" s="104">
        <f t="shared" si="26"/>
        <v>5.5099999999999996E-2</v>
      </c>
      <c r="F1730" s="5"/>
    </row>
    <row r="1731" spans="2:6" ht="13.8" hidden="1" outlineLevel="1">
      <c r="B1731" s="187">
        <v>25029</v>
      </c>
      <c r="C1731" s="188">
        <v>5.52</v>
      </c>
      <c r="D1731" s="104">
        <f t="shared" si="26"/>
        <v>5.5199999999999999E-2</v>
      </c>
      <c r="F1731" s="5"/>
    </row>
    <row r="1732" spans="2:6" ht="13.8" hidden="1" outlineLevel="1">
      <c r="B1732" s="187">
        <v>25030</v>
      </c>
      <c r="C1732" s="188">
        <v>5.52</v>
      </c>
      <c r="D1732" s="104">
        <f t="shared" si="26"/>
        <v>5.5199999999999999E-2</v>
      </c>
      <c r="F1732" s="5"/>
    </row>
    <row r="1733" spans="2:6" ht="13.8" hidden="1" outlineLevel="1">
      <c r="B1733" s="187">
        <v>25031</v>
      </c>
      <c r="C1733" s="188">
        <v>5.53</v>
      </c>
      <c r="D1733" s="104">
        <f t="shared" si="26"/>
        <v>5.5300000000000002E-2</v>
      </c>
      <c r="F1733" s="5"/>
    </row>
    <row r="1734" spans="2:6" ht="13.8" hidden="1" outlineLevel="1">
      <c r="B1734" s="187">
        <v>25034</v>
      </c>
      <c r="C1734" s="188">
        <v>5.56</v>
      </c>
      <c r="D1734" s="104">
        <f t="shared" si="26"/>
        <v>5.5599999999999997E-2</v>
      </c>
      <c r="F1734" s="5"/>
    </row>
    <row r="1735" spans="2:6" ht="13.8" hidden="1" outlineLevel="1">
      <c r="B1735" s="187">
        <v>25035</v>
      </c>
      <c r="C1735" s="188">
        <v>5.57</v>
      </c>
      <c r="D1735" s="104">
        <f t="shared" si="26"/>
        <v>5.57E-2</v>
      </c>
      <c r="F1735" s="5"/>
    </row>
    <row r="1736" spans="2:6" ht="13.8" hidden="1" outlineLevel="1">
      <c r="B1736" s="187">
        <v>25036</v>
      </c>
      <c r="C1736" s="188">
        <v>5.55</v>
      </c>
      <c r="D1736" s="104">
        <f t="shared" si="26"/>
        <v>5.5500000000000001E-2</v>
      </c>
      <c r="F1736" s="5"/>
    </row>
    <row r="1737" spans="2:6" ht="13.8" hidden="1" outlineLevel="1">
      <c r="B1737" s="187">
        <v>25037</v>
      </c>
      <c r="C1737" s="188">
        <v>5.56</v>
      </c>
      <c r="D1737" s="104">
        <f t="shared" si="26"/>
        <v>5.5599999999999997E-2</v>
      </c>
      <c r="F1737" s="5"/>
    </row>
    <row r="1738" spans="2:6" ht="13.8" hidden="1" outlineLevel="1">
      <c r="B1738" s="187">
        <v>25038</v>
      </c>
      <c r="C1738" s="188">
        <v>5.53</v>
      </c>
      <c r="D1738" s="104">
        <f t="shared" si="26"/>
        <v>5.5300000000000002E-2</v>
      </c>
      <c r="F1738" s="5"/>
    </row>
    <row r="1739" spans="2:6" ht="13.8" hidden="1" outlineLevel="1">
      <c r="B1739" s="187">
        <v>25041</v>
      </c>
      <c r="C1739" s="188">
        <v>5.45</v>
      </c>
      <c r="D1739" s="104">
        <f t="shared" si="26"/>
        <v>5.45E-2</v>
      </c>
      <c r="F1739" s="5"/>
    </row>
    <row r="1740" spans="2:6" ht="13.8" hidden="1" outlineLevel="1">
      <c r="B1740" s="187">
        <v>25042</v>
      </c>
      <c r="C1740" s="188">
        <v>5.38</v>
      </c>
      <c r="D1740" s="104">
        <f t="shared" si="26"/>
        <v>5.3800000000000001E-2</v>
      </c>
      <c r="F1740" s="5"/>
    </row>
    <row r="1741" spans="2:6" ht="13.8" hidden="1" outlineLevel="1">
      <c r="B1741" s="187">
        <v>25043</v>
      </c>
      <c r="C1741" s="188">
        <v>5.39</v>
      </c>
      <c r="D1741" s="104">
        <f t="shared" si="26"/>
        <v>5.3899999999999997E-2</v>
      </c>
      <c r="F1741" s="5"/>
    </row>
    <row r="1742" spans="2:6" ht="13.8" hidden="1" outlineLevel="1">
      <c r="B1742" s="187">
        <v>25044</v>
      </c>
      <c r="C1742" s="188">
        <v>5.37</v>
      </c>
      <c r="D1742" s="104">
        <f t="shared" si="26"/>
        <v>5.3699999999999998E-2</v>
      </c>
      <c r="F1742" s="5"/>
    </row>
    <row r="1743" spans="2:6" ht="13.8" hidden="1" outlineLevel="1">
      <c r="B1743" s="187">
        <v>25045</v>
      </c>
      <c r="C1743" s="188">
        <v>5.39</v>
      </c>
      <c r="D1743" s="104">
        <f t="shared" si="26"/>
        <v>5.3899999999999997E-2</v>
      </c>
      <c r="F1743" s="5"/>
    </row>
    <row r="1744" spans="2:6" ht="13.8" hidden="1" outlineLevel="1">
      <c r="B1744" s="187">
        <v>25048</v>
      </c>
      <c r="C1744" s="188">
        <v>5.41</v>
      </c>
      <c r="D1744" s="104">
        <f t="shared" si="26"/>
        <v>5.4100000000000002E-2</v>
      </c>
      <c r="F1744" s="5"/>
    </row>
    <row r="1745" spans="2:6" ht="13.8" hidden="1" outlineLevel="1">
      <c r="B1745" s="187">
        <v>25049</v>
      </c>
      <c r="C1745" s="188">
        <v>5.41</v>
      </c>
      <c r="D1745" s="104">
        <f t="shared" si="26"/>
        <v>5.4100000000000002E-2</v>
      </c>
      <c r="F1745" s="5"/>
    </row>
    <row r="1746" spans="2:6" ht="13.8" hidden="1" outlineLevel="1">
      <c r="B1746" s="187">
        <v>25050</v>
      </c>
      <c r="C1746" s="188">
        <v>5.39</v>
      </c>
      <c r="D1746" s="104">
        <f t="shared" si="26"/>
        <v>5.3899999999999997E-2</v>
      </c>
      <c r="F1746" s="5"/>
    </row>
    <row r="1747" spans="2:6" ht="13.8" hidden="1" outlineLevel="1">
      <c r="B1747" s="187">
        <v>25051</v>
      </c>
      <c r="C1747" s="188">
        <v>5.38</v>
      </c>
      <c r="D1747" s="104">
        <f t="shared" si="26"/>
        <v>5.3800000000000001E-2</v>
      </c>
      <c r="F1747" s="5"/>
    </row>
    <row r="1748" spans="2:6" ht="13.8" hidden="1" outlineLevel="1">
      <c r="B1748" s="187">
        <v>25052</v>
      </c>
      <c r="C1748" s="188">
        <v>5.34</v>
      </c>
      <c r="D1748" s="104">
        <f t="shared" si="26"/>
        <v>5.3399999999999996E-2</v>
      </c>
      <c r="F1748" s="5"/>
    </row>
    <row r="1749" spans="2:6" ht="13.8" hidden="1" outlineLevel="1">
      <c r="B1749" s="187">
        <v>25055</v>
      </c>
      <c r="C1749" s="188">
        <v>5.37</v>
      </c>
      <c r="D1749" s="104">
        <f t="shared" si="26"/>
        <v>5.3699999999999998E-2</v>
      </c>
      <c r="F1749" s="5"/>
    </row>
    <row r="1750" spans="2:6" ht="13.8" hidden="1" outlineLevel="1">
      <c r="B1750" s="187">
        <v>25056</v>
      </c>
      <c r="C1750" s="188">
        <v>5.38</v>
      </c>
      <c r="D1750" s="104">
        <f t="shared" si="26"/>
        <v>5.3800000000000001E-2</v>
      </c>
      <c r="F1750" s="5"/>
    </row>
    <row r="1751" spans="2:6" ht="13.8" hidden="1" outlineLevel="1">
      <c r="B1751" s="187">
        <v>25057</v>
      </c>
      <c r="C1751" s="188">
        <v>5.36</v>
      </c>
      <c r="D1751" s="104">
        <f t="shared" si="26"/>
        <v>5.3600000000000002E-2</v>
      </c>
      <c r="F1751" s="5"/>
    </row>
    <row r="1752" spans="2:6" ht="13.8" hidden="1" outlineLevel="1">
      <c r="B1752" s="187">
        <v>25058</v>
      </c>
      <c r="C1752" s="188">
        <v>5.37</v>
      </c>
      <c r="D1752" s="104">
        <f t="shared" si="26"/>
        <v>5.3699999999999998E-2</v>
      </c>
      <c r="F1752" s="5"/>
    </row>
    <row r="1753" spans="2:6" ht="13.8" hidden="1" outlineLevel="1">
      <c r="B1753" s="187">
        <v>25059</v>
      </c>
      <c r="C1753" s="188">
        <v>5.39</v>
      </c>
      <c r="D1753" s="104">
        <f t="shared" si="26"/>
        <v>5.3899999999999997E-2</v>
      </c>
      <c r="F1753" s="5"/>
    </row>
    <row r="1754" spans="2:6" ht="13.8" hidden="1" outlineLevel="1">
      <c r="B1754" s="187">
        <v>25062</v>
      </c>
      <c r="C1754" s="188">
        <v>5.42</v>
      </c>
      <c r="D1754" s="104">
        <f t="shared" si="26"/>
        <v>5.4199999999999998E-2</v>
      </c>
      <c r="F1754" s="5"/>
    </row>
    <row r="1755" spans="2:6" ht="13.8" hidden="1" outlineLevel="1">
      <c r="B1755" s="187">
        <v>25063</v>
      </c>
      <c r="C1755" s="188">
        <v>5.43</v>
      </c>
      <c r="D1755" s="104">
        <f t="shared" si="26"/>
        <v>5.4299999999999994E-2</v>
      </c>
      <c r="F1755" s="5"/>
    </row>
    <row r="1756" spans="2:6" ht="13.8" hidden="1" outlineLevel="1">
      <c r="B1756" s="187">
        <v>25064</v>
      </c>
      <c r="C1756" s="188">
        <v>5.43</v>
      </c>
      <c r="D1756" s="104">
        <f t="shared" si="26"/>
        <v>5.4299999999999994E-2</v>
      </c>
      <c r="F1756" s="5"/>
    </row>
    <row r="1757" spans="2:6" ht="13.8" hidden="1" outlineLevel="1">
      <c r="B1757" s="187">
        <v>25065</v>
      </c>
      <c r="C1757" s="188">
        <v>5.45</v>
      </c>
      <c r="D1757" s="104">
        <f t="shared" si="26"/>
        <v>5.45E-2</v>
      </c>
      <c r="F1757" s="5"/>
    </row>
    <row r="1758" spans="2:6" ht="13.8" hidden="1" outlineLevel="1">
      <c r="B1758" s="187">
        <v>25066</v>
      </c>
      <c r="C1758" s="188">
        <v>5.42</v>
      </c>
      <c r="D1758" s="104">
        <f t="shared" ref="D1758:D1821" si="27">IF( LEN( C1758 ) = 0, #N/A, IF( C1758 = "ND", D1757, C1758 / 100 ) )</f>
        <v>5.4199999999999998E-2</v>
      </c>
      <c r="F1758" s="5"/>
    </row>
    <row r="1759" spans="2:6" ht="13.8" hidden="1" outlineLevel="1">
      <c r="B1759" s="187">
        <v>25069</v>
      </c>
      <c r="C1759" s="188">
        <v>5.43</v>
      </c>
      <c r="D1759" s="104">
        <f t="shared" si="27"/>
        <v>5.4299999999999994E-2</v>
      </c>
      <c r="F1759" s="5"/>
    </row>
    <row r="1760" spans="2:6" ht="13.8" hidden="1" outlineLevel="1">
      <c r="B1760" s="187">
        <v>25070</v>
      </c>
      <c r="C1760" s="188">
        <v>5.43</v>
      </c>
      <c r="D1760" s="104">
        <f t="shared" si="27"/>
        <v>5.4299999999999994E-2</v>
      </c>
      <c r="F1760" s="5"/>
    </row>
    <row r="1761" spans="2:6" ht="13.8" hidden="1" outlineLevel="1">
      <c r="B1761" s="187">
        <v>25071</v>
      </c>
      <c r="C1761" s="188">
        <v>5.46</v>
      </c>
      <c r="D1761" s="104">
        <f t="shared" si="27"/>
        <v>5.4600000000000003E-2</v>
      </c>
      <c r="F1761" s="5"/>
    </row>
    <row r="1762" spans="2:6" ht="13.8" hidden="1" outlineLevel="1">
      <c r="B1762" s="187">
        <v>25072</v>
      </c>
      <c r="C1762" s="188">
        <v>5.5</v>
      </c>
      <c r="D1762" s="104">
        <f t="shared" si="27"/>
        <v>5.5E-2</v>
      </c>
      <c r="F1762" s="5"/>
    </row>
    <row r="1763" spans="2:6" ht="13.8" hidden="1" outlineLevel="1">
      <c r="B1763" s="187">
        <v>25073</v>
      </c>
      <c r="C1763" s="188">
        <v>5.47</v>
      </c>
      <c r="D1763" s="104">
        <f t="shared" si="27"/>
        <v>5.4699999999999999E-2</v>
      </c>
      <c r="F1763" s="5"/>
    </row>
    <row r="1764" spans="2:6" ht="13.8" hidden="1" outlineLevel="1">
      <c r="B1764" s="187">
        <v>25076</v>
      </c>
      <c r="C1764" s="188">
        <v>5.46</v>
      </c>
      <c r="D1764" s="104">
        <f t="shared" si="27"/>
        <v>5.4600000000000003E-2</v>
      </c>
      <c r="F1764" s="5"/>
    </row>
    <row r="1765" spans="2:6" ht="13.8" hidden="1" outlineLevel="1">
      <c r="B1765" s="187">
        <v>25077</v>
      </c>
      <c r="C1765" s="188">
        <v>5.46</v>
      </c>
      <c r="D1765" s="104">
        <f t="shared" si="27"/>
        <v>5.4600000000000003E-2</v>
      </c>
      <c r="F1765" s="5"/>
    </row>
    <row r="1766" spans="2:6" ht="13.8" hidden="1" outlineLevel="1">
      <c r="B1766" s="187">
        <v>25078</v>
      </c>
      <c r="C1766" s="188">
        <v>5.45</v>
      </c>
      <c r="D1766" s="104">
        <f t="shared" si="27"/>
        <v>5.45E-2</v>
      </c>
      <c r="F1766" s="5"/>
    </row>
    <row r="1767" spans="2:6" ht="13.8" hidden="1" outlineLevel="1">
      <c r="B1767" s="187">
        <v>25079</v>
      </c>
      <c r="C1767" s="188">
        <v>5.43</v>
      </c>
      <c r="D1767" s="104">
        <f t="shared" si="27"/>
        <v>5.4299999999999994E-2</v>
      </c>
      <c r="F1767" s="5"/>
    </row>
    <row r="1768" spans="2:6" ht="13.8" hidden="1" outlineLevel="1">
      <c r="B1768" s="187">
        <v>25080</v>
      </c>
      <c r="C1768" s="188">
        <v>5.42</v>
      </c>
      <c r="D1768" s="104">
        <f t="shared" si="27"/>
        <v>5.4199999999999998E-2</v>
      </c>
      <c r="F1768" s="5"/>
    </row>
    <row r="1769" spans="2:6" ht="13.8" hidden="1" outlineLevel="1">
      <c r="B1769" s="187">
        <v>25083</v>
      </c>
      <c r="C1769" s="188" t="s">
        <v>380</v>
      </c>
      <c r="D1769" s="104">
        <f t="shared" si="27"/>
        <v>5.4199999999999998E-2</v>
      </c>
      <c r="F1769" s="5"/>
    </row>
    <row r="1770" spans="2:6" ht="13.8" hidden="1" outlineLevel="1">
      <c r="B1770" s="187">
        <v>25084</v>
      </c>
      <c r="C1770" s="188">
        <v>5.41</v>
      </c>
      <c r="D1770" s="104">
        <f t="shared" si="27"/>
        <v>5.4100000000000002E-2</v>
      </c>
      <c r="F1770" s="5"/>
    </row>
    <row r="1771" spans="2:6" ht="13.8" hidden="1" outlineLevel="1">
      <c r="B1771" s="187">
        <v>25085</v>
      </c>
      <c r="C1771" s="188">
        <v>5.43</v>
      </c>
      <c r="D1771" s="104">
        <f t="shared" si="27"/>
        <v>5.4299999999999994E-2</v>
      </c>
      <c r="F1771" s="5"/>
    </row>
    <row r="1772" spans="2:6" ht="13.8" hidden="1" outlineLevel="1">
      <c r="B1772" s="187">
        <v>25086</v>
      </c>
      <c r="C1772" s="188">
        <v>5.46</v>
      </c>
      <c r="D1772" s="104">
        <f t="shared" si="27"/>
        <v>5.4600000000000003E-2</v>
      </c>
      <c r="F1772" s="5"/>
    </row>
    <row r="1773" spans="2:6" ht="13.8" hidden="1" outlineLevel="1">
      <c r="B1773" s="187">
        <v>25087</v>
      </c>
      <c r="C1773" s="188">
        <v>5.48</v>
      </c>
      <c r="D1773" s="104">
        <f t="shared" si="27"/>
        <v>5.4800000000000001E-2</v>
      </c>
      <c r="F1773" s="5"/>
    </row>
    <row r="1774" spans="2:6" ht="13.8" hidden="1" outlineLevel="1">
      <c r="B1774" s="187">
        <v>25090</v>
      </c>
      <c r="C1774" s="188">
        <v>5.49</v>
      </c>
      <c r="D1774" s="104">
        <f t="shared" si="27"/>
        <v>5.4900000000000004E-2</v>
      </c>
      <c r="F1774" s="5"/>
    </row>
    <row r="1775" spans="2:6" ht="13.8" hidden="1" outlineLevel="1">
      <c r="B1775" s="187">
        <v>25091</v>
      </c>
      <c r="C1775" s="188">
        <v>5.51</v>
      </c>
      <c r="D1775" s="104">
        <f t="shared" si="27"/>
        <v>5.5099999999999996E-2</v>
      </c>
      <c r="F1775" s="5"/>
    </row>
    <row r="1776" spans="2:6" ht="13.8" hidden="1" outlineLevel="1">
      <c r="B1776" s="187">
        <v>25092</v>
      </c>
      <c r="C1776" s="188">
        <v>5.5</v>
      </c>
      <c r="D1776" s="104">
        <f t="shared" si="27"/>
        <v>5.5E-2</v>
      </c>
      <c r="F1776" s="5"/>
    </row>
    <row r="1777" spans="2:6" ht="13.8" hidden="1" outlineLevel="1">
      <c r="B1777" s="187">
        <v>25093</v>
      </c>
      <c r="C1777" s="188">
        <v>5.49</v>
      </c>
      <c r="D1777" s="104">
        <f t="shared" si="27"/>
        <v>5.4900000000000004E-2</v>
      </c>
      <c r="F1777" s="5"/>
    </row>
    <row r="1778" spans="2:6" ht="13.8" hidden="1" outlineLevel="1">
      <c r="B1778" s="187">
        <v>25094</v>
      </c>
      <c r="C1778" s="188">
        <v>5.48</v>
      </c>
      <c r="D1778" s="104">
        <f t="shared" si="27"/>
        <v>5.4800000000000001E-2</v>
      </c>
      <c r="F1778" s="5"/>
    </row>
    <row r="1779" spans="2:6" ht="13.8" hidden="1" outlineLevel="1">
      <c r="B1779" s="187">
        <v>25097</v>
      </c>
      <c r="C1779" s="188">
        <v>5.46</v>
      </c>
      <c r="D1779" s="104">
        <f t="shared" si="27"/>
        <v>5.4600000000000003E-2</v>
      </c>
      <c r="F1779" s="5"/>
    </row>
    <row r="1780" spans="2:6" ht="13.8" hidden="1" outlineLevel="1">
      <c r="B1780" s="187">
        <v>25098</v>
      </c>
      <c r="C1780" s="188">
        <v>5.46</v>
      </c>
      <c r="D1780" s="104">
        <f t="shared" si="27"/>
        <v>5.4600000000000003E-2</v>
      </c>
      <c r="F1780" s="5"/>
    </row>
    <row r="1781" spans="2:6" ht="13.8" hidden="1" outlineLevel="1">
      <c r="B1781" s="187">
        <v>25099</v>
      </c>
      <c r="C1781" s="188">
        <v>5.42</v>
      </c>
      <c r="D1781" s="104">
        <f t="shared" si="27"/>
        <v>5.4199999999999998E-2</v>
      </c>
      <c r="F1781" s="5"/>
    </row>
    <row r="1782" spans="2:6" ht="13.8" hidden="1" outlineLevel="1">
      <c r="B1782" s="187">
        <v>25100</v>
      </c>
      <c r="C1782" s="188">
        <v>5.43</v>
      </c>
      <c r="D1782" s="104">
        <f t="shared" si="27"/>
        <v>5.4299999999999994E-2</v>
      </c>
      <c r="F1782" s="5"/>
    </row>
    <row r="1783" spans="2:6" ht="13.8" hidden="1" outlineLevel="1">
      <c r="B1783" s="187">
        <v>25101</v>
      </c>
      <c r="C1783" s="188">
        <v>5.45</v>
      </c>
      <c r="D1783" s="104">
        <f t="shared" si="27"/>
        <v>5.45E-2</v>
      </c>
      <c r="F1783" s="5"/>
    </row>
    <row r="1784" spans="2:6" ht="13.8" hidden="1" outlineLevel="1">
      <c r="B1784" s="187">
        <v>25104</v>
      </c>
      <c r="C1784" s="188">
        <v>5.45</v>
      </c>
      <c r="D1784" s="104">
        <f t="shared" si="27"/>
        <v>5.45E-2</v>
      </c>
      <c r="F1784" s="5"/>
    </row>
    <row r="1785" spans="2:6" ht="13.8" hidden="1" outlineLevel="1">
      <c r="B1785" s="187">
        <v>25105</v>
      </c>
      <c r="C1785" s="188">
        <v>5.44</v>
      </c>
      <c r="D1785" s="104">
        <f t="shared" si="27"/>
        <v>5.4400000000000004E-2</v>
      </c>
      <c r="F1785" s="5"/>
    </row>
    <row r="1786" spans="2:6" ht="13.8" hidden="1" outlineLevel="1">
      <c r="B1786" s="187">
        <v>25106</v>
      </c>
      <c r="C1786" s="188">
        <v>5.44</v>
      </c>
      <c r="D1786" s="104">
        <f t="shared" si="27"/>
        <v>5.4400000000000004E-2</v>
      </c>
      <c r="F1786" s="5"/>
    </row>
    <row r="1787" spans="2:6" ht="13.8" hidden="1" outlineLevel="1">
      <c r="B1787" s="187">
        <v>25107</v>
      </c>
      <c r="C1787" s="188">
        <v>5.45</v>
      </c>
      <c r="D1787" s="104">
        <f t="shared" si="27"/>
        <v>5.45E-2</v>
      </c>
      <c r="F1787" s="5"/>
    </row>
    <row r="1788" spans="2:6" ht="13.8" hidden="1" outlineLevel="1">
      <c r="B1788" s="187">
        <v>25108</v>
      </c>
      <c r="C1788" s="188">
        <v>5.46</v>
      </c>
      <c r="D1788" s="104">
        <f t="shared" si="27"/>
        <v>5.4600000000000003E-2</v>
      </c>
      <c r="F1788" s="5"/>
    </row>
    <row r="1789" spans="2:6" ht="13.8" hidden="1" outlineLevel="1">
      <c r="B1789" s="187">
        <v>25111</v>
      </c>
      <c r="C1789" s="188">
        <v>5.49</v>
      </c>
      <c r="D1789" s="104">
        <f t="shared" si="27"/>
        <v>5.4900000000000004E-2</v>
      </c>
      <c r="F1789" s="5"/>
    </row>
    <row r="1790" spans="2:6" ht="13.8" hidden="1" outlineLevel="1">
      <c r="B1790" s="187">
        <v>25112</v>
      </c>
      <c r="C1790" s="188">
        <v>5.49</v>
      </c>
      <c r="D1790" s="104">
        <f t="shared" si="27"/>
        <v>5.4900000000000004E-2</v>
      </c>
      <c r="F1790" s="5"/>
    </row>
    <row r="1791" spans="2:6" ht="13.8" hidden="1" outlineLevel="1">
      <c r="B1791" s="187">
        <v>25113</v>
      </c>
      <c r="C1791" s="188">
        <v>5.49</v>
      </c>
      <c r="D1791" s="104">
        <f t="shared" si="27"/>
        <v>5.4900000000000004E-2</v>
      </c>
      <c r="F1791" s="5"/>
    </row>
    <row r="1792" spans="2:6" ht="13.8" hidden="1" outlineLevel="1">
      <c r="B1792" s="187">
        <v>25114</v>
      </c>
      <c r="C1792" s="188">
        <v>5.5</v>
      </c>
      <c r="D1792" s="104">
        <f t="shared" si="27"/>
        <v>5.5E-2</v>
      </c>
      <c r="F1792" s="5"/>
    </row>
    <row r="1793" spans="2:6" ht="13.8" hidden="1" outlineLevel="1">
      <c r="B1793" s="187">
        <v>25115</v>
      </c>
      <c r="C1793" s="188">
        <v>5.52</v>
      </c>
      <c r="D1793" s="104">
        <f t="shared" si="27"/>
        <v>5.5199999999999999E-2</v>
      </c>
      <c r="F1793" s="5"/>
    </row>
    <row r="1794" spans="2:6" ht="13.8" hidden="1" outlineLevel="1">
      <c r="B1794" s="187">
        <v>25118</v>
      </c>
      <c r="C1794" s="188">
        <v>5.55</v>
      </c>
      <c r="D1794" s="104">
        <f t="shared" si="27"/>
        <v>5.5500000000000001E-2</v>
      </c>
      <c r="F1794" s="5"/>
    </row>
    <row r="1795" spans="2:6" ht="13.8" hidden="1" outlineLevel="1">
      <c r="B1795" s="187">
        <v>25119</v>
      </c>
      <c r="C1795" s="188">
        <v>5.57</v>
      </c>
      <c r="D1795" s="104">
        <f t="shared" si="27"/>
        <v>5.57E-2</v>
      </c>
      <c r="F1795" s="5"/>
    </row>
    <row r="1796" spans="2:6" ht="13.8" hidden="1" outlineLevel="1">
      <c r="B1796" s="187">
        <v>25120</v>
      </c>
      <c r="C1796" s="188">
        <v>5.6</v>
      </c>
      <c r="D1796" s="104">
        <f t="shared" si="27"/>
        <v>5.5999999999999994E-2</v>
      </c>
      <c r="F1796" s="5"/>
    </row>
    <row r="1797" spans="2:6" ht="13.8" hidden="1" outlineLevel="1">
      <c r="B1797" s="187">
        <v>25121</v>
      </c>
      <c r="C1797" s="188">
        <v>5.61</v>
      </c>
      <c r="D1797" s="104">
        <f t="shared" si="27"/>
        <v>5.6100000000000004E-2</v>
      </c>
      <c r="F1797" s="5"/>
    </row>
    <row r="1798" spans="2:6" ht="13.8" hidden="1" outlineLevel="1">
      <c r="B1798" s="187">
        <v>25122</v>
      </c>
      <c r="C1798" s="188">
        <v>5.61</v>
      </c>
      <c r="D1798" s="104">
        <f t="shared" si="27"/>
        <v>5.6100000000000004E-2</v>
      </c>
      <c r="F1798" s="5"/>
    </row>
    <row r="1799" spans="2:6" ht="13.8" hidden="1" outlineLevel="1">
      <c r="B1799" s="187">
        <v>25125</v>
      </c>
      <c r="C1799" s="188">
        <v>5.62</v>
      </c>
      <c r="D1799" s="104">
        <f t="shared" si="27"/>
        <v>5.62E-2</v>
      </c>
      <c r="F1799" s="5"/>
    </row>
    <row r="1800" spans="2:6" ht="13.8" hidden="1" outlineLevel="1">
      <c r="B1800" s="187">
        <v>25126</v>
      </c>
      <c r="C1800" s="188">
        <v>5.65</v>
      </c>
      <c r="D1800" s="104">
        <f t="shared" si="27"/>
        <v>5.6500000000000002E-2</v>
      </c>
      <c r="F1800" s="5"/>
    </row>
    <row r="1801" spans="2:6" ht="13.8" hidden="1" outlineLevel="1">
      <c r="B1801" s="187">
        <v>25127</v>
      </c>
      <c r="C1801" s="188">
        <v>5.62</v>
      </c>
      <c r="D1801" s="104">
        <f t="shared" si="27"/>
        <v>5.62E-2</v>
      </c>
      <c r="F1801" s="5"/>
    </row>
    <row r="1802" spans="2:6" ht="13.8" hidden="1" outlineLevel="1">
      <c r="B1802" s="187">
        <v>25128</v>
      </c>
      <c r="C1802" s="188">
        <v>5.58</v>
      </c>
      <c r="D1802" s="104">
        <f t="shared" si="27"/>
        <v>5.5800000000000002E-2</v>
      </c>
      <c r="F1802" s="5"/>
    </row>
    <row r="1803" spans="2:6" ht="13.8" hidden="1" outlineLevel="1">
      <c r="B1803" s="187">
        <v>25129</v>
      </c>
      <c r="C1803" s="188">
        <v>5.57</v>
      </c>
      <c r="D1803" s="104">
        <f t="shared" si="27"/>
        <v>5.57E-2</v>
      </c>
      <c r="F1803" s="5"/>
    </row>
    <row r="1804" spans="2:6" ht="13.8" hidden="1" outlineLevel="1">
      <c r="B1804" s="187">
        <v>25132</v>
      </c>
      <c r="C1804" s="188">
        <v>5.58</v>
      </c>
      <c r="D1804" s="104">
        <f t="shared" si="27"/>
        <v>5.5800000000000002E-2</v>
      </c>
      <c r="F1804" s="5"/>
    </row>
    <row r="1805" spans="2:6" ht="13.8" hidden="1" outlineLevel="1">
      <c r="B1805" s="187">
        <v>25133</v>
      </c>
      <c r="C1805" s="188">
        <v>5.58</v>
      </c>
      <c r="D1805" s="104">
        <f t="shared" si="27"/>
        <v>5.5800000000000002E-2</v>
      </c>
      <c r="F1805" s="5"/>
    </row>
    <row r="1806" spans="2:6" ht="13.8" hidden="1" outlineLevel="1">
      <c r="B1806" s="187">
        <v>25134</v>
      </c>
      <c r="C1806" s="188">
        <v>5.58</v>
      </c>
      <c r="D1806" s="104">
        <f t="shared" si="27"/>
        <v>5.5800000000000002E-2</v>
      </c>
      <c r="F1806" s="5"/>
    </row>
    <row r="1807" spans="2:6" ht="13.8" hidden="1" outlineLevel="1">
      <c r="B1807" s="187">
        <v>25135</v>
      </c>
      <c r="C1807" s="188">
        <v>5.61</v>
      </c>
      <c r="D1807" s="104">
        <f t="shared" si="27"/>
        <v>5.6100000000000004E-2</v>
      </c>
      <c r="F1807" s="5"/>
    </row>
    <row r="1808" spans="2:6" ht="13.8" hidden="1" outlineLevel="1">
      <c r="B1808" s="187">
        <v>25136</v>
      </c>
      <c r="C1808" s="188">
        <v>5.6</v>
      </c>
      <c r="D1808" s="104">
        <f t="shared" si="27"/>
        <v>5.5999999999999994E-2</v>
      </c>
      <c r="F1808" s="5"/>
    </row>
    <row r="1809" spans="2:6" ht="13.8" hidden="1" outlineLevel="1">
      <c r="B1809" s="187">
        <v>25139</v>
      </c>
      <c r="C1809" s="188">
        <v>5.61</v>
      </c>
      <c r="D1809" s="104">
        <f t="shared" si="27"/>
        <v>5.6100000000000004E-2</v>
      </c>
      <c r="F1809" s="5"/>
    </row>
    <row r="1810" spans="2:6" ht="13.8" hidden="1" outlineLevel="1">
      <c r="B1810" s="187">
        <v>25140</v>
      </c>
      <c r="C1810" s="188">
        <v>5.62</v>
      </c>
      <c r="D1810" s="104">
        <f t="shared" si="27"/>
        <v>5.62E-2</v>
      </c>
      <c r="F1810" s="5"/>
    </row>
    <row r="1811" spans="2:6" ht="13.8" hidden="1" outlineLevel="1">
      <c r="B1811" s="187">
        <v>25141</v>
      </c>
      <c r="C1811" s="188">
        <v>5.63</v>
      </c>
      <c r="D1811" s="104">
        <f t="shared" si="27"/>
        <v>5.6299999999999996E-2</v>
      </c>
      <c r="F1811" s="5"/>
    </row>
    <row r="1812" spans="2:6" ht="13.8" hidden="1" outlineLevel="1">
      <c r="B1812" s="187">
        <v>25142</v>
      </c>
      <c r="C1812" s="188">
        <v>5.61</v>
      </c>
      <c r="D1812" s="104">
        <f t="shared" si="27"/>
        <v>5.6100000000000004E-2</v>
      </c>
      <c r="F1812" s="5"/>
    </row>
    <row r="1813" spans="2:6" ht="13.8" hidden="1" outlineLevel="1">
      <c r="B1813" s="187">
        <v>25143</v>
      </c>
      <c r="C1813" s="188">
        <v>5.61</v>
      </c>
      <c r="D1813" s="104">
        <f t="shared" si="27"/>
        <v>5.6100000000000004E-2</v>
      </c>
      <c r="F1813" s="5"/>
    </row>
    <row r="1814" spans="2:6" ht="13.8" hidden="1" outlineLevel="1">
      <c r="B1814" s="187">
        <v>25146</v>
      </c>
      <c r="C1814" s="188">
        <v>5.63</v>
      </c>
      <c r="D1814" s="104">
        <f t="shared" si="27"/>
        <v>5.6299999999999996E-2</v>
      </c>
      <c r="F1814" s="5"/>
    </row>
    <row r="1815" spans="2:6" ht="13.8" hidden="1" outlineLevel="1">
      <c r="B1815" s="187">
        <v>25147</v>
      </c>
      <c r="C1815" s="188" t="s">
        <v>380</v>
      </c>
      <c r="D1815" s="104">
        <f t="shared" si="27"/>
        <v>5.6299999999999996E-2</v>
      </c>
      <c r="F1815" s="5"/>
    </row>
    <row r="1816" spans="2:6" ht="13.8" hidden="1" outlineLevel="1">
      <c r="B1816" s="187">
        <v>25148</v>
      </c>
      <c r="C1816" s="188">
        <v>5.62</v>
      </c>
      <c r="D1816" s="104">
        <f t="shared" si="27"/>
        <v>5.62E-2</v>
      </c>
      <c r="F1816" s="5"/>
    </row>
    <row r="1817" spans="2:6" ht="13.8" hidden="1" outlineLevel="1">
      <c r="B1817" s="187">
        <v>25149</v>
      </c>
      <c r="C1817" s="188">
        <v>5.63</v>
      </c>
      <c r="D1817" s="104">
        <f t="shared" si="27"/>
        <v>5.6299999999999996E-2</v>
      </c>
      <c r="F1817" s="5"/>
    </row>
    <row r="1818" spans="2:6" ht="13.8" hidden="1" outlineLevel="1">
      <c r="B1818" s="187">
        <v>25150</v>
      </c>
      <c r="C1818" s="188">
        <v>5.65</v>
      </c>
      <c r="D1818" s="104">
        <f t="shared" si="27"/>
        <v>5.6500000000000002E-2</v>
      </c>
      <c r="F1818" s="5"/>
    </row>
    <row r="1819" spans="2:6" ht="13.8" hidden="1" outlineLevel="1">
      <c r="B1819" s="187">
        <v>25153</v>
      </c>
      <c r="C1819" s="188" t="s">
        <v>380</v>
      </c>
      <c r="D1819" s="104">
        <f t="shared" si="27"/>
        <v>5.6500000000000002E-2</v>
      </c>
      <c r="F1819" s="5"/>
    </row>
    <row r="1820" spans="2:6" ht="13.8" hidden="1" outlineLevel="1">
      <c r="B1820" s="187">
        <v>25154</v>
      </c>
      <c r="C1820" s="188">
        <v>5.68</v>
      </c>
      <c r="D1820" s="104">
        <f t="shared" si="27"/>
        <v>5.6799999999999996E-2</v>
      </c>
      <c r="F1820" s="5"/>
    </row>
    <row r="1821" spans="2:6" ht="13.8" hidden="1" outlineLevel="1">
      <c r="B1821" s="187">
        <v>25155</v>
      </c>
      <c r="C1821" s="188">
        <v>5.66</v>
      </c>
      <c r="D1821" s="104">
        <f t="shared" si="27"/>
        <v>5.6600000000000004E-2</v>
      </c>
      <c r="F1821" s="5"/>
    </row>
    <row r="1822" spans="2:6" ht="13.8" hidden="1" outlineLevel="1">
      <c r="B1822" s="187">
        <v>25156</v>
      </c>
      <c r="C1822" s="188">
        <v>5.66</v>
      </c>
      <c r="D1822" s="104">
        <f t="shared" ref="D1822:D1885" si="28">IF( LEN( C1822 ) = 0, #N/A, IF( C1822 = "ND", D1821, C1822 / 100 ) )</f>
        <v>5.6600000000000004E-2</v>
      </c>
      <c r="F1822" s="5"/>
    </row>
    <row r="1823" spans="2:6" ht="13.8" hidden="1" outlineLevel="1">
      <c r="B1823" s="187">
        <v>25157</v>
      </c>
      <c r="C1823" s="188">
        <v>5.68</v>
      </c>
      <c r="D1823" s="104">
        <f t="shared" si="28"/>
        <v>5.6799999999999996E-2</v>
      </c>
      <c r="F1823" s="5"/>
    </row>
    <row r="1824" spans="2:6" ht="13.8" hidden="1" outlineLevel="1">
      <c r="B1824" s="187">
        <v>25160</v>
      </c>
      <c r="C1824" s="188">
        <v>5.71</v>
      </c>
      <c r="D1824" s="104">
        <f t="shared" si="28"/>
        <v>5.7099999999999998E-2</v>
      </c>
      <c r="F1824" s="5"/>
    </row>
    <row r="1825" spans="2:6" ht="13.8" hidden="1" outlineLevel="1">
      <c r="B1825" s="187">
        <v>25161</v>
      </c>
      <c r="C1825" s="188">
        <v>5.74</v>
      </c>
      <c r="D1825" s="104">
        <f t="shared" si="28"/>
        <v>5.74E-2</v>
      </c>
      <c r="F1825" s="5"/>
    </row>
    <row r="1826" spans="2:6" ht="13.8" hidden="1" outlineLevel="1">
      <c r="B1826" s="187">
        <v>25162</v>
      </c>
      <c r="C1826" s="188">
        <v>5.74</v>
      </c>
      <c r="D1826" s="104">
        <f t="shared" si="28"/>
        <v>5.74E-2</v>
      </c>
      <c r="F1826" s="5"/>
    </row>
    <row r="1827" spans="2:6" ht="13.8" hidden="1" outlineLevel="1">
      <c r="B1827" s="187">
        <v>25163</v>
      </c>
      <c r="C1827" s="188">
        <v>5.73</v>
      </c>
      <c r="D1827" s="104">
        <f t="shared" si="28"/>
        <v>5.7300000000000004E-2</v>
      </c>
      <c r="F1827" s="5"/>
    </row>
    <row r="1828" spans="2:6" ht="13.8" hidden="1" outlineLevel="1">
      <c r="B1828" s="187">
        <v>25164</v>
      </c>
      <c r="C1828" s="188">
        <v>5.74</v>
      </c>
      <c r="D1828" s="104">
        <f t="shared" si="28"/>
        <v>5.74E-2</v>
      </c>
      <c r="F1828" s="5"/>
    </row>
    <row r="1829" spans="2:6" ht="13.8" hidden="1" outlineLevel="1">
      <c r="B1829" s="187">
        <v>25167</v>
      </c>
      <c r="C1829" s="188">
        <v>5.75</v>
      </c>
      <c r="D1829" s="104">
        <f t="shared" si="28"/>
        <v>5.7500000000000002E-2</v>
      </c>
      <c r="F1829" s="5"/>
    </row>
    <row r="1830" spans="2:6" ht="13.8" hidden="1" outlineLevel="1">
      <c r="B1830" s="187">
        <v>25168</v>
      </c>
      <c r="C1830" s="188">
        <v>5.76</v>
      </c>
      <c r="D1830" s="104">
        <f t="shared" si="28"/>
        <v>5.7599999999999998E-2</v>
      </c>
      <c r="F1830" s="5"/>
    </row>
    <row r="1831" spans="2:6" ht="13.8" hidden="1" outlineLevel="1">
      <c r="B1831" s="187">
        <v>25169</v>
      </c>
      <c r="C1831" s="188">
        <v>5.76</v>
      </c>
      <c r="D1831" s="104">
        <f t="shared" si="28"/>
        <v>5.7599999999999998E-2</v>
      </c>
      <c r="F1831" s="5"/>
    </row>
    <row r="1832" spans="2:6" ht="13.8" hidden="1" outlineLevel="1">
      <c r="B1832" s="187">
        <v>25170</v>
      </c>
      <c r="C1832" s="188" t="s">
        <v>380</v>
      </c>
      <c r="D1832" s="104">
        <f t="shared" si="28"/>
        <v>5.7599999999999998E-2</v>
      </c>
      <c r="F1832" s="5"/>
    </row>
    <row r="1833" spans="2:6" ht="13.8" hidden="1" outlineLevel="1">
      <c r="B1833" s="187">
        <v>25171</v>
      </c>
      <c r="C1833" s="188">
        <v>5.78</v>
      </c>
      <c r="D1833" s="104">
        <f t="shared" si="28"/>
        <v>5.7800000000000004E-2</v>
      </c>
      <c r="F1833" s="5"/>
    </row>
    <row r="1834" spans="2:6" ht="13.8" hidden="1" outlineLevel="1">
      <c r="B1834" s="187">
        <v>25174</v>
      </c>
      <c r="C1834" s="188">
        <v>5.89</v>
      </c>
      <c r="D1834" s="104">
        <f t="shared" si="28"/>
        <v>5.8899999999999994E-2</v>
      </c>
      <c r="F1834" s="5"/>
    </row>
    <row r="1835" spans="2:6" ht="13.8" hidden="1" outlineLevel="1">
      <c r="B1835" s="187">
        <v>25175</v>
      </c>
      <c r="C1835" s="188">
        <v>5.96</v>
      </c>
      <c r="D1835" s="104">
        <f t="shared" si="28"/>
        <v>5.96E-2</v>
      </c>
      <c r="F1835" s="5"/>
    </row>
    <row r="1836" spans="2:6" ht="13.8" hidden="1" outlineLevel="1">
      <c r="B1836" s="187">
        <v>25176</v>
      </c>
      <c r="C1836" s="188">
        <v>5.95</v>
      </c>
      <c r="D1836" s="104">
        <f t="shared" si="28"/>
        <v>5.9500000000000004E-2</v>
      </c>
      <c r="F1836" s="5"/>
    </row>
    <row r="1837" spans="2:6" ht="13.8" hidden="1" outlineLevel="1">
      <c r="B1837" s="187">
        <v>25177</v>
      </c>
      <c r="C1837" s="188">
        <v>5.93</v>
      </c>
      <c r="D1837" s="104">
        <f t="shared" si="28"/>
        <v>5.9299999999999999E-2</v>
      </c>
      <c r="F1837" s="5"/>
    </row>
    <row r="1838" spans="2:6" ht="13.8" hidden="1" outlineLevel="1">
      <c r="B1838" s="187">
        <v>25178</v>
      </c>
      <c r="C1838" s="188">
        <v>5.91</v>
      </c>
      <c r="D1838" s="104">
        <f t="shared" si="28"/>
        <v>5.91E-2</v>
      </c>
      <c r="F1838" s="5"/>
    </row>
    <row r="1839" spans="2:6" ht="13.8" hidden="1" outlineLevel="1">
      <c r="B1839" s="187">
        <v>25181</v>
      </c>
      <c r="C1839" s="188">
        <v>5.92</v>
      </c>
      <c r="D1839" s="104">
        <f t="shared" si="28"/>
        <v>5.9200000000000003E-2</v>
      </c>
      <c r="F1839" s="5"/>
    </row>
    <row r="1840" spans="2:6" ht="13.8" hidden="1" outlineLevel="1">
      <c r="B1840" s="187">
        <v>25182</v>
      </c>
      <c r="C1840" s="188">
        <v>5.93</v>
      </c>
      <c r="D1840" s="104">
        <f t="shared" si="28"/>
        <v>5.9299999999999999E-2</v>
      </c>
      <c r="F1840" s="5"/>
    </row>
    <row r="1841" spans="2:6" ht="13.8" hidden="1" outlineLevel="1">
      <c r="B1841" s="187">
        <v>25183</v>
      </c>
      <c r="C1841" s="188">
        <v>5.93</v>
      </c>
      <c r="D1841" s="104">
        <f t="shared" si="28"/>
        <v>5.9299999999999999E-2</v>
      </c>
      <c r="F1841" s="5"/>
    </row>
    <row r="1842" spans="2:6" ht="13.8" hidden="1" outlineLevel="1">
      <c r="B1842" s="187">
        <v>25184</v>
      </c>
      <c r="C1842" s="188">
        <v>5.94</v>
      </c>
      <c r="D1842" s="104">
        <f t="shared" si="28"/>
        <v>5.9400000000000001E-2</v>
      </c>
      <c r="F1842" s="5"/>
    </row>
    <row r="1843" spans="2:6" ht="13.8" hidden="1" outlineLevel="1">
      <c r="B1843" s="187">
        <v>25185</v>
      </c>
      <c r="C1843" s="188">
        <v>5.93</v>
      </c>
      <c r="D1843" s="104">
        <f t="shared" si="28"/>
        <v>5.9299999999999999E-2</v>
      </c>
      <c r="F1843" s="5"/>
    </row>
    <row r="1844" spans="2:6" ht="13.8" hidden="1" outlineLevel="1">
      <c r="B1844" s="187">
        <v>25188</v>
      </c>
      <c r="C1844" s="188">
        <v>5.96</v>
      </c>
      <c r="D1844" s="104">
        <f t="shared" si="28"/>
        <v>5.96E-2</v>
      </c>
      <c r="F1844" s="5"/>
    </row>
    <row r="1845" spans="2:6" ht="13.8" hidden="1" outlineLevel="1">
      <c r="B1845" s="187">
        <v>25189</v>
      </c>
      <c r="C1845" s="188">
        <v>5.97</v>
      </c>
      <c r="D1845" s="104">
        <f t="shared" si="28"/>
        <v>5.9699999999999996E-2</v>
      </c>
      <c r="F1845" s="5"/>
    </row>
    <row r="1846" spans="2:6" ht="13.8" hidden="1" outlineLevel="1">
      <c r="B1846" s="187">
        <v>25190</v>
      </c>
      <c r="C1846" s="188">
        <v>6</v>
      </c>
      <c r="D1846" s="104">
        <f t="shared" si="28"/>
        <v>0.06</v>
      </c>
      <c r="F1846" s="5"/>
    </row>
    <row r="1847" spans="2:6" ht="13.8" hidden="1" outlineLevel="1">
      <c r="B1847" s="187">
        <v>25191</v>
      </c>
      <c r="C1847" s="188">
        <v>6.07</v>
      </c>
      <c r="D1847" s="104">
        <f t="shared" si="28"/>
        <v>6.0700000000000004E-2</v>
      </c>
      <c r="F1847" s="5"/>
    </row>
    <row r="1848" spans="2:6" ht="13.8" hidden="1" outlineLevel="1">
      <c r="B1848" s="187">
        <v>25192</v>
      </c>
      <c r="C1848" s="188">
        <v>6.14</v>
      </c>
      <c r="D1848" s="104">
        <f t="shared" si="28"/>
        <v>6.1399999999999996E-2</v>
      </c>
      <c r="F1848" s="5"/>
    </row>
    <row r="1849" spans="2:6" ht="13.8" hidden="1" outlineLevel="1">
      <c r="B1849" s="187">
        <v>25195</v>
      </c>
      <c r="C1849" s="188">
        <v>6.23</v>
      </c>
      <c r="D1849" s="104">
        <f t="shared" si="28"/>
        <v>6.2300000000000001E-2</v>
      </c>
      <c r="F1849" s="5"/>
    </row>
    <row r="1850" spans="2:6" ht="13.8" hidden="1" outlineLevel="1">
      <c r="B1850" s="187">
        <v>25196</v>
      </c>
      <c r="C1850" s="188">
        <v>6.27</v>
      </c>
      <c r="D1850" s="104">
        <f t="shared" si="28"/>
        <v>6.2699999999999992E-2</v>
      </c>
      <c r="F1850" s="5"/>
    </row>
    <row r="1851" spans="2:6" ht="13.8" hidden="1" outlineLevel="1">
      <c r="B1851" s="187">
        <v>25197</v>
      </c>
      <c r="C1851" s="188" t="s">
        <v>380</v>
      </c>
      <c r="D1851" s="104">
        <f t="shared" si="28"/>
        <v>6.2699999999999992E-2</v>
      </c>
      <c r="F1851" s="5"/>
    </row>
    <row r="1852" spans="2:6" ht="13.8" hidden="1" outlineLevel="1">
      <c r="B1852" s="187">
        <v>25198</v>
      </c>
      <c r="C1852" s="188">
        <v>6.17</v>
      </c>
      <c r="D1852" s="104">
        <f t="shared" si="28"/>
        <v>6.1699999999999998E-2</v>
      </c>
      <c r="F1852" s="5"/>
    </row>
    <row r="1853" spans="2:6" ht="13.8" hidden="1" outlineLevel="1">
      <c r="B1853" s="187">
        <v>25199</v>
      </c>
      <c r="C1853" s="188">
        <v>6.2</v>
      </c>
      <c r="D1853" s="104">
        <f t="shared" si="28"/>
        <v>6.2E-2</v>
      </c>
      <c r="F1853" s="5"/>
    </row>
    <row r="1854" spans="2:6" ht="13.8" hidden="1" outlineLevel="1">
      <c r="B1854" s="187">
        <v>25202</v>
      </c>
      <c r="C1854" s="188">
        <v>6.21</v>
      </c>
      <c r="D1854" s="104">
        <f t="shared" si="28"/>
        <v>6.2100000000000002E-2</v>
      </c>
      <c r="F1854" s="5"/>
    </row>
    <row r="1855" spans="2:6" ht="13.8" hidden="1" outlineLevel="1">
      <c r="B1855" s="187">
        <v>25203</v>
      </c>
      <c r="C1855" s="188">
        <v>6.16</v>
      </c>
      <c r="D1855" s="104">
        <f t="shared" si="28"/>
        <v>6.1600000000000002E-2</v>
      </c>
      <c r="F1855" s="5"/>
    </row>
    <row r="1856" spans="2:6" ht="13.8" hidden="1" outlineLevel="1">
      <c r="B1856" s="187">
        <v>25204</v>
      </c>
      <c r="C1856" s="188" t="s">
        <v>380</v>
      </c>
      <c r="D1856" s="104">
        <f t="shared" si="28"/>
        <v>6.1600000000000002E-2</v>
      </c>
      <c r="F1856" s="5"/>
    </row>
    <row r="1857" spans="2:6" ht="13.8" hidden="1" outlineLevel="1">
      <c r="B1857" s="187">
        <v>25205</v>
      </c>
      <c r="C1857" s="188">
        <v>6.04</v>
      </c>
      <c r="D1857" s="104">
        <f t="shared" si="28"/>
        <v>6.0400000000000002E-2</v>
      </c>
      <c r="F1857" s="5"/>
    </row>
    <row r="1858" spans="2:6" ht="13.8" hidden="1" outlineLevel="1">
      <c r="B1858" s="187">
        <v>25206</v>
      </c>
      <c r="C1858" s="188">
        <v>6.01</v>
      </c>
      <c r="D1858" s="104">
        <f t="shared" si="28"/>
        <v>6.0100000000000001E-2</v>
      </c>
      <c r="F1858" s="5"/>
    </row>
    <row r="1859" spans="2:6" ht="13.8" hidden="1" outlineLevel="1">
      <c r="B1859" s="187">
        <v>25209</v>
      </c>
      <c r="C1859" s="188">
        <v>6.04</v>
      </c>
      <c r="D1859" s="104">
        <f t="shared" si="28"/>
        <v>6.0400000000000002E-2</v>
      </c>
      <c r="F1859" s="5"/>
    </row>
    <row r="1860" spans="2:6" ht="13.8" hidden="1" outlineLevel="1">
      <c r="B1860" s="187">
        <v>25210</v>
      </c>
      <c r="C1860" s="188">
        <v>6.14</v>
      </c>
      <c r="D1860" s="104">
        <f t="shared" si="28"/>
        <v>6.1399999999999996E-2</v>
      </c>
      <c r="F1860" s="5"/>
    </row>
    <row r="1861" spans="2:6" ht="13.8" hidden="1" outlineLevel="1">
      <c r="B1861" s="187">
        <v>25211</v>
      </c>
      <c r="C1861" s="188">
        <v>6.09</v>
      </c>
      <c r="D1861" s="104">
        <f t="shared" si="28"/>
        <v>6.0899999999999996E-2</v>
      </c>
      <c r="F1861" s="5"/>
    </row>
    <row r="1862" spans="2:6" ht="13.8" hidden="1" outlineLevel="1">
      <c r="B1862" s="187">
        <v>25212</v>
      </c>
      <c r="C1862" s="188">
        <v>6.04</v>
      </c>
      <c r="D1862" s="104">
        <f t="shared" si="28"/>
        <v>6.0400000000000002E-2</v>
      </c>
      <c r="F1862" s="5"/>
    </row>
    <row r="1863" spans="2:6" ht="13.8" hidden="1" outlineLevel="1">
      <c r="B1863" s="187">
        <v>25213</v>
      </c>
      <c r="C1863" s="188">
        <v>6.03</v>
      </c>
      <c r="D1863" s="104">
        <f t="shared" si="28"/>
        <v>6.0299999999999999E-2</v>
      </c>
      <c r="F1863" s="5"/>
    </row>
    <row r="1864" spans="2:6" ht="13.8" hidden="1" outlineLevel="1">
      <c r="B1864" s="187">
        <v>25216</v>
      </c>
      <c r="C1864" s="188">
        <v>6.04</v>
      </c>
      <c r="D1864" s="104">
        <f t="shared" si="28"/>
        <v>6.0400000000000002E-2</v>
      </c>
      <c r="F1864" s="5"/>
    </row>
    <row r="1865" spans="2:6" ht="13.8" hidden="1" outlineLevel="1">
      <c r="B1865" s="187">
        <v>25217</v>
      </c>
      <c r="C1865" s="188">
        <v>6.04</v>
      </c>
      <c r="D1865" s="104">
        <f t="shared" si="28"/>
        <v>6.0400000000000002E-2</v>
      </c>
      <c r="F1865" s="5"/>
    </row>
    <row r="1866" spans="2:6" ht="13.8" hidden="1" outlineLevel="1">
      <c r="B1866" s="187">
        <v>25218</v>
      </c>
      <c r="C1866" s="188">
        <v>6.02</v>
      </c>
      <c r="D1866" s="104">
        <f t="shared" si="28"/>
        <v>6.0199999999999997E-2</v>
      </c>
      <c r="F1866" s="5"/>
    </row>
    <row r="1867" spans="2:6" ht="13.8" hidden="1" outlineLevel="1">
      <c r="B1867" s="187">
        <v>25219</v>
      </c>
      <c r="C1867" s="188">
        <v>5.98</v>
      </c>
      <c r="D1867" s="104">
        <f t="shared" si="28"/>
        <v>5.9800000000000006E-2</v>
      </c>
      <c r="F1867" s="5"/>
    </row>
    <row r="1868" spans="2:6" ht="13.8" hidden="1" outlineLevel="1">
      <c r="B1868" s="187">
        <v>25220</v>
      </c>
      <c r="C1868" s="188">
        <v>5.97</v>
      </c>
      <c r="D1868" s="104">
        <f t="shared" si="28"/>
        <v>5.9699999999999996E-2</v>
      </c>
      <c r="F1868" s="5"/>
    </row>
    <row r="1869" spans="2:6" ht="13.8" hidden="1" outlineLevel="1">
      <c r="B1869" s="187">
        <v>25223</v>
      </c>
      <c r="C1869" s="188">
        <v>5.95</v>
      </c>
      <c r="D1869" s="104">
        <f t="shared" si="28"/>
        <v>5.9500000000000004E-2</v>
      </c>
      <c r="F1869" s="5"/>
    </row>
    <row r="1870" spans="2:6" ht="13.8" hidden="1" outlineLevel="1">
      <c r="B1870" s="187">
        <v>25224</v>
      </c>
      <c r="C1870" s="188">
        <v>5.97</v>
      </c>
      <c r="D1870" s="104">
        <f t="shared" si="28"/>
        <v>5.9699999999999996E-2</v>
      </c>
      <c r="F1870" s="5"/>
    </row>
    <row r="1871" spans="2:6" ht="13.8" hidden="1" outlineLevel="1">
      <c r="B1871" s="187">
        <v>25225</v>
      </c>
      <c r="C1871" s="188">
        <v>6.03</v>
      </c>
      <c r="D1871" s="104">
        <f t="shared" si="28"/>
        <v>6.0299999999999999E-2</v>
      </c>
      <c r="F1871" s="5"/>
    </row>
    <row r="1872" spans="2:6" ht="13.8" hidden="1" outlineLevel="1">
      <c r="B1872" s="187">
        <v>25226</v>
      </c>
      <c r="C1872" s="188">
        <v>6.02</v>
      </c>
      <c r="D1872" s="104">
        <f t="shared" si="28"/>
        <v>6.0199999999999997E-2</v>
      </c>
      <c r="F1872" s="5"/>
    </row>
    <row r="1873" spans="2:6" ht="13.8" hidden="1" outlineLevel="1">
      <c r="B1873" s="187">
        <v>25227</v>
      </c>
      <c r="C1873" s="188">
        <v>6.01</v>
      </c>
      <c r="D1873" s="104">
        <f t="shared" si="28"/>
        <v>6.0100000000000001E-2</v>
      </c>
      <c r="F1873" s="5"/>
    </row>
    <row r="1874" spans="2:6" ht="13.8" hidden="1" outlineLevel="1">
      <c r="B1874" s="187">
        <v>25230</v>
      </c>
      <c r="C1874" s="188">
        <v>6.03</v>
      </c>
      <c r="D1874" s="104">
        <f t="shared" si="28"/>
        <v>6.0299999999999999E-2</v>
      </c>
      <c r="F1874" s="5"/>
    </row>
    <row r="1875" spans="2:6" ht="13.8" hidden="1" outlineLevel="1">
      <c r="B1875" s="187">
        <v>25231</v>
      </c>
      <c r="C1875" s="188">
        <v>6.05</v>
      </c>
      <c r="D1875" s="104">
        <f t="shared" si="28"/>
        <v>6.0499999999999998E-2</v>
      </c>
      <c r="F1875" s="5"/>
    </row>
    <row r="1876" spans="2:6" ht="13.8" hidden="1" outlineLevel="1">
      <c r="B1876" s="187">
        <v>25232</v>
      </c>
      <c r="C1876" s="188">
        <v>6.09</v>
      </c>
      <c r="D1876" s="104">
        <f t="shared" si="28"/>
        <v>6.0899999999999996E-2</v>
      </c>
      <c r="F1876" s="5"/>
    </row>
    <row r="1877" spans="2:6" ht="13.8" hidden="1" outlineLevel="1">
      <c r="B1877" s="187">
        <v>25233</v>
      </c>
      <c r="C1877" s="188">
        <v>6.14</v>
      </c>
      <c r="D1877" s="104">
        <f t="shared" si="28"/>
        <v>6.1399999999999996E-2</v>
      </c>
      <c r="F1877" s="5"/>
    </row>
    <row r="1878" spans="2:6" ht="13.8" hidden="1" outlineLevel="1">
      <c r="B1878" s="187">
        <v>25234</v>
      </c>
      <c r="C1878" s="188">
        <v>6.19</v>
      </c>
      <c r="D1878" s="104">
        <f t="shared" si="28"/>
        <v>6.1900000000000004E-2</v>
      </c>
      <c r="F1878" s="5"/>
    </row>
    <row r="1879" spans="2:6" ht="13.8" hidden="1" outlineLevel="1">
      <c r="B1879" s="187">
        <v>25237</v>
      </c>
      <c r="C1879" s="188">
        <v>6.22</v>
      </c>
      <c r="D1879" s="104">
        <f t="shared" si="28"/>
        <v>6.2199999999999998E-2</v>
      </c>
      <c r="F1879" s="5"/>
    </row>
    <row r="1880" spans="2:6" ht="13.8" hidden="1" outlineLevel="1">
      <c r="B1880" s="187">
        <v>25238</v>
      </c>
      <c r="C1880" s="188">
        <v>6.2</v>
      </c>
      <c r="D1880" s="104">
        <f t="shared" si="28"/>
        <v>6.2E-2</v>
      </c>
      <c r="F1880" s="5"/>
    </row>
    <row r="1881" spans="2:6" ht="13.8" hidden="1" outlineLevel="1">
      <c r="B1881" s="187">
        <v>25239</v>
      </c>
      <c r="C1881" s="188">
        <v>6.19</v>
      </c>
      <c r="D1881" s="104">
        <f t="shared" si="28"/>
        <v>6.1900000000000004E-2</v>
      </c>
      <c r="F1881" s="5"/>
    </row>
    <row r="1882" spans="2:6" ht="13.8" hidden="1" outlineLevel="1">
      <c r="B1882" s="187">
        <v>25240</v>
      </c>
      <c r="C1882" s="188">
        <v>6.2</v>
      </c>
      <c r="D1882" s="104">
        <f t="shared" si="28"/>
        <v>6.2E-2</v>
      </c>
      <c r="F1882" s="5"/>
    </row>
    <row r="1883" spans="2:6" ht="13.8" hidden="1" outlineLevel="1">
      <c r="B1883" s="187">
        <v>25241</v>
      </c>
      <c r="C1883" s="188">
        <v>6.14</v>
      </c>
      <c r="D1883" s="104">
        <f t="shared" si="28"/>
        <v>6.1399999999999996E-2</v>
      </c>
      <c r="F1883" s="5"/>
    </row>
    <row r="1884" spans="2:6" ht="13.8" hidden="1" outlineLevel="1">
      <c r="B1884" s="187">
        <v>25244</v>
      </c>
      <c r="C1884" s="188">
        <v>6.14</v>
      </c>
      <c r="D1884" s="104">
        <f t="shared" si="28"/>
        <v>6.1399999999999996E-2</v>
      </c>
      <c r="F1884" s="5"/>
    </row>
    <row r="1885" spans="2:6" ht="13.8" hidden="1" outlineLevel="1">
      <c r="B1885" s="187">
        <v>25245</v>
      </c>
      <c r="C1885" s="188">
        <v>6.1</v>
      </c>
      <c r="D1885" s="104">
        <f t="shared" si="28"/>
        <v>6.0999999999999999E-2</v>
      </c>
      <c r="F1885" s="5"/>
    </row>
    <row r="1886" spans="2:6" ht="13.8" hidden="1" outlineLevel="1">
      <c r="B1886" s="187">
        <v>25246</v>
      </c>
      <c r="C1886" s="188" t="s">
        <v>380</v>
      </c>
      <c r="D1886" s="104">
        <f t="shared" ref="D1886:D1949" si="29">IF( LEN( C1886 ) = 0, #N/A, IF( C1886 = "ND", D1885, C1886 / 100 ) )</f>
        <v>6.0999999999999999E-2</v>
      </c>
      <c r="F1886" s="5"/>
    </row>
    <row r="1887" spans="2:6" ht="13.8" hidden="1" outlineLevel="1">
      <c r="B1887" s="187">
        <v>25247</v>
      </c>
      <c r="C1887" s="188">
        <v>6.09</v>
      </c>
      <c r="D1887" s="104">
        <f t="shared" si="29"/>
        <v>6.0899999999999996E-2</v>
      </c>
      <c r="F1887" s="5"/>
    </row>
    <row r="1888" spans="2:6" ht="13.8" hidden="1" outlineLevel="1">
      <c r="B1888" s="187">
        <v>25248</v>
      </c>
      <c r="C1888" s="188">
        <v>6.11</v>
      </c>
      <c r="D1888" s="104">
        <f t="shared" si="29"/>
        <v>6.1100000000000002E-2</v>
      </c>
      <c r="F1888" s="5"/>
    </row>
    <row r="1889" spans="2:6" ht="13.8" hidden="1" outlineLevel="1">
      <c r="B1889" s="187">
        <v>25251</v>
      </c>
      <c r="C1889" s="188">
        <v>6.14</v>
      </c>
      <c r="D1889" s="104">
        <f t="shared" si="29"/>
        <v>6.1399999999999996E-2</v>
      </c>
      <c r="F1889" s="5"/>
    </row>
    <row r="1890" spans="2:6" ht="13.8" hidden="1" outlineLevel="1">
      <c r="B1890" s="187">
        <v>25252</v>
      </c>
      <c r="C1890" s="188">
        <v>6.16</v>
      </c>
      <c r="D1890" s="104">
        <f t="shared" si="29"/>
        <v>6.1600000000000002E-2</v>
      </c>
      <c r="F1890" s="5"/>
    </row>
    <row r="1891" spans="2:6" ht="13.8" hidden="1" outlineLevel="1">
      <c r="B1891" s="187">
        <v>25253</v>
      </c>
      <c r="C1891" s="188">
        <v>6.2</v>
      </c>
      <c r="D1891" s="104">
        <f t="shared" si="29"/>
        <v>6.2E-2</v>
      </c>
      <c r="F1891" s="5"/>
    </row>
    <row r="1892" spans="2:6" ht="13.8" hidden="1" outlineLevel="1">
      <c r="B1892" s="187">
        <v>25254</v>
      </c>
      <c r="C1892" s="188">
        <v>6.23</v>
      </c>
      <c r="D1892" s="104">
        <f t="shared" si="29"/>
        <v>6.2300000000000001E-2</v>
      </c>
      <c r="F1892" s="5"/>
    </row>
    <row r="1893" spans="2:6" ht="13.8" hidden="1" outlineLevel="1">
      <c r="B1893" s="187">
        <v>25255</v>
      </c>
      <c r="C1893" s="188">
        <v>6.24</v>
      </c>
      <c r="D1893" s="104">
        <f t="shared" si="29"/>
        <v>6.2400000000000004E-2</v>
      </c>
      <c r="F1893" s="5"/>
    </row>
    <row r="1894" spans="2:6" ht="13.8" hidden="1" outlineLevel="1">
      <c r="B1894" s="187">
        <v>25258</v>
      </c>
      <c r="C1894" s="188">
        <v>6.22</v>
      </c>
      <c r="D1894" s="104">
        <f t="shared" si="29"/>
        <v>6.2199999999999998E-2</v>
      </c>
      <c r="F1894" s="5"/>
    </row>
    <row r="1895" spans="2:6" ht="13.8" hidden="1" outlineLevel="1">
      <c r="B1895" s="187">
        <v>25259</v>
      </c>
      <c r="C1895" s="188">
        <v>6.24</v>
      </c>
      <c r="D1895" s="104">
        <f t="shared" si="29"/>
        <v>6.2400000000000004E-2</v>
      </c>
      <c r="F1895" s="5"/>
    </row>
    <row r="1896" spans="2:6" ht="13.8" hidden="1" outlineLevel="1">
      <c r="B1896" s="187">
        <v>25260</v>
      </c>
      <c r="C1896" s="188">
        <v>6.24</v>
      </c>
      <c r="D1896" s="104">
        <f t="shared" si="29"/>
        <v>6.2400000000000004E-2</v>
      </c>
      <c r="F1896" s="5"/>
    </row>
    <row r="1897" spans="2:6" ht="13.8" hidden="1" outlineLevel="1">
      <c r="B1897" s="187">
        <v>25261</v>
      </c>
      <c r="C1897" s="188">
        <v>6.27</v>
      </c>
      <c r="D1897" s="104">
        <f t="shared" si="29"/>
        <v>6.2699999999999992E-2</v>
      </c>
      <c r="F1897" s="5"/>
    </row>
    <row r="1898" spans="2:6" ht="13.8" hidden="1" outlineLevel="1">
      <c r="B1898" s="187">
        <v>25262</v>
      </c>
      <c r="C1898" s="188">
        <v>6.26</v>
      </c>
      <c r="D1898" s="104">
        <f t="shared" si="29"/>
        <v>6.2600000000000003E-2</v>
      </c>
      <c r="F1898" s="5"/>
    </row>
    <row r="1899" spans="2:6" ht="13.8" hidden="1" outlineLevel="1">
      <c r="B1899" s="187">
        <v>25265</v>
      </c>
      <c r="C1899" s="188">
        <v>6.25</v>
      </c>
      <c r="D1899" s="104">
        <f t="shared" si="29"/>
        <v>6.25E-2</v>
      </c>
      <c r="F1899" s="5"/>
    </row>
    <row r="1900" spans="2:6" ht="13.8" hidden="1" outlineLevel="1">
      <c r="B1900" s="187">
        <v>25266</v>
      </c>
      <c r="C1900" s="188">
        <v>6.24</v>
      </c>
      <c r="D1900" s="104">
        <f t="shared" si="29"/>
        <v>6.2400000000000004E-2</v>
      </c>
      <c r="F1900" s="5"/>
    </row>
    <row r="1901" spans="2:6" ht="13.8" hidden="1" outlineLevel="1">
      <c r="B1901" s="187">
        <v>25267</v>
      </c>
      <c r="C1901" s="188">
        <v>6.24</v>
      </c>
      <c r="D1901" s="104">
        <f t="shared" si="29"/>
        <v>6.2400000000000004E-2</v>
      </c>
      <c r="F1901" s="5"/>
    </row>
    <row r="1902" spans="2:6" ht="13.8" hidden="1" outlineLevel="1">
      <c r="B1902" s="187">
        <v>25268</v>
      </c>
      <c r="C1902" s="188">
        <v>6.26</v>
      </c>
      <c r="D1902" s="104">
        <f t="shared" si="29"/>
        <v>6.2600000000000003E-2</v>
      </c>
      <c r="F1902" s="5"/>
    </row>
    <row r="1903" spans="2:6" ht="13.8" hidden="1" outlineLevel="1">
      <c r="B1903" s="187">
        <v>25269</v>
      </c>
      <c r="C1903" s="188">
        <v>6.27</v>
      </c>
      <c r="D1903" s="104">
        <f t="shared" si="29"/>
        <v>6.2699999999999992E-2</v>
      </c>
      <c r="F1903" s="5"/>
    </row>
    <row r="1904" spans="2:6" ht="13.8" hidden="1" outlineLevel="1">
      <c r="B1904" s="187">
        <v>25272</v>
      </c>
      <c r="C1904" s="188">
        <v>6.27</v>
      </c>
      <c r="D1904" s="104">
        <f t="shared" si="29"/>
        <v>6.2699999999999992E-2</v>
      </c>
      <c r="F1904" s="5"/>
    </row>
    <row r="1905" spans="2:6" ht="13.8" hidden="1" outlineLevel="1">
      <c r="B1905" s="187">
        <v>25273</v>
      </c>
      <c r="C1905" s="188">
        <v>6.3</v>
      </c>
      <c r="D1905" s="104">
        <f t="shared" si="29"/>
        <v>6.3E-2</v>
      </c>
      <c r="F1905" s="5"/>
    </row>
    <row r="1906" spans="2:6" ht="13.8" hidden="1" outlineLevel="1">
      <c r="B1906" s="187">
        <v>25274</v>
      </c>
      <c r="C1906" s="188">
        <v>6.31</v>
      </c>
      <c r="D1906" s="104">
        <f t="shared" si="29"/>
        <v>6.3099999999999989E-2</v>
      </c>
      <c r="F1906" s="5"/>
    </row>
    <row r="1907" spans="2:6" ht="13.8" hidden="1" outlineLevel="1">
      <c r="B1907" s="187">
        <v>25275</v>
      </c>
      <c r="C1907" s="188">
        <v>6.32</v>
      </c>
      <c r="D1907" s="104">
        <f t="shared" si="29"/>
        <v>6.3200000000000006E-2</v>
      </c>
      <c r="F1907" s="5"/>
    </row>
    <row r="1908" spans="2:6" ht="13.8" hidden="1" outlineLevel="1">
      <c r="B1908" s="187">
        <v>25276</v>
      </c>
      <c r="C1908" s="188">
        <v>6.31</v>
      </c>
      <c r="D1908" s="104">
        <f t="shared" si="29"/>
        <v>6.3099999999999989E-2</v>
      </c>
      <c r="F1908" s="5"/>
    </row>
    <row r="1909" spans="2:6" ht="13.8" hidden="1" outlineLevel="1">
      <c r="B1909" s="187">
        <v>25279</v>
      </c>
      <c r="C1909" s="188">
        <v>6.35</v>
      </c>
      <c r="D1909" s="104">
        <f t="shared" si="29"/>
        <v>6.3500000000000001E-2</v>
      </c>
      <c r="F1909" s="5"/>
    </row>
    <row r="1910" spans="2:6" ht="13.8" hidden="1" outlineLevel="1">
      <c r="B1910" s="187">
        <v>25280</v>
      </c>
      <c r="C1910" s="188">
        <v>6.35</v>
      </c>
      <c r="D1910" s="104">
        <f t="shared" si="29"/>
        <v>6.3500000000000001E-2</v>
      </c>
      <c r="F1910" s="5"/>
    </row>
    <row r="1911" spans="2:6" ht="13.8" hidden="1" outlineLevel="1">
      <c r="B1911" s="187">
        <v>25281</v>
      </c>
      <c r="C1911" s="188">
        <v>6.32</v>
      </c>
      <c r="D1911" s="104">
        <f t="shared" si="29"/>
        <v>6.3200000000000006E-2</v>
      </c>
      <c r="F1911" s="5"/>
    </row>
    <row r="1912" spans="2:6" ht="13.8" hidden="1" outlineLevel="1">
      <c r="B1912" s="187">
        <v>25282</v>
      </c>
      <c r="C1912" s="188">
        <v>6.31</v>
      </c>
      <c r="D1912" s="104">
        <f t="shared" si="29"/>
        <v>6.3099999999999989E-2</v>
      </c>
      <c r="F1912" s="5"/>
    </row>
    <row r="1913" spans="2:6" ht="13.8" hidden="1" outlineLevel="1">
      <c r="B1913" s="187">
        <v>25283</v>
      </c>
      <c r="C1913" s="188">
        <v>6.29</v>
      </c>
      <c r="D1913" s="104">
        <f t="shared" si="29"/>
        <v>6.2899999999999998E-2</v>
      </c>
      <c r="F1913" s="5"/>
    </row>
    <row r="1914" spans="2:6" ht="13.8" hidden="1" outlineLevel="1">
      <c r="B1914" s="187">
        <v>25286</v>
      </c>
      <c r="C1914" s="188">
        <v>6.28</v>
      </c>
      <c r="D1914" s="104">
        <f t="shared" si="29"/>
        <v>6.2800000000000009E-2</v>
      </c>
      <c r="F1914" s="5"/>
    </row>
    <row r="1915" spans="2:6" ht="13.8" hidden="1" outlineLevel="1">
      <c r="B1915" s="187">
        <v>25287</v>
      </c>
      <c r="C1915" s="188">
        <v>6.3</v>
      </c>
      <c r="D1915" s="104">
        <f t="shared" si="29"/>
        <v>6.3E-2</v>
      </c>
      <c r="F1915" s="5"/>
    </row>
    <row r="1916" spans="2:6" ht="13.8" hidden="1" outlineLevel="1">
      <c r="B1916" s="187">
        <v>25288</v>
      </c>
      <c r="C1916" s="188">
        <v>6.32</v>
      </c>
      <c r="D1916" s="104">
        <f t="shared" si="29"/>
        <v>6.3200000000000006E-2</v>
      </c>
      <c r="F1916" s="5"/>
    </row>
    <row r="1917" spans="2:6" ht="13.8" hidden="1" outlineLevel="1">
      <c r="B1917" s="187">
        <v>25289</v>
      </c>
      <c r="C1917" s="188">
        <v>6.33</v>
      </c>
      <c r="D1917" s="104">
        <f t="shared" si="29"/>
        <v>6.3299999999999995E-2</v>
      </c>
      <c r="F1917" s="5"/>
    </row>
    <row r="1918" spans="2:6" ht="13.8" hidden="1" outlineLevel="1">
      <c r="B1918" s="187">
        <v>25290</v>
      </c>
      <c r="C1918" s="188">
        <v>6.3</v>
      </c>
      <c r="D1918" s="104">
        <f t="shared" si="29"/>
        <v>6.3E-2</v>
      </c>
      <c r="F1918" s="5"/>
    </row>
    <row r="1919" spans="2:6" ht="13.8" hidden="1" outlineLevel="1">
      <c r="B1919" s="187">
        <v>25293</v>
      </c>
      <c r="C1919" s="188" t="s">
        <v>380</v>
      </c>
      <c r="D1919" s="104">
        <f t="shared" si="29"/>
        <v>6.3E-2</v>
      </c>
      <c r="F1919" s="5"/>
    </row>
    <row r="1920" spans="2:6" ht="13.8" hidden="1" outlineLevel="1">
      <c r="B1920" s="187">
        <v>25294</v>
      </c>
      <c r="C1920" s="188">
        <v>6.25</v>
      </c>
      <c r="D1920" s="104">
        <f t="shared" si="29"/>
        <v>6.25E-2</v>
      </c>
      <c r="F1920" s="5"/>
    </row>
    <row r="1921" spans="2:6" ht="13.8" hidden="1" outlineLevel="1">
      <c r="B1921" s="187">
        <v>25295</v>
      </c>
      <c r="C1921" s="188">
        <v>6.25</v>
      </c>
      <c r="D1921" s="104">
        <f t="shared" si="29"/>
        <v>6.25E-2</v>
      </c>
      <c r="F1921" s="5"/>
    </row>
    <row r="1922" spans="2:6" ht="13.8" hidden="1" outlineLevel="1">
      <c r="B1922" s="187">
        <v>25296</v>
      </c>
      <c r="C1922" s="188">
        <v>6.26</v>
      </c>
      <c r="D1922" s="104">
        <f t="shared" si="29"/>
        <v>6.2600000000000003E-2</v>
      </c>
      <c r="F1922" s="5"/>
    </row>
    <row r="1923" spans="2:6" ht="13.8" hidden="1" outlineLevel="1">
      <c r="B1923" s="187">
        <v>25297</v>
      </c>
      <c r="C1923" s="188" t="s">
        <v>380</v>
      </c>
      <c r="D1923" s="104">
        <f t="shared" si="29"/>
        <v>6.2600000000000003E-2</v>
      </c>
      <c r="F1923" s="5"/>
    </row>
    <row r="1924" spans="2:6" ht="13.8" hidden="1" outlineLevel="1">
      <c r="B1924" s="187">
        <v>25300</v>
      </c>
      <c r="C1924" s="188">
        <v>6.28</v>
      </c>
      <c r="D1924" s="104">
        <f t="shared" si="29"/>
        <v>6.2800000000000009E-2</v>
      </c>
      <c r="F1924" s="5"/>
    </row>
    <row r="1925" spans="2:6" ht="13.8" hidden="1" outlineLevel="1">
      <c r="B1925" s="187">
        <v>25301</v>
      </c>
      <c r="C1925" s="188">
        <v>6.25</v>
      </c>
      <c r="D1925" s="104">
        <f t="shared" si="29"/>
        <v>6.25E-2</v>
      </c>
      <c r="F1925" s="5"/>
    </row>
    <row r="1926" spans="2:6" ht="13.8" hidden="1" outlineLevel="1">
      <c r="B1926" s="187">
        <v>25302</v>
      </c>
      <c r="C1926" s="188">
        <v>6.19</v>
      </c>
      <c r="D1926" s="104">
        <f t="shared" si="29"/>
        <v>6.1900000000000004E-2</v>
      </c>
      <c r="F1926" s="5"/>
    </row>
    <row r="1927" spans="2:6" ht="13.8" hidden="1" outlineLevel="1">
      <c r="B1927" s="187">
        <v>25303</v>
      </c>
      <c r="C1927" s="188">
        <v>6.18</v>
      </c>
      <c r="D1927" s="104">
        <f t="shared" si="29"/>
        <v>6.1799999999999994E-2</v>
      </c>
      <c r="F1927" s="5"/>
    </row>
    <row r="1928" spans="2:6" ht="13.8" hidden="1" outlineLevel="1">
      <c r="B1928" s="187">
        <v>25304</v>
      </c>
      <c r="C1928" s="188">
        <v>6.15</v>
      </c>
      <c r="D1928" s="104">
        <f t="shared" si="29"/>
        <v>6.1500000000000006E-2</v>
      </c>
      <c r="F1928" s="5"/>
    </row>
    <row r="1929" spans="2:6" ht="13.8" hidden="1" outlineLevel="1">
      <c r="B1929" s="187">
        <v>25307</v>
      </c>
      <c r="C1929" s="188">
        <v>6.06</v>
      </c>
      <c r="D1929" s="104">
        <f t="shared" si="29"/>
        <v>6.0599999999999994E-2</v>
      </c>
      <c r="F1929" s="5"/>
    </row>
    <row r="1930" spans="2:6" ht="13.8" hidden="1" outlineLevel="1">
      <c r="B1930" s="187">
        <v>25308</v>
      </c>
      <c r="C1930" s="188">
        <v>6.11</v>
      </c>
      <c r="D1930" s="104">
        <f t="shared" si="29"/>
        <v>6.1100000000000002E-2</v>
      </c>
      <c r="F1930" s="5"/>
    </row>
    <row r="1931" spans="2:6" ht="13.8" hidden="1" outlineLevel="1">
      <c r="B1931" s="187">
        <v>25309</v>
      </c>
      <c r="C1931" s="188">
        <v>6.1</v>
      </c>
      <c r="D1931" s="104">
        <f t="shared" si="29"/>
        <v>6.0999999999999999E-2</v>
      </c>
      <c r="F1931" s="5"/>
    </row>
    <row r="1932" spans="2:6" ht="13.8" hidden="1" outlineLevel="1">
      <c r="B1932" s="187">
        <v>25310</v>
      </c>
      <c r="C1932" s="188">
        <v>6.13</v>
      </c>
      <c r="D1932" s="104">
        <f t="shared" si="29"/>
        <v>6.13E-2</v>
      </c>
      <c r="F1932" s="5"/>
    </row>
    <row r="1933" spans="2:6" ht="13.8" hidden="1" outlineLevel="1">
      <c r="B1933" s="187">
        <v>25311</v>
      </c>
      <c r="C1933" s="188">
        <v>6.16</v>
      </c>
      <c r="D1933" s="104">
        <f t="shared" si="29"/>
        <v>6.1600000000000002E-2</v>
      </c>
      <c r="F1933" s="5"/>
    </row>
    <row r="1934" spans="2:6" ht="13.8" hidden="1" outlineLevel="1">
      <c r="B1934" s="187">
        <v>25314</v>
      </c>
      <c r="C1934" s="188">
        <v>6.14</v>
      </c>
      <c r="D1934" s="104">
        <f t="shared" si="29"/>
        <v>6.1399999999999996E-2</v>
      </c>
      <c r="F1934" s="5"/>
    </row>
    <row r="1935" spans="2:6" ht="13.8" hidden="1" outlineLevel="1">
      <c r="B1935" s="187">
        <v>25315</v>
      </c>
      <c r="C1935" s="188">
        <v>6.12</v>
      </c>
      <c r="D1935" s="104">
        <f t="shared" si="29"/>
        <v>6.1200000000000004E-2</v>
      </c>
      <c r="F1935" s="5"/>
    </row>
    <row r="1936" spans="2:6" ht="13.8" hidden="1" outlineLevel="1">
      <c r="B1936" s="187">
        <v>25316</v>
      </c>
      <c r="C1936" s="188">
        <v>6.12</v>
      </c>
      <c r="D1936" s="104">
        <f t="shared" si="29"/>
        <v>6.1200000000000004E-2</v>
      </c>
      <c r="F1936" s="5"/>
    </row>
    <row r="1937" spans="2:6" ht="13.8" hidden="1" outlineLevel="1">
      <c r="B1937" s="187">
        <v>25317</v>
      </c>
      <c r="C1937" s="188">
        <v>6.14</v>
      </c>
      <c r="D1937" s="104">
        <f t="shared" si="29"/>
        <v>6.1399999999999996E-2</v>
      </c>
      <c r="F1937" s="5"/>
    </row>
    <row r="1938" spans="2:6" ht="13.8" hidden="1" outlineLevel="1">
      <c r="B1938" s="187">
        <v>25318</v>
      </c>
      <c r="C1938" s="188">
        <v>6.15</v>
      </c>
      <c r="D1938" s="104">
        <f t="shared" si="29"/>
        <v>6.1500000000000006E-2</v>
      </c>
      <c r="F1938" s="5"/>
    </row>
    <row r="1939" spans="2:6" ht="13.8" hidden="1" outlineLevel="1">
      <c r="B1939" s="187">
        <v>25321</v>
      </c>
      <c r="C1939" s="188">
        <v>6.19</v>
      </c>
      <c r="D1939" s="104">
        <f t="shared" si="29"/>
        <v>6.1900000000000004E-2</v>
      </c>
      <c r="F1939" s="5"/>
    </row>
    <row r="1940" spans="2:6" ht="13.8" hidden="1" outlineLevel="1">
      <c r="B1940" s="187">
        <v>25322</v>
      </c>
      <c r="C1940" s="188">
        <v>6.21</v>
      </c>
      <c r="D1940" s="104">
        <f t="shared" si="29"/>
        <v>6.2100000000000002E-2</v>
      </c>
      <c r="F1940" s="5"/>
    </row>
    <row r="1941" spans="2:6" ht="13.8" hidden="1" outlineLevel="1">
      <c r="B1941" s="187">
        <v>25323</v>
      </c>
      <c r="C1941" s="188">
        <v>6.2</v>
      </c>
      <c r="D1941" s="104">
        <f t="shared" si="29"/>
        <v>6.2E-2</v>
      </c>
      <c r="F1941" s="5"/>
    </row>
    <row r="1942" spans="2:6" ht="13.8" hidden="1" outlineLevel="1">
      <c r="B1942" s="187">
        <v>25324</v>
      </c>
      <c r="C1942" s="188">
        <v>6.25</v>
      </c>
      <c r="D1942" s="104">
        <f t="shared" si="29"/>
        <v>6.25E-2</v>
      </c>
      <c r="F1942" s="5"/>
    </row>
    <row r="1943" spans="2:6" ht="13.8" hidden="1" outlineLevel="1">
      <c r="B1943" s="187">
        <v>25325</v>
      </c>
      <c r="C1943" s="188">
        <v>6.23</v>
      </c>
      <c r="D1943" s="104">
        <f t="shared" si="29"/>
        <v>6.2300000000000001E-2</v>
      </c>
      <c r="F1943" s="5"/>
    </row>
    <row r="1944" spans="2:6" ht="13.8" hidden="1" outlineLevel="1">
      <c r="B1944" s="187">
        <v>25328</v>
      </c>
      <c r="C1944" s="188">
        <v>6.19</v>
      </c>
      <c r="D1944" s="104">
        <f t="shared" si="29"/>
        <v>6.1900000000000004E-2</v>
      </c>
      <c r="F1944" s="5"/>
    </row>
    <row r="1945" spans="2:6" ht="13.8" hidden="1" outlineLevel="1">
      <c r="B1945" s="187">
        <v>25329</v>
      </c>
      <c r="C1945" s="188">
        <v>6.22</v>
      </c>
      <c r="D1945" s="104">
        <f t="shared" si="29"/>
        <v>6.2199999999999998E-2</v>
      </c>
      <c r="F1945" s="5"/>
    </row>
    <row r="1946" spans="2:6" ht="13.8" hidden="1" outlineLevel="1">
      <c r="B1946" s="187">
        <v>25330</v>
      </c>
      <c r="C1946" s="188">
        <v>6.22</v>
      </c>
      <c r="D1946" s="104">
        <f t="shared" si="29"/>
        <v>6.2199999999999998E-2</v>
      </c>
      <c r="F1946" s="5"/>
    </row>
    <row r="1947" spans="2:6" ht="13.8" hidden="1" outlineLevel="1">
      <c r="B1947" s="187">
        <v>25331</v>
      </c>
      <c r="C1947" s="188">
        <v>6.2</v>
      </c>
      <c r="D1947" s="104">
        <f t="shared" si="29"/>
        <v>6.2E-2</v>
      </c>
      <c r="F1947" s="5"/>
    </row>
    <row r="1948" spans="2:6" ht="13.8" hidden="1" outlineLevel="1">
      <c r="B1948" s="187">
        <v>25332</v>
      </c>
      <c r="C1948" s="188">
        <v>6.23</v>
      </c>
      <c r="D1948" s="104">
        <f t="shared" si="29"/>
        <v>6.2300000000000001E-2</v>
      </c>
      <c r="F1948" s="5"/>
    </row>
    <row r="1949" spans="2:6" ht="13.8" hidden="1" outlineLevel="1">
      <c r="B1949" s="187">
        <v>25335</v>
      </c>
      <c r="C1949" s="188">
        <v>6.27</v>
      </c>
      <c r="D1949" s="104">
        <f t="shared" si="29"/>
        <v>6.2699999999999992E-2</v>
      </c>
      <c r="F1949" s="5"/>
    </row>
    <row r="1950" spans="2:6" ht="13.8" hidden="1" outlineLevel="1">
      <c r="B1950" s="187">
        <v>25336</v>
      </c>
      <c r="C1950" s="188">
        <v>6.25</v>
      </c>
      <c r="D1950" s="104">
        <f t="shared" ref="D1950:D2013" si="30">IF( LEN( C1950 ) = 0, #N/A, IF( C1950 = "ND", D1949, C1950 / 100 ) )</f>
        <v>6.25E-2</v>
      </c>
      <c r="F1950" s="5"/>
    </row>
    <row r="1951" spans="2:6" ht="13.8" hidden="1" outlineLevel="1">
      <c r="B1951" s="187">
        <v>25337</v>
      </c>
      <c r="C1951" s="188">
        <v>6.24</v>
      </c>
      <c r="D1951" s="104">
        <f t="shared" si="30"/>
        <v>6.2400000000000004E-2</v>
      </c>
      <c r="F1951" s="5"/>
    </row>
    <row r="1952" spans="2:6" ht="13.8" hidden="1" outlineLevel="1">
      <c r="B1952" s="187">
        <v>25338</v>
      </c>
      <c r="C1952" s="188">
        <v>6.26</v>
      </c>
      <c r="D1952" s="104">
        <f t="shared" si="30"/>
        <v>6.2600000000000003E-2</v>
      </c>
      <c r="F1952" s="5"/>
    </row>
    <row r="1953" spans="2:6" ht="13.8" hidden="1" outlineLevel="1">
      <c r="B1953" s="187">
        <v>25339</v>
      </c>
      <c r="C1953" s="188">
        <v>6.31</v>
      </c>
      <c r="D1953" s="104">
        <f t="shared" si="30"/>
        <v>6.3099999999999989E-2</v>
      </c>
      <c r="F1953" s="5"/>
    </row>
    <row r="1954" spans="2:6" ht="13.8" hidden="1" outlineLevel="1">
      <c r="B1954" s="187">
        <v>25342</v>
      </c>
      <c r="C1954" s="188">
        <v>6.36</v>
      </c>
      <c r="D1954" s="104">
        <f t="shared" si="30"/>
        <v>6.3600000000000004E-2</v>
      </c>
      <c r="F1954" s="5"/>
    </row>
    <row r="1955" spans="2:6" ht="13.8" hidden="1" outlineLevel="1">
      <c r="B1955" s="187">
        <v>25343</v>
      </c>
      <c r="C1955" s="188">
        <v>6.36</v>
      </c>
      <c r="D1955" s="104">
        <f t="shared" si="30"/>
        <v>6.3600000000000004E-2</v>
      </c>
      <c r="F1955" s="5"/>
    </row>
    <row r="1956" spans="2:6" ht="13.8" hidden="1" outlineLevel="1">
      <c r="B1956" s="187">
        <v>25344</v>
      </c>
      <c r="C1956" s="188">
        <v>6.36</v>
      </c>
      <c r="D1956" s="104">
        <f t="shared" si="30"/>
        <v>6.3600000000000004E-2</v>
      </c>
      <c r="F1956" s="5"/>
    </row>
    <row r="1957" spans="2:6" ht="13.8" hidden="1" outlineLevel="1">
      <c r="B1957" s="187">
        <v>25345</v>
      </c>
      <c r="C1957" s="188">
        <v>6.36</v>
      </c>
      <c r="D1957" s="104">
        <f t="shared" si="30"/>
        <v>6.3600000000000004E-2</v>
      </c>
      <c r="F1957" s="5"/>
    </row>
    <row r="1958" spans="2:6" ht="13.8" hidden="1" outlineLevel="1">
      <c r="B1958" s="187">
        <v>25346</v>
      </c>
      <c r="C1958" s="188">
        <v>6.38</v>
      </c>
      <c r="D1958" s="104">
        <f t="shared" si="30"/>
        <v>6.3799999999999996E-2</v>
      </c>
      <c r="F1958" s="5"/>
    </row>
    <row r="1959" spans="2:6" ht="13.8" hidden="1" outlineLevel="1">
      <c r="B1959" s="187">
        <v>25349</v>
      </c>
      <c r="C1959" s="188">
        <v>6.44</v>
      </c>
      <c r="D1959" s="104">
        <f t="shared" si="30"/>
        <v>6.4399999999999999E-2</v>
      </c>
      <c r="F1959" s="5"/>
    </row>
    <row r="1960" spans="2:6" ht="13.8" hidden="1" outlineLevel="1">
      <c r="B1960" s="187">
        <v>25350</v>
      </c>
      <c r="C1960" s="188">
        <v>6.54</v>
      </c>
      <c r="D1960" s="104">
        <f t="shared" si="30"/>
        <v>6.54E-2</v>
      </c>
      <c r="F1960" s="5"/>
    </row>
    <row r="1961" spans="2:6" ht="13.8" hidden="1" outlineLevel="1">
      <c r="B1961" s="187">
        <v>25351</v>
      </c>
      <c r="C1961" s="188">
        <v>6.56</v>
      </c>
      <c r="D1961" s="104">
        <f t="shared" si="30"/>
        <v>6.5599999999999992E-2</v>
      </c>
      <c r="F1961" s="5"/>
    </row>
    <row r="1962" spans="2:6" ht="13.8" hidden="1" outlineLevel="1">
      <c r="B1962" s="187">
        <v>25352</v>
      </c>
      <c r="C1962" s="188">
        <v>6.56</v>
      </c>
      <c r="D1962" s="104">
        <f t="shared" si="30"/>
        <v>6.5599999999999992E-2</v>
      </c>
      <c r="F1962" s="5"/>
    </row>
    <row r="1963" spans="2:6" ht="13.8" hidden="1" outlineLevel="1">
      <c r="B1963" s="187">
        <v>25353</v>
      </c>
      <c r="C1963" s="188" t="s">
        <v>380</v>
      </c>
      <c r="D1963" s="104">
        <f t="shared" si="30"/>
        <v>6.5599999999999992E-2</v>
      </c>
      <c r="F1963" s="5"/>
    </row>
    <row r="1964" spans="2:6" ht="13.8" hidden="1" outlineLevel="1">
      <c r="B1964" s="187">
        <v>25356</v>
      </c>
      <c r="C1964" s="188">
        <v>6.56</v>
      </c>
      <c r="D1964" s="104">
        <f t="shared" si="30"/>
        <v>6.5599999999999992E-2</v>
      </c>
      <c r="F1964" s="5"/>
    </row>
    <row r="1965" spans="2:6" ht="13.8" hidden="1" outlineLevel="1">
      <c r="B1965" s="187">
        <v>25357</v>
      </c>
      <c r="C1965" s="188">
        <v>6.55</v>
      </c>
      <c r="D1965" s="104">
        <f t="shared" si="30"/>
        <v>6.5500000000000003E-2</v>
      </c>
      <c r="F1965" s="5"/>
    </row>
    <row r="1966" spans="2:6" ht="13.8" hidden="1" outlineLevel="1">
      <c r="B1966" s="187">
        <v>25358</v>
      </c>
      <c r="C1966" s="188">
        <v>6.56</v>
      </c>
      <c r="D1966" s="104">
        <f t="shared" si="30"/>
        <v>6.5599999999999992E-2</v>
      </c>
      <c r="F1966" s="5"/>
    </row>
    <row r="1967" spans="2:6" ht="13.8" hidden="1" outlineLevel="1">
      <c r="B1967" s="187">
        <v>25359</v>
      </c>
      <c r="C1967" s="188">
        <v>6.54</v>
      </c>
      <c r="D1967" s="104">
        <f t="shared" si="30"/>
        <v>6.54E-2</v>
      </c>
      <c r="F1967" s="5"/>
    </row>
    <row r="1968" spans="2:6" ht="13.8" hidden="1" outlineLevel="1">
      <c r="B1968" s="187">
        <v>25360</v>
      </c>
      <c r="C1968" s="188">
        <v>6.52</v>
      </c>
      <c r="D1968" s="104">
        <f t="shared" si="30"/>
        <v>6.5199999999999994E-2</v>
      </c>
      <c r="F1968" s="5"/>
    </row>
    <row r="1969" spans="2:6" ht="13.8" hidden="1" outlineLevel="1">
      <c r="B1969" s="187">
        <v>25363</v>
      </c>
      <c r="C1969" s="188">
        <v>6.59</v>
      </c>
      <c r="D1969" s="104">
        <f t="shared" si="30"/>
        <v>6.59E-2</v>
      </c>
      <c r="F1969" s="5"/>
    </row>
    <row r="1970" spans="2:6" ht="13.8" hidden="1" outlineLevel="1">
      <c r="B1970" s="187">
        <v>25364</v>
      </c>
      <c r="C1970" s="188">
        <v>6.56</v>
      </c>
      <c r="D1970" s="104">
        <f t="shared" si="30"/>
        <v>6.5599999999999992E-2</v>
      </c>
      <c r="F1970" s="5"/>
    </row>
    <row r="1971" spans="2:6" ht="13.8" hidden="1" outlineLevel="1">
      <c r="B1971" s="187">
        <v>25365</v>
      </c>
      <c r="C1971" s="188">
        <v>6.56</v>
      </c>
      <c r="D1971" s="104">
        <f t="shared" si="30"/>
        <v>6.5599999999999992E-2</v>
      </c>
      <c r="F1971" s="5"/>
    </row>
    <row r="1972" spans="2:6" ht="13.8" hidden="1" outlineLevel="1">
      <c r="B1972" s="187">
        <v>25366</v>
      </c>
      <c r="C1972" s="188">
        <v>6.54</v>
      </c>
      <c r="D1972" s="104">
        <f t="shared" si="30"/>
        <v>6.54E-2</v>
      </c>
      <c r="F1972" s="5"/>
    </row>
    <row r="1973" spans="2:6" ht="13.8" hidden="1" outlineLevel="1">
      <c r="B1973" s="187">
        <v>25367</v>
      </c>
      <c r="C1973" s="188">
        <v>6.51</v>
      </c>
      <c r="D1973" s="104">
        <f t="shared" si="30"/>
        <v>6.5099999999999991E-2</v>
      </c>
      <c r="F1973" s="5"/>
    </row>
    <row r="1974" spans="2:6" ht="13.8" hidden="1" outlineLevel="1">
      <c r="B1974" s="187">
        <v>25370</v>
      </c>
      <c r="C1974" s="188">
        <v>6.49</v>
      </c>
      <c r="D1974" s="104">
        <f t="shared" si="30"/>
        <v>6.4899999999999999E-2</v>
      </c>
      <c r="F1974" s="5"/>
    </row>
    <row r="1975" spans="2:6" ht="13.8" hidden="1" outlineLevel="1">
      <c r="B1975" s="187">
        <v>25371</v>
      </c>
      <c r="C1975" s="188">
        <v>6.52</v>
      </c>
      <c r="D1975" s="104">
        <f t="shared" si="30"/>
        <v>6.5199999999999994E-2</v>
      </c>
      <c r="F1975" s="5"/>
    </row>
    <row r="1976" spans="2:6" ht="13.8" hidden="1" outlineLevel="1">
      <c r="B1976" s="187">
        <v>25372</v>
      </c>
      <c r="C1976" s="188">
        <v>6.53</v>
      </c>
      <c r="D1976" s="104">
        <f t="shared" si="30"/>
        <v>6.5299999999999997E-2</v>
      </c>
      <c r="F1976" s="5"/>
    </row>
    <row r="1977" spans="2:6" ht="13.8" hidden="1" outlineLevel="1">
      <c r="B1977" s="187">
        <v>25373</v>
      </c>
      <c r="C1977" s="188">
        <v>6.57</v>
      </c>
      <c r="D1977" s="104">
        <f t="shared" si="30"/>
        <v>6.5700000000000008E-2</v>
      </c>
      <c r="F1977" s="5"/>
    </row>
    <row r="1978" spans="2:6" ht="13.8" hidden="1" outlineLevel="1">
      <c r="B1978" s="187">
        <v>25374</v>
      </c>
      <c r="C1978" s="188">
        <v>6.59</v>
      </c>
      <c r="D1978" s="104">
        <f t="shared" si="30"/>
        <v>6.59E-2</v>
      </c>
      <c r="F1978" s="5"/>
    </row>
    <row r="1979" spans="2:6" ht="13.8" hidden="1" outlineLevel="1">
      <c r="B1979" s="187">
        <v>25377</v>
      </c>
      <c r="C1979" s="188">
        <v>6.6</v>
      </c>
      <c r="D1979" s="104">
        <f t="shared" si="30"/>
        <v>6.6000000000000003E-2</v>
      </c>
      <c r="F1979" s="5"/>
    </row>
    <row r="1980" spans="2:6" ht="13.8" hidden="1" outlineLevel="1">
      <c r="B1980" s="187">
        <v>25378</v>
      </c>
      <c r="C1980" s="188">
        <v>6.63</v>
      </c>
      <c r="D1980" s="104">
        <f t="shared" si="30"/>
        <v>6.6299999999999998E-2</v>
      </c>
      <c r="F1980" s="5"/>
    </row>
    <row r="1981" spans="2:6" ht="13.8" hidden="1" outlineLevel="1">
      <c r="B1981" s="187">
        <v>25379</v>
      </c>
      <c r="C1981" s="188">
        <v>6.63</v>
      </c>
      <c r="D1981" s="104">
        <f t="shared" si="30"/>
        <v>6.6299999999999998E-2</v>
      </c>
      <c r="F1981" s="5"/>
    </row>
    <row r="1982" spans="2:6" ht="13.8" hidden="1" outlineLevel="1">
      <c r="B1982" s="187">
        <v>25380</v>
      </c>
      <c r="C1982" s="188">
        <v>6.62</v>
      </c>
      <c r="D1982" s="104">
        <f t="shared" si="30"/>
        <v>6.6199999999999995E-2</v>
      </c>
      <c r="F1982" s="5"/>
    </row>
    <row r="1983" spans="2:6" ht="13.8" hidden="1" outlineLevel="1">
      <c r="B1983" s="187">
        <v>25381</v>
      </c>
      <c r="C1983" s="188">
        <v>6.66</v>
      </c>
      <c r="D1983" s="104">
        <f t="shared" si="30"/>
        <v>6.6600000000000006E-2</v>
      </c>
      <c r="F1983" s="5"/>
    </row>
    <row r="1984" spans="2:6" ht="13.8" hidden="1" outlineLevel="1">
      <c r="B1984" s="187">
        <v>25384</v>
      </c>
      <c r="C1984" s="188">
        <v>6.73</v>
      </c>
      <c r="D1984" s="104">
        <f t="shared" si="30"/>
        <v>6.7299999999999999E-2</v>
      </c>
      <c r="F1984" s="5"/>
    </row>
    <row r="1985" spans="2:6" ht="13.8" hidden="1" outlineLevel="1">
      <c r="B1985" s="187">
        <v>25385</v>
      </c>
      <c r="C1985" s="188">
        <v>6.75</v>
      </c>
      <c r="D1985" s="104">
        <f t="shared" si="30"/>
        <v>6.7500000000000004E-2</v>
      </c>
      <c r="F1985" s="5"/>
    </row>
    <row r="1986" spans="2:6" ht="13.8" hidden="1" outlineLevel="1">
      <c r="B1986" s="187">
        <v>25386</v>
      </c>
      <c r="C1986" s="188">
        <v>6.77</v>
      </c>
      <c r="D1986" s="104">
        <f t="shared" si="30"/>
        <v>6.7699999999999996E-2</v>
      </c>
      <c r="F1986" s="5"/>
    </row>
    <row r="1987" spans="2:6" ht="13.8" hidden="1" outlineLevel="1">
      <c r="B1987" s="187">
        <v>25387</v>
      </c>
      <c r="C1987" s="188">
        <v>6.75</v>
      </c>
      <c r="D1987" s="104">
        <f t="shared" si="30"/>
        <v>6.7500000000000004E-2</v>
      </c>
      <c r="F1987" s="5"/>
    </row>
    <row r="1988" spans="2:6" ht="13.8" hidden="1" outlineLevel="1">
      <c r="B1988" s="187">
        <v>25388</v>
      </c>
      <c r="C1988" s="188" t="s">
        <v>380</v>
      </c>
      <c r="D1988" s="104">
        <f t="shared" si="30"/>
        <v>6.7500000000000004E-2</v>
      </c>
      <c r="F1988" s="5"/>
    </row>
    <row r="1989" spans="2:6" ht="13.8" hidden="1" outlineLevel="1">
      <c r="B1989" s="187">
        <v>25391</v>
      </c>
      <c r="C1989" s="188">
        <v>6.76</v>
      </c>
      <c r="D1989" s="104">
        <f t="shared" si="30"/>
        <v>6.7599999999999993E-2</v>
      </c>
      <c r="F1989" s="5"/>
    </row>
    <row r="1990" spans="2:6" ht="13.8" hidden="1" outlineLevel="1">
      <c r="B1990" s="187">
        <v>25392</v>
      </c>
      <c r="C1990" s="188">
        <v>6.79</v>
      </c>
      <c r="D1990" s="104">
        <f t="shared" si="30"/>
        <v>6.7900000000000002E-2</v>
      </c>
      <c r="F1990" s="5"/>
    </row>
    <row r="1991" spans="2:6" ht="13.8" hidden="1" outlineLevel="1">
      <c r="B1991" s="187">
        <v>25393</v>
      </c>
      <c r="C1991" s="188">
        <v>6.82</v>
      </c>
      <c r="D1991" s="104">
        <f t="shared" si="30"/>
        <v>6.8199999999999997E-2</v>
      </c>
      <c r="F1991" s="5"/>
    </row>
    <row r="1992" spans="2:6" ht="13.8" hidden="1" outlineLevel="1">
      <c r="B1992" s="187">
        <v>25394</v>
      </c>
      <c r="C1992" s="188">
        <v>6.78</v>
      </c>
      <c r="D1992" s="104">
        <f t="shared" si="30"/>
        <v>6.7799999999999999E-2</v>
      </c>
      <c r="F1992" s="5"/>
    </row>
    <row r="1993" spans="2:6" ht="13.8" hidden="1" outlineLevel="1">
      <c r="B1993" s="187">
        <v>25395</v>
      </c>
      <c r="C1993" s="188">
        <v>6.64</v>
      </c>
      <c r="D1993" s="104">
        <f t="shared" si="30"/>
        <v>6.6400000000000001E-2</v>
      </c>
      <c r="F1993" s="5"/>
    </row>
    <row r="1994" spans="2:6" ht="13.8" hidden="1" outlineLevel="1">
      <c r="B1994" s="187">
        <v>25398</v>
      </c>
      <c r="C1994" s="188">
        <v>6.69</v>
      </c>
      <c r="D1994" s="104">
        <f t="shared" si="30"/>
        <v>6.6900000000000001E-2</v>
      </c>
      <c r="F1994" s="5"/>
    </row>
    <row r="1995" spans="2:6" ht="13.8" hidden="1" outlineLevel="1">
      <c r="B1995" s="187">
        <v>25399</v>
      </c>
      <c r="C1995" s="188">
        <v>6.72</v>
      </c>
      <c r="D1995" s="104">
        <f t="shared" si="30"/>
        <v>6.7199999999999996E-2</v>
      </c>
      <c r="F1995" s="5"/>
    </row>
    <row r="1996" spans="2:6" ht="13.8" hidden="1" outlineLevel="1">
      <c r="B1996" s="187">
        <v>25400</v>
      </c>
      <c r="C1996" s="188">
        <v>6.67</v>
      </c>
      <c r="D1996" s="104">
        <f t="shared" si="30"/>
        <v>6.6699999999999995E-2</v>
      </c>
      <c r="F1996" s="5"/>
    </row>
    <row r="1997" spans="2:6" ht="13.8" hidden="1" outlineLevel="1">
      <c r="B1997" s="187">
        <v>25401</v>
      </c>
      <c r="C1997" s="188">
        <v>6.69</v>
      </c>
      <c r="D1997" s="104">
        <f t="shared" si="30"/>
        <v>6.6900000000000001E-2</v>
      </c>
      <c r="F1997" s="5"/>
    </row>
    <row r="1998" spans="2:6" ht="13.8" hidden="1" outlineLevel="1">
      <c r="B1998" s="187">
        <v>25402</v>
      </c>
      <c r="C1998" s="188">
        <v>6.7</v>
      </c>
      <c r="D1998" s="104">
        <f t="shared" si="30"/>
        <v>6.7000000000000004E-2</v>
      </c>
      <c r="F1998" s="5"/>
    </row>
    <row r="1999" spans="2:6" ht="13.8" hidden="1" outlineLevel="1">
      <c r="B1999" s="187">
        <v>25405</v>
      </c>
      <c r="C1999" s="188" t="s">
        <v>380</v>
      </c>
      <c r="D1999" s="104">
        <f t="shared" si="30"/>
        <v>6.7000000000000004E-2</v>
      </c>
      <c r="F1999" s="5"/>
    </row>
    <row r="2000" spans="2:6" ht="13.8" hidden="1" outlineLevel="1">
      <c r="B2000" s="187">
        <v>25406</v>
      </c>
      <c r="C2000" s="188">
        <v>6.66</v>
      </c>
      <c r="D2000" s="104">
        <f t="shared" si="30"/>
        <v>6.6600000000000006E-2</v>
      </c>
      <c r="F2000" s="5"/>
    </row>
    <row r="2001" spans="2:6" ht="13.8" hidden="1" outlineLevel="1">
      <c r="B2001" s="187">
        <v>25407</v>
      </c>
      <c r="C2001" s="188">
        <v>6.68</v>
      </c>
      <c r="D2001" s="104">
        <f t="shared" si="30"/>
        <v>6.6799999999999998E-2</v>
      </c>
      <c r="F2001" s="5"/>
    </row>
    <row r="2002" spans="2:6" ht="13.8" hidden="1" outlineLevel="1">
      <c r="B2002" s="187">
        <v>25408</v>
      </c>
      <c r="C2002" s="188">
        <v>6.7</v>
      </c>
      <c r="D2002" s="104">
        <f t="shared" si="30"/>
        <v>6.7000000000000004E-2</v>
      </c>
      <c r="F2002" s="5"/>
    </row>
    <row r="2003" spans="2:6" ht="13.8" hidden="1" outlineLevel="1">
      <c r="B2003" s="187">
        <v>25409</v>
      </c>
      <c r="C2003" s="188">
        <v>6.71</v>
      </c>
      <c r="D2003" s="104">
        <f t="shared" si="30"/>
        <v>6.7099999999999993E-2</v>
      </c>
      <c r="F2003" s="5"/>
    </row>
    <row r="2004" spans="2:6" ht="13.8" hidden="1" outlineLevel="1">
      <c r="B2004" s="187">
        <v>25412</v>
      </c>
      <c r="C2004" s="188">
        <v>6.73</v>
      </c>
      <c r="D2004" s="104">
        <f t="shared" si="30"/>
        <v>6.7299999999999999E-2</v>
      </c>
      <c r="F2004" s="5"/>
    </row>
    <row r="2005" spans="2:6" ht="13.8" hidden="1" outlineLevel="1">
      <c r="B2005" s="187">
        <v>25413</v>
      </c>
      <c r="C2005" s="188">
        <v>6.72</v>
      </c>
      <c r="D2005" s="104">
        <f t="shared" si="30"/>
        <v>6.7199999999999996E-2</v>
      </c>
      <c r="F2005" s="5"/>
    </row>
    <row r="2006" spans="2:6" ht="13.8" hidden="1" outlineLevel="1">
      <c r="B2006" s="187">
        <v>25414</v>
      </c>
      <c r="C2006" s="188">
        <v>6.72</v>
      </c>
      <c r="D2006" s="104">
        <f t="shared" si="30"/>
        <v>6.7199999999999996E-2</v>
      </c>
      <c r="F2006" s="5"/>
    </row>
    <row r="2007" spans="2:6" ht="13.8" hidden="1" outlineLevel="1">
      <c r="B2007" s="187">
        <v>25415</v>
      </c>
      <c r="C2007" s="188">
        <v>6.66</v>
      </c>
      <c r="D2007" s="104">
        <f t="shared" si="30"/>
        <v>6.6600000000000006E-2</v>
      </c>
      <c r="F2007" s="5"/>
    </row>
    <row r="2008" spans="2:6" ht="13.8" hidden="1" outlineLevel="1">
      <c r="B2008" s="187">
        <v>25416</v>
      </c>
      <c r="C2008" s="188">
        <v>6.66</v>
      </c>
      <c r="D2008" s="104">
        <f t="shared" si="30"/>
        <v>6.6600000000000006E-2</v>
      </c>
      <c r="F2008" s="5"/>
    </row>
    <row r="2009" spans="2:6" ht="13.8" hidden="1" outlineLevel="1">
      <c r="B2009" s="187">
        <v>25419</v>
      </c>
      <c r="C2009" s="188">
        <v>6.63</v>
      </c>
      <c r="D2009" s="104">
        <f t="shared" si="30"/>
        <v>6.6299999999999998E-2</v>
      </c>
      <c r="F2009" s="5"/>
    </row>
    <row r="2010" spans="2:6" ht="13.8" hidden="1" outlineLevel="1">
      <c r="B2010" s="187">
        <v>25420</v>
      </c>
      <c r="C2010" s="188">
        <v>6.6</v>
      </c>
      <c r="D2010" s="104">
        <f t="shared" si="30"/>
        <v>6.6000000000000003E-2</v>
      </c>
      <c r="F2010" s="5"/>
    </row>
    <row r="2011" spans="2:6" ht="13.8" hidden="1" outlineLevel="1">
      <c r="B2011" s="187">
        <v>25421</v>
      </c>
      <c r="C2011" s="188">
        <v>6.62</v>
      </c>
      <c r="D2011" s="104">
        <f t="shared" si="30"/>
        <v>6.6199999999999995E-2</v>
      </c>
      <c r="F2011" s="5"/>
    </row>
    <row r="2012" spans="2:6" ht="13.8" hidden="1" outlineLevel="1">
      <c r="B2012" s="187">
        <v>25422</v>
      </c>
      <c r="C2012" s="188">
        <v>6.63</v>
      </c>
      <c r="D2012" s="104">
        <f t="shared" si="30"/>
        <v>6.6299999999999998E-2</v>
      </c>
      <c r="F2012" s="5"/>
    </row>
    <row r="2013" spans="2:6" ht="13.8" hidden="1" outlineLevel="1">
      <c r="B2013" s="187">
        <v>25423</v>
      </c>
      <c r="C2013" s="188">
        <v>6.64</v>
      </c>
      <c r="D2013" s="104">
        <f t="shared" si="30"/>
        <v>6.6400000000000001E-2</v>
      </c>
      <c r="F2013" s="5"/>
    </row>
    <row r="2014" spans="2:6" ht="13.8" hidden="1" outlineLevel="1">
      <c r="B2014" s="187">
        <v>25426</v>
      </c>
      <c r="C2014" s="188">
        <v>6.69</v>
      </c>
      <c r="D2014" s="104">
        <f t="shared" ref="D2014:D2077" si="31">IF( LEN( C2014 ) = 0, #N/A, IF( C2014 = "ND", D2013, C2014 / 100 ) )</f>
        <v>6.6900000000000001E-2</v>
      </c>
      <c r="F2014" s="5"/>
    </row>
    <row r="2015" spans="2:6" ht="13.8" hidden="1" outlineLevel="1">
      <c r="B2015" s="187">
        <v>25427</v>
      </c>
      <c r="C2015" s="188">
        <v>6.7</v>
      </c>
      <c r="D2015" s="104">
        <f t="shared" si="31"/>
        <v>6.7000000000000004E-2</v>
      </c>
      <c r="F2015" s="5"/>
    </row>
    <row r="2016" spans="2:6" ht="13.8" hidden="1" outlineLevel="1">
      <c r="B2016" s="187">
        <v>25428</v>
      </c>
      <c r="C2016" s="188">
        <v>6.7</v>
      </c>
      <c r="D2016" s="104">
        <f t="shared" si="31"/>
        <v>6.7000000000000004E-2</v>
      </c>
      <c r="F2016" s="5"/>
    </row>
    <row r="2017" spans="2:6" ht="13.8" hidden="1" outlineLevel="1">
      <c r="B2017" s="187">
        <v>25429</v>
      </c>
      <c r="C2017" s="188">
        <v>6.68</v>
      </c>
      <c r="D2017" s="104">
        <f t="shared" si="31"/>
        <v>6.6799999999999998E-2</v>
      </c>
      <c r="F2017" s="5"/>
    </row>
    <row r="2018" spans="2:6" ht="13.8" hidden="1" outlineLevel="1">
      <c r="B2018" s="187">
        <v>25430</v>
      </c>
      <c r="C2018" s="188">
        <v>6.68</v>
      </c>
      <c r="D2018" s="104">
        <f t="shared" si="31"/>
        <v>6.6799999999999998E-2</v>
      </c>
      <c r="F2018" s="5"/>
    </row>
    <row r="2019" spans="2:6" ht="13.8" hidden="1" outlineLevel="1">
      <c r="B2019" s="187">
        <v>25433</v>
      </c>
      <c r="C2019" s="188">
        <v>6.66</v>
      </c>
      <c r="D2019" s="104">
        <f t="shared" si="31"/>
        <v>6.6600000000000006E-2</v>
      </c>
      <c r="F2019" s="5"/>
    </row>
    <row r="2020" spans="2:6" ht="13.8" hidden="1" outlineLevel="1">
      <c r="B2020" s="187">
        <v>25434</v>
      </c>
      <c r="C2020" s="188">
        <v>6.65</v>
      </c>
      <c r="D2020" s="104">
        <f t="shared" si="31"/>
        <v>6.6500000000000004E-2</v>
      </c>
      <c r="F2020" s="5"/>
    </row>
    <row r="2021" spans="2:6" ht="13.8" hidden="1" outlineLevel="1">
      <c r="B2021" s="187">
        <v>25435</v>
      </c>
      <c r="C2021" s="188">
        <v>6.66</v>
      </c>
      <c r="D2021" s="104">
        <f t="shared" si="31"/>
        <v>6.6600000000000006E-2</v>
      </c>
      <c r="F2021" s="5"/>
    </row>
    <row r="2022" spans="2:6" ht="13.8" hidden="1" outlineLevel="1">
      <c r="B2022" s="187">
        <v>25436</v>
      </c>
      <c r="C2022" s="188">
        <v>6.68</v>
      </c>
      <c r="D2022" s="104">
        <f t="shared" si="31"/>
        <v>6.6799999999999998E-2</v>
      </c>
      <c r="F2022" s="5"/>
    </row>
    <row r="2023" spans="2:6" ht="13.8" hidden="1" outlineLevel="1">
      <c r="B2023" s="187">
        <v>25437</v>
      </c>
      <c r="C2023" s="188">
        <v>6.71</v>
      </c>
      <c r="D2023" s="104">
        <f t="shared" si="31"/>
        <v>6.7099999999999993E-2</v>
      </c>
      <c r="F2023" s="5"/>
    </row>
    <row r="2024" spans="2:6" ht="13.8" hidden="1" outlineLevel="1">
      <c r="B2024" s="187">
        <v>25440</v>
      </c>
      <c r="C2024" s="188">
        <v>6.72</v>
      </c>
      <c r="D2024" s="104">
        <f t="shared" si="31"/>
        <v>6.7199999999999996E-2</v>
      </c>
      <c r="F2024" s="5"/>
    </row>
    <row r="2025" spans="2:6" ht="13.8" hidden="1" outlineLevel="1">
      <c r="B2025" s="187">
        <v>25441</v>
      </c>
      <c r="C2025" s="188">
        <v>6.76</v>
      </c>
      <c r="D2025" s="104">
        <f t="shared" si="31"/>
        <v>6.7599999999999993E-2</v>
      </c>
      <c r="F2025" s="5"/>
    </row>
    <row r="2026" spans="2:6" ht="13.8" hidden="1" outlineLevel="1">
      <c r="B2026" s="187">
        <v>25442</v>
      </c>
      <c r="C2026" s="188">
        <v>6.79</v>
      </c>
      <c r="D2026" s="104">
        <f t="shared" si="31"/>
        <v>6.7900000000000002E-2</v>
      </c>
      <c r="F2026" s="5"/>
    </row>
    <row r="2027" spans="2:6" ht="13.8" hidden="1" outlineLevel="1">
      <c r="B2027" s="187">
        <v>25443</v>
      </c>
      <c r="C2027" s="188">
        <v>6.83</v>
      </c>
      <c r="D2027" s="104">
        <f t="shared" si="31"/>
        <v>6.83E-2</v>
      </c>
      <c r="F2027" s="5"/>
    </row>
    <row r="2028" spans="2:6" ht="13.8" hidden="1" outlineLevel="1">
      <c r="B2028" s="187">
        <v>25444</v>
      </c>
      <c r="C2028" s="188">
        <v>6.83</v>
      </c>
      <c r="D2028" s="104">
        <f t="shared" si="31"/>
        <v>6.83E-2</v>
      </c>
      <c r="F2028" s="5"/>
    </row>
    <row r="2029" spans="2:6" ht="13.8" hidden="1" outlineLevel="1">
      <c r="B2029" s="187">
        <v>25447</v>
      </c>
      <c r="C2029" s="188" t="s">
        <v>380</v>
      </c>
      <c r="D2029" s="104">
        <f t="shared" si="31"/>
        <v>6.83E-2</v>
      </c>
      <c r="F2029" s="5"/>
    </row>
    <row r="2030" spans="2:6" ht="13.8" hidden="1" outlineLevel="1">
      <c r="B2030" s="187">
        <v>25448</v>
      </c>
      <c r="C2030" s="188">
        <v>6.87</v>
      </c>
      <c r="D2030" s="104">
        <f t="shared" si="31"/>
        <v>6.8699999999999997E-2</v>
      </c>
      <c r="F2030" s="5"/>
    </row>
    <row r="2031" spans="2:6" ht="13.8" hidden="1" outlineLevel="1">
      <c r="B2031" s="187">
        <v>25449</v>
      </c>
      <c r="C2031" s="188">
        <v>6.94</v>
      </c>
      <c r="D2031" s="104">
        <f t="shared" si="31"/>
        <v>6.9400000000000003E-2</v>
      </c>
      <c r="F2031" s="5"/>
    </row>
    <row r="2032" spans="2:6" ht="13.8" hidden="1" outlineLevel="1">
      <c r="B2032" s="187">
        <v>25450</v>
      </c>
      <c r="C2032" s="188">
        <v>6.96</v>
      </c>
      <c r="D2032" s="104">
        <f t="shared" si="31"/>
        <v>6.9599999999999995E-2</v>
      </c>
      <c r="F2032" s="5"/>
    </row>
    <row r="2033" spans="2:6" ht="13.8" hidden="1" outlineLevel="1">
      <c r="B2033" s="187">
        <v>25451</v>
      </c>
      <c r="C2033" s="188">
        <v>6.99</v>
      </c>
      <c r="D2033" s="104">
        <f t="shared" si="31"/>
        <v>6.9900000000000004E-2</v>
      </c>
      <c r="F2033" s="5"/>
    </row>
    <row r="2034" spans="2:6" ht="13.8" hidden="1" outlineLevel="1">
      <c r="B2034" s="187">
        <v>25454</v>
      </c>
      <c r="C2034" s="188">
        <v>7.03</v>
      </c>
      <c r="D2034" s="104">
        <f t="shared" si="31"/>
        <v>7.0300000000000001E-2</v>
      </c>
      <c r="F2034" s="5"/>
    </row>
    <row r="2035" spans="2:6" ht="13.8" hidden="1" outlineLevel="1">
      <c r="B2035" s="187">
        <v>25455</v>
      </c>
      <c r="C2035" s="188">
        <v>7.04</v>
      </c>
      <c r="D2035" s="104">
        <f t="shared" si="31"/>
        <v>7.0400000000000004E-2</v>
      </c>
      <c r="F2035" s="5"/>
    </row>
    <row r="2036" spans="2:6" ht="13.8" hidden="1" outlineLevel="1">
      <c r="B2036" s="187">
        <v>25456</v>
      </c>
      <c r="C2036" s="188">
        <v>7.02</v>
      </c>
      <c r="D2036" s="104">
        <f t="shared" si="31"/>
        <v>7.0199999999999999E-2</v>
      </c>
      <c r="F2036" s="5"/>
    </row>
    <row r="2037" spans="2:6" ht="13.8" hidden="1" outlineLevel="1">
      <c r="B2037" s="187">
        <v>25457</v>
      </c>
      <c r="C2037" s="188">
        <v>7.05</v>
      </c>
      <c r="D2037" s="104">
        <f t="shared" si="31"/>
        <v>7.0499999999999993E-2</v>
      </c>
      <c r="F2037" s="5"/>
    </row>
    <row r="2038" spans="2:6" ht="13.8" hidden="1" outlineLevel="1">
      <c r="B2038" s="187">
        <v>25458</v>
      </c>
      <c r="C2038" s="188">
        <v>7.08</v>
      </c>
      <c r="D2038" s="104">
        <f t="shared" si="31"/>
        <v>7.0800000000000002E-2</v>
      </c>
      <c r="F2038" s="5"/>
    </row>
    <row r="2039" spans="2:6" ht="13.8" hidden="1" outlineLevel="1">
      <c r="B2039" s="187">
        <v>25461</v>
      </c>
      <c r="C2039" s="188">
        <v>7.09</v>
      </c>
      <c r="D2039" s="104">
        <f t="shared" si="31"/>
        <v>7.0900000000000005E-2</v>
      </c>
      <c r="F2039" s="5"/>
    </row>
    <row r="2040" spans="2:6" ht="13.8" hidden="1" outlineLevel="1">
      <c r="B2040" s="187">
        <v>25462</v>
      </c>
      <c r="C2040" s="188">
        <v>7.14</v>
      </c>
      <c r="D2040" s="104">
        <f t="shared" si="31"/>
        <v>7.1399999999999991E-2</v>
      </c>
      <c r="F2040" s="5"/>
    </row>
    <row r="2041" spans="2:6" ht="13.8" hidden="1" outlineLevel="1">
      <c r="B2041" s="187">
        <v>25463</v>
      </c>
      <c r="C2041" s="188">
        <v>7.14</v>
      </c>
      <c r="D2041" s="104">
        <f t="shared" si="31"/>
        <v>7.1399999999999991E-2</v>
      </c>
      <c r="F2041" s="5"/>
    </row>
    <row r="2042" spans="2:6" ht="13.8" hidden="1" outlineLevel="1">
      <c r="B2042" s="187">
        <v>25464</v>
      </c>
      <c r="C2042" s="188">
        <v>7.27</v>
      </c>
      <c r="D2042" s="104">
        <f t="shared" si="31"/>
        <v>7.2700000000000001E-2</v>
      </c>
      <c r="F2042" s="5"/>
    </row>
    <row r="2043" spans="2:6" ht="13.8" hidden="1" outlineLevel="1">
      <c r="B2043" s="187">
        <v>25465</v>
      </c>
      <c r="C2043" s="188">
        <v>7.28</v>
      </c>
      <c r="D2043" s="104">
        <f t="shared" si="31"/>
        <v>7.2800000000000004E-2</v>
      </c>
      <c r="F2043" s="5"/>
    </row>
    <row r="2044" spans="2:6" ht="13.8" hidden="1" outlineLevel="1">
      <c r="B2044" s="187">
        <v>25468</v>
      </c>
      <c r="C2044" s="188">
        <v>7.26</v>
      </c>
      <c r="D2044" s="104">
        <f t="shared" si="31"/>
        <v>7.2599999999999998E-2</v>
      </c>
      <c r="F2044" s="5"/>
    </row>
    <row r="2045" spans="2:6" ht="13.8" hidden="1" outlineLevel="1">
      <c r="B2045" s="187">
        <v>25469</v>
      </c>
      <c r="C2045" s="188">
        <v>7.26</v>
      </c>
      <c r="D2045" s="104">
        <f t="shared" si="31"/>
        <v>7.2599999999999998E-2</v>
      </c>
      <c r="F2045" s="5"/>
    </row>
    <row r="2046" spans="2:6" ht="13.8" hidden="1" outlineLevel="1">
      <c r="B2046" s="187">
        <v>25470</v>
      </c>
      <c r="C2046" s="188">
        <v>7.27</v>
      </c>
      <c r="D2046" s="104">
        <f t="shared" si="31"/>
        <v>7.2700000000000001E-2</v>
      </c>
      <c r="F2046" s="5"/>
    </row>
    <row r="2047" spans="2:6" ht="13.8" hidden="1" outlineLevel="1">
      <c r="B2047" s="187">
        <v>25471</v>
      </c>
      <c r="C2047" s="188">
        <v>7.3</v>
      </c>
      <c r="D2047" s="104">
        <f t="shared" si="31"/>
        <v>7.2999999999999995E-2</v>
      </c>
      <c r="F2047" s="5"/>
    </row>
    <row r="2048" spans="2:6" ht="13.8" hidden="1" outlineLevel="1">
      <c r="B2048" s="187">
        <v>25472</v>
      </c>
      <c r="C2048" s="188">
        <v>7.4</v>
      </c>
      <c r="D2048" s="104">
        <f t="shared" si="31"/>
        <v>7.400000000000001E-2</v>
      </c>
      <c r="F2048" s="5"/>
    </row>
    <row r="2049" spans="2:6" ht="13.8" hidden="1" outlineLevel="1">
      <c r="B2049" s="187">
        <v>25475</v>
      </c>
      <c r="C2049" s="188">
        <v>7.45</v>
      </c>
      <c r="D2049" s="104">
        <f t="shared" si="31"/>
        <v>7.4499999999999997E-2</v>
      </c>
      <c r="F2049" s="5"/>
    </row>
    <row r="2050" spans="2:6" ht="13.8" hidden="1" outlineLevel="1">
      <c r="B2050" s="187">
        <v>25476</v>
      </c>
      <c r="C2050" s="188">
        <v>7.51</v>
      </c>
      <c r="D2050" s="104">
        <f t="shared" si="31"/>
        <v>7.51E-2</v>
      </c>
      <c r="F2050" s="5"/>
    </row>
    <row r="2051" spans="2:6" ht="13.8" hidden="1" outlineLevel="1">
      <c r="B2051" s="187">
        <v>25477</v>
      </c>
      <c r="C2051" s="188">
        <v>7.52</v>
      </c>
      <c r="D2051" s="104">
        <f t="shared" si="31"/>
        <v>7.5199999999999989E-2</v>
      </c>
      <c r="F2051" s="5"/>
    </row>
    <row r="2052" spans="2:6" ht="13.8" hidden="1" outlineLevel="1">
      <c r="B2052" s="187">
        <v>25478</v>
      </c>
      <c r="C2052" s="188">
        <v>7.45</v>
      </c>
      <c r="D2052" s="104">
        <f t="shared" si="31"/>
        <v>7.4499999999999997E-2</v>
      </c>
      <c r="F2052" s="5"/>
    </row>
    <row r="2053" spans="2:6" ht="13.8" hidden="1" outlineLevel="1">
      <c r="B2053" s="187">
        <v>25479</v>
      </c>
      <c r="C2053" s="188">
        <v>7.38</v>
      </c>
      <c r="D2053" s="104">
        <f t="shared" si="31"/>
        <v>7.3800000000000004E-2</v>
      </c>
      <c r="F2053" s="5"/>
    </row>
    <row r="2054" spans="2:6" ht="13.8" hidden="1" outlineLevel="1">
      <c r="B2054" s="187">
        <v>25482</v>
      </c>
      <c r="C2054" s="188">
        <v>7.35</v>
      </c>
      <c r="D2054" s="104">
        <f t="shared" si="31"/>
        <v>7.3499999999999996E-2</v>
      </c>
      <c r="F2054" s="5"/>
    </row>
    <row r="2055" spans="2:6" ht="13.8" hidden="1" outlineLevel="1">
      <c r="B2055" s="187">
        <v>25483</v>
      </c>
      <c r="C2055" s="188">
        <v>7.31</v>
      </c>
      <c r="D2055" s="104">
        <f t="shared" si="31"/>
        <v>7.3099999999999998E-2</v>
      </c>
      <c r="F2055" s="5"/>
    </row>
    <row r="2056" spans="2:6" ht="13.8" hidden="1" outlineLevel="1">
      <c r="B2056" s="187">
        <v>25484</v>
      </c>
      <c r="C2056" s="188">
        <v>7.29</v>
      </c>
      <c r="D2056" s="104">
        <f t="shared" si="31"/>
        <v>7.2900000000000006E-2</v>
      </c>
      <c r="F2056" s="5"/>
    </row>
    <row r="2057" spans="2:6" ht="13.8" hidden="1" outlineLevel="1">
      <c r="B2057" s="187">
        <v>25485</v>
      </c>
      <c r="C2057" s="188">
        <v>7.3</v>
      </c>
      <c r="D2057" s="104">
        <f t="shared" si="31"/>
        <v>7.2999999999999995E-2</v>
      </c>
      <c r="F2057" s="5"/>
    </row>
    <row r="2058" spans="2:6" ht="13.8" hidden="1" outlineLevel="1">
      <c r="B2058" s="187">
        <v>25486</v>
      </c>
      <c r="C2058" s="188">
        <v>7.22</v>
      </c>
      <c r="D2058" s="104">
        <f t="shared" si="31"/>
        <v>7.22E-2</v>
      </c>
      <c r="F2058" s="5"/>
    </row>
    <row r="2059" spans="2:6" ht="13.8" hidden="1" outlineLevel="1">
      <c r="B2059" s="187">
        <v>25489</v>
      </c>
      <c r="C2059" s="188" t="s">
        <v>380</v>
      </c>
      <c r="D2059" s="104">
        <f t="shared" si="31"/>
        <v>7.22E-2</v>
      </c>
      <c r="F2059" s="5"/>
    </row>
    <row r="2060" spans="2:6" ht="13.8" hidden="1" outlineLevel="1">
      <c r="B2060" s="187">
        <v>25490</v>
      </c>
      <c r="C2060" s="188">
        <v>7.1</v>
      </c>
      <c r="D2060" s="104">
        <f t="shared" si="31"/>
        <v>7.0999999999999994E-2</v>
      </c>
      <c r="F2060" s="5"/>
    </row>
    <row r="2061" spans="2:6" ht="13.8" hidden="1" outlineLevel="1">
      <c r="B2061" s="187">
        <v>25491</v>
      </c>
      <c r="C2061" s="188">
        <v>7.12</v>
      </c>
      <c r="D2061" s="104">
        <f t="shared" si="31"/>
        <v>7.1199999999999999E-2</v>
      </c>
      <c r="F2061" s="5"/>
    </row>
    <row r="2062" spans="2:6" ht="13.8" hidden="1" outlineLevel="1">
      <c r="B2062" s="187">
        <v>25492</v>
      </c>
      <c r="C2062" s="188">
        <v>7.04</v>
      </c>
      <c r="D2062" s="104">
        <f t="shared" si="31"/>
        <v>7.0400000000000004E-2</v>
      </c>
      <c r="F2062" s="5"/>
    </row>
    <row r="2063" spans="2:6" ht="13.8" hidden="1" outlineLevel="1">
      <c r="B2063" s="187">
        <v>25493</v>
      </c>
      <c r="C2063" s="188">
        <v>6.99</v>
      </c>
      <c r="D2063" s="104">
        <f t="shared" si="31"/>
        <v>6.9900000000000004E-2</v>
      </c>
      <c r="F2063" s="5"/>
    </row>
    <row r="2064" spans="2:6" ht="13.8" hidden="1" outlineLevel="1">
      <c r="B2064" s="187">
        <v>25496</v>
      </c>
      <c r="C2064" s="188">
        <v>6.83</v>
      </c>
      <c r="D2064" s="104">
        <f t="shared" si="31"/>
        <v>6.83E-2</v>
      </c>
      <c r="F2064" s="5"/>
    </row>
    <row r="2065" spans="2:6" ht="13.8" hidden="1" outlineLevel="1">
      <c r="B2065" s="187">
        <v>25497</v>
      </c>
      <c r="C2065" s="188">
        <v>6.77</v>
      </c>
      <c r="D2065" s="104">
        <f t="shared" si="31"/>
        <v>6.7699999999999996E-2</v>
      </c>
      <c r="F2065" s="5"/>
    </row>
    <row r="2066" spans="2:6" ht="13.8" hidden="1" outlineLevel="1">
      <c r="B2066" s="187">
        <v>25498</v>
      </c>
      <c r="C2066" s="188">
        <v>6.8</v>
      </c>
      <c r="D2066" s="104">
        <f t="shared" si="31"/>
        <v>6.8000000000000005E-2</v>
      </c>
      <c r="F2066" s="5"/>
    </row>
    <row r="2067" spans="2:6" ht="13.8" hidden="1" outlineLevel="1">
      <c r="B2067" s="187">
        <v>25499</v>
      </c>
      <c r="C2067" s="188">
        <v>6.9</v>
      </c>
      <c r="D2067" s="104">
        <f t="shared" si="31"/>
        <v>6.9000000000000006E-2</v>
      </c>
      <c r="F2067" s="5"/>
    </row>
    <row r="2068" spans="2:6" ht="13.8" hidden="1" outlineLevel="1">
      <c r="B2068" s="187">
        <v>25500</v>
      </c>
      <c r="C2068" s="188">
        <v>6.9</v>
      </c>
      <c r="D2068" s="104">
        <f t="shared" si="31"/>
        <v>6.9000000000000006E-2</v>
      </c>
      <c r="F2068" s="5"/>
    </row>
    <row r="2069" spans="2:6" ht="13.8" hidden="1" outlineLevel="1">
      <c r="B2069" s="187">
        <v>25503</v>
      </c>
      <c r="C2069" s="188">
        <v>6.93</v>
      </c>
      <c r="D2069" s="104">
        <f t="shared" si="31"/>
        <v>6.93E-2</v>
      </c>
      <c r="F2069" s="5"/>
    </row>
    <row r="2070" spans="2:6" ht="13.8" hidden="1" outlineLevel="1">
      <c r="B2070" s="187">
        <v>25504</v>
      </c>
      <c r="C2070" s="188">
        <v>7</v>
      </c>
      <c r="D2070" s="104">
        <f t="shared" si="31"/>
        <v>7.0000000000000007E-2</v>
      </c>
      <c r="F2070" s="5"/>
    </row>
    <row r="2071" spans="2:6" ht="13.8" hidden="1" outlineLevel="1">
      <c r="B2071" s="187">
        <v>25505</v>
      </c>
      <c r="C2071" s="188">
        <v>7</v>
      </c>
      <c r="D2071" s="104">
        <f t="shared" si="31"/>
        <v>7.0000000000000007E-2</v>
      </c>
      <c r="F2071" s="5"/>
    </row>
    <row r="2072" spans="2:6" ht="13.8" hidden="1" outlineLevel="1">
      <c r="B2072" s="187">
        <v>25506</v>
      </c>
      <c r="C2072" s="188">
        <v>6.96</v>
      </c>
      <c r="D2072" s="104">
        <f t="shared" si="31"/>
        <v>6.9599999999999995E-2</v>
      </c>
      <c r="F2072" s="5"/>
    </row>
    <row r="2073" spans="2:6" ht="13.8" hidden="1" outlineLevel="1">
      <c r="B2073" s="187">
        <v>25507</v>
      </c>
      <c r="C2073" s="188">
        <v>6.94</v>
      </c>
      <c r="D2073" s="104">
        <f t="shared" si="31"/>
        <v>6.9400000000000003E-2</v>
      </c>
      <c r="F2073" s="5"/>
    </row>
    <row r="2074" spans="2:6" ht="13.8" hidden="1" outlineLevel="1">
      <c r="B2074" s="187">
        <v>25510</v>
      </c>
      <c r="C2074" s="188">
        <v>6.9</v>
      </c>
      <c r="D2074" s="104">
        <f t="shared" si="31"/>
        <v>6.9000000000000006E-2</v>
      </c>
      <c r="F2074" s="5"/>
    </row>
    <row r="2075" spans="2:6" ht="13.8" hidden="1" outlineLevel="1">
      <c r="B2075" s="187">
        <v>25511</v>
      </c>
      <c r="C2075" s="188" t="s">
        <v>380</v>
      </c>
      <c r="D2075" s="104">
        <f t="shared" si="31"/>
        <v>6.9000000000000006E-2</v>
      </c>
      <c r="F2075" s="5"/>
    </row>
    <row r="2076" spans="2:6" ht="13.8" hidden="1" outlineLevel="1">
      <c r="B2076" s="187">
        <v>25512</v>
      </c>
      <c r="C2076" s="188">
        <v>6.97</v>
      </c>
      <c r="D2076" s="104">
        <f t="shared" si="31"/>
        <v>6.9699999999999998E-2</v>
      </c>
      <c r="F2076" s="5"/>
    </row>
    <row r="2077" spans="2:6" ht="13.8" hidden="1" outlineLevel="1">
      <c r="B2077" s="187">
        <v>25513</v>
      </c>
      <c r="C2077" s="188">
        <v>7.01</v>
      </c>
      <c r="D2077" s="104">
        <f t="shared" si="31"/>
        <v>7.0099999999999996E-2</v>
      </c>
      <c r="F2077" s="5"/>
    </row>
    <row r="2078" spans="2:6" ht="13.8" hidden="1" outlineLevel="1">
      <c r="B2078" s="187">
        <v>25514</v>
      </c>
      <c r="C2078" s="188">
        <v>6.99</v>
      </c>
      <c r="D2078" s="104">
        <f t="shared" ref="D2078:D2141" si="32">IF( LEN( C2078 ) = 0, #N/A, IF( C2078 = "ND", D2077, C2078 / 100 ) )</f>
        <v>6.9900000000000004E-2</v>
      </c>
      <c r="F2078" s="5"/>
    </row>
    <row r="2079" spans="2:6" ht="13.8" hidden="1" outlineLevel="1">
      <c r="B2079" s="187">
        <v>25517</v>
      </c>
      <c r="C2079" s="188">
        <v>6.99</v>
      </c>
      <c r="D2079" s="104">
        <f t="shared" si="32"/>
        <v>6.9900000000000004E-2</v>
      </c>
      <c r="F2079" s="5"/>
    </row>
    <row r="2080" spans="2:6" ht="13.8" hidden="1" outlineLevel="1">
      <c r="B2080" s="187">
        <v>25518</v>
      </c>
      <c r="C2080" s="188" t="s">
        <v>380</v>
      </c>
      <c r="D2080" s="104">
        <f t="shared" si="32"/>
        <v>6.9900000000000004E-2</v>
      </c>
      <c r="F2080" s="5"/>
    </row>
    <row r="2081" spans="2:6" ht="13.8" hidden="1" outlineLevel="1">
      <c r="B2081" s="187">
        <v>25519</v>
      </c>
      <c r="C2081" s="188">
        <v>7.06</v>
      </c>
      <c r="D2081" s="104">
        <f t="shared" si="32"/>
        <v>7.0599999999999996E-2</v>
      </c>
      <c r="F2081" s="5"/>
    </row>
    <row r="2082" spans="2:6" ht="13.8" hidden="1" outlineLevel="1">
      <c r="B2082" s="187">
        <v>25520</v>
      </c>
      <c r="C2082" s="188">
        <v>7.12</v>
      </c>
      <c r="D2082" s="104">
        <f t="shared" si="32"/>
        <v>7.1199999999999999E-2</v>
      </c>
      <c r="F2082" s="5"/>
    </row>
    <row r="2083" spans="2:6" ht="13.8" hidden="1" outlineLevel="1">
      <c r="B2083" s="187">
        <v>25521</v>
      </c>
      <c r="C2083" s="188">
        <v>7.08</v>
      </c>
      <c r="D2083" s="104">
        <f t="shared" si="32"/>
        <v>7.0800000000000002E-2</v>
      </c>
      <c r="F2083" s="5"/>
    </row>
    <row r="2084" spans="2:6" ht="13.8" hidden="1" outlineLevel="1">
      <c r="B2084" s="187">
        <v>25524</v>
      </c>
      <c r="C2084" s="188">
        <v>7.13</v>
      </c>
      <c r="D2084" s="104">
        <f t="shared" si="32"/>
        <v>7.1300000000000002E-2</v>
      </c>
      <c r="F2084" s="5"/>
    </row>
    <row r="2085" spans="2:6" ht="13.8" hidden="1" outlineLevel="1">
      <c r="B2085" s="187">
        <v>25525</v>
      </c>
      <c r="C2085" s="188">
        <v>7.22</v>
      </c>
      <c r="D2085" s="104">
        <f t="shared" si="32"/>
        <v>7.22E-2</v>
      </c>
      <c r="F2085" s="5"/>
    </row>
    <row r="2086" spans="2:6" ht="13.8" hidden="1" outlineLevel="1">
      <c r="B2086" s="187">
        <v>25526</v>
      </c>
      <c r="C2086" s="188">
        <v>7.25</v>
      </c>
      <c r="D2086" s="104">
        <f t="shared" si="32"/>
        <v>7.2499999999999995E-2</v>
      </c>
      <c r="F2086" s="5"/>
    </row>
    <row r="2087" spans="2:6" ht="13.8" hidden="1" outlineLevel="1">
      <c r="B2087" s="187">
        <v>25527</v>
      </c>
      <c r="C2087" s="188">
        <v>7.31</v>
      </c>
      <c r="D2087" s="104">
        <f t="shared" si="32"/>
        <v>7.3099999999999998E-2</v>
      </c>
      <c r="F2087" s="5"/>
    </row>
    <row r="2088" spans="2:6" ht="13.8" hidden="1" outlineLevel="1">
      <c r="B2088" s="187">
        <v>25528</v>
      </c>
      <c r="C2088" s="188">
        <v>7.28</v>
      </c>
      <c r="D2088" s="104">
        <f t="shared" si="32"/>
        <v>7.2800000000000004E-2</v>
      </c>
      <c r="F2088" s="5"/>
    </row>
    <row r="2089" spans="2:6" ht="13.8" hidden="1" outlineLevel="1">
      <c r="B2089" s="187">
        <v>25531</v>
      </c>
      <c r="C2089" s="188">
        <v>7.27</v>
      </c>
      <c r="D2089" s="104">
        <f t="shared" si="32"/>
        <v>7.2700000000000001E-2</v>
      </c>
      <c r="F2089" s="5"/>
    </row>
    <row r="2090" spans="2:6" ht="13.8" hidden="1" outlineLevel="1">
      <c r="B2090" s="187">
        <v>25532</v>
      </c>
      <c r="C2090" s="188">
        <v>7.28</v>
      </c>
      <c r="D2090" s="104">
        <f t="shared" si="32"/>
        <v>7.2800000000000004E-2</v>
      </c>
      <c r="F2090" s="5"/>
    </row>
    <row r="2091" spans="2:6" ht="13.8" hidden="1" outlineLevel="1">
      <c r="B2091" s="187">
        <v>25533</v>
      </c>
      <c r="C2091" s="188">
        <v>7.3</v>
      </c>
      <c r="D2091" s="104">
        <f t="shared" si="32"/>
        <v>7.2999999999999995E-2</v>
      </c>
      <c r="F2091" s="5"/>
    </row>
    <row r="2092" spans="2:6" ht="13.8" hidden="1" outlineLevel="1">
      <c r="B2092" s="187">
        <v>25534</v>
      </c>
      <c r="C2092" s="188" t="s">
        <v>380</v>
      </c>
      <c r="D2092" s="104">
        <f t="shared" si="32"/>
        <v>7.2999999999999995E-2</v>
      </c>
      <c r="F2092" s="5"/>
    </row>
    <row r="2093" spans="2:6" ht="13.8" hidden="1" outlineLevel="1">
      <c r="B2093" s="187">
        <v>25535</v>
      </c>
      <c r="C2093" s="188">
        <v>7.29</v>
      </c>
      <c r="D2093" s="104">
        <f t="shared" si="32"/>
        <v>7.2900000000000006E-2</v>
      </c>
      <c r="F2093" s="5"/>
    </row>
    <row r="2094" spans="2:6" ht="13.8" hidden="1" outlineLevel="1">
      <c r="B2094" s="187">
        <v>25538</v>
      </c>
      <c r="C2094" s="188">
        <v>7.29</v>
      </c>
      <c r="D2094" s="104">
        <f t="shared" si="32"/>
        <v>7.2900000000000006E-2</v>
      </c>
      <c r="F2094" s="5"/>
    </row>
    <row r="2095" spans="2:6" ht="13.8" hidden="1" outlineLevel="1">
      <c r="B2095" s="187">
        <v>25539</v>
      </c>
      <c r="C2095" s="188">
        <v>7.35</v>
      </c>
      <c r="D2095" s="104">
        <f t="shared" si="32"/>
        <v>7.3499999999999996E-2</v>
      </c>
      <c r="F2095" s="5"/>
    </row>
    <row r="2096" spans="2:6" ht="13.8" hidden="1" outlineLevel="1">
      <c r="B2096" s="187">
        <v>25540</v>
      </c>
      <c r="C2096" s="188">
        <v>7.39</v>
      </c>
      <c r="D2096" s="104">
        <f t="shared" si="32"/>
        <v>7.3899999999999993E-2</v>
      </c>
      <c r="F2096" s="5"/>
    </row>
    <row r="2097" spans="2:6" ht="13.8" hidden="1" outlineLevel="1">
      <c r="B2097" s="187">
        <v>25541</v>
      </c>
      <c r="C2097" s="188">
        <v>7.35</v>
      </c>
      <c r="D2097" s="104">
        <f t="shared" si="32"/>
        <v>7.3499999999999996E-2</v>
      </c>
      <c r="F2097" s="5"/>
    </row>
    <row r="2098" spans="2:6" ht="13.8" hidden="1" outlineLevel="1">
      <c r="B2098" s="187">
        <v>25542</v>
      </c>
      <c r="C2098" s="188">
        <v>7.35</v>
      </c>
      <c r="D2098" s="104">
        <f t="shared" si="32"/>
        <v>7.3499999999999996E-2</v>
      </c>
      <c r="F2098" s="5"/>
    </row>
    <row r="2099" spans="2:6" ht="13.8" hidden="1" outlineLevel="1">
      <c r="B2099" s="187">
        <v>25545</v>
      </c>
      <c r="C2099" s="188">
        <v>7.4</v>
      </c>
      <c r="D2099" s="104">
        <f t="shared" si="32"/>
        <v>7.400000000000001E-2</v>
      </c>
      <c r="F2099" s="5"/>
    </row>
    <row r="2100" spans="2:6" ht="13.8" hidden="1" outlineLevel="1">
      <c r="B2100" s="187">
        <v>25546</v>
      </c>
      <c r="C2100" s="188">
        <v>7.5</v>
      </c>
      <c r="D2100" s="104">
        <f t="shared" si="32"/>
        <v>7.4999999999999997E-2</v>
      </c>
      <c r="F2100" s="5"/>
    </row>
    <row r="2101" spans="2:6" ht="13.8" hidden="1" outlineLevel="1">
      <c r="B2101" s="187">
        <v>25547</v>
      </c>
      <c r="C2101" s="188">
        <v>7.59</v>
      </c>
      <c r="D2101" s="104">
        <f t="shared" si="32"/>
        <v>7.5899999999999995E-2</v>
      </c>
      <c r="F2101" s="5"/>
    </row>
    <row r="2102" spans="2:6" ht="13.8" hidden="1" outlineLevel="1">
      <c r="B2102" s="187">
        <v>25548</v>
      </c>
      <c r="C2102" s="188">
        <v>7.62</v>
      </c>
      <c r="D2102" s="104">
        <f t="shared" si="32"/>
        <v>7.6200000000000004E-2</v>
      </c>
      <c r="F2102" s="5"/>
    </row>
    <row r="2103" spans="2:6" ht="13.8" hidden="1" outlineLevel="1">
      <c r="B2103" s="187">
        <v>25549</v>
      </c>
      <c r="C2103" s="188">
        <v>7.6</v>
      </c>
      <c r="D2103" s="104">
        <f t="shared" si="32"/>
        <v>7.5999999999999998E-2</v>
      </c>
      <c r="F2103" s="5"/>
    </row>
    <row r="2104" spans="2:6" ht="13.8" hidden="1" outlineLevel="1">
      <c r="B2104" s="187">
        <v>25552</v>
      </c>
      <c r="C2104" s="188">
        <v>7.63</v>
      </c>
      <c r="D2104" s="104">
        <f t="shared" si="32"/>
        <v>7.6299999999999993E-2</v>
      </c>
      <c r="F2104" s="5"/>
    </row>
    <row r="2105" spans="2:6" ht="13.8" hidden="1" outlineLevel="1">
      <c r="B2105" s="187">
        <v>25553</v>
      </c>
      <c r="C2105" s="188">
        <v>7.72</v>
      </c>
      <c r="D2105" s="104">
        <f t="shared" si="32"/>
        <v>7.7199999999999991E-2</v>
      </c>
      <c r="F2105" s="5"/>
    </row>
    <row r="2106" spans="2:6" ht="13.8" hidden="1" outlineLevel="1">
      <c r="B2106" s="187">
        <v>25554</v>
      </c>
      <c r="C2106" s="188">
        <v>7.76</v>
      </c>
      <c r="D2106" s="104">
        <f t="shared" si="32"/>
        <v>7.7600000000000002E-2</v>
      </c>
      <c r="F2106" s="5"/>
    </row>
    <row r="2107" spans="2:6" ht="13.8" hidden="1" outlineLevel="1">
      <c r="B2107" s="187">
        <v>25555</v>
      </c>
      <c r="C2107" s="188">
        <v>7.81</v>
      </c>
      <c r="D2107" s="104">
        <f t="shared" si="32"/>
        <v>7.8100000000000003E-2</v>
      </c>
      <c r="F2107" s="5"/>
    </row>
    <row r="2108" spans="2:6" ht="13.8" hidden="1" outlineLevel="1">
      <c r="B2108" s="187">
        <v>25556</v>
      </c>
      <c r="C2108" s="188">
        <v>7.79</v>
      </c>
      <c r="D2108" s="104">
        <f t="shared" si="32"/>
        <v>7.7899999999999997E-2</v>
      </c>
      <c r="F2108" s="5"/>
    </row>
    <row r="2109" spans="2:6" ht="13.8" hidden="1" outlineLevel="1">
      <c r="B2109" s="187">
        <v>25559</v>
      </c>
      <c r="C2109" s="188">
        <v>7.76</v>
      </c>
      <c r="D2109" s="104">
        <f t="shared" si="32"/>
        <v>7.7600000000000002E-2</v>
      </c>
      <c r="F2109" s="5"/>
    </row>
    <row r="2110" spans="2:6" ht="13.8" hidden="1" outlineLevel="1">
      <c r="B2110" s="187">
        <v>25560</v>
      </c>
      <c r="C2110" s="188">
        <v>7.82</v>
      </c>
      <c r="D2110" s="104">
        <f t="shared" si="32"/>
        <v>7.8200000000000006E-2</v>
      </c>
      <c r="F2110" s="5"/>
    </row>
    <row r="2111" spans="2:6" ht="13.8" hidden="1" outlineLevel="1">
      <c r="B2111" s="187">
        <v>25561</v>
      </c>
      <c r="C2111" s="188">
        <v>7.89</v>
      </c>
      <c r="D2111" s="104">
        <f t="shared" si="32"/>
        <v>7.8899999999999998E-2</v>
      </c>
      <c r="F2111" s="5"/>
    </row>
    <row r="2112" spans="2:6" ht="13.8" hidden="1" outlineLevel="1">
      <c r="B2112" s="187">
        <v>25562</v>
      </c>
      <c r="C2112" s="188" t="s">
        <v>380</v>
      </c>
      <c r="D2112" s="104">
        <f t="shared" si="32"/>
        <v>7.8899999999999998E-2</v>
      </c>
      <c r="F2112" s="5"/>
    </row>
    <row r="2113" spans="2:6" ht="13.8" hidden="1" outlineLevel="1">
      <c r="B2113" s="187">
        <v>25563</v>
      </c>
      <c r="C2113" s="188">
        <v>7.87</v>
      </c>
      <c r="D2113" s="104">
        <f t="shared" si="32"/>
        <v>7.8700000000000006E-2</v>
      </c>
      <c r="F2113" s="5"/>
    </row>
    <row r="2114" spans="2:6" ht="13.8" hidden="1" outlineLevel="1">
      <c r="B2114" s="187">
        <v>25566</v>
      </c>
      <c r="C2114" s="188">
        <v>8.0500000000000007</v>
      </c>
      <c r="D2114" s="104">
        <f t="shared" si="32"/>
        <v>8.0500000000000002E-2</v>
      </c>
      <c r="F2114" s="5"/>
    </row>
    <row r="2115" spans="2:6" ht="13.8" hidden="1" outlineLevel="1">
      <c r="B2115" s="187">
        <v>25567</v>
      </c>
      <c r="C2115" s="188">
        <v>7.97</v>
      </c>
      <c r="D2115" s="104">
        <f t="shared" si="32"/>
        <v>7.9699999999999993E-2</v>
      </c>
      <c r="F2115" s="5"/>
    </row>
    <row r="2116" spans="2:6" ht="13.8" hidden="1" outlineLevel="1">
      <c r="B2116" s="187">
        <v>25568</v>
      </c>
      <c r="C2116" s="188">
        <v>7.88</v>
      </c>
      <c r="D2116" s="104">
        <f t="shared" si="32"/>
        <v>7.8799999999999995E-2</v>
      </c>
      <c r="F2116" s="5"/>
    </row>
    <row r="2117" spans="2:6" ht="13.8" hidden="1" outlineLevel="1">
      <c r="B2117" s="187">
        <v>25569</v>
      </c>
      <c r="C2117" s="188" t="s">
        <v>380</v>
      </c>
      <c r="D2117" s="104">
        <f t="shared" si="32"/>
        <v>7.8799999999999995E-2</v>
      </c>
      <c r="F2117" s="5"/>
    </row>
    <row r="2118" spans="2:6" ht="13.8" hidden="1" outlineLevel="1">
      <c r="B2118" s="187">
        <v>25570</v>
      </c>
      <c r="C2118" s="188">
        <v>7.86</v>
      </c>
      <c r="D2118" s="104">
        <f t="shared" si="32"/>
        <v>7.8600000000000003E-2</v>
      </c>
      <c r="F2118" s="5"/>
    </row>
    <row r="2119" spans="2:6" ht="13.8" hidden="1" outlineLevel="1">
      <c r="B2119" s="187">
        <v>25573</v>
      </c>
      <c r="C2119" s="188">
        <v>7.88</v>
      </c>
      <c r="D2119" s="104">
        <f t="shared" si="32"/>
        <v>7.8799999999999995E-2</v>
      </c>
      <c r="F2119" s="5"/>
    </row>
    <row r="2120" spans="2:6" ht="13.8" hidden="1" outlineLevel="1">
      <c r="B2120" s="187">
        <v>25574</v>
      </c>
      <c r="C2120" s="188">
        <v>7.96</v>
      </c>
      <c r="D2120" s="104">
        <f t="shared" si="32"/>
        <v>7.9600000000000004E-2</v>
      </c>
      <c r="F2120" s="5"/>
    </row>
    <row r="2121" spans="2:6" ht="13.8" hidden="1" outlineLevel="1">
      <c r="B2121" s="187">
        <v>25575</v>
      </c>
      <c r="C2121" s="188">
        <v>7.99</v>
      </c>
      <c r="D2121" s="104">
        <f t="shared" si="32"/>
        <v>7.9899999999999999E-2</v>
      </c>
      <c r="F2121" s="5"/>
    </row>
    <row r="2122" spans="2:6" ht="13.8" hidden="1" outlineLevel="1">
      <c r="B2122" s="187">
        <v>25576</v>
      </c>
      <c r="C2122" s="188">
        <v>7.96</v>
      </c>
      <c r="D2122" s="104">
        <f t="shared" si="32"/>
        <v>7.9600000000000004E-2</v>
      </c>
      <c r="F2122" s="5"/>
    </row>
    <row r="2123" spans="2:6" ht="13.8" hidden="1" outlineLevel="1">
      <c r="B2123" s="187">
        <v>25577</v>
      </c>
      <c r="C2123" s="188">
        <v>7.86</v>
      </c>
      <c r="D2123" s="104">
        <f t="shared" si="32"/>
        <v>7.8600000000000003E-2</v>
      </c>
      <c r="F2123" s="5"/>
    </row>
    <row r="2124" spans="2:6" ht="13.8" hidden="1" outlineLevel="1">
      <c r="B2124" s="187">
        <v>25580</v>
      </c>
      <c r="C2124" s="188">
        <v>7.82</v>
      </c>
      <c r="D2124" s="104">
        <f t="shared" si="32"/>
        <v>7.8200000000000006E-2</v>
      </c>
      <c r="F2124" s="5"/>
    </row>
    <row r="2125" spans="2:6" ht="13.8" hidden="1" outlineLevel="1">
      <c r="B2125" s="187">
        <v>25581</v>
      </c>
      <c r="C2125" s="188">
        <v>7.81</v>
      </c>
      <c r="D2125" s="104">
        <f t="shared" si="32"/>
        <v>7.8100000000000003E-2</v>
      </c>
      <c r="F2125" s="5"/>
    </row>
    <row r="2126" spans="2:6" ht="13.8" hidden="1" outlineLevel="1">
      <c r="B2126" s="187">
        <v>25582</v>
      </c>
      <c r="C2126" s="188">
        <v>7.86</v>
      </c>
      <c r="D2126" s="104">
        <f t="shared" si="32"/>
        <v>7.8600000000000003E-2</v>
      </c>
      <c r="F2126" s="5"/>
    </row>
    <row r="2127" spans="2:6" ht="13.8" hidden="1" outlineLevel="1">
      <c r="B2127" s="187">
        <v>25583</v>
      </c>
      <c r="C2127" s="188">
        <v>7.85</v>
      </c>
      <c r="D2127" s="104">
        <f t="shared" si="32"/>
        <v>7.85E-2</v>
      </c>
      <c r="F2127" s="5"/>
    </row>
    <row r="2128" spans="2:6" ht="13.8" hidden="1" outlineLevel="1">
      <c r="B2128" s="187">
        <v>25584</v>
      </c>
      <c r="C2128" s="188">
        <v>7.75</v>
      </c>
      <c r="D2128" s="104">
        <f t="shared" si="32"/>
        <v>7.7499999999999999E-2</v>
      </c>
      <c r="F2128" s="5"/>
    </row>
    <row r="2129" spans="2:6" ht="13.8" hidden="1" outlineLevel="1">
      <c r="B2129" s="187">
        <v>25587</v>
      </c>
      <c r="C2129" s="188">
        <v>7.69</v>
      </c>
      <c r="D2129" s="104">
        <f t="shared" si="32"/>
        <v>7.690000000000001E-2</v>
      </c>
      <c r="F2129" s="5"/>
    </row>
    <row r="2130" spans="2:6" ht="13.8" hidden="1" outlineLevel="1">
      <c r="B2130" s="187">
        <v>25588</v>
      </c>
      <c r="C2130" s="188">
        <v>7.72</v>
      </c>
      <c r="D2130" s="104">
        <f t="shared" si="32"/>
        <v>7.7199999999999991E-2</v>
      </c>
      <c r="F2130" s="5"/>
    </row>
    <row r="2131" spans="2:6" ht="13.8" hidden="1" outlineLevel="1">
      <c r="B2131" s="187">
        <v>25589</v>
      </c>
      <c r="C2131" s="188">
        <v>7.69</v>
      </c>
      <c r="D2131" s="104">
        <f t="shared" si="32"/>
        <v>7.690000000000001E-2</v>
      </c>
      <c r="F2131" s="5"/>
    </row>
    <row r="2132" spans="2:6" ht="13.8" hidden="1" outlineLevel="1">
      <c r="B2132" s="187">
        <v>25590</v>
      </c>
      <c r="C2132" s="188">
        <v>7.67</v>
      </c>
      <c r="D2132" s="104">
        <f t="shared" si="32"/>
        <v>7.6700000000000004E-2</v>
      </c>
      <c r="F2132" s="5"/>
    </row>
    <row r="2133" spans="2:6" ht="13.8" hidden="1" outlineLevel="1">
      <c r="B2133" s="187">
        <v>25591</v>
      </c>
      <c r="C2133" s="188">
        <v>7.69</v>
      </c>
      <c r="D2133" s="104">
        <f t="shared" si="32"/>
        <v>7.690000000000001E-2</v>
      </c>
      <c r="F2133" s="5"/>
    </row>
    <row r="2134" spans="2:6" ht="13.8" hidden="1" outlineLevel="1">
      <c r="B2134" s="187">
        <v>25594</v>
      </c>
      <c r="C2134" s="188">
        <v>7.71</v>
      </c>
      <c r="D2134" s="104">
        <f t="shared" si="32"/>
        <v>7.7100000000000002E-2</v>
      </c>
      <c r="F2134" s="5"/>
    </row>
    <row r="2135" spans="2:6" ht="13.8" hidden="1" outlineLevel="1">
      <c r="B2135" s="187">
        <v>25595</v>
      </c>
      <c r="C2135" s="188">
        <v>7.7</v>
      </c>
      <c r="D2135" s="104">
        <f t="shared" si="32"/>
        <v>7.6999999999999999E-2</v>
      </c>
      <c r="F2135" s="5"/>
    </row>
    <row r="2136" spans="2:6" ht="13.8" hidden="1" outlineLevel="1">
      <c r="B2136" s="187">
        <v>25596</v>
      </c>
      <c r="C2136" s="188">
        <v>7.7</v>
      </c>
      <c r="D2136" s="104">
        <f t="shared" si="32"/>
        <v>7.6999999999999999E-2</v>
      </c>
      <c r="F2136" s="5"/>
    </row>
    <row r="2137" spans="2:6" ht="13.8" hidden="1" outlineLevel="1">
      <c r="B2137" s="187">
        <v>25597</v>
      </c>
      <c r="C2137" s="188">
        <v>7.77</v>
      </c>
      <c r="D2137" s="104">
        <f t="shared" si="32"/>
        <v>7.7699999999999991E-2</v>
      </c>
      <c r="F2137" s="5"/>
    </row>
    <row r="2138" spans="2:6" ht="13.8" hidden="1" outlineLevel="1">
      <c r="B2138" s="187">
        <v>25598</v>
      </c>
      <c r="C2138" s="188">
        <v>7.75</v>
      </c>
      <c r="D2138" s="104">
        <f t="shared" si="32"/>
        <v>7.7499999999999999E-2</v>
      </c>
      <c r="F2138" s="5"/>
    </row>
    <row r="2139" spans="2:6" ht="13.8" hidden="1" outlineLevel="1">
      <c r="B2139" s="187">
        <v>25601</v>
      </c>
      <c r="C2139" s="188">
        <v>7.65</v>
      </c>
      <c r="D2139" s="104">
        <f t="shared" si="32"/>
        <v>7.6499999999999999E-2</v>
      </c>
      <c r="F2139" s="5"/>
    </row>
    <row r="2140" spans="2:6" ht="13.8" hidden="1" outlineLevel="1">
      <c r="B2140" s="187">
        <v>25602</v>
      </c>
      <c r="C2140" s="188">
        <v>7.58</v>
      </c>
      <c r="D2140" s="104">
        <f t="shared" si="32"/>
        <v>7.5800000000000006E-2</v>
      </c>
      <c r="F2140" s="5"/>
    </row>
    <row r="2141" spans="2:6" ht="13.8" hidden="1" outlineLevel="1">
      <c r="B2141" s="187">
        <v>25603</v>
      </c>
      <c r="C2141" s="188">
        <v>7.5</v>
      </c>
      <c r="D2141" s="104">
        <f t="shared" si="32"/>
        <v>7.4999999999999997E-2</v>
      </c>
      <c r="F2141" s="5"/>
    </row>
    <row r="2142" spans="2:6" ht="13.8" hidden="1" outlineLevel="1">
      <c r="B2142" s="187">
        <v>25604</v>
      </c>
      <c r="C2142" s="188">
        <v>7.45</v>
      </c>
      <c r="D2142" s="104">
        <f t="shared" ref="D2142:D2205" si="33">IF( LEN( C2142 ) = 0, #N/A, IF( C2142 = "ND", D2141, C2142 / 100 ) )</f>
        <v>7.4499999999999997E-2</v>
      </c>
      <c r="F2142" s="5"/>
    </row>
    <row r="2143" spans="2:6" ht="13.8" hidden="1" outlineLevel="1">
      <c r="B2143" s="187">
        <v>25605</v>
      </c>
      <c r="C2143" s="188">
        <v>7.36</v>
      </c>
      <c r="D2143" s="104">
        <f t="shared" si="33"/>
        <v>7.3599999999999999E-2</v>
      </c>
      <c r="F2143" s="5"/>
    </row>
    <row r="2144" spans="2:6" ht="13.8" hidden="1" outlineLevel="1">
      <c r="B2144" s="187">
        <v>25608</v>
      </c>
      <c r="C2144" s="188">
        <v>7.28</v>
      </c>
      <c r="D2144" s="104">
        <f t="shared" si="33"/>
        <v>7.2800000000000004E-2</v>
      </c>
      <c r="F2144" s="5"/>
    </row>
    <row r="2145" spans="2:6" ht="13.8" hidden="1" outlineLevel="1">
      <c r="B2145" s="187">
        <v>25609</v>
      </c>
      <c r="C2145" s="188">
        <v>7.32</v>
      </c>
      <c r="D2145" s="104">
        <f t="shared" si="33"/>
        <v>7.3200000000000001E-2</v>
      </c>
      <c r="F2145" s="5"/>
    </row>
    <row r="2146" spans="2:6" ht="13.8" hidden="1" outlineLevel="1">
      <c r="B2146" s="187">
        <v>25610</v>
      </c>
      <c r="C2146" s="188">
        <v>7.33</v>
      </c>
      <c r="D2146" s="104">
        <f t="shared" si="33"/>
        <v>7.3300000000000004E-2</v>
      </c>
      <c r="F2146" s="5"/>
    </row>
    <row r="2147" spans="2:6" ht="13.8" hidden="1" outlineLevel="1">
      <c r="B2147" s="187">
        <v>25611</v>
      </c>
      <c r="C2147" s="188" t="s">
        <v>380</v>
      </c>
      <c r="D2147" s="104">
        <f t="shared" si="33"/>
        <v>7.3300000000000004E-2</v>
      </c>
      <c r="F2147" s="5"/>
    </row>
    <row r="2148" spans="2:6" ht="13.8" hidden="1" outlineLevel="1">
      <c r="B2148" s="187">
        <v>25612</v>
      </c>
      <c r="C2148" s="188">
        <v>7.15</v>
      </c>
      <c r="D2148" s="104">
        <f t="shared" si="33"/>
        <v>7.1500000000000008E-2</v>
      </c>
      <c r="F2148" s="5"/>
    </row>
    <row r="2149" spans="2:6" ht="13.8" hidden="1" outlineLevel="1">
      <c r="B2149" s="187">
        <v>25615</v>
      </c>
      <c r="C2149" s="188">
        <v>7.17</v>
      </c>
      <c r="D2149" s="104">
        <f t="shared" si="33"/>
        <v>7.17E-2</v>
      </c>
      <c r="F2149" s="5"/>
    </row>
    <row r="2150" spans="2:6" ht="13.8" hidden="1" outlineLevel="1">
      <c r="B2150" s="187">
        <v>25616</v>
      </c>
      <c r="C2150" s="188">
        <v>7.15</v>
      </c>
      <c r="D2150" s="104">
        <f t="shared" si="33"/>
        <v>7.1500000000000008E-2</v>
      </c>
      <c r="F2150" s="5"/>
    </row>
    <row r="2151" spans="2:6" ht="13.8" hidden="1" outlineLevel="1">
      <c r="B2151" s="187">
        <v>25617</v>
      </c>
      <c r="C2151" s="188">
        <v>7.12</v>
      </c>
      <c r="D2151" s="104">
        <f t="shared" si="33"/>
        <v>7.1199999999999999E-2</v>
      </c>
      <c r="F2151" s="5"/>
    </row>
    <row r="2152" spans="2:6" ht="13.8" hidden="1" outlineLevel="1">
      <c r="B2152" s="187">
        <v>25618</v>
      </c>
      <c r="C2152" s="188">
        <v>7.09</v>
      </c>
      <c r="D2152" s="104">
        <f t="shared" si="33"/>
        <v>7.0900000000000005E-2</v>
      </c>
      <c r="F2152" s="5"/>
    </row>
    <row r="2153" spans="2:6" ht="13.8" hidden="1" outlineLevel="1">
      <c r="B2153" s="187">
        <v>25619</v>
      </c>
      <c r="C2153" s="188">
        <v>7.12</v>
      </c>
      <c r="D2153" s="104">
        <f t="shared" si="33"/>
        <v>7.1199999999999999E-2</v>
      </c>
      <c r="F2153" s="5"/>
    </row>
    <row r="2154" spans="2:6" ht="13.8" hidden="1" outlineLevel="1">
      <c r="B2154" s="187">
        <v>25622</v>
      </c>
      <c r="C2154" s="188" t="s">
        <v>380</v>
      </c>
      <c r="D2154" s="104">
        <f t="shared" si="33"/>
        <v>7.1199999999999999E-2</v>
      </c>
      <c r="F2154" s="5"/>
    </row>
    <row r="2155" spans="2:6" ht="13.8" hidden="1" outlineLevel="1">
      <c r="B2155" s="187">
        <v>25623</v>
      </c>
      <c r="C2155" s="188">
        <v>7.14</v>
      </c>
      <c r="D2155" s="104">
        <f t="shared" si="33"/>
        <v>7.1399999999999991E-2</v>
      </c>
      <c r="F2155" s="5"/>
    </row>
    <row r="2156" spans="2:6" ht="13.8" hidden="1" outlineLevel="1">
      <c r="B2156" s="187">
        <v>25624</v>
      </c>
      <c r="C2156" s="188">
        <v>7.04</v>
      </c>
      <c r="D2156" s="104">
        <f t="shared" si="33"/>
        <v>7.0400000000000004E-2</v>
      </c>
      <c r="F2156" s="5"/>
    </row>
    <row r="2157" spans="2:6" ht="13.8" hidden="1" outlineLevel="1">
      <c r="B2157" s="187">
        <v>25625</v>
      </c>
      <c r="C2157" s="188">
        <v>6.94</v>
      </c>
      <c r="D2157" s="104">
        <f t="shared" si="33"/>
        <v>6.9400000000000003E-2</v>
      </c>
      <c r="F2157" s="5"/>
    </row>
    <row r="2158" spans="2:6" ht="13.8" hidden="1" outlineLevel="1">
      <c r="B2158" s="187">
        <v>25626</v>
      </c>
      <c r="C2158" s="188">
        <v>6.9</v>
      </c>
      <c r="D2158" s="104">
        <f t="shared" si="33"/>
        <v>6.9000000000000006E-2</v>
      </c>
      <c r="F2158" s="5"/>
    </row>
    <row r="2159" spans="2:6" ht="13.8" hidden="1" outlineLevel="1">
      <c r="B2159" s="187">
        <v>25629</v>
      </c>
      <c r="C2159" s="188">
        <v>6.95</v>
      </c>
      <c r="D2159" s="104">
        <f t="shared" si="33"/>
        <v>6.9500000000000006E-2</v>
      </c>
      <c r="F2159" s="5"/>
    </row>
    <row r="2160" spans="2:6" ht="13.8" hidden="1" outlineLevel="1">
      <c r="B2160" s="187">
        <v>25630</v>
      </c>
      <c r="C2160" s="188">
        <v>6.99</v>
      </c>
      <c r="D2160" s="104">
        <f t="shared" si="33"/>
        <v>6.9900000000000004E-2</v>
      </c>
      <c r="F2160" s="5"/>
    </row>
    <row r="2161" spans="2:6" ht="13.8" hidden="1" outlineLevel="1">
      <c r="B2161" s="187">
        <v>25631</v>
      </c>
      <c r="C2161" s="188">
        <v>6.97</v>
      </c>
      <c r="D2161" s="104">
        <f t="shared" si="33"/>
        <v>6.9699999999999998E-2</v>
      </c>
      <c r="F2161" s="5"/>
    </row>
    <row r="2162" spans="2:6" ht="13.8" hidden="1" outlineLevel="1">
      <c r="B2162" s="187">
        <v>25632</v>
      </c>
      <c r="C2162" s="188">
        <v>6.98</v>
      </c>
      <c r="D2162" s="104">
        <f t="shared" si="33"/>
        <v>6.9800000000000001E-2</v>
      </c>
      <c r="F2162" s="5"/>
    </row>
    <row r="2163" spans="2:6" ht="13.8" hidden="1" outlineLevel="1">
      <c r="B2163" s="187">
        <v>25633</v>
      </c>
      <c r="C2163" s="188">
        <v>6.96</v>
      </c>
      <c r="D2163" s="104">
        <f t="shared" si="33"/>
        <v>6.9599999999999995E-2</v>
      </c>
      <c r="F2163" s="5"/>
    </row>
    <row r="2164" spans="2:6" ht="13.8" hidden="1" outlineLevel="1">
      <c r="B2164" s="187">
        <v>25636</v>
      </c>
      <c r="C2164" s="188">
        <v>6.99</v>
      </c>
      <c r="D2164" s="104">
        <f t="shared" si="33"/>
        <v>6.9900000000000004E-2</v>
      </c>
      <c r="F2164" s="5"/>
    </row>
    <row r="2165" spans="2:6" ht="13.8" hidden="1" outlineLevel="1">
      <c r="B2165" s="187">
        <v>25637</v>
      </c>
      <c r="C2165" s="188">
        <v>7.04</v>
      </c>
      <c r="D2165" s="104">
        <f t="shared" si="33"/>
        <v>7.0400000000000004E-2</v>
      </c>
      <c r="F2165" s="5"/>
    </row>
    <row r="2166" spans="2:6" ht="13.8" hidden="1" outlineLevel="1">
      <c r="B2166" s="187">
        <v>25638</v>
      </c>
      <c r="C2166" s="188">
        <v>7.11</v>
      </c>
      <c r="D2166" s="104">
        <f t="shared" si="33"/>
        <v>7.1099999999999997E-2</v>
      </c>
      <c r="F2166" s="5"/>
    </row>
    <row r="2167" spans="2:6" ht="13.8" hidden="1" outlineLevel="1">
      <c r="B2167" s="187">
        <v>25639</v>
      </c>
      <c r="C2167" s="188">
        <v>7.16</v>
      </c>
      <c r="D2167" s="104">
        <f t="shared" si="33"/>
        <v>7.1599999999999997E-2</v>
      </c>
      <c r="F2167" s="5"/>
    </row>
    <row r="2168" spans="2:6" ht="13.8" hidden="1" outlineLevel="1">
      <c r="B2168" s="187">
        <v>25640</v>
      </c>
      <c r="C2168" s="188">
        <v>7.23</v>
      </c>
      <c r="D2168" s="104">
        <f t="shared" si="33"/>
        <v>7.2300000000000003E-2</v>
      </c>
      <c r="F2168" s="5"/>
    </row>
    <row r="2169" spans="2:6" ht="13.8" hidden="1" outlineLevel="1">
      <c r="B2169" s="187">
        <v>25643</v>
      </c>
      <c r="C2169" s="188">
        <v>7.24</v>
      </c>
      <c r="D2169" s="104">
        <f t="shared" si="33"/>
        <v>7.2400000000000006E-2</v>
      </c>
      <c r="F2169" s="5"/>
    </row>
    <row r="2170" spans="2:6" ht="13.8" hidden="1" outlineLevel="1">
      <c r="B2170" s="187">
        <v>25644</v>
      </c>
      <c r="C2170" s="188">
        <v>7.36</v>
      </c>
      <c r="D2170" s="104">
        <f t="shared" si="33"/>
        <v>7.3599999999999999E-2</v>
      </c>
      <c r="F2170" s="5"/>
    </row>
    <row r="2171" spans="2:6" ht="13.8" hidden="1" outlineLevel="1">
      <c r="B2171" s="187">
        <v>25645</v>
      </c>
      <c r="C2171" s="188">
        <v>7.28</v>
      </c>
      <c r="D2171" s="104">
        <f t="shared" si="33"/>
        <v>7.2800000000000004E-2</v>
      </c>
      <c r="F2171" s="5"/>
    </row>
    <row r="2172" spans="2:6" ht="13.8" hidden="1" outlineLevel="1">
      <c r="B2172" s="187">
        <v>25646</v>
      </c>
      <c r="C2172" s="188">
        <v>7.07</v>
      </c>
      <c r="D2172" s="104">
        <f t="shared" si="33"/>
        <v>7.0699999999999999E-2</v>
      </c>
      <c r="F2172" s="5"/>
    </row>
    <row r="2173" spans="2:6" ht="13.8" hidden="1" outlineLevel="1">
      <c r="B2173" s="187">
        <v>25647</v>
      </c>
      <c r="C2173" s="188">
        <v>7.06</v>
      </c>
      <c r="D2173" s="104">
        <f t="shared" si="33"/>
        <v>7.0599999999999996E-2</v>
      </c>
      <c r="F2173" s="5"/>
    </row>
    <row r="2174" spans="2:6" ht="13.8" hidden="1" outlineLevel="1">
      <c r="B2174" s="187">
        <v>25650</v>
      </c>
      <c r="C2174" s="188">
        <v>7.05</v>
      </c>
      <c r="D2174" s="104">
        <f t="shared" si="33"/>
        <v>7.0499999999999993E-2</v>
      </c>
      <c r="F2174" s="5"/>
    </row>
    <row r="2175" spans="2:6" ht="13.8" hidden="1" outlineLevel="1">
      <c r="B2175" s="187">
        <v>25651</v>
      </c>
      <c r="C2175" s="188">
        <v>7.02</v>
      </c>
      <c r="D2175" s="104">
        <f t="shared" si="33"/>
        <v>7.0199999999999999E-2</v>
      </c>
      <c r="F2175" s="5"/>
    </row>
    <row r="2176" spans="2:6" ht="13.8" hidden="1" outlineLevel="1">
      <c r="B2176" s="187">
        <v>25652</v>
      </c>
      <c r="C2176" s="188">
        <v>6.96</v>
      </c>
      <c r="D2176" s="104">
        <f t="shared" si="33"/>
        <v>6.9599999999999995E-2</v>
      </c>
      <c r="F2176" s="5"/>
    </row>
    <row r="2177" spans="2:6" ht="13.8" hidden="1" outlineLevel="1">
      <c r="B2177" s="187">
        <v>25653</v>
      </c>
      <c r="C2177" s="188">
        <v>6.98</v>
      </c>
      <c r="D2177" s="104">
        <f t="shared" si="33"/>
        <v>6.9800000000000001E-2</v>
      </c>
      <c r="F2177" s="5"/>
    </row>
    <row r="2178" spans="2:6" ht="13.8" hidden="1" outlineLevel="1">
      <c r="B2178" s="187">
        <v>25654</v>
      </c>
      <c r="C2178" s="188" t="s">
        <v>380</v>
      </c>
      <c r="D2178" s="104">
        <f t="shared" si="33"/>
        <v>6.9800000000000001E-2</v>
      </c>
      <c r="F2178" s="5"/>
    </row>
    <row r="2179" spans="2:6" ht="13.8" hidden="1" outlineLevel="1">
      <c r="B2179" s="187">
        <v>25657</v>
      </c>
      <c r="C2179" s="188">
        <v>7.05</v>
      </c>
      <c r="D2179" s="104">
        <f t="shared" si="33"/>
        <v>7.0499999999999993E-2</v>
      </c>
      <c r="F2179" s="5"/>
    </row>
    <row r="2180" spans="2:6" ht="13.8" hidden="1" outlineLevel="1">
      <c r="B2180" s="187">
        <v>25658</v>
      </c>
      <c r="C2180" s="188">
        <v>7.08</v>
      </c>
      <c r="D2180" s="104">
        <f t="shared" si="33"/>
        <v>7.0800000000000002E-2</v>
      </c>
      <c r="F2180" s="5"/>
    </row>
    <row r="2181" spans="2:6" ht="13.8" hidden="1" outlineLevel="1">
      <c r="B2181" s="187">
        <v>25659</v>
      </c>
      <c r="C2181" s="188">
        <v>7.04</v>
      </c>
      <c r="D2181" s="104">
        <f t="shared" si="33"/>
        <v>7.0400000000000004E-2</v>
      </c>
      <c r="F2181" s="5"/>
    </row>
    <row r="2182" spans="2:6" ht="13.8" hidden="1" outlineLevel="1">
      <c r="B2182" s="187">
        <v>25660</v>
      </c>
      <c r="C2182" s="188">
        <v>7.08</v>
      </c>
      <c r="D2182" s="104">
        <f t="shared" si="33"/>
        <v>7.0800000000000002E-2</v>
      </c>
      <c r="F2182" s="5"/>
    </row>
    <row r="2183" spans="2:6" ht="13.8" hidden="1" outlineLevel="1">
      <c r="B2183" s="187">
        <v>25661</v>
      </c>
      <c r="C2183" s="188">
        <v>7.14</v>
      </c>
      <c r="D2183" s="104">
        <f t="shared" si="33"/>
        <v>7.1399999999999991E-2</v>
      </c>
      <c r="F2183" s="5"/>
    </row>
    <row r="2184" spans="2:6" ht="13.8" hidden="1" outlineLevel="1">
      <c r="B2184" s="187">
        <v>25664</v>
      </c>
      <c r="C2184" s="188">
        <v>7.17</v>
      </c>
      <c r="D2184" s="104">
        <f t="shared" si="33"/>
        <v>7.17E-2</v>
      </c>
      <c r="F2184" s="5"/>
    </row>
    <row r="2185" spans="2:6" ht="13.8" hidden="1" outlineLevel="1">
      <c r="B2185" s="187">
        <v>25665</v>
      </c>
      <c r="C2185" s="188">
        <v>7.18</v>
      </c>
      <c r="D2185" s="104">
        <f t="shared" si="33"/>
        <v>7.1800000000000003E-2</v>
      </c>
      <c r="F2185" s="5"/>
    </row>
    <row r="2186" spans="2:6" ht="13.8" hidden="1" outlineLevel="1">
      <c r="B2186" s="187">
        <v>25666</v>
      </c>
      <c r="C2186" s="188">
        <v>7.17</v>
      </c>
      <c r="D2186" s="104">
        <f t="shared" si="33"/>
        <v>7.17E-2</v>
      </c>
      <c r="F2186" s="5"/>
    </row>
    <row r="2187" spans="2:6" ht="13.8" hidden="1" outlineLevel="1">
      <c r="B2187" s="187">
        <v>25667</v>
      </c>
      <c r="C2187" s="188">
        <v>7.18</v>
      </c>
      <c r="D2187" s="104">
        <f t="shared" si="33"/>
        <v>7.1800000000000003E-2</v>
      </c>
      <c r="F2187" s="5"/>
    </row>
    <row r="2188" spans="2:6" ht="13.8" hidden="1" outlineLevel="1">
      <c r="B2188" s="187">
        <v>25668</v>
      </c>
      <c r="C2188" s="188">
        <v>7.17</v>
      </c>
      <c r="D2188" s="104">
        <f t="shared" si="33"/>
        <v>7.17E-2</v>
      </c>
      <c r="F2188" s="5"/>
    </row>
    <row r="2189" spans="2:6" ht="13.8" hidden="1" outlineLevel="1">
      <c r="B2189" s="187">
        <v>25671</v>
      </c>
      <c r="C2189" s="188">
        <v>7.2</v>
      </c>
      <c r="D2189" s="104">
        <f t="shared" si="33"/>
        <v>7.2000000000000008E-2</v>
      </c>
      <c r="F2189" s="5"/>
    </row>
    <row r="2190" spans="2:6" ht="13.8" hidden="1" outlineLevel="1">
      <c r="B2190" s="187">
        <v>25672</v>
      </c>
      <c r="C2190" s="188">
        <v>7.22</v>
      </c>
      <c r="D2190" s="104">
        <f t="shared" si="33"/>
        <v>7.22E-2</v>
      </c>
      <c r="F2190" s="5"/>
    </row>
    <row r="2191" spans="2:6" ht="13.8" hidden="1" outlineLevel="1">
      <c r="B2191" s="187">
        <v>25673</v>
      </c>
      <c r="C2191" s="188">
        <v>7.27</v>
      </c>
      <c r="D2191" s="104">
        <f t="shared" si="33"/>
        <v>7.2700000000000001E-2</v>
      </c>
      <c r="F2191" s="5"/>
    </row>
    <row r="2192" spans="2:6" ht="13.8" hidden="1" outlineLevel="1">
      <c r="B2192" s="187">
        <v>25674</v>
      </c>
      <c r="C2192" s="188">
        <v>7.34</v>
      </c>
      <c r="D2192" s="104">
        <f t="shared" si="33"/>
        <v>7.3399999999999993E-2</v>
      </c>
      <c r="F2192" s="5"/>
    </row>
    <row r="2193" spans="2:6" ht="13.8" hidden="1" outlineLevel="1">
      <c r="B2193" s="187">
        <v>25675</v>
      </c>
      <c r="C2193" s="188">
        <v>7.4</v>
      </c>
      <c r="D2193" s="104">
        <f t="shared" si="33"/>
        <v>7.400000000000001E-2</v>
      </c>
      <c r="F2193" s="5"/>
    </row>
    <row r="2194" spans="2:6" ht="13.8" hidden="1" outlineLevel="1">
      <c r="B2194" s="187">
        <v>25678</v>
      </c>
      <c r="C2194" s="188">
        <v>7.44</v>
      </c>
      <c r="D2194" s="104">
        <f t="shared" si="33"/>
        <v>7.4400000000000008E-2</v>
      </c>
      <c r="F2194" s="5"/>
    </row>
    <row r="2195" spans="2:6" ht="13.8" hidden="1" outlineLevel="1">
      <c r="B2195" s="187">
        <v>25679</v>
      </c>
      <c r="C2195" s="188">
        <v>7.5</v>
      </c>
      <c r="D2195" s="104">
        <f t="shared" si="33"/>
        <v>7.4999999999999997E-2</v>
      </c>
      <c r="F2195" s="5"/>
    </row>
    <row r="2196" spans="2:6" ht="13.8" hidden="1" outlineLevel="1">
      <c r="B2196" s="187">
        <v>25680</v>
      </c>
      <c r="C2196" s="188">
        <v>7.61</v>
      </c>
      <c r="D2196" s="104">
        <f t="shared" si="33"/>
        <v>7.6100000000000001E-2</v>
      </c>
      <c r="F2196" s="5"/>
    </row>
    <row r="2197" spans="2:6" ht="13.8" hidden="1" outlineLevel="1">
      <c r="B2197" s="187">
        <v>25681</v>
      </c>
      <c r="C2197" s="188">
        <v>7.64</v>
      </c>
      <c r="D2197" s="104">
        <f t="shared" si="33"/>
        <v>7.6399999999999996E-2</v>
      </c>
      <c r="F2197" s="5"/>
    </row>
    <row r="2198" spans="2:6" ht="13.8" hidden="1" outlineLevel="1">
      <c r="B2198" s="187">
        <v>25682</v>
      </c>
      <c r="C2198" s="188">
        <v>7.72</v>
      </c>
      <c r="D2198" s="104">
        <f t="shared" si="33"/>
        <v>7.7199999999999991E-2</v>
      </c>
      <c r="F2198" s="5"/>
    </row>
    <row r="2199" spans="2:6" ht="13.8" hidden="1" outlineLevel="1">
      <c r="B2199" s="187">
        <v>25685</v>
      </c>
      <c r="C2199" s="188">
        <v>7.74</v>
      </c>
      <c r="D2199" s="104">
        <f t="shared" si="33"/>
        <v>7.7399999999999997E-2</v>
      </c>
      <c r="F2199" s="5"/>
    </row>
    <row r="2200" spans="2:6" ht="13.8" hidden="1" outlineLevel="1">
      <c r="B2200" s="187">
        <v>25686</v>
      </c>
      <c r="C2200" s="188">
        <v>7.79</v>
      </c>
      <c r="D2200" s="104">
        <f t="shared" si="33"/>
        <v>7.7899999999999997E-2</v>
      </c>
      <c r="F2200" s="5"/>
    </row>
    <row r="2201" spans="2:6" ht="13.8" hidden="1" outlineLevel="1">
      <c r="B2201" s="187">
        <v>25687</v>
      </c>
      <c r="C2201" s="188">
        <v>7.78</v>
      </c>
      <c r="D2201" s="104">
        <f t="shared" si="33"/>
        <v>7.7800000000000008E-2</v>
      </c>
      <c r="F2201" s="5"/>
    </row>
    <row r="2202" spans="2:6" ht="13.8" hidden="1" outlineLevel="1">
      <c r="B2202" s="187">
        <v>25688</v>
      </c>
      <c r="C2202" s="188">
        <v>7.82</v>
      </c>
      <c r="D2202" s="104">
        <f t="shared" si="33"/>
        <v>7.8200000000000006E-2</v>
      </c>
      <c r="F2202" s="5"/>
    </row>
    <row r="2203" spans="2:6" ht="13.8" hidden="1" outlineLevel="1">
      <c r="B2203" s="187">
        <v>25689</v>
      </c>
      <c r="C2203" s="188">
        <v>7.85</v>
      </c>
      <c r="D2203" s="104">
        <f t="shared" si="33"/>
        <v>7.85E-2</v>
      </c>
      <c r="F2203" s="5"/>
    </row>
    <row r="2204" spans="2:6" ht="13.8" hidden="1" outlineLevel="1">
      <c r="B2204" s="187">
        <v>25692</v>
      </c>
      <c r="C2204" s="188">
        <v>7.94</v>
      </c>
      <c r="D2204" s="104">
        <f t="shared" si="33"/>
        <v>7.9399999999999998E-2</v>
      </c>
      <c r="F2204" s="5"/>
    </row>
    <row r="2205" spans="2:6" ht="13.8" hidden="1" outlineLevel="1">
      <c r="B2205" s="187">
        <v>25693</v>
      </c>
      <c r="C2205" s="188">
        <v>7.92</v>
      </c>
      <c r="D2205" s="104">
        <f t="shared" si="33"/>
        <v>7.9199999999999993E-2</v>
      </c>
      <c r="F2205" s="5"/>
    </row>
    <row r="2206" spans="2:6" ht="13.8" hidden="1" outlineLevel="1">
      <c r="B2206" s="187">
        <v>25694</v>
      </c>
      <c r="C2206" s="188">
        <v>7.86</v>
      </c>
      <c r="D2206" s="104">
        <f t="shared" ref="D2206:D2269" si="34">IF( LEN( C2206 ) = 0, #N/A, IF( C2206 = "ND", D2205, C2206 / 100 ) )</f>
        <v>7.8600000000000003E-2</v>
      </c>
      <c r="F2206" s="5"/>
    </row>
    <row r="2207" spans="2:6" ht="13.8" hidden="1" outlineLevel="1">
      <c r="B2207" s="187">
        <v>25695</v>
      </c>
      <c r="C2207" s="188">
        <v>7.82</v>
      </c>
      <c r="D2207" s="104">
        <f t="shared" si="34"/>
        <v>7.8200000000000006E-2</v>
      </c>
      <c r="F2207" s="5"/>
    </row>
    <row r="2208" spans="2:6" ht="13.8" hidden="1" outlineLevel="1">
      <c r="B2208" s="187">
        <v>25696</v>
      </c>
      <c r="C2208" s="188">
        <v>7.78</v>
      </c>
      <c r="D2208" s="104">
        <f t="shared" si="34"/>
        <v>7.7800000000000008E-2</v>
      </c>
      <c r="F2208" s="5"/>
    </row>
    <row r="2209" spans="2:6" ht="13.8" hidden="1" outlineLevel="1">
      <c r="B2209" s="187">
        <v>25699</v>
      </c>
      <c r="C2209" s="188">
        <v>7.82</v>
      </c>
      <c r="D2209" s="104">
        <f t="shared" si="34"/>
        <v>7.8200000000000006E-2</v>
      </c>
      <c r="F2209" s="5"/>
    </row>
    <row r="2210" spans="2:6" ht="13.8" hidden="1" outlineLevel="1">
      <c r="B2210" s="187">
        <v>25700</v>
      </c>
      <c r="C2210" s="188">
        <v>7.84</v>
      </c>
      <c r="D2210" s="104">
        <f t="shared" si="34"/>
        <v>7.8399999999999997E-2</v>
      </c>
      <c r="F2210" s="5"/>
    </row>
    <row r="2211" spans="2:6" ht="13.8" hidden="1" outlineLevel="1">
      <c r="B2211" s="187">
        <v>25701</v>
      </c>
      <c r="C2211" s="188">
        <v>7.85</v>
      </c>
      <c r="D2211" s="104">
        <f t="shared" si="34"/>
        <v>7.85E-2</v>
      </c>
      <c r="F2211" s="5"/>
    </row>
    <row r="2212" spans="2:6" ht="13.8" hidden="1" outlineLevel="1">
      <c r="B2212" s="187">
        <v>25702</v>
      </c>
      <c r="C2212" s="188">
        <v>7.86</v>
      </c>
      <c r="D2212" s="104">
        <f t="shared" si="34"/>
        <v>7.8600000000000003E-2</v>
      </c>
      <c r="F2212" s="5"/>
    </row>
    <row r="2213" spans="2:6" ht="13.8" hidden="1" outlineLevel="1">
      <c r="B2213" s="187">
        <v>25703</v>
      </c>
      <c r="C2213" s="188">
        <v>7.83</v>
      </c>
      <c r="D2213" s="104">
        <f t="shared" si="34"/>
        <v>7.8299999999999995E-2</v>
      </c>
      <c r="F2213" s="5"/>
    </row>
    <row r="2214" spans="2:6" ht="13.8" hidden="1" outlineLevel="1">
      <c r="B2214" s="187">
        <v>25706</v>
      </c>
      <c r="C2214" s="188">
        <v>7.8</v>
      </c>
      <c r="D2214" s="104">
        <f t="shared" si="34"/>
        <v>7.8E-2</v>
      </c>
      <c r="F2214" s="5"/>
    </row>
    <row r="2215" spans="2:6" ht="13.8" hidden="1" outlineLevel="1">
      <c r="B2215" s="187">
        <v>25707</v>
      </c>
      <c r="C2215" s="188">
        <v>7.8</v>
      </c>
      <c r="D2215" s="104">
        <f t="shared" si="34"/>
        <v>7.8E-2</v>
      </c>
      <c r="F2215" s="5"/>
    </row>
    <row r="2216" spans="2:6" ht="13.8" hidden="1" outlineLevel="1">
      <c r="B2216" s="187">
        <v>25708</v>
      </c>
      <c r="C2216" s="188">
        <v>7.85</v>
      </c>
      <c r="D2216" s="104">
        <f t="shared" si="34"/>
        <v>7.85E-2</v>
      </c>
      <c r="F2216" s="5"/>
    </row>
    <row r="2217" spans="2:6" ht="13.8" hidden="1" outlineLevel="1">
      <c r="B2217" s="187">
        <v>25709</v>
      </c>
      <c r="C2217" s="188">
        <v>7.9</v>
      </c>
      <c r="D2217" s="104">
        <f t="shared" si="34"/>
        <v>7.9000000000000001E-2</v>
      </c>
      <c r="F2217" s="5"/>
    </row>
    <row r="2218" spans="2:6" ht="13.8" hidden="1" outlineLevel="1">
      <c r="B2218" s="187">
        <v>25710</v>
      </c>
      <c r="C2218" s="188">
        <v>7.99</v>
      </c>
      <c r="D2218" s="104">
        <f t="shared" si="34"/>
        <v>7.9899999999999999E-2</v>
      </c>
      <c r="F2218" s="5"/>
    </row>
    <row r="2219" spans="2:6" ht="13.8" hidden="1" outlineLevel="1">
      <c r="B2219" s="187">
        <v>25713</v>
      </c>
      <c r="C2219" s="188">
        <v>8.15</v>
      </c>
      <c r="D2219" s="104">
        <f t="shared" si="34"/>
        <v>8.1500000000000003E-2</v>
      </c>
      <c r="F2219" s="5"/>
    </row>
    <row r="2220" spans="2:6" ht="13.8" hidden="1" outlineLevel="1">
      <c r="B2220" s="187">
        <v>25714</v>
      </c>
      <c r="C2220" s="188">
        <v>8.2200000000000006</v>
      </c>
      <c r="D2220" s="104">
        <f t="shared" si="34"/>
        <v>8.2200000000000009E-2</v>
      </c>
      <c r="F2220" s="5"/>
    </row>
    <row r="2221" spans="2:6" ht="13.8" hidden="1" outlineLevel="1">
      <c r="B2221" s="187">
        <v>25715</v>
      </c>
      <c r="C2221" s="188">
        <v>8.02</v>
      </c>
      <c r="D2221" s="104">
        <f t="shared" si="34"/>
        <v>8.0199999999999994E-2</v>
      </c>
      <c r="F2221" s="5"/>
    </row>
    <row r="2222" spans="2:6" ht="13.8" hidden="1" outlineLevel="1">
      <c r="B2222" s="187">
        <v>25716</v>
      </c>
      <c r="C2222" s="188">
        <v>7.98</v>
      </c>
      <c r="D2222" s="104">
        <f t="shared" si="34"/>
        <v>7.980000000000001E-2</v>
      </c>
      <c r="F2222" s="5"/>
    </row>
    <row r="2223" spans="2:6" ht="13.8" hidden="1" outlineLevel="1">
      <c r="B2223" s="187">
        <v>25717</v>
      </c>
      <c r="C2223" s="188">
        <v>7.95</v>
      </c>
      <c r="D2223" s="104">
        <f t="shared" si="34"/>
        <v>7.9500000000000001E-2</v>
      </c>
      <c r="F2223" s="5"/>
    </row>
    <row r="2224" spans="2:6" ht="13.8" hidden="1" outlineLevel="1">
      <c r="B2224" s="187">
        <v>25720</v>
      </c>
      <c r="C2224" s="188">
        <v>7.84</v>
      </c>
      <c r="D2224" s="104">
        <f t="shared" si="34"/>
        <v>7.8399999999999997E-2</v>
      </c>
      <c r="F2224" s="5"/>
    </row>
    <row r="2225" spans="2:6" ht="13.8" hidden="1" outlineLevel="1">
      <c r="B2225" s="187">
        <v>25721</v>
      </c>
      <c r="C2225" s="188">
        <v>7.78</v>
      </c>
      <c r="D2225" s="104">
        <f t="shared" si="34"/>
        <v>7.7800000000000008E-2</v>
      </c>
      <c r="F2225" s="5"/>
    </row>
    <row r="2226" spans="2:6" ht="13.8" hidden="1" outlineLevel="1">
      <c r="B2226" s="187">
        <v>25722</v>
      </c>
      <c r="C2226" s="188">
        <v>7.76</v>
      </c>
      <c r="D2226" s="104">
        <f t="shared" si="34"/>
        <v>7.7600000000000002E-2</v>
      </c>
      <c r="F2226" s="5"/>
    </row>
    <row r="2227" spans="2:6" ht="13.8" hidden="1" outlineLevel="1">
      <c r="B2227" s="187">
        <v>25723</v>
      </c>
      <c r="C2227" s="188">
        <v>7.8</v>
      </c>
      <c r="D2227" s="104">
        <f t="shared" si="34"/>
        <v>7.8E-2</v>
      </c>
      <c r="F2227" s="5"/>
    </row>
    <row r="2228" spans="2:6" ht="13.8" hidden="1" outlineLevel="1">
      <c r="B2228" s="187">
        <v>25724</v>
      </c>
      <c r="C2228" s="188">
        <v>7.88</v>
      </c>
      <c r="D2228" s="104">
        <f t="shared" si="34"/>
        <v>7.8799999999999995E-2</v>
      </c>
      <c r="F2228" s="5"/>
    </row>
    <row r="2229" spans="2:6" ht="13.8" hidden="1" outlineLevel="1">
      <c r="B2229" s="187">
        <v>25727</v>
      </c>
      <c r="C2229" s="188">
        <v>7.89</v>
      </c>
      <c r="D2229" s="104">
        <f t="shared" si="34"/>
        <v>7.8899999999999998E-2</v>
      </c>
      <c r="F2229" s="5"/>
    </row>
    <row r="2230" spans="2:6" ht="13.8" hidden="1" outlineLevel="1">
      <c r="B2230" s="187">
        <v>25728</v>
      </c>
      <c r="C2230" s="188">
        <v>7.88</v>
      </c>
      <c r="D2230" s="104">
        <f t="shared" si="34"/>
        <v>7.8799999999999995E-2</v>
      </c>
      <c r="F2230" s="5"/>
    </row>
    <row r="2231" spans="2:6" ht="13.8" hidden="1" outlineLevel="1">
      <c r="B2231" s="187">
        <v>25729</v>
      </c>
      <c r="C2231" s="188">
        <v>7.87</v>
      </c>
      <c r="D2231" s="104">
        <f t="shared" si="34"/>
        <v>7.8700000000000006E-2</v>
      </c>
      <c r="F2231" s="5"/>
    </row>
    <row r="2232" spans="2:6" ht="13.8" hidden="1" outlineLevel="1">
      <c r="B2232" s="187">
        <v>25730</v>
      </c>
      <c r="C2232" s="188">
        <v>7.92</v>
      </c>
      <c r="D2232" s="104">
        <f t="shared" si="34"/>
        <v>7.9199999999999993E-2</v>
      </c>
      <c r="F2232" s="5"/>
    </row>
    <row r="2233" spans="2:6" ht="13.8" hidden="1" outlineLevel="1">
      <c r="B2233" s="187">
        <v>25731</v>
      </c>
      <c r="C2233" s="188">
        <v>7.98</v>
      </c>
      <c r="D2233" s="104">
        <f t="shared" si="34"/>
        <v>7.980000000000001E-2</v>
      </c>
      <c r="F2233" s="5"/>
    </row>
    <row r="2234" spans="2:6" ht="13.8" hidden="1" outlineLevel="1">
      <c r="B2234" s="187">
        <v>25734</v>
      </c>
      <c r="C2234" s="188">
        <v>7.98</v>
      </c>
      <c r="D2234" s="104">
        <f t="shared" si="34"/>
        <v>7.980000000000001E-2</v>
      </c>
      <c r="F2234" s="5"/>
    </row>
    <row r="2235" spans="2:6" ht="13.8" hidden="1" outlineLevel="1">
      <c r="B2235" s="187">
        <v>25735</v>
      </c>
      <c r="C2235" s="188">
        <v>7.87</v>
      </c>
      <c r="D2235" s="104">
        <f t="shared" si="34"/>
        <v>7.8700000000000006E-2</v>
      </c>
      <c r="F2235" s="5"/>
    </row>
    <row r="2236" spans="2:6" ht="13.8" hidden="1" outlineLevel="1">
      <c r="B2236" s="187">
        <v>25736</v>
      </c>
      <c r="C2236" s="188">
        <v>7.9</v>
      </c>
      <c r="D2236" s="104">
        <f t="shared" si="34"/>
        <v>7.9000000000000001E-2</v>
      </c>
      <c r="F2236" s="5"/>
    </row>
    <row r="2237" spans="2:6" ht="13.8" hidden="1" outlineLevel="1">
      <c r="B2237" s="187">
        <v>25737</v>
      </c>
      <c r="C2237" s="188">
        <v>7.9</v>
      </c>
      <c r="D2237" s="104">
        <f t="shared" si="34"/>
        <v>7.9000000000000001E-2</v>
      </c>
      <c r="F2237" s="5"/>
    </row>
    <row r="2238" spans="2:6" ht="13.8" hidden="1" outlineLevel="1">
      <c r="B2238" s="187">
        <v>25738</v>
      </c>
      <c r="C2238" s="188">
        <v>7.9</v>
      </c>
      <c r="D2238" s="104">
        <f t="shared" si="34"/>
        <v>7.9000000000000001E-2</v>
      </c>
      <c r="F2238" s="5"/>
    </row>
    <row r="2239" spans="2:6" ht="13.8" hidden="1" outlineLevel="1">
      <c r="B2239" s="187">
        <v>25741</v>
      </c>
      <c r="C2239" s="188">
        <v>7.86</v>
      </c>
      <c r="D2239" s="104">
        <f t="shared" si="34"/>
        <v>7.8600000000000003E-2</v>
      </c>
      <c r="F2239" s="5"/>
    </row>
    <row r="2240" spans="2:6" ht="13.8" hidden="1" outlineLevel="1">
      <c r="B2240" s="187">
        <v>25742</v>
      </c>
      <c r="C2240" s="188">
        <v>7.79</v>
      </c>
      <c r="D2240" s="104">
        <f t="shared" si="34"/>
        <v>7.7899999999999997E-2</v>
      </c>
      <c r="F2240" s="5"/>
    </row>
    <row r="2241" spans="2:6" ht="13.8" hidden="1" outlineLevel="1">
      <c r="B2241" s="187">
        <v>25743</v>
      </c>
      <c r="C2241" s="188">
        <v>7.74</v>
      </c>
      <c r="D2241" s="104">
        <f t="shared" si="34"/>
        <v>7.7399999999999997E-2</v>
      </c>
      <c r="F2241" s="5"/>
    </row>
    <row r="2242" spans="2:6" ht="13.8" hidden="1" outlineLevel="1">
      <c r="B2242" s="187">
        <v>25744</v>
      </c>
      <c r="C2242" s="188">
        <v>7.76</v>
      </c>
      <c r="D2242" s="104">
        <f t="shared" si="34"/>
        <v>7.7600000000000002E-2</v>
      </c>
      <c r="F2242" s="5"/>
    </row>
    <row r="2243" spans="2:6" ht="13.8" hidden="1" outlineLevel="1">
      <c r="B2243" s="187">
        <v>25745</v>
      </c>
      <c r="C2243" s="188">
        <v>7.78</v>
      </c>
      <c r="D2243" s="104">
        <f t="shared" si="34"/>
        <v>7.7800000000000008E-2</v>
      </c>
      <c r="F2243" s="5"/>
    </row>
    <row r="2244" spans="2:6" ht="13.8" hidden="1" outlineLevel="1">
      <c r="B2244" s="187">
        <v>25748</v>
      </c>
      <c r="C2244" s="188">
        <v>7.76</v>
      </c>
      <c r="D2244" s="104">
        <f t="shared" si="34"/>
        <v>7.7600000000000002E-2</v>
      </c>
      <c r="F2244" s="5"/>
    </row>
    <row r="2245" spans="2:6" ht="13.8" hidden="1" outlineLevel="1">
      <c r="B2245" s="187">
        <v>25749</v>
      </c>
      <c r="C2245" s="188">
        <v>7.68</v>
      </c>
      <c r="D2245" s="104">
        <f t="shared" si="34"/>
        <v>7.6799999999999993E-2</v>
      </c>
      <c r="F2245" s="5"/>
    </row>
    <row r="2246" spans="2:6" ht="13.8" hidden="1" outlineLevel="1">
      <c r="B2246" s="187">
        <v>25750</v>
      </c>
      <c r="C2246" s="188">
        <v>7.64</v>
      </c>
      <c r="D2246" s="104">
        <f t="shared" si="34"/>
        <v>7.6399999999999996E-2</v>
      </c>
      <c r="F2246" s="5"/>
    </row>
    <row r="2247" spans="2:6" ht="13.8" hidden="1" outlineLevel="1">
      <c r="B2247" s="187">
        <v>25751</v>
      </c>
      <c r="C2247" s="188">
        <v>7.55</v>
      </c>
      <c r="D2247" s="104">
        <f t="shared" si="34"/>
        <v>7.5499999999999998E-2</v>
      </c>
      <c r="F2247" s="5"/>
    </row>
    <row r="2248" spans="2:6" ht="13.8" hidden="1" outlineLevel="1">
      <c r="B2248" s="187">
        <v>25752</v>
      </c>
      <c r="C2248" s="188" t="s">
        <v>380</v>
      </c>
      <c r="D2248" s="104">
        <f t="shared" si="34"/>
        <v>7.5499999999999998E-2</v>
      </c>
      <c r="F2248" s="5"/>
    </row>
    <row r="2249" spans="2:6" ht="13.8" hidden="1" outlineLevel="1">
      <c r="B2249" s="187">
        <v>25755</v>
      </c>
      <c r="C2249" s="188">
        <v>7.49</v>
      </c>
      <c r="D2249" s="104">
        <f t="shared" si="34"/>
        <v>7.4900000000000008E-2</v>
      </c>
      <c r="F2249" s="5"/>
    </row>
    <row r="2250" spans="2:6" ht="13.8" hidden="1" outlineLevel="1">
      <c r="B2250" s="187">
        <v>25756</v>
      </c>
      <c r="C2250" s="188">
        <v>7.46</v>
      </c>
      <c r="D2250" s="104">
        <f t="shared" si="34"/>
        <v>7.46E-2</v>
      </c>
      <c r="F2250" s="5"/>
    </row>
    <row r="2251" spans="2:6" ht="13.8" hidden="1" outlineLevel="1">
      <c r="B2251" s="187">
        <v>25757</v>
      </c>
      <c r="C2251" s="188">
        <v>7.49</v>
      </c>
      <c r="D2251" s="104">
        <f t="shared" si="34"/>
        <v>7.4900000000000008E-2</v>
      </c>
      <c r="F2251" s="5"/>
    </row>
    <row r="2252" spans="2:6" ht="13.8" hidden="1" outlineLevel="1">
      <c r="B2252" s="187">
        <v>25758</v>
      </c>
      <c r="C2252" s="188">
        <v>7.49</v>
      </c>
      <c r="D2252" s="104">
        <f t="shared" si="34"/>
        <v>7.4900000000000008E-2</v>
      </c>
      <c r="F2252" s="5"/>
    </row>
    <row r="2253" spans="2:6" ht="13.8" hidden="1" outlineLevel="1">
      <c r="B2253" s="187">
        <v>25759</v>
      </c>
      <c r="C2253" s="188">
        <v>7.54</v>
      </c>
      <c r="D2253" s="104">
        <f t="shared" si="34"/>
        <v>7.5399999999999995E-2</v>
      </c>
      <c r="F2253" s="5"/>
    </row>
    <row r="2254" spans="2:6" ht="13.8" hidden="1" outlineLevel="1">
      <c r="B2254" s="187">
        <v>25762</v>
      </c>
      <c r="C2254" s="188">
        <v>7.55</v>
      </c>
      <c r="D2254" s="104">
        <f t="shared" si="34"/>
        <v>7.5499999999999998E-2</v>
      </c>
      <c r="F2254" s="5"/>
    </row>
    <row r="2255" spans="2:6" ht="13.8" hidden="1" outlineLevel="1">
      <c r="B2255" s="187">
        <v>25763</v>
      </c>
      <c r="C2255" s="188">
        <v>7.53</v>
      </c>
      <c r="D2255" s="104">
        <f t="shared" si="34"/>
        <v>7.5300000000000006E-2</v>
      </c>
      <c r="F2255" s="5"/>
    </row>
    <row r="2256" spans="2:6" ht="13.8" hidden="1" outlineLevel="1">
      <c r="B2256" s="187">
        <v>25764</v>
      </c>
      <c r="C2256" s="188">
        <v>7.49</v>
      </c>
      <c r="D2256" s="104">
        <f t="shared" si="34"/>
        <v>7.4900000000000008E-2</v>
      </c>
      <c r="F2256" s="5"/>
    </row>
    <row r="2257" spans="2:6" ht="13.8" hidden="1" outlineLevel="1">
      <c r="B2257" s="187">
        <v>25765</v>
      </c>
      <c r="C2257" s="188">
        <v>7.46</v>
      </c>
      <c r="D2257" s="104">
        <f t="shared" si="34"/>
        <v>7.46E-2</v>
      </c>
      <c r="F2257" s="5"/>
    </row>
    <row r="2258" spans="2:6" ht="13.8" hidden="1" outlineLevel="1">
      <c r="B2258" s="187">
        <v>25766</v>
      </c>
      <c r="C2258" s="188">
        <v>7.45</v>
      </c>
      <c r="D2258" s="104">
        <f t="shared" si="34"/>
        <v>7.4499999999999997E-2</v>
      </c>
      <c r="F2258" s="5"/>
    </row>
    <row r="2259" spans="2:6" ht="13.8" hidden="1" outlineLevel="1">
      <c r="B2259" s="187">
        <v>25769</v>
      </c>
      <c r="C2259" s="188">
        <v>7.46</v>
      </c>
      <c r="D2259" s="104">
        <f t="shared" si="34"/>
        <v>7.46E-2</v>
      </c>
      <c r="F2259" s="5"/>
    </row>
    <row r="2260" spans="2:6" ht="13.8" hidden="1" outlineLevel="1">
      <c r="B2260" s="187">
        <v>25770</v>
      </c>
      <c r="C2260" s="188">
        <v>7.45</v>
      </c>
      <c r="D2260" s="104">
        <f t="shared" si="34"/>
        <v>7.4499999999999997E-2</v>
      </c>
      <c r="F2260" s="5"/>
    </row>
    <row r="2261" spans="2:6" ht="13.8" hidden="1" outlineLevel="1">
      <c r="B2261" s="187">
        <v>25771</v>
      </c>
      <c r="C2261" s="188">
        <v>7.43</v>
      </c>
      <c r="D2261" s="104">
        <f t="shared" si="34"/>
        <v>7.4299999999999991E-2</v>
      </c>
      <c r="F2261" s="5"/>
    </row>
    <row r="2262" spans="2:6" ht="13.8" hidden="1" outlineLevel="1">
      <c r="B2262" s="187">
        <v>25772</v>
      </c>
      <c r="C2262" s="188">
        <v>7.32</v>
      </c>
      <c r="D2262" s="104">
        <f t="shared" si="34"/>
        <v>7.3200000000000001E-2</v>
      </c>
      <c r="F2262" s="5"/>
    </row>
    <row r="2263" spans="2:6" ht="13.8" hidden="1" outlineLevel="1">
      <c r="B2263" s="187">
        <v>25773</v>
      </c>
      <c r="C2263" s="188">
        <v>7.34</v>
      </c>
      <c r="D2263" s="104">
        <f t="shared" si="34"/>
        <v>7.3399999999999993E-2</v>
      </c>
      <c r="F2263" s="5"/>
    </row>
    <row r="2264" spans="2:6" ht="13.8" hidden="1" outlineLevel="1">
      <c r="B2264" s="187">
        <v>25776</v>
      </c>
      <c r="C2264" s="188">
        <v>7.36</v>
      </c>
      <c r="D2264" s="104">
        <f t="shared" si="34"/>
        <v>7.3599999999999999E-2</v>
      </c>
      <c r="F2264" s="5"/>
    </row>
    <row r="2265" spans="2:6" ht="13.8" hidden="1" outlineLevel="1">
      <c r="B2265" s="187">
        <v>25777</v>
      </c>
      <c r="C2265" s="188">
        <v>7.41</v>
      </c>
      <c r="D2265" s="104">
        <f t="shared" si="34"/>
        <v>7.4099999999999999E-2</v>
      </c>
      <c r="F2265" s="5"/>
    </row>
    <row r="2266" spans="2:6" ht="13.8" hidden="1" outlineLevel="1">
      <c r="B2266" s="187">
        <v>25778</v>
      </c>
      <c r="C2266" s="188">
        <v>7.39</v>
      </c>
      <c r="D2266" s="104">
        <f t="shared" si="34"/>
        <v>7.3899999999999993E-2</v>
      </c>
      <c r="F2266" s="5"/>
    </row>
    <row r="2267" spans="2:6" ht="13.8" hidden="1" outlineLevel="1">
      <c r="B2267" s="187">
        <v>25779</v>
      </c>
      <c r="C2267" s="188">
        <v>7.38</v>
      </c>
      <c r="D2267" s="104">
        <f t="shared" si="34"/>
        <v>7.3800000000000004E-2</v>
      </c>
      <c r="F2267" s="5"/>
    </row>
    <row r="2268" spans="2:6" ht="13.8" hidden="1" outlineLevel="1">
      <c r="B2268" s="187">
        <v>25780</v>
      </c>
      <c r="C2268" s="188">
        <v>7.38</v>
      </c>
      <c r="D2268" s="104">
        <f t="shared" si="34"/>
        <v>7.3800000000000004E-2</v>
      </c>
      <c r="F2268" s="5"/>
    </row>
    <row r="2269" spans="2:6" ht="13.8" hidden="1" outlineLevel="1">
      <c r="B2269" s="187">
        <v>25783</v>
      </c>
      <c r="C2269" s="188">
        <v>7.39</v>
      </c>
      <c r="D2269" s="104">
        <f t="shared" si="34"/>
        <v>7.3899999999999993E-2</v>
      </c>
      <c r="F2269" s="5"/>
    </row>
    <row r="2270" spans="2:6" ht="13.8" hidden="1" outlineLevel="1">
      <c r="B2270" s="187">
        <v>25784</v>
      </c>
      <c r="C2270" s="188">
        <v>7.4</v>
      </c>
      <c r="D2270" s="104">
        <f t="shared" ref="D2270:D2333" si="35">IF( LEN( C2270 ) = 0, #N/A, IF( C2270 = "ND", D2269, C2270 / 100 ) )</f>
        <v>7.400000000000001E-2</v>
      </c>
      <c r="F2270" s="5"/>
    </row>
    <row r="2271" spans="2:6" ht="13.8" hidden="1" outlineLevel="1">
      <c r="B2271" s="187">
        <v>25785</v>
      </c>
      <c r="C2271" s="188">
        <v>7.42</v>
      </c>
      <c r="D2271" s="104">
        <f t="shared" si="35"/>
        <v>7.4200000000000002E-2</v>
      </c>
      <c r="F2271" s="5"/>
    </row>
    <row r="2272" spans="2:6" ht="13.8" hidden="1" outlineLevel="1">
      <c r="B2272" s="187">
        <v>25786</v>
      </c>
      <c r="C2272" s="188">
        <v>7.43</v>
      </c>
      <c r="D2272" s="104">
        <f t="shared" si="35"/>
        <v>7.4299999999999991E-2</v>
      </c>
      <c r="F2272" s="5"/>
    </row>
    <row r="2273" spans="2:6" ht="13.8" hidden="1" outlineLevel="1">
      <c r="B2273" s="187">
        <v>25787</v>
      </c>
      <c r="C2273" s="188">
        <v>7.45</v>
      </c>
      <c r="D2273" s="104">
        <f t="shared" si="35"/>
        <v>7.4499999999999997E-2</v>
      </c>
      <c r="F2273" s="5"/>
    </row>
    <row r="2274" spans="2:6" ht="13.8" hidden="1" outlineLevel="1">
      <c r="B2274" s="187">
        <v>25790</v>
      </c>
      <c r="C2274" s="188">
        <v>7.5</v>
      </c>
      <c r="D2274" s="104">
        <f t="shared" si="35"/>
        <v>7.4999999999999997E-2</v>
      </c>
      <c r="F2274" s="5"/>
    </row>
    <row r="2275" spans="2:6" ht="13.8" hidden="1" outlineLevel="1">
      <c r="B2275" s="187">
        <v>25791</v>
      </c>
      <c r="C2275" s="188">
        <v>7.54</v>
      </c>
      <c r="D2275" s="104">
        <f t="shared" si="35"/>
        <v>7.5399999999999995E-2</v>
      </c>
      <c r="F2275" s="5"/>
    </row>
    <row r="2276" spans="2:6" ht="13.8" hidden="1" outlineLevel="1">
      <c r="B2276" s="187">
        <v>25792</v>
      </c>
      <c r="C2276" s="188">
        <v>7.56</v>
      </c>
      <c r="D2276" s="104">
        <f t="shared" si="35"/>
        <v>7.5600000000000001E-2</v>
      </c>
      <c r="F2276" s="5"/>
    </row>
    <row r="2277" spans="2:6" ht="13.8" hidden="1" outlineLevel="1">
      <c r="B2277" s="187">
        <v>25793</v>
      </c>
      <c r="C2277" s="188">
        <v>7.58</v>
      </c>
      <c r="D2277" s="104">
        <f t="shared" si="35"/>
        <v>7.5800000000000006E-2</v>
      </c>
      <c r="F2277" s="5"/>
    </row>
    <row r="2278" spans="2:6" ht="13.8" hidden="1" outlineLevel="1">
      <c r="B2278" s="187">
        <v>25794</v>
      </c>
      <c r="C2278" s="188">
        <v>7.67</v>
      </c>
      <c r="D2278" s="104">
        <f t="shared" si="35"/>
        <v>7.6700000000000004E-2</v>
      </c>
      <c r="F2278" s="5"/>
    </row>
    <row r="2279" spans="2:6" ht="13.8" hidden="1" outlineLevel="1">
      <c r="B2279" s="187">
        <v>25797</v>
      </c>
      <c r="C2279" s="188">
        <v>7.71</v>
      </c>
      <c r="D2279" s="104">
        <f t="shared" si="35"/>
        <v>7.7100000000000002E-2</v>
      </c>
      <c r="F2279" s="5"/>
    </row>
    <row r="2280" spans="2:6" ht="13.8" hidden="1" outlineLevel="1">
      <c r="B2280" s="187">
        <v>25798</v>
      </c>
      <c r="C2280" s="188">
        <v>7.68</v>
      </c>
      <c r="D2280" s="104">
        <f t="shared" si="35"/>
        <v>7.6799999999999993E-2</v>
      </c>
      <c r="F2280" s="5"/>
    </row>
    <row r="2281" spans="2:6" ht="13.8" hidden="1" outlineLevel="1">
      <c r="B2281" s="187">
        <v>25799</v>
      </c>
      <c r="C2281" s="188">
        <v>7.65</v>
      </c>
      <c r="D2281" s="104">
        <f t="shared" si="35"/>
        <v>7.6499999999999999E-2</v>
      </c>
      <c r="F2281" s="5"/>
    </row>
    <row r="2282" spans="2:6" ht="13.8" hidden="1" outlineLevel="1">
      <c r="B2282" s="187">
        <v>25800</v>
      </c>
      <c r="C2282" s="188">
        <v>7.64</v>
      </c>
      <c r="D2282" s="104">
        <f t="shared" si="35"/>
        <v>7.6399999999999996E-2</v>
      </c>
      <c r="F2282" s="5"/>
    </row>
    <row r="2283" spans="2:6" ht="13.8" hidden="1" outlineLevel="1">
      <c r="B2283" s="187">
        <v>25801</v>
      </c>
      <c r="C2283" s="188">
        <v>7.6</v>
      </c>
      <c r="D2283" s="104">
        <f t="shared" si="35"/>
        <v>7.5999999999999998E-2</v>
      </c>
      <c r="F2283" s="5"/>
    </row>
    <row r="2284" spans="2:6" ht="13.8" hidden="1" outlineLevel="1">
      <c r="B2284" s="187">
        <v>25804</v>
      </c>
      <c r="C2284" s="188">
        <v>7.48</v>
      </c>
      <c r="D2284" s="104">
        <f t="shared" si="35"/>
        <v>7.4800000000000005E-2</v>
      </c>
      <c r="F2284" s="5"/>
    </row>
    <row r="2285" spans="2:6" ht="13.8" hidden="1" outlineLevel="1">
      <c r="B2285" s="187">
        <v>25805</v>
      </c>
      <c r="C2285" s="188">
        <v>7.46</v>
      </c>
      <c r="D2285" s="104">
        <f t="shared" si="35"/>
        <v>7.46E-2</v>
      </c>
      <c r="F2285" s="5"/>
    </row>
    <row r="2286" spans="2:6" ht="13.8" hidden="1" outlineLevel="1">
      <c r="B2286" s="187">
        <v>25806</v>
      </c>
      <c r="C2286" s="188">
        <v>7.45</v>
      </c>
      <c r="D2286" s="104">
        <f t="shared" si="35"/>
        <v>7.4499999999999997E-2</v>
      </c>
      <c r="F2286" s="5"/>
    </row>
    <row r="2287" spans="2:6" ht="13.8" hidden="1" outlineLevel="1">
      <c r="B2287" s="187">
        <v>25807</v>
      </c>
      <c r="C2287" s="188">
        <v>7.48</v>
      </c>
      <c r="D2287" s="104">
        <f t="shared" si="35"/>
        <v>7.4800000000000005E-2</v>
      </c>
      <c r="F2287" s="5"/>
    </row>
    <row r="2288" spans="2:6" ht="13.8" hidden="1" outlineLevel="1">
      <c r="B2288" s="187">
        <v>25808</v>
      </c>
      <c r="C2288" s="188">
        <v>7.49</v>
      </c>
      <c r="D2288" s="104">
        <f t="shared" si="35"/>
        <v>7.4900000000000008E-2</v>
      </c>
      <c r="F2288" s="5"/>
    </row>
    <row r="2289" spans="2:6" ht="13.8" hidden="1" outlineLevel="1">
      <c r="B2289" s="187">
        <v>25811</v>
      </c>
      <c r="C2289" s="188">
        <v>7.49</v>
      </c>
      <c r="D2289" s="104">
        <f t="shared" si="35"/>
        <v>7.4900000000000008E-2</v>
      </c>
      <c r="F2289" s="5"/>
    </row>
    <row r="2290" spans="2:6" ht="13.8" hidden="1" outlineLevel="1">
      <c r="B2290" s="187">
        <v>25812</v>
      </c>
      <c r="C2290" s="188">
        <v>7.47</v>
      </c>
      <c r="D2290" s="104">
        <f t="shared" si="35"/>
        <v>7.4700000000000003E-2</v>
      </c>
      <c r="F2290" s="5"/>
    </row>
    <row r="2291" spans="2:6" ht="13.8" hidden="1" outlineLevel="1">
      <c r="B2291" s="187">
        <v>25813</v>
      </c>
      <c r="C2291" s="188">
        <v>7.48</v>
      </c>
      <c r="D2291" s="104">
        <f t="shared" si="35"/>
        <v>7.4800000000000005E-2</v>
      </c>
      <c r="F2291" s="5"/>
    </row>
    <row r="2292" spans="2:6" ht="13.8" hidden="1" outlineLevel="1">
      <c r="B2292" s="187">
        <v>25814</v>
      </c>
      <c r="C2292" s="188">
        <v>7.48</v>
      </c>
      <c r="D2292" s="104">
        <f t="shared" si="35"/>
        <v>7.4800000000000005E-2</v>
      </c>
      <c r="F2292" s="5"/>
    </row>
    <row r="2293" spans="2:6" ht="13.8" hidden="1" outlineLevel="1">
      <c r="B2293" s="187">
        <v>25815</v>
      </c>
      <c r="C2293" s="188">
        <v>7.47</v>
      </c>
      <c r="D2293" s="104">
        <f t="shared" si="35"/>
        <v>7.4700000000000003E-2</v>
      </c>
      <c r="F2293" s="5"/>
    </row>
    <row r="2294" spans="2:6" ht="13.8" hidden="1" outlineLevel="1">
      <c r="B2294" s="187">
        <v>25818</v>
      </c>
      <c r="C2294" s="188" t="s">
        <v>380</v>
      </c>
      <c r="D2294" s="104">
        <f t="shared" si="35"/>
        <v>7.4700000000000003E-2</v>
      </c>
      <c r="F2294" s="5"/>
    </row>
    <row r="2295" spans="2:6" ht="13.8" hidden="1" outlineLevel="1">
      <c r="B2295" s="187">
        <v>25819</v>
      </c>
      <c r="C2295" s="188">
        <v>7.5</v>
      </c>
      <c r="D2295" s="104">
        <f t="shared" si="35"/>
        <v>7.4999999999999997E-2</v>
      </c>
      <c r="F2295" s="5"/>
    </row>
    <row r="2296" spans="2:6" ht="13.8" hidden="1" outlineLevel="1">
      <c r="B2296" s="187">
        <v>25820</v>
      </c>
      <c r="C2296" s="188">
        <v>7.54</v>
      </c>
      <c r="D2296" s="104">
        <f t="shared" si="35"/>
        <v>7.5399999999999995E-2</v>
      </c>
      <c r="F2296" s="5"/>
    </row>
    <row r="2297" spans="2:6" ht="13.8" hidden="1" outlineLevel="1">
      <c r="B2297" s="187">
        <v>25821</v>
      </c>
      <c r="C2297" s="188">
        <v>7.52</v>
      </c>
      <c r="D2297" s="104">
        <f t="shared" si="35"/>
        <v>7.5199999999999989E-2</v>
      </c>
      <c r="F2297" s="5"/>
    </row>
    <row r="2298" spans="2:6" ht="13.8" hidden="1" outlineLevel="1">
      <c r="B2298" s="187">
        <v>25822</v>
      </c>
      <c r="C2298" s="188">
        <v>7.5</v>
      </c>
      <c r="D2298" s="104">
        <f t="shared" si="35"/>
        <v>7.4999999999999997E-2</v>
      </c>
      <c r="F2298" s="5"/>
    </row>
    <row r="2299" spans="2:6" ht="13.8" hidden="1" outlineLevel="1">
      <c r="B2299" s="187">
        <v>25825</v>
      </c>
      <c r="C2299" s="188">
        <v>7.48</v>
      </c>
      <c r="D2299" s="104">
        <f t="shared" si="35"/>
        <v>7.4800000000000005E-2</v>
      </c>
      <c r="F2299" s="5"/>
    </row>
    <row r="2300" spans="2:6" ht="13.8" hidden="1" outlineLevel="1">
      <c r="B2300" s="187">
        <v>25826</v>
      </c>
      <c r="C2300" s="188">
        <v>7.46</v>
      </c>
      <c r="D2300" s="104">
        <f t="shared" si="35"/>
        <v>7.46E-2</v>
      </c>
      <c r="F2300" s="5"/>
    </row>
    <row r="2301" spans="2:6" ht="13.8" hidden="1" outlineLevel="1">
      <c r="B2301" s="187">
        <v>25827</v>
      </c>
      <c r="C2301" s="188">
        <v>7.4</v>
      </c>
      <c r="D2301" s="104">
        <f t="shared" si="35"/>
        <v>7.400000000000001E-2</v>
      </c>
      <c r="F2301" s="5"/>
    </row>
    <row r="2302" spans="2:6" ht="13.8" hidden="1" outlineLevel="1">
      <c r="B2302" s="187">
        <v>25828</v>
      </c>
      <c r="C2302" s="188">
        <v>7.32</v>
      </c>
      <c r="D2302" s="104">
        <f t="shared" si="35"/>
        <v>7.3200000000000001E-2</v>
      </c>
      <c r="F2302" s="5"/>
    </row>
    <row r="2303" spans="2:6" ht="13.8" hidden="1" outlineLevel="1">
      <c r="B2303" s="187">
        <v>25829</v>
      </c>
      <c r="C2303" s="188">
        <v>7.31</v>
      </c>
      <c r="D2303" s="104">
        <f t="shared" si="35"/>
        <v>7.3099999999999998E-2</v>
      </c>
      <c r="F2303" s="5"/>
    </row>
    <row r="2304" spans="2:6" ht="13.8" hidden="1" outlineLevel="1">
      <c r="B2304" s="187">
        <v>25832</v>
      </c>
      <c r="C2304" s="188">
        <v>7.29</v>
      </c>
      <c r="D2304" s="104">
        <f t="shared" si="35"/>
        <v>7.2900000000000006E-2</v>
      </c>
      <c r="F2304" s="5"/>
    </row>
    <row r="2305" spans="2:6" ht="13.8" hidden="1" outlineLevel="1">
      <c r="B2305" s="187">
        <v>25833</v>
      </c>
      <c r="C2305" s="188">
        <v>7.28</v>
      </c>
      <c r="D2305" s="104">
        <f t="shared" si="35"/>
        <v>7.2800000000000004E-2</v>
      </c>
      <c r="F2305" s="5"/>
    </row>
    <row r="2306" spans="2:6" ht="13.8" hidden="1" outlineLevel="1">
      <c r="B2306" s="187">
        <v>25834</v>
      </c>
      <c r="C2306" s="188">
        <v>7.24</v>
      </c>
      <c r="D2306" s="104">
        <f t="shared" si="35"/>
        <v>7.2400000000000006E-2</v>
      </c>
      <c r="F2306" s="5"/>
    </row>
    <row r="2307" spans="2:6" ht="13.8" hidden="1" outlineLevel="1">
      <c r="B2307" s="187">
        <v>25835</v>
      </c>
      <c r="C2307" s="188">
        <v>7.26</v>
      </c>
      <c r="D2307" s="104">
        <f t="shared" si="35"/>
        <v>7.2599999999999998E-2</v>
      </c>
      <c r="F2307" s="5"/>
    </row>
    <row r="2308" spans="2:6" ht="13.8" hidden="1" outlineLevel="1">
      <c r="B2308" s="187">
        <v>25836</v>
      </c>
      <c r="C2308" s="188">
        <v>7.28</v>
      </c>
      <c r="D2308" s="104">
        <f t="shared" si="35"/>
        <v>7.2800000000000004E-2</v>
      </c>
      <c r="F2308" s="5"/>
    </row>
    <row r="2309" spans="2:6" ht="13.8" hidden="1" outlineLevel="1">
      <c r="B2309" s="187">
        <v>25839</v>
      </c>
      <c r="C2309" s="188">
        <v>7.31</v>
      </c>
      <c r="D2309" s="104">
        <f t="shared" si="35"/>
        <v>7.3099999999999998E-2</v>
      </c>
      <c r="F2309" s="5"/>
    </row>
    <row r="2310" spans="2:6" ht="13.8" hidden="1" outlineLevel="1">
      <c r="B2310" s="187">
        <v>25840</v>
      </c>
      <c r="C2310" s="188">
        <v>7.3</v>
      </c>
      <c r="D2310" s="104">
        <f t="shared" si="35"/>
        <v>7.2999999999999995E-2</v>
      </c>
      <c r="F2310" s="5"/>
    </row>
    <row r="2311" spans="2:6" ht="13.8" hidden="1" outlineLevel="1">
      <c r="B2311" s="187">
        <v>25841</v>
      </c>
      <c r="C2311" s="188">
        <v>7.29</v>
      </c>
      <c r="D2311" s="104">
        <f t="shared" si="35"/>
        <v>7.2900000000000006E-2</v>
      </c>
      <c r="F2311" s="5"/>
    </row>
    <row r="2312" spans="2:6" ht="13.8" hidden="1" outlineLevel="1">
      <c r="B2312" s="187">
        <v>25842</v>
      </c>
      <c r="C2312" s="188">
        <v>7.29</v>
      </c>
      <c r="D2312" s="104">
        <f t="shared" si="35"/>
        <v>7.2900000000000006E-2</v>
      </c>
      <c r="F2312" s="5"/>
    </row>
    <row r="2313" spans="2:6" ht="13.8" hidden="1" outlineLevel="1">
      <c r="B2313" s="187">
        <v>25843</v>
      </c>
      <c r="C2313" s="188">
        <v>7.26</v>
      </c>
      <c r="D2313" s="104">
        <f t="shared" si="35"/>
        <v>7.2599999999999998E-2</v>
      </c>
      <c r="F2313" s="5"/>
    </row>
    <row r="2314" spans="2:6" ht="13.8" hidden="1" outlineLevel="1">
      <c r="B2314" s="187">
        <v>25846</v>
      </c>
      <c r="C2314" s="188">
        <v>7.26</v>
      </c>
      <c r="D2314" s="104">
        <f t="shared" si="35"/>
        <v>7.2599999999999998E-2</v>
      </c>
      <c r="F2314" s="5"/>
    </row>
    <row r="2315" spans="2:6" ht="13.8" hidden="1" outlineLevel="1">
      <c r="B2315" s="187">
        <v>25847</v>
      </c>
      <c r="C2315" s="188">
        <v>7.24</v>
      </c>
      <c r="D2315" s="104">
        <f t="shared" si="35"/>
        <v>7.2400000000000006E-2</v>
      </c>
      <c r="F2315" s="5"/>
    </row>
    <row r="2316" spans="2:6" ht="13.8" hidden="1" outlineLevel="1">
      <c r="B2316" s="187">
        <v>25848</v>
      </c>
      <c r="C2316" s="188">
        <v>7.23</v>
      </c>
      <c r="D2316" s="104">
        <f t="shared" si="35"/>
        <v>7.2300000000000003E-2</v>
      </c>
      <c r="F2316" s="5"/>
    </row>
    <row r="2317" spans="2:6" ht="13.8" hidden="1" outlineLevel="1">
      <c r="B2317" s="187">
        <v>25849</v>
      </c>
      <c r="C2317" s="188">
        <v>7.25</v>
      </c>
      <c r="D2317" s="104">
        <f t="shared" si="35"/>
        <v>7.2499999999999995E-2</v>
      </c>
      <c r="F2317" s="5"/>
    </row>
    <row r="2318" spans="2:6" ht="13.8" hidden="1" outlineLevel="1">
      <c r="B2318" s="187">
        <v>25850</v>
      </c>
      <c r="C2318" s="188">
        <v>7.25</v>
      </c>
      <c r="D2318" s="104">
        <f t="shared" si="35"/>
        <v>7.2499999999999995E-2</v>
      </c>
      <c r="F2318" s="5"/>
    </row>
    <row r="2319" spans="2:6" ht="13.8" hidden="1" outlineLevel="1">
      <c r="B2319" s="187">
        <v>25853</v>
      </c>
      <c r="C2319" s="188" t="s">
        <v>380</v>
      </c>
      <c r="D2319" s="104">
        <f t="shared" si="35"/>
        <v>7.2499999999999995E-2</v>
      </c>
      <c r="F2319" s="5"/>
    </row>
    <row r="2320" spans="2:6" ht="13.8" hidden="1" outlineLevel="1">
      <c r="B2320" s="187">
        <v>25854</v>
      </c>
      <c r="C2320" s="188">
        <v>7.25</v>
      </c>
      <c r="D2320" s="104">
        <f t="shared" si="35"/>
        <v>7.2499999999999995E-2</v>
      </c>
      <c r="F2320" s="5"/>
    </row>
    <row r="2321" spans="2:6" ht="13.8" hidden="1" outlineLevel="1">
      <c r="B2321" s="187">
        <v>25855</v>
      </c>
      <c r="C2321" s="188">
        <v>7.3</v>
      </c>
      <c r="D2321" s="104">
        <f t="shared" si="35"/>
        <v>7.2999999999999995E-2</v>
      </c>
      <c r="F2321" s="5"/>
    </row>
    <row r="2322" spans="2:6" ht="13.8" hidden="1" outlineLevel="1">
      <c r="B2322" s="187">
        <v>25856</v>
      </c>
      <c r="C2322" s="188">
        <v>7.3</v>
      </c>
      <c r="D2322" s="104">
        <f t="shared" si="35"/>
        <v>7.2999999999999995E-2</v>
      </c>
      <c r="F2322" s="5"/>
    </row>
    <row r="2323" spans="2:6" ht="13.8" hidden="1" outlineLevel="1">
      <c r="B2323" s="187">
        <v>25857</v>
      </c>
      <c r="C2323" s="188">
        <v>7.31</v>
      </c>
      <c r="D2323" s="104">
        <f t="shared" si="35"/>
        <v>7.3099999999999998E-2</v>
      </c>
      <c r="F2323" s="5"/>
    </row>
    <row r="2324" spans="2:6" ht="13.8" hidden="1" outlineLevel="1">
      <c r="B2324" s="187">
        <v>25860</v>
      </c>
      <c r="C2324" s="188">
        <v>7.35</v>
      </c>
      <c r="D2324" s="104">
        <f t="shared" si="35"/>
        <v>7.3499999999999996E-2</v>
      </c>
      <c r="F2324" s="5"/>
    </row>
    <row r="2325" spans="2:6" ht="13.8" hidden="1" outlineLevel="1">
      <c r="B2325" s="187">
        <v>25861</v>
      </c>
      <c r="C2325" s="188">
        <v>7.37</v>
      </c>
      <c r="D2325" s="104">
        <f t="shared" si="35"/>
        <v>7.3700000000000002E-2</v>
      </c>
      <c r="F2325" s="5"/>
    </row>
    <row r="2326" spans="2:6" ht="13.8" hidden="1" outlineLevel="1">
      <c r="B2326" s="187">
        <v>25862</v>
      </c>
      <c r="C2326" s="188">
        <v>7.42</v>
      </c>
      <c r="D2326" s="104">
        <f t="shared" si="35"/>
        <v>7.4200000000000002E-2</v>
      </c>
      <c r="F2326" s="5"/>
    </row>
    <row r="2327" spans="2:6" ht="13.8" hidden="1" outlineLevel="1">
      <c r="B2327" s="187">
        <v>25863</v>
      </c>
      <c r="C2327" s="188">
        <v>7.46</v>
      </c>
      <c r="D2327" s="104">
        <f t="shared" si="35"/>
        <v>7.46E-2</v>
      </c>
      <c r="F2327" s="5"/>
    </row>
    <row r="2328" spans="2:6" ht="13.8" hidden="1" outlineLevel="1">
      <c r="B2328" s="187">
        <v>25864</v>
      </c>
      <c r="C2328" s="188">
        <v>7.44</v>
      </c>
      <c r="D2328" s="104">
        <f t="shared" si="35"/>
        <v>7.4400000000000008E-2</v>
      </c>
      <c r="F2328" s="5"/>
    </row>
    <row r="2329" spans="2:6" ht="13.8" hidden="1" outlineLevel="1">
      <c r="B2329" s="187">
        <v>25867</v>
      </c>
      <c r="C2329" s="188">
        <v>7.44</v>
      </c>
      <c r="D2329" s="104">
        <f t="shared" si="35"/>
        <v>7.4400000000000008E-2</v>
      </c>
      <c r="F2329" s="5"/>
    </row>
    <row r="2330" spans="2:6" ht="13.8" hidden="1" outlineLevel="1">
      <c r="B2330" s="187">
        <v>25868</v>
      </c>
      <c r="C2330" s="188">
        <v>7.42</v>
      </c>
      <c r="D2330" s="104">
        <f t="shared" si="35"/>
        <v>7.4200000000000002E-2</v>
      </c>
      <c r="F2330" s="5"/>
    </row>
    <row r="2331" spans="2:6" ht="13.8" hidden="1" outlineLevel="1">
      <c r="B2331" s="187">
        <v>25869</v>
      </c>
      <c r="C2331" s="188">
        <v>7.38</v>
      </c>
      <c r="D2331" s="104">
        <f t="shared" si="35"/>
        <v>7.3800000000000004E-2</v>
      </c>
      <c r="F2331" s="5"/>
    </row>
    <row r="2332" spans="2:6" ht="13.8" hidden="1" outlineLevel="1">
      <c r="B2332" s="187">
        <v>25870</v>
      </c>
      <c r="C2332" s="188">
        <v>7.31</v>
      </c>
      <c r="D2332" s="104">
        <f t="shared" si="35"/>
        <v>7.3099999999999998E-2</v>
      </c>
      <c r="F2332" s="5"/>
    </row>
    <row r="2333" spans="2:6" ht="13.8" hidden="1" outlineLevel="1">
      <c r="B2333" s="187">
        <v>25871</v>
      </c>
      <c r="C2333" s="188">
        <v>7.33</v>
      </c>
      <c r="D2333" s="104">
        <f t="shared" si="35"/>
        <v>7.3300000000000004E-2</v>
      </c>
      <c r="F2333" s="5"/>
    </row>
    <row r="2334" spans="2:6" ht="13.8" hidden="1" outlineLevel="1">
      <c r="B2334" s="187">
        <v>25874</v>
      </c>
      <c r="C2334" s="188">
        <v>7.24</v>
      </c>
      <c r="D2334" s="104">
        <f t="shared" ref="D2334:D2397" si="36">IF( LEN( C2334 ) = 0, #N/A, IF( C2334 = "ND", D2333, C2334 / 100 ) )</f>
        <v>7.2400000000000006E-2</v>
      </c>
      <c r="F2334" s="5"/>
    </row>
    <row r="2335" spans="2:6" ht="13.8" hidden="1" outlineLevel="1">
      <c r="B2335" s="187">
        <v>25875</v>
      </c>
      <c r="C2335" s="188" t="s">
        <v>380</v>
      </c>
      <c r="D2335" s="104">
        <f t="shared" si="36"/>
        <v>7.2400000000000006E-2</v>
      </c>
      <c r="F2335" s="5"/>
    </row>
    <row r="2336" spans="2:6" ht="13.8" hidden="1" outlineLevel="1">
      <c r="B2336" s="187">
        <v>25876</v>
      </c>
      <c r="C2336" s="188">
        <v>7.23</v>
      </c>
      <c r="D2336" s="104">
        <f t="shared" si="36"/>
        <v>7.2300000000000003E-2</v>
      </c>
      <c r="F2336" s="5"/>
    </row>
    <row r="2337" spans="2:6" ht="13.8" hidden="1" outlineLevel="1">
      <c r="B2337" s="187">
        <v>25877</v>
      </c>
      <c r="C2337" s="188">
        <v>7.2</v>
      </c>
      <c r="D2337" s="104">
        <f t="shared" si="36"/>
        <v>7.2000000000000008E-2</v>
      </c>
      <c r="F2337" s="5"/>
    </row>
    <row r="2338" spans="2:6" ht="13.8" hidden="1" outlineLevel="1">
      <c r="B2338" s="187">
        <v>25878</v>
      </c>
      <c r="C2338" s="188">
        <v>7.15</v>
      </c>
      <c r="D2338" s="104">
        <f t="shared" si="36"/>
        <v>7.1500000000000008E-2</v>
      </c>
      <c r="F2338" s="5"/>
    </row>
    <row r="2339" spans="2:6" ht="13.8" hidden="1" outlineLevel="1">
      <c r="B2339" s="187">
        <v>25881</v>
      </c>
      <c r="C2339" s="188">
        <v>7.06</v>
      </c>
      <c r="D2339" s="104">
        <f t="shared" si="36"/>
        <v>7.0599999999999996E-2</v>
      </c>
      <c r="F2339" s="5"/>
    </row>
    <row r="2340" spans="2:6" ht="13.8" hidden="1" outlineLevel="1">
      <c r="B2340" s="187">
        <v>25882</v>
      </c>
      <c r="C2340" s="188">
        <v>7.06</v>
      </c>
      <c r="D2340" s="104">
        <f t="shared" si="36"/>
        <v>7.0599999999999996E-2</v>
      </c>
      <c r="F2340" s="5"/>
    </row>
    <row r="2341" spans="2:6" ht="13.8" hidden="1" outlineLevel="1">
      <c r="B2341" s="187">
        <v>25883</v>
      </c>
      <c r="C2341" s="188" t="s">
        <v>380</v>
      </c>
      <c r="D2341" s="104">
        <f t="shared" si="36"/>
        <v>7.0599999999999996E-2</v>
      </c>
      <c r="F2341" s="5"/>
    </row>
    <row r="2342" spans="2:6" ht="13.8" hidden="1" outlineLevel="1">
      <c r="B2342" s="187">
        <v>25884</v>
      </c>
      <c r="C2342" s="188">
        <v>7.03</v>
      </c>
      <c r="D2342" s="104">
        <f t="shared" si="36"/>
        <v>7.0300000000000001E-2</v>
      </c>
      <c r="F2342" s="5"/>
    </row>
    <row r="2343" spans="2:6" ht="13.8" hidden="1" outlineLevel="1">
      <c r="B2343" s="187">
        <v>25885</v>
      </c>
      <c r="C2343" s="188">
        <v>7</v>
      </c>
      <c r="D2343" s="104">
        <f t="shared" si="36"/>
        <v>7.0000000000000007E-2</v>
      </c>
      <c r="F2343" s="5"/>
    </row>
    <row r="2344" spans="2:6" ht="13.8" hidden="1" outlineLevel="1">
      <c r="B2344" s="187">
        <v>25888</v>
      </c>
      <c r="C2344" s="188">
        <v>6.96</v>
      </c>
      <c r="D2344" s="104">
        <f t="shared" si="36"/>
        <v>6.9599999999999995E-2</v>
      </c>
      <c r="F2344" s="5"/>
    </row>
    <row r="2345" spans="2:6" ht="13.8" hidden="1" outlineLevel="1">
      <c r="B2345" s="187">
        <v>25889</v>
      </c>
      <c r="C2345" s="188">
        <v>6.93</v>
      </c>
      <c r="D2345" s="104">
        <f t="shared" si="36"/>
        <v>6.93E-2</v>
      </c>
      <c r="F2345" s="5"/>
    </row>
    <row r="2346" spans="2:6" ht="13.8" hidden="1" outlineLevel="1">
      <c r="B2346" s="187">
        <v>25890</v>
      </c>
      <c r="C2346" s="188">
        <v>6.86</v>
      </c>
      <c r="D2346" s="104">
        <f t="shared" si="36"/>
        <v>6.8600000000000008E-2</v>
      </c>
      <c r="F2346" s="5"/>
    </row>
    <row r="2347" spans="2:6" ht="13.8" hidden="1" outlineLevel="1">
      <c r="B2347" s="187">
        <v>25891</v>
      </c>
      <c r="C2347" s="188">
        <v>6.72</v>
      </c>
      <c r="D2347" s="104">
        <f t="shared" si="36"/>
        <v>6.7199999999999996E-2</v>
      </c>
      <c r="F2347" s="5"/>
    </row>
    <row r="2348" spans="2:6" ht="13.8" hidden="1" outlineLevel="1">
      <c r="B2348" s="187">
        <v>25892</v>
      </c>
      <c r="C2348" s="188">
        <v>6.48</v>
      </c>
      <c r="D2348" s="104">
        <f t="shared" si="36"/>
        <v>6.480000000000001E-2</v>
      </c>
      <c r="F2348" s="5"/>
    </row>
    <row r="2349" spans="2:6" ht="13.8" hidden="1" outlineLevel="1">
      <c r="B2349" s="187">
        <v>25895</v>
      </c>
      <c r="C2349" s="188">
        <v>6.32</v>
      </c>
      <c r="D2349" s="104">
        <f t="shared" si="36"/>
        <v>6.3200000000000006E-2</v>
      </c>
      <c r="F2349" s="5"/>
    </row>
    <row r="2350" spans="2:6" ht="13.8" hidden="1" outlineLevel="1">
      <c r="B2350" s="187">
        <v>25896</v>
      </c>
      <c r="C2350" s="188">
        <v>6.45</v>
      </c>
      <c r="D2350" s="104">
        <f t="shared" si="36"/>
        <v>6.4500000000000002E-2</v>
      </c>
      <c r="F2350" s="5"/>
    </row>
    <row r="2351" spans="2:6" ht="13.8" hidden="1" outlineLevel="1">
      <c r="B2351" s="187">
        <v>25897</v>
      </c>
      <c r="C2351" s="188">
        <v>6.48</v>
      </c>
      <c r="D2351" s="104">
        <f t="shared" si="36"/>
        <v>6.480000000000001E-2</v>
      </c>
      <c r="F2351" s="5"/>
    </row>
    <row r="2352" spans="2:6" ht="13.8" hidden="1" outlineLevel="1">
      <c r="B2352" s="187">
        <v>25898</v>
      </c>
      <c r="C2352" s="188" t="s">
        <v>380</v>
      </c>
      <c r="D2352" s="104">
        <f t="shared" si="36"/>
        <v>6.480000000000001E-2</v>
      </c>
      <c r="F2352" s="5"/>
    </row>
    <row r="2353" spans="2:6" ht="13.8" hidden="1" outlineLevel="1">
      <c r="B2353" s="187">
        <v>25899</v>
      </c>
      <c r="C2353" s="188">
        <v>6.48</v>
      </c>
      <c r="D2353" s="104">
        <f t="shared" si="36"/>
        <v>6.480000000000001E-2</v>
      </c>
      <c r="F2353" s="5"/>
    </row>
    <row r="2354" spans="2:6" ht="13.8" hidden="1" outlineLevel="1">
      <c r="B2354" s="187">
        <v>25902</v>
      </c>
      <c r="C2354" s="188">
        <v>6.49</v>
      </c>
      <c r="D2354" s="104">
        <f t="shared" si="36"/>
        <v>6.4899999999999999E-2</v>
      </c>
      <c r="F2354" s="5"/>
    </row>
    <row r="2355" spans="2:6" ht="13.8" hidden="1" outlineLevel="1">
      <c r="B2355" s="187">
        <v>25903</v>
      </c>
      <c r="C2355" s="188">
        <v>6.48</v>
      </c>
      <c r="D2355" s="104">
        <f t="shared" si="36"/>
        <v>6.480000000000001E-2</v>
      </c>
      <c r="F2355" s="5"/>
    </row>
    <row r="2356" spans="2:6" ht="13.8" hidden="1" outlineLevel="1">
      <c r="B2356" s="187">
        <v>25904</v>
      </c>
      <c r="C2356" s="188">
        <v>6.41</v>
      </c>
      <c r="D2356" s="104">
        <f t="shared" si="36"/>
        <v>6.4100000000000004E-2</v>
      </c>
      <c r="F2356" s="5"/>
    </row>
    <row r="2357" spans="2:6" ht="13.8" hidden="1" outlineLevel="1">
      <c r="B2357" s="187">
        <v>25905</v>
      </c>
      <c r="C2357" s="188">
        <v>6.31</v>
      </c>
      <c r="D2357" s="104">
        <f t="shared" si="36"/>
        <v>6.3099999999999989E-2</v>
      </c>
      <c r="F2357" s="5"/>
    </row>
    <row r="2358" spans="2:6" ht="13.8" hidden="1" outlineLevel="1">
      <c r="B2358" s="187">
        <v>25906</v>
      </c>
      <c r="C2358" s="188">
        <v>6.21</v>
      </c>
      <c r="D2358" s="104">
        <f t="shared" si="36"/>
        <v>6.2100000000000002E-2</v>
      </c>
      <c r="F2358" s="5"/>
    </row>
    <row r="2359" spans="2:6" ht="13.8" hidden="1" outlineLevel="1">
      <c r="B2359" s="187">
        <v>25909</v>
      </c>
      <c r="C2359" s="188">
        <v>6.27</v>
      </c>
      <c r="D2359" s="104">
        <f t="shared" si="36"/>
        <v>6.2699999999999992E-2</v>
      </c>
      <c r="F2359" s="5"/>
    </row>
    <row r="2360" spans="2:6" ht="13.8" hidden="1" outlineLevel="1">
      <c r="B2360" s="187">
        <v>25910</v>
      </c>
      <c r="C2360" s="188">
        <v>6.29</v>
      </c>
      <c r="D2360" s="104">
        <f t="shared" si="36"/>
        <v>6.2899999999999998E-2</v>
      </c>
      <c r="F2360" s="5"/>
    </row>
    <row r="2361" spans="2:6" ht="13.8" hidden="1" outlineLevel="1">
      <c r="B2361" s="187">
        <v>25911</v>
      </c>
      <c r="C2361" s="188">
        <v>6.34</v>
      </c>
      <c r="D2361" s="104">
        <f t="shared" si="36"/>
        <v>6.3399999999999998E-2</v>
      </c>
      <c r="F2361" s="5"/>
    </row>
    <row r="2362" spans="2:6" ht="13.8" hidden="1" outlineLevel="1">
      <c r="B2362" s="187">
        <v>25912</v>
      </c>
      <c r="C2362" s="188">
        <v>6.34</v>
      </c>
      <c r="D2362" s="104">
        <f t="shared" si="36"/>
        <v>6.3399999999999998E-2</v>
      </c>
      <c r="F2362" s="5"/>
    </row>
    <row r="2363" spans="2:6" ht="13.8" hidden="1" outlineLevel="1">
      <c r="B2363" s="187">
        <v>25913</v>
      </c>
      <c r="C2363" s="188">
        <v>6.31</v>
      </c>
      <c r="D2363" s="104">
        <f t="shared" si="36"/>
        <v>6.3099999999999989E-2</v>
      </c>
      <c r="F2363" s="5"/>
    </row>
    <row r="2364" spans="2:6" ht="13.8" hidden="1" outlineLevel="1">
      <c r="B2364" s="187">
        <v>25916</v>
      </c>
      <c r="C2364" s="188">
        <v>6.26</v>
      </c>
      <c r="D2364" s="104">
        <f t="shared" si="36"/>
        <v>6.2600000000000003E-2</v>
      </c>
      <c r="F2364" s="5"/>
    </row>
    <row r="2365" spans="2:6" ht="13.8" hidden="1" outlineLevel="1">
      <c r="B2365" s="187">
        <v>25917</v>
      </c>
      <c r="C2365" s="188">
        <v>6.29</v>
      </c>
      <c r="D2365" s="104">
        <f t="shared" si="36"/>
        <v>6.2899999999999998E-2</v>
      </c>
      <c r="F2365" s="5"/>
    </row>
    <row r="2366" spans="2:6" ht="13.8" hidden="1" outlineLevel="1">
      <c r="B2366" s="187">
        <v>25918</v>
      </c>
      <c r="C2366" s="188">
        <v>6.29</v>
      </c>
      <c r="D2366" s="104">
        <f t="shared" si="36"/>
        <v>6.2899999999999998E-2</v>
      </c>
      <c r="F2366" s="5"/>
    </row>
    <row r="2367" spans="2:6" ht="13.8" hidden="1" outlineLevel="1">
      <c r="B2367" s="187">
        <v>25919</v>
      </c>
      <c r="C2367" s="188">
        <v>6.3</v>
      </c>
      <c r="D2367" s="104">
        <f t="shared" si="36"/>
        <v>6.3E-2</v>
      </c>
      <c r="F2367" s="5"/>
    </row>
    <row r="2368" spans="2:6" ht="13.8" hidden="1" outlineLevel="1">
      <c r="B2368" s="187">
        <v>25920</v>
      </c>
      <c r="C2368" s="188">
        <v>6.33</v>
      </c>
      <c r="D2368" s="104">
        <f t="shared" si="36"/>
        <v>6.3299999999999995E-2</v>
      </c>
      <c r="F2368" s="5"/>
    </row>
    <row r="2369" spans="2:6" ht="13.8" hidden="1" outlineLevel="1">
      <c r="B2369" s="187">
        <v>25923</v>
      </c>
      <c r="C2369" s="188">
        <v>6.45</v>
      </c>
      <c r="D2369" s="104">
        <f t="shared" si="36"/>
        <v>6.4500000000000002E-2</v>
      </c>
      <c r="F2369" s="5"/>
    </row>
    <row r="2370" spans="2:6" ht="13.8" hidden="1" outlineLevel="1">
      <c r="B2370" s="187">
        <v>25924</v>
      </c>
      <c r="C2370" s="188">
        <v>6.52</v>
      </c>
      <c r="D2370" s="104">
        <f t="shared" si="36"/>
        <v>6.5199999999999994E-2</v>
      </c>
      <c r="F2370" s="5"/>
    </row>
    <row r="2371" spans="2:6" ht="13.8" hidden="1" outlineLevel="1">
      <c r="B2371" s="187">
        <v>25925</v>
      </c>
      <c r="C2371" s="188">
        <v>6.57</v>
      </c>
      <c r="D2371" s="104">
        <f t="shared" si="36"/>
        <v>6.5700000000000008E-2</v>
      </c>
      <c r="F2371" s="5"/>
    </row>
    <row r="2372" spans="2:6" ht="13.8" hidden="1" outlineLevel="1">
      <c r="B2372" s="187">
        <v>25926</v>
      </c>
      <c r="C2372" s="188">
        <v>6.53</v>
      </c>
      <c r="D2372" s="104">
        <f t="shared" si="36"/>
        <v>6.5299999999999997E-2</v>
      </c>
      <c r="F2372" s="5"/>
    </row>
    <row r="2373" spans="2:6" ht="13.8" hidden="1" outlineLevel="1">
      <c r="B2373" s="187">
        <v>25927</v>
      </c>
      <c r="C2373" s="188" t="s">
        <v>380</v>
      </c>
      <c r="D2373" s="104">
        <f t="shared" si="36"/>
        <v>6.5299999999999997E-2</v>
      </c>
      <c r="F2373" s="5"/>
    </row>
    <row r="2374" spans="2:6" ht="13.8" hidden="1" outlineLevel="1">
      <c r="B2374" s="187">
        <v>25930</v>
      </c>
      <c r="C2374" s="188">
        <v>6.54</v>
      </c>
      <c r="D2374" s="104">
        <f t="shared" si="36"/>
        <v>6.54E-2</v>
      </c>
      <c r="F2374" s="5"/>
    </row>
    <row r="2375" spans="2:6" ht="13.8" hidden="1" outlineLevel="1">
      <c r="B2375" s="187">
        <v>25931</v>
      </c>
      <c r="C2375" s="188">
        <v>6.56</v>
      </c>
      <c r="D2375" s="104">
        <f t="shared" si="36"/>
        <v>6.5599999999999992E-2</v>
      </c>
      <c r="F2375" s="5"/>
    </row>
    <row r="2376" spans="2:6" ht="13.8" hidden="1" outlineLevel="1">
      <c r="B2376" s="187">
        <v>25932</v>
      </c>
      <c r="C2376" s="188">
        <v>6.51</v>
      </c>
      <c r="D2376" s="104">
        <f t="shared" si="36"/>
        <v>6.5099999999999991E-2</v>
      </c>
      <c r="F2376" s="5"/>
    </row>
    <row r="2377" spans="2:6" ht="13.8" hidden="1" outlineLevel="1">
      <c r="B2377" s="187">
        <v>25933</v>
      </c>
      <c r="C2377" s="188">
        <v>6.5</v>
      </c>
      <c r="D2377" s="104">
        <f t="shared" si="36"/>
        <v>6.5000000000000002E-2</v>
      </c>
      <c r="F2377" s="5"/>
    </row>
    <row r="2378" spans="2:6" ht="13.8" hidden="1" outlineLevel="1">
      <c r="B2378" s="187">
        <v>25934</v>
      </c>
      <c r="C2378" s="188" t="s">
        <v>380</v>
      </c>
      <c r="D2378" s="104">
        <f t="shared" si="36"/>
        <v>6.5000000000000002E-2</v>
      </c>
      <c r="F2378" s="5"/>
    </row>
    <row r="2379" spans="2:6" ht="13.8" hidden="1" outlineLevel="1">
      <c r="B2379" s="187">
        <v>25937</v>
      </c>
      <c r="C2379" s="188">
        <v>6.46</v>
      </c>
      <c r="D2379" s="104">
        <f t="shared" si="36"/>
        <v>6.4600000000000005E-2</v>
      </c>
      <c r="F2379" s="5"/>
    </row>
    <row r="2380" spans="2:6" ht="13.8" hidden="1" outlineLevel="1">
      <c r="B2380" s="187">
        <v>25938</v>
      </c>
      <c r="C2380" s="188">
        <v>6.47</v>
      </c>
      <c r="D2380" s="104">
        <f t="shared" si="36"/>
        <v>6.4699999999999994E-2</v>
      </c>
      <c r="F2380" s="5"/>
    </row>
    <row r="2381" spans="2:6" ht="13.8" hidden="1" outlineLevel="1">
      <c r="B2381" s="187">
        <v>25939</v>
      </c>
      <c r="C2381" s="188">
        <v>6.47</v>
      </c>
      <c r="D2381" s="104">
        <f t="shared" si="36"/>
        <v>6.4699999999999994E-2</v>
      </c>
      <c r="F2381" s="5"/>
    </row>
    <row r="2382" spans="2:6" ht="13.8" hidden="1" outlineLevel="1">
      <c r="B2382" s="187">
        <v>25940</v>
      </c>
      <c r="C2382" s="188">
        <v>6.45</v>
      </c>
      <c r="D2382" s="104">
        <f t="shared" si="36"/>
        <v>6.4500000000000002E-2</v>
      </c>
      <c r="F2382" s="5"/>
    </row>
    <row r="2383" spans="2:6" ht="13.8" hidden="1" outlineLevel="1">
      <c r="B2383" s="187">
        <v>25941</v>
      </c>
      <c r="C2383" s="188">
        <v>6.44</v>
      </c>
      <c r="D2383" s="104">
        <f t="shared" si="36"/>
        <v>6.4399999999999999E-2</v>
      </c>
      <c r="F2383" s="5"/>
    </row>
    <row r="2384" spans="2:6" ht="13.8" hidden="1" outlineLevel="1">
      <c r="B2384" s="187">
        <v>25944</v>
      </c>
      <c r="C2384" s="188">
        <v>6.39</v>
      </c>
      <c r="D2384" s="104">
        <f t="shared" si="36"/>
        <v>6.3899999999999998E-2</v>
      </c>
      <c r="F2384" s="5"/>
    </row>
    <row r="2385" spans="2:6" ht="13.8" hidden="1" outlineLevel="1">
      <c r="B2385" s="187">
        <v>25945</v>
      </c>
      <c r="C2385" s="188">
        <v>6.35</v>
      </c>
      <c r="D2385" s="104">
        <f t="shared" si="36"/>
        <v>6.3500000000000001E-2</v>
      </c>
      <c r="F2385" s="5"/>
    </row>
    <row r="2386" spans="2:6" ht="13.8" hidden="1" outlineLevel="1">
      <c r="B2386" s="187">
        <v>25946</v>
      </c>
      <c r="C2386" s="188">
        <v>6.29</v>
      </c>
      <c r="D2386" s="104">
        <f t="shared" si="36"/>
        <v>6.2899999999999998E-2</v>
      </c>
      <c r="F2386" s="5"/>
    </row>
    <row r="2387" spans="2:6" ht="13.8" hidden="1" outlineLevel="1">
      <c r="B2387" s="187">
        <v>25947</v>
      </c>
      <c r="C2387" s="188">
        <v>6.22</v>
      </c>
      <c r="D2387" s="104">
        <f t="shared" si="36"/>
        <v>6.2199999999999998E-2</v>
      </c>
      <c r="F2387" s="5"/>
    </row>
    <row r="2388" spans="2:6" ht="13.8" hidden="1" outlineLevel="1">
      <c r="B2388" s="187">
        <v>25948</v>
      </c>
      <c r="C2388" s="188">
        <v>6.22</v>
      </c>
      <c r="D2388" s="104">
        <f t="shared" si="36"/>
        <v>6.2199999999999998E-2</v>
      </c>
      <c r="F2388" s="5"/>
    </row>
    <row r="2389" spans="2:6" ht="13.8" hidden="1" outlineLevel="1">
      <c r="B2389" s="187">
        <v>25951</v>
      </c>
      <c r="C2389" s="188">
        <v>6.16</v>
      </c>
      <c r="D2389" s="104">
        <f t="shared" si="36"/>
        <v>6.1600000000000002E-2</v>
      </c>
      <c r="F2389" s="5"/>
    </row>
    <row r="2390" spans="2:6" ht="13.8" hidden="1" outlineLevel="1">
      <c r="B2390" s="187">
        <v>25952</v>
      </c>
      <c r="C2390" s="188">
        <v>6.17</v>
      </c>
      <c r="D2390" s="104">
        <f t="shared" si="36"/>
        <v>6.1699999999999998E-2</v>
      </c>
      <c r="F2390" s="5"/>
    </row>
    <row r="2391" spans="2:6" ht="13.8" hidden="1" outlineLevel="1">
      <c r="B2391" s="187">
        <v>25953</v>
      </c>
      <c r="C2391" s="188">
        <v>6.15</v>
      </c>
      <c r="D2391" s="104">
        <f t="shared" si="36"/>
        <v>6.1500000000000006E-2</v>
      </c>
      <c r="F2391" s="5"/>
    </row>
    <row r="2392" spans="2:6" ht="13.8" hidden="1" outlineLevel="1">
      <c r="B2392" s="187">
        <v>25954</v>
      </c>
      <c r="C2392" s="188">
        <v>6.09</v>
      </c>
      <c r="D2392" s="104">
        <f t="shared" si="36"/>
        <v>6.0899999999999996E-2</v>
      </c>
      <c r="F2392" s="5"/>
    </row>
    <row r="2393" spans="2:6" ht="13.8" hidden="1" outlineLevel="1">
      <c r="B2393" s="187">
        <v>25955</v>
      </c>
      <c r="C2393" s="188">
        <v>6.06</v>
      </c>
      <c r="D2393" s="104">
        <f t="shared" si="36"/>
        <v>6.0599999999999994E-2</v>
      </c>
      <c r="F2393" s="5"/>
    </row>
    <row r="2394" spans="2:6" ht="13.8" hidden="1" outlineLevel="1">
      <c r="B2394" s="187">
        <v>25958</v>
      </c>
      <c r="C2394" s="188">
        <v>6.05</v>
      </c>
      <c r="D2394" s="104">
        <f t="shared" si="36"/>
        <v>6.0499999999999998E-2</v>
      </c>
      <c r="F2394" s="5"/>
    </row>
    <row r="2395" spans="2:6" ht="13.8" hidden="1" outlineLevel="1">
      <c r="B2395" s="187">
        <v>25959</v>
      </c>
      <c r="C2395" s="188">
        <v>6.07</v>
      </c>
      <c r="D2395" s="104">
        <f t="shared" si="36"/>
        <v>6.0700000000000004E-2</v>
      </c>
      <c r="F2395" s="5"/>
    </row>
    <row r="2396" spans="2:6" ht="13.8" hidden="1" outlineLevel="1">
      <c r="B2396" s="187">
        <v>25960</v>
      </c>
      <c r="C2396" s="188">
        <v>6.09</v>
      </c>
      <c r="D2396" s="104">
        <f t="shared" si="36"/>
        <v>6.0899999999999996E-2</v>
      </c>
      <c r="F2396" s="5"/>
    </row>
    <row r="2397" spans="2:6" ht="13.8" hidden="1" outlineLevel="1">
      <c r="B2397" s="187">
        <v>25961</v>
      </c>
      <c r="C2397" s="188">
        <v>6.08</v>
      </c>
      <c r="D2397" s="104">
        <f t="shared" si="36"/>
        <v>6.08E-2</v>
      </c>
      <c r="F2397" s="5"/>
    </row>
    <row r="2398" spans="2:6" ht="13.8" hidden="1" outlineLevel="1">
      <c r="B2398" s="187">
        <v>25962</v>
      </c>
      <c r="C2398" s="188">
        <v>6.09</v>
      </c>
      <c r="D2398" s="104">
        <f t="shared" ref="D2398:D2461" si="37">IF( LEN( C2398 ) = 0, #N/A, IF( C2398 = "ND", D2397, C2398 / 100 ) )</f>
        <v>6.0899999999999996E-2</v>
      </c>
      <c r="F2398" s="5"/>
    </row>
    <row r="2399" spans="2:6" ht="13.8" hidden="1" outlineLevel="1">
      <c r="B2399" s="187">
        <v>25965</v>
      </c>
      <c r="C2399" s="188">
        <v>6.09</v>
      </c>
      <c r="D2399" s="104">
        <f t="shared" si="37"/>
        <v>6.0899999999999996E-2</v>
      </c>
      <c r="F2399" s="5"/>
    </row>
    <row r="2400" spans="2:6" ht="13.8" hidden="1" outlineLevel="1">
      <c r="B2400" s="187">
        <v>25966</v>
      </c>
      <c r="C2400" s="188">
        <v>6.11</v>
      </c>
      <c r="D2400" s="104">
        <f t="shared" si="37"/>
        <v>6.1100000000000002E-2</v>
      </c>
      <c r="F2400" s="5"/>
    </row>
    <row r="2401" spans="2:6" ht="13.8" hidden="1" outlineLevel="1">
      <c r="B2401" s="187">
        <v>25967</v>
      </c>
      <c r="C2401" s="188">
        <v>6.11</v>
      </c>
      <c r="D2401" s="104">
        <f t="shared" si="37"/>
        <v>6.1100000000000002E-2</v>
      </c>
      <c r="F2401" s="5"/>
    </row>
    <row r="2402" spans="2:6" ht="13.8" hidden="1" outlineLevel="1">
      <c r="B2402" s="187">
        <v>25968</v>
      </c>
      <c r="C2402" s="188">
        <v>6.1</v>
      </c>
      <c r="D2402" s="104">
        <f t="shared" si="37"/>
        <v>6.0999999999999999E-2</v>
      </c>
      <c r="F2402" s="5"/>
    </row>
    <row r="2403" spans="2:6" ht="13.8" hidden="1" outlineLevel="1">
      <c r="B2403" s="187">
        <v>25969</v>
      </c>
      <c r="C2403" s="188">
        <v>6.1</v>
      </c>
      <c r="D2403" s="104">
        <f t="shared" si="37"/>
        <v>6.0999999999999999E-2</v>
      </c>
      <c r="F2403" s="5"/>
    </row>
    <row r="2404" spans="2:6" ht="13.8" hidden="1" outlineLevel="1">
      <c r="B2404" s="187">
        <v>25972</v>
      </c>
      <c r="C2404" s="188">
        <v>6.09</v>
      </c>
      <c r="D2404" s="104">
        <f t="shared" si="37"/>
        <v>6.0899999999999996E-2</v>
      </c>
      <c r="F2404" s="5"/>
    </row>
    <row r="2405" spans="2:6" ht="13.8" hidden="1" outlineLevel="1">
      <c r="B2405" s="187">
        <v>25973</v>
      </c>
      <c r="C2405" s="188">
        <v>6.07</v>
      </c>
      <c r="D2405" s="104">
        <f t="shared" si="37"/>
        <v>6.0700000000000004E-2</v>
      </c>
      <c r="F2405" s="5"/>
    </row>
    <row r="2406" spans="2:6" ht="13.8" hidden="1" outlineLevel="1">
      <c r="B2406" s="187">
        <v>25974</v>
      </c>
      <c r="C2406" s="188">
        <v>6.08</v>
      </c>
      <c r="D2406" s="104">
        <f t="shared" si="37"/>
        <v>6.08E-2</v>
      </c>
      <c r="F2406" s="5"/>
    </row>
    <row r="2407" spans="2:6" ht="13.8" hidden="1" outlineLevel="1">
      <c r="B2407" s="187">
        <v>25975</v>
      </c>
      <c r="C2407" s="188">
        <v>6.08</v>
      </c>
      <c r="D2407" s="104">
        <f t="shared" si="37"/>
        <v>6.08E-2</v>
      </c>
      <c r="F2407" s="5"/>
    </row>
    <row r="2408" spans="2:6" ht="13.8" hidden="1" outlineLevel="1">
      <c r="B2408" s="187">
        <v>25976</v>
      </c>
      <c r="C2408" s="188" t="s">
        <v>380</v>
      </c>
      <c r="D2408" s="104">
        <f t="shared" si="37"/>
        <v>6.08E-2</v>
      </c>
      <c r="F2408" s="5"/>
    </row>
    <row r="2409" spans="2:6" ht="13.8" hidden="1" outlineLevel="1">
      <c r="B2409" s="187">
        <v>25979</v>
      </c>
      <c r="C2409" s="188" t="s">
        <v>380</v>
      </c>
      <c r="D2409" s="104">
        <f t="shared" si="37"/>
        <v>6.08E-2</v>
      </c>
      <c r="F2409" s="5"/>
    </row>
    <row r="2410" spans="2:6" ht="13.8" hidden="1" outlineLevel="1">
      <c r="B2410" s="187">
        <v>25980</v>
      </c>
      <c r="C2410" s="188">
        <v>6.11</v>
      </c>
      <c r="D2410" s="104">
        <f t="shared" si="37"/>
        <v>6.1100000000000002E-2</v>
      </c>
      <c r="F2410" s="5"/>
    </row>
    <row r="2411" spans="2:6" ht="13.8" hidden="1" outlineLevel="1">
      <c r="B2411" s="187">
        <v>25981</v>
      </c>
      <c r="C2411" s="188">
        <v>6.11</v>
      </c>
      <c r="D2411" s="104">
        <f t="shared" si="37"/>
        <v>6.1100000000000002E-2</v>
      </c>
      <c r="F2411" s="5"/>
    </row>
    <row r="2412" spans="2:6" ht="13.8" hidden="1" outlineLevel="1">
      <c r="B2412" s="187">
        <v>25982</v>
      </c>
      <c r="C2412" s="188">
        <v>6.11</v>
      </c>
      <c r="D2412" s="104">
        <f t="shared" si="37"/>
        <v>6.1100000000000002E-2</v>
      </c>
      <c r="F2412" s="5"/>
    </row>
    <row r="2413" spans="2:6" ht="13.8" hidden="1" outlineLevel="1">
      <c r="B2413" s="187">
        <v>25983</v>
      </c>
      <c r="C2413" s="188">
        <v>6.12</v>
      </c>
      <c r="D2413" s="104">
        <f t="shared" si="37"/>
        <v>6.1200000000000004E-2</v>
      </c>
      <c r="F2413" s="5"/>
    </row>
    <row r="2414" spans="2:6" ht="13.8" hidden="1" outlineLevel="1">
      <c r="B2414" s="187">
        <v>25986</v>
      </c>
      <c r="C2414" s="188">
        <v>6.15</v>
      </c>
      <c r="D2414" s="104">
        <f t="shared" si="37"/>
        <v>6.1500000000000006E-2</v>
      </c>
      <c r="F2414" s="5"/>
    </row>
    <row r="2415" spans="2:6" ht="13.8" hidden="1" outlineLevel="1">
      <c r="B2415" s="187">
        <v>25987</v>
      </c>
      <c r="C2415" s="188">
        <v>6.18</v>
      </c>
      <c r="D2415" s="104">
        <f t="shared" si="37"/>
        <v>6.1799999999999994E-2</v>
      </c>
      <c r="F2415" s="5"/>
    </row>
    <row r="2416" spans="2:6" ht="13.8" hidden="1" outlineLevel="1">
      <c r="B2416" s="187">
        <v>25988</v>
      </c>
      <c r="C2416" s="188">
        <v>6.16</v>
      </c>
      <c r="D2416" s="104">
        <f t="shared" si="37"/>
        <v>6.1600000000000002E-2</v>
      </c>
      <c r="F2416" s="5"/>
    </row>
    <row r="2417" spans="2:6" ht="13.8" hidden="1" outlineLevel="1">
      <c r="B2417" s="187">
        <v>25989</v>
      </c>
      <c r="C2417" s="188">
        <v>6.11</v>
      </c>
      <c r="D2417" s="104">
        <f t="shared" si="37"/>
        <v>6.1100000000000002E-2</v>
      </c>
      <c r="F2417" s="5"/>
    </row>
    <row r="2418" spans="2:6" ht="13.8" hidden="1" outlineLevel="1">
      <c r="B2418" s="187">
        <v>25990</v>
      </c>
      <c r="C2418" s="188">
        <v>6.14</v>
      </c>
      <c r="D2418" s="104">
        <f t="shared" si="37"/>
        <v>6.1399999999999996E-2</v>
      </c>
      <c r="F2418" s="5"/>
    </row>
    <row r="2419" spans="2:6" ht="13.8" hidden="1" outlineLevel="1">
      <c r="B2419" s="187">
        <v>25993</v>
      </c>
      <c r="C2419" s="188">
        <v>6.12</v>
      </c>
      <c r="D2419" s="104">
        <f t="shared" si="37"/>
        <v>6.1200000000000004E-2</v>
      </c>
      <c r="F2419" s="5"/>
    </row>
    <row r="2420" spans="2:6" ht="13.8" hidden="1" outlineLevel="1">
      <c r="B2420" s="187">
        <v>25994</v>
      </c>
      <c r="C2420" s="188">
        <v>6.09</v>
      </c>
      <c r="D2420" s="104">
        <f t="shared" si="37"/>
        <v>6.0899999999999996E-2</v>
      </c>
      <c r="F2420" s="5"/>
    </row>
    <row r="2421" spans="2:6" ht="13.8" hidden="1" outlineLevel="1">
      <c r="B2421" s="187">
        <v>25995</v>
      </c>
      <c r="C2421" s="188">
        <v>6.05</v>
      </c>
      <c r="D2421" s="104">
        <f t="shared" si="37"/>
        <v>6.0499999999999998E-2</v>
      </c>
      <c r="F2421" s="5"/>
    </row>
    <row r="2422" spans="2:6" ht="13.8" hidden="1" outlineLevel="1">
      <c r="B2422" s="187">
        <v>25996</v>
      </c>
      <c r="C2422" s="188">
        <v>6.05</v>
      </c>
      <c r="D2422" s="104">
        <f t="shared" si="37"/>
        <v>6.0499999999999998E-2</v>
      </c>
      <c r="F2422" s="5"/>
    </row>
    <row r="2423" spans="2:6" ht="13.8" hidden="1" outlineLevel="1">
      <c r="B2423" s="187">
        <v>25997</v>
      </c>
      <c r="C2423" s="188">
        <v>6.03</v>
      </c>
      <c r="D2423" s="104">
        <f t="shared" si="37"/>
        <v>6.0299999999999999E-2</v>
      </c>
      <c r="F2423" s="5"/>
    </row>
    <row r="2424" spans="2:6" ht="13.8" hidden="1" outlineLevel="1">
      <c r="B2424" s="187">
        <v>26000</v>
      </c>
      <c r="C2424" s="188">
        <v>5.99</v>
      </c>
      <c r="D2424" s="104">
        <f t="shared" si="37"/>
        <v>5.9900000000000002E-2</v>
      </c>
      <c r="F2424" s="5"/>
    </row>
    <row r="2425" spans="2:6" ht="13.8" hidden="1" outlineLevel="1">
      <c r="B2425" s="187">
        <v>26001</v>
      </c>
      <c r="C2425" s="188">
        <v>5.9</v>
      </c>
      <c r="D2425" s="104">
        <f t="shared" si="37"/>
        <v>5.9000000000000004E-2</v>
      </c>
      <c r="F2425" s="5"/>
    </row>
    <row r="2426" spans="2:6" ht="13.8" hidden="1" outlineLevel="1">
      <c r="B2426" s="187">
        <v>26002</v>
      </c>
      <c r="C2426" s="188">
        <v>5.8</v>
      </c>
      <c r="D2426" s="104">
        <f t="shared" si="37"/>
        <v>5.7999999999999996E-2</v>
      </c>
      <c r="F2426" s="5"/>
    </row>
    <row r="2427" spans="2:6" ht="13.8" hidden="1" outlineLevel="1">
      <c r="B2427" s="187">
        <v>26003</v>
      </c>
      <c r="C2427" s="188">
        <v>5.69</v>
      </c>
      <c r="D2427" s="104">
        <f t="shared" si="37"/>
        <v>5.6900000000000006E-2</v>
      </c>
      <c r="F2427" s="5"/>
    </row>
    <row r="2428" spans="2:6" ht="13.8" hidden="1" outlineLevel="1">
      <c r="B2428" s="187">
        <v>26004</v>
      </c>
      <c r="C2428" s="188">
        <v>5.72</v>
      </c>
      <c r="D2428" s="104">
        <f t="shared" si="37"/>
        <v>5.7200000000000001E-2</v>
      </c>
      <c r="F2428" s="5"/>
    </row>
    <row r="2429" spans="2:6" ht="13.8" hidden="1" outlineLevel="1">
      <c r="B2429" s="187">
        <v>26007</v>
      </c>
      <c r="C2429" s="188">
        <v>5.7</v>
      </c>
      <c r="D2429" s="104">
        <f t="shared" si="37"/>
        <v>5.7000000000000002E-2</v>
      </c>
      <c r="F2429" s="5"/>
    </row>
    <row r="2430" spans="2:6" ht="13.8" hidden="1" outlineLevel="1">
      <c r="B2430" s="187">
        <v>26008</v>
      </c>
      <c r="C2430" s="188">
        <v>5.68</v>
      </c>
      <c r="D2430" s="104">
        <f t="shared" si="37"/>
        <v>5.6799999999999996E-2</v>
      </c>
      <c r="F2430" s="5"/>
    </row>
    <row r="2431" spans="2:6" ht="13.8" hidden="1" outlineLevel="1">
      <c r="B2431" s="187">
        <v>26009</v>
      </c>
      <c r="C2431" s="188">
        <v>5.61</v>
      </c>
      <c r="D2431" s="104">
        <f t="shared" si="37"/>
        <v>5.6100000000000004E-2</v>
      </c>
      <c r="F2431" s="5"/>
    </row>
    <row r="2432" spans="2:6" ht="13.8" hidden="1" outlineLevel="1">
      <c r="B2432" s="187">
        <v>26010</v>
      </c>
      <c r="C2432" s="188">
        <v>5.55</v>
      </c>
      <c r="D2432" s="104">
        <f t="shared" si="37"/>
        <v>5.5500000000000001E-2</v>
      </c>
      <c r="F2432" s="5"/>
    </row>
    <row r="2433" spans="2:6" ht="13.8" hidden="1" outlineLevel="1">
      <c r="B2433" s="187">
        <v>26011</v>
      </c>
      <c r="C2433" s="188">
        <v>5.51</v>
      </c>
      <c r="D2433" s="104">
        <f t="shared" si="37"/>
        <v>5.5099999999999996E-2</v>
      </c>
      <c r="F2433" s="5"/>
    </row>
    <row r="2434" spans="2:6" ht="13.8" hidden="1" outlineLevel="1">
      <c r="B2434" s="187">
        <v>26014</v>
      </c>
      <c r="C2434" s="188">
        <v>5.42</v>
      </c>
      <c r="D2434" s="104">
        <f t="shared" si="37"/>
        <v>5.4199999999999998E-2</v>
      </c>
      <c r="F2434" s="5"/>
    </row>
    <row r="2435" spans="2:6" ht="13.8" hidden="1" outlineLevel="1">
      <c r="B2435" s="187">
        <v>26015</v>
      </c>
      <c r="C2435" s="188">
        <v>5.38</v>
      </c>
      <c r="D2435" s="104">
        <f t="shared" si="37"/>
        <v>5.3800000000000001E-2</v>
      </c>
      <c r="F2435" s="5"/>
    </row>
    <row r="2436" spans="2:6" ht="13.8" hidden="1" outlineLevel="1">
      <c r="B2436" s="187">
        <v>26016</v>
      </c>
      <c r="C2436" s="188">
        <v>5.41</v>
      </c>
      <c r="D2436" s="104">
        <f t="shared" si="37"/>
        <v>5.4100000000000002E-2</v>
      </c>
      <c r="F2436" s="5"/>
    </row>
    <row r="2437" spans="2:6" ht="13.8" hidden="1" outlineLevel="1">
      <c r="B2437" s="187">
        <v>26017</v>
      </c>
      <c r="C2437" s="188">
        <v>5.43</v>
      </c>
      <c r="D2437" s="104">
        <f t="shared" si="37"/>
        <v>5.4299999999999994E-2</v>
      </c>
      <c r="F2437" s="5"/>
    </row>
    <row r="2438" spans="2:6" ht="13.8" hidden="1" outlineLevel="1">
      <c r="B2438" s="187">
        <v>26018</v>
      </c>
      <c r="C2438" s="188">
        <v>5.48</v>
      </c>
      <c r="D2438" s="104">
        <f t="shared" si="37"/>
        <v>5.4800000000000001E-2</v>
      </c>
      <c r="F2438" s="5"/>
    </row>
    <row r="2439" spans="2:6" ht="13.8" hidden="1" outlineLevel="1">
      <c r="B2439" s="187">
        <v>26021</v>
      </c>
      <c r="C2439" s="188">
        <v>5.54</v>
      </c>
      <c r="D2439" s="104">
        <f t="shared" si="37"/>
        <v>5.5399999999999998E-2</v>
      </c>
      <c r="F2439" s="5"/>
    </row>
    <row r="2440" spans="2:6" ht="13.8" hidden="1" outlineLevel="1">
      <c r="B2440" s="187">
        <v>26022</v>
      </c>
      <c r="C2440" s="188">
        <v>5.5</v>
      </c>
      <c r="D2440" s="104">
        <f t="shared" si="37"/>
        <v>5.5E-2</v>
      </c>
      <c r="F2440" s="5"/>
    </row>
    <row r="2441" spans="2:6" ht="13.8" hidden="1" outlineLevel="1">
      <c r="B2441" s="187">
        <v>26023</v>
      </c>
      <c r="C2441" s="188">
        <v>5.53</v>
      </c>
      <c r="D2441" s="104">
        <f t="shared" si="37"/>
        <v>5.5300000000000002E-2</v>
      </c>
      <c r="F2441" s="5"/>
    </row>
    <row r="2442" spans="2:6" ht="13.8" hidden="1" outlineLevel="1">
      <c r="B2442" s="187">
        <v>26024</v>
      </c>
      <c r="C2442" s="188">
        <v>5.58</v>
      </c>
      <c r="D2442" s="104">
        <f t="shared" si="37"/>
        <v>5.5800000000000002E-2</v>
      </c>
      <c r="F2442" s="5"/>
    </row>
    <row r="2443" spans="2:6" ht="13.8" hidden="1" outlineLevel="1">
      <c r="B2443" s="187">
        <v>26025</v>
      </c>
      <c r="C2443" s="188">
        <v>5.6</v>
      </c>
      <c r="D2443" s="104">
        <f t="shared" si="37"/>
        <v>5.5999999999999994E-2</v>
      </c>
      <c r="F2443" s="5"/>
    </row>
    <row r="2444" spans="2:6" ht="13.8" hidden="1" outlineLevel="1">
      <c r="B2444" s="187">
        <v>26028</v>
      </c>
      <c r="C2444" s="188">
        <v>5.63</v>
      </c>
      <c r="D2444" s="104">
        <f t="shared" si="37"/>
        <v>5.6299999999999996E-2</v>
      </c>
      <c r="F2444" s="5"/>
    </row>
    <row r="2445" spans="2:6" ht="13.8" hidden="1" outlineLevel="1">
      <c r="B2445" s="187">
        <v>26029</v>
      </c>
      <c r="C2445" s="188">
        <v>5.6</v>
      </c>
      <c r="D2445" s="104">
        <f t="shared" si="37"/>
        <v>5.5999999999999994E-2</v>
      </c>
      <c r="F2445" s="5"/>
    </row>
    <row r="2446" spans="2:6" ht="13.8" hidden="1" outlineLevel="1">
      <c r="B2446" s="187">
        <v>26030</v>
      </c>
      <c r="C2446" s="188">
        <v>5.58</v>
      </c>
      <c r="D2446" s="104">
        <f t="shared" si="37"/>
        <v>5.5800000000000002E-2</v>
      </c>
      <c r="F2446" s="5"/>
    </row>
    <row r="2447" spans="2:6" ht="13.8" hidden="1" outlineLevel="1">
      <c r="B2447" s="187">
        <v>26031</v>
      </c>
      <c r="C2447" s="188">
        <v>5.62</v>
      </c>
      <c r="D2447" s="104">
        <f t="shared" si="37"/>
        <v>5.62E-2</v>
      </c>
      <c r="F2447" s="5"/>
    </row>
    <row r="2448" spans="2:6" ht="13.8" hidden="1" outlineLevel="1">
      <c r="B2448" s="187">
        <v>26032</v>
      </c>
      <c r="C2448" s="188" t="s">
        <v>380</v>
      </c>
      <c r="D2448" s="104">
        <f t="shared" si="37"/>
        <v>5.62E-2</v>
      </c>
      <c r="F2448" s="5"/>
    </row>
    <row r="2449" spans="2:6" ht="13.8" hidden="1" outlineLevel="1">
      <c r="B2449" s="187">
        <v>26035</v>
      </c>
      <c r="C2449" s="188">
        <v>5.73</v>
      </c>
      <c r="D2449" s="104">
        <f t="shared" si="37"/>
        <v>5.7300000000000004E-2</v>
      </c>
      <c r="F2449" s="5"/>
    </row>
    <row r="2450" spans="2:6" ht="13.8" hidden="1" outlineLevel="1">
      <c r="B2450" s="187">
        <v>26036</v>
      </c>
      <c r="C2450" s="188">
        <v>5.72</v>
      </c>
      <c r="D2450" s="104">
        <f t="shared" si="37"/>
        <v>5.7200000000000001E-2</v>
      </c>
      <c r="F2450" s="5"/>
    </row>
    <row r="2451" spans="2:6" ht="13.8" hidden="1" outlineLevel="1">
      <c r="B2451" s="187">
        <v>26037</v>
      </c>
      <c r="C2451" s="188">
        <v>5.77</v>
      </c>
      <c r="D2451" s="104">
        <f t="shared" si="37"/>
        <v>5.7699999999999994E-2</v>
      </c>
      <c r="F2451" s="5"/>
    </row>
    <row r="2452" spans="2:6" ht="13.8" hidden="1" outlineLevel="1">
      <c r="B2452" s="187">
        <v>26038</v>
      </c>
      <c r="C2452" s="188">
        <v>5.8</v>
      </c>
      <c r="D2452" s="104">
        <f t="shared" si="37"/>
        <v>5.7999999999999996E-2</v>
      </c>
      <c r="F2452" s="5"/>
    </row>
    <row r="2453" spans="2:6" ht="13.8" hidden="1" outlineLevel="1">
      <c r="B2453" s="187">
        <v>26039</v>
      </c>
      <c r="C2453" s="188">
        <v>5.82</v>
      </c>
      <c r="D2453" s="104">
        <f t="shared" si="37"/>
        <v>5.8200000000000002E-2</v>
      </c>
      <c r="F2453" s="5"/>
    </row>
    <row r="2454" spans="2:6" ht="13.8" hidden="1" outlineLevel="1">
      <c r="B2454" s="187">
        <v>26042</v>
      </c>
      <c r="C2454" s="188">
        <v>5.88</v>
      </c>
      <c r="D2454" s="104">
        <f t="shared" si="37"/>
        <v>5.8799999999999998E-2</v>
      </c>
      <c r="F2454" s="5"/>
    </row>
    <row r="2455" spans="2:6" ht="13.8" hidden="1" outlineLevel="1">
      <c r="B2455" s="187">
        <v>26043</v>
      </c>
      <c r="C2455" s="188">
        <v>5.97</v>
      </c>
      <c r="D2455" s="104">
        <f t="shared" si="37"/>
        <v>5.9699999999999996E-2</v>
      </c>
      <c r="F2455" s="5"/>
    </row>
    <row r="2456" spans="2:6" ht="13.8" hidden="1" outlineLevel="1">
      <c r="B2456" s="187">
        <v>26044</v>
      </c>
      <c r="C2456" s="188">
        <v>6.04</v>
      </c>
      <c r="D2456" s="104">
        <f t="shared" si="37"/>
        <v>6.0400000000000002E-2</v>
      </c>
      <c r="F2456" s="5"/>
    </row>
    <row r="2457" spans="2:6" ht="13.8" hidden="1" outlineLevel="1">
      <c r="B2457" s="187">
        <v>26045</v>
      </c>
      <c r="C2457" s="188">
        <v>6.02</v>
      </c>
      <c r="D2457" s="104">
        <f t="shared" si="37"/>
        <v>6.0199999999999997E-2</v>
      </c>
      <c r="F2457" s="5"/>
    </row>
    <row r="2458" spans="2:6" ht="13.8" hidden="1" outlineLevel="1">
      <c r="B2458" s="187">
        <v>26046</v>
      </c>
      <c r="C2458" s="188">
        <v>6.01</v>
      </c>
      <c r="D2458" s="104">
        <f t="shared" si="37"/>
        <v>6.0100000000000001E-2</v>
      </c>
      <c r="F2458" s="5"/>
    </row>
    <row r="2459" spans="2:6" ht="13.8" hidden="1" outlineLevel="1">
      <c r="B2459" s="187">
        <v>26049</v>
      </c>
      <c r="C2459" s="188">
        <v>6</v>
      </c>
      <c r="D2459" s="104">
        <f t="shared" si="37"/>
        <v>0.06</v>
      </c>
      <c r="F2459" s="5"/>
    </row>
    <row r="2460" spans="2:6" ht="13.8" hidden="1" outlineLevel="1">
      <c r="B2460" s="187">
        <v>26050</v>
      </c>
      <c r="C2460" s="188">
        <v>6</v>
      </c>
      <c r="D2460" s="104">
        <f t="shared" si="37"/>
        <v>0.06</v>
      </c>
      <c r="F2460" s="5"/>
    </row>
    <row r="2461" spans="2:6" ht="13.8" hidden="1" outlineLevel="1">
      <c r="B2461" s="187">
        <v>26051</v>
      </c>
      <c r="C2461" s="188">
        <v>5.99</v>
      </c>
      <c r="D2461" s="104">
        <f t="shared" si="37"/>
        <v>5.9900000000000002E-2</v>
      </c>
      <c r="F2461" s="5"/>
    </row>
    <row r="2462" spans="2:6" ht="13.8" hidden="1" outlineLevel="1">
      <c r="B2462" s="187">
        <v>26052</v>
      </c>
      <c r="C2462" s="188">
        <v>6.07</v>
      </c>
      <c r="D2462" s="104">
        <f t="shared" ref="D2462:D2525" si="38">IF( LEN( C2462 ) = 0, #N/A, IF( C2462 = "ND", D2461, C2462 / 100 ) )</f>
        <v>6.0700000000000004E-2</v>
      </c>
      <c r="F2462" s="5"/>
    </row>
    <row r="2463" spans="2:6" ht="13.8" hidden="1" outlineLevel="1">
      <c r="B2463" s="187">
        <v>26053</v>
      </c>
      <c r="C2463" s="188">
        <v>6.08</v>
      </c>
      <c r="D2463" s="104">
        <f t="shared" si="38"/>
        <v>6.08E-2</v>
      </c>
      <c r="F2463" s="5"/>
    </row>
    <row r="2464" spans="2:6" ht="13.8" hidden="1" outlineLevel="1">
      <c r="B2464" s="187">
        <v>26056</v>
      </c>
      <c r="C2464" s="188">
        <v>6.15</v>
      </c>
      <c r="D2464" s="104">
        <f t="shared" si="38"/>
        <v>6.1500000000000006E-2</v>
      </c>
      <c r="F2464" s="5"/>
    </row>
    <row r="2465" spans="2:6" ht="13.8" hidden="1" outlineLevel="1">
      <c r="B2465" s="187">
        <v>26057</v>
      </c>
      <c r="C2465" s="188">
        <v>6.25</v>
      </c>
      <c r="D2465" s="104">
        <f t="shared" si="38"/>
        <v>6.25E-2</v>
      </c>
      <c r="F2465" s="5"/>
    </row>
    <row r="2466" spans="2:6" ht="13.8" hidden="1" outlineLevel="1">
      <c r="B2466" s="187">
        <v>26058</v>
      </c>
      <c r="C2466" s="188">
        <v>6.26</v>
      </c>
      <c r="D2466" s="104">
        <f t="shared" si="38"/>
        <v>6.2600000000000003E-2</v>
      </c>
      <c r="F2466" s="5"/>
    </row>
    <row r="2467" spans="2:6" ht="13.8" hidden="1" outlineLevel="1">
      <c r="B2467" s="187">
        <v>26059</v>
      </c>
      <c r="C2467" s="188">
        <v>6.28</v>
      </c>
      <c r="D2467" s="104">
        <f t="shared" si="38"/>
        <v>6.2800000000000009E-2</v>
      </c>
      <c r="F2467" s="5"/>
    </row>
    <row r="2468" spans="2:6" ht="13.8" hidden="1" outlineLevel="1">
      <c r="B2468" s="187">
        <v>26060</v>
      </c>
      <c r="C2468" s="188">
        <v>6.25</v>
      </c>
      <c r="D2468" s="104">
        <f t="shared" si="38"/>
        <v>6.25E-2</v>
      </c>
      <c r="F2468" s="5"/>
    </row>
    <row r="2469" spans="2:6" ht="13.8" hidden="1" outlineLevel="1">
      <c r="B2469" s="187">
        <v>26063</v>
      </c>
      <c r="C2469" s="188">
        <v>6.22</v>
      </c>
      <c r="D2469" s="104">
        <f t="shared" si="38"/>
        <v>6.2199999999999998E-2</v>
      </c>
      <c r="F2469" s="5"/>
    </row>
    <row r="2470" spans="2:6" ht="13.8" hidden="1" outlineLevel="1">
      <c r="B2470" s="187">
        <v>26064</v>
      </c>
      <c r="C2470" s="188">
        <v>6.26</v>
      </c>
      <c r="D2470" s="104">
        <f t="shared" si="38"/>
        <v>6.2600000000000003E-2</v>
      </c>
      <c r="F2470" s="5"/>
    </row>
    <row r="2471" spans="2:6" ht="13.8" hidden="1" outlineLevel="1">
      <c r="B2471" s="187">
        <v>26065</v>
      </c>
      <c r="C2471" s="188">
        <v>6.35</v>
      </c>
      <c r="D2471" s="104">
        <f t="shared" si="38"/>
        <v>6.3500000000000001E-2</v>
      </c>
      <c r="F2471" s="5"/>
    </row>
    <row r="2472" spans="2:6" ht="13.8" hidden="1" outlineLevel="1">
      <c r="B2472" s="187">
        <v>26066</v>
      </c>
      <c r="C2472" s="188">
        <v>6.47</v>
      </c>
      <c r="D2472" s="104">
        <f t="shared" si="38"/>
        <v>6.4699999999999994E-2</v>
      </c>
      <c r="F2472" s="5"/>
    </row>
    <row r="2473" spans="2:6" ht="13.8" hidden="1" outlineLevel="1">
      <c r="B2473" s="187">
        <v>26067</v>
      </c>
      <c r="C2473" s="188">
        <v>6.49</v>
      </c>
      <c r="D2473" s="104">
        <f t="shared" si="38"/>
        <v>6.4899999999999999E-2</v>
      </c>
      <c r="F2473" s="5"/>
    </row>
    <row r="2474" spans="2:6" ht="13.8" hidden="1" outlineLevel="1">
      <c r="B2474" s="187">
        <v>26070</v>
      </c>
      <c r="C2474" s="188">
        <v>6.57</v>
      </c>
      <c r="D2474" s="104">
        <f t="shared" si="38"/>
        <v>6.5700000000000008E-2</v>
      </c>
      <c r="F2474" s="5"/>
    </row>
    <row r="2475" spans="2:6" ht="13.8" hidden="1" outlineLevel="1">
      <c r="B2475" s="187">
        <v>26071</v>
      </c>
      <c r="C2475" s="188">
        <v>6.65</v>
      </c>
      <c r="D2475" s="104">
        <f t="shared" si="38"/>
        <v>6.6500000000000004E-2</v>
      </c>
      <c r="F2475" s="5"/>
    </row>
    <row r="2476" spans="2:6" ht="13.8" hidden="1" outlineLevel="1">
      <c r="B2476" s="187">
        <v>26072</v>
      </c>
      <c r="C2476" s="188">
        <v>6.6</v>
      </c>
      <c r="D2476" s="104">
        <f t="shared" si="38"/>
        <v>6.6000000000000003E-2</v>
      </c>
      <c r="F2476" s="5"/>
    </row>
    <row r="2477" spans="2:6" ht="13.8" hidden="1" outlineLevel="1">
      <c r="B2477" s="187">
        <v>26073</v>
      </c>
      <c r="C2477" s="188">
        <v>6.49</v>
      </c>
      <c r="D2477" s="104">
        <f t="shared" si="38"/>
        <v>6.4899999999999999E-2</v>
      </c>
      <c r="F2477" s="5"/>
    </row>
    <row r="2478" spans="2:6" ht="13.8" hidden="1" outlineLevel="1">
      <c r="B2478" s="187">
        <v>26074</v>
      </c>
      <c r="C2478" s="188">
        <v>6.53</v>
      </c>
      <c r="D2478" s="104">
        <f t="shared" si="38"/>
        <v>6.5299999999999997E-2</v>
      </c>
      <c r="F2478" s="5"/>
    </row>
    <row r="2479" spans="2:6" ht="13.8" hidden="1" outlineLevel="1">
      <c r="B2479" s="187">
        <v>26077</v>
      </c>
      <c r="C2479" s="188">
        <v>6.49</v>
      </c>
      <c r="D2479" s="104">
        <f t="shared" si="38"/>
        <v>6.4899999999999999E-2</v>
      </c>
      <c r="F2479" s="5"/>
    </row>
    <row r="2480" spans="2:6" ht="13.8" hidden="1" outlineLevel="1">
      <c r="B2480" s="187">
        <v>26078</v>
      </c>
      <c r="C2480" s="188">
        <v>6.44</v>
      </c>
      <c r="D2480" s="104">
        <f t="shared" si="38"/>
        <v>6.4399999999999999E-2</v>
      </c>
      <c r="F2480" s="5"/>
    </row>
    <row r="2481" spans="2:6" ht="13.8" hidden="1" outlineLevel="1">
      <c r="B2481" s="187">
        <v>26079</v>
      </c>
      <c r="C2481" s="188">
        <v>6.37</v>
      </c>
      <c r="D2481" s="104">
        <f t="shared" si="38"/>
        <v>6.3700000000000007E-2</v>
      </c>
      <c r="F2481" s="5"/>
    </row>
    <row r="2482" spans="2:6" ht="13.8" hidden="1" outlineLevel="1">
      <c r="B2482" s="187">
        <v>26080</v>
      </c>
      <c r="C2482" s="188">
        <v>6.35</v>
      </c>
      <c r="D2482" s="104">
        <f t="shared" si="38"/>
        <v>6.3500000000000001E-2</v>
      </c>
      <c r="F2482" s="5"/>
    </row>
    <row r="2483" spans="2:6" ht="13.8" hidden="1" outlineLevel="1">
      <c r="B2483" s="187">
        <v>26081</v>
      </c>
      <c r="C2483" s="188">
        <v>6.38</v>
      </c>
      <c r="D2483" s="104">
        <f t="shared" si="38"/>
        <v>6.3799999999999996E-2</v>
      </c>
      <c r="F2483" s="5"/>
    </row>
    <row r="2484" spans="2:6" ht="13.8" hidden="1" outlineLevel="1">
      <c r="B2484" s="187">
        <v>26084</v>
      </c>
      <c r="C2484" s="188" t="s">
        <v>380</v>
      </c>
      <c r="D2484" s="104">
        <f t="shared" si="38"/>
        <v>6.3799999999999996E-2</v>
      </c>
      <c r="F2484" s="5"/>
    </row>
    <row r="2485" spans="2:6" ht="13.8" hidden="1" outlineLevel="1">
      <c r="B2485" s="187">
        <v>26085</v>
      </c>
      <c r="C2485" s="188">
        <v>6.36</v>
      </c>
      <c r="D2485" s="104">
        <f t="shared" si="38"/>
        <v>6.3600000000000004E-2</v>
      </c>
      <c r="F2485" s="5"/>
    </row>
    <row r="2486" spans="2:6" ht="13.8" hidden="1" outlineLevel="1">
      <c r="B2486" s="187">
        <v>26086</v>
      </c>
      <c r="C2486" s="188">
        <v>6.24</v>
      </c>
      <c r="D2486" s="104">
        <f t="shared" si="38"/>
        <v>6.2400000000000004E-2</v>
      </c>
      <c r="F2486" s="5"/>
    </row>
    <row r="2487" spans="2:6" ht="13.8" hidden="1" outlineLevel="1">
      <c r="B2487" s="187">
        <v>26087</v>
      </c>
      <c r="C2487" s="188">
        <v>6.19</v>
      </c>
      <c r="D2487" s="104">
        <f t="shared" si="38"/>
        <v>6.1900000000000004E-2</v>
      </c>
      <c r="F2487" s="5"/>
    </row>
    <row r="2488" spans="2:6" ht="13.8" hidden="1" outlineLevel="1">
      <c r="B2488" s="187">
        <v>26088</v>
      </c>
      <c r="C2488" s="188">
        <v>6.26</v>
      </c>
      <c r="D2488" s="104">
        <f t="shared" si="38"/>
        <v>6.2600000000000003E-2</v>
      </c>
      <c r="F2488" s="5"/>
    </row>
    <row r="2489" spans="2:6" ht="13.8" hidden="1" outlineLevel="1">
      <c r="B2489" s="187">
        <v>26091</v>
      </c>
      <c r="C2489" s="188">
        <v>6.34</v>
      </c>
      <c r="D2489" s="104">
        <f t="shared" si="38"/>
        <v>6.3399999999999998E-2</v>
      </c>
      <c r="F2489" s="5"/>
    </row>
    <row r="2490" spans="2:6" ht="13.8" hidden="1" outlineLevel="1">
      <c r="B2490" s="187">
        <v>26092</v>
      </c>
      <c r="C2490" s="188">
        <v>6.38</v>
      </c>
      <c r="D2490" s="104">
        <f t="shared" si="38"/>
        <v>6.3799999999999996E-2</v>
      </c>
      <c r="F2490" s="5"/>
    </row>
    <row r="2491" spans="2:6" ht="13.8" hidden="1" outlineLevel="1">
      <c r="B2491" s="187">
        <v>26093</v>
      </c>
      <c r="C2491" s="188">
        <v>6.44</v>
      </c>
      <c r="D2491" s="104">
        <f t="shared" si="38"/>
        <v>6.4399999999999999E-2</v>
      </c>
      <c r="F2491" s="5"/>
    </row>
    <row r="2492" spans="2:6" ht="13.8" hidden="1" outlineLevel="1">
      <c r="B2492" s="187">
        <v>26094</v>
      </c>
      <c r="C2492" s="188">
        <v>6.48</v>
      </c>
      <c r="D2492" s="104">
        <f t="shared" si="38"/>
        <v>6.480000000000001E-2</v>
      </c>
      <c r="F2492" s="5"/>
    </row>
    <row r="2493" spans="2:6" ht="13.8" hidden="1" outlineLevel="1">
      <c r="B2493" s="187">
        <v>26095</v>
      </c>
      <c r="C2493" s="188">
        <v>6.5</v>
      </c>
      <c r="D2493" s="104">
        <f t="shared" si="38"/>
        <v>6.5000000000000002E-2</v>
      </c>
      <c r="F2493" s="5"/>
    </row>
    <row r="2494" spans="2:6" ht="13.8" hidden="1" outlineLevel="1">
      <c r="B2494" s="187">
        <v>26098</v>
      </c>
      <c r="C2494" s="188">
        <v>6.63</v>
      </c>
      <c r="D2494" s="104">
        <f t="shared" si="38"/>
        <v>6.6299999999999998E-2</v>
      </c>
      <c r="F2494" s="5"/>
    </row>
    <row r="2495" spans="2:6" ht="13.8" hidden="1" outlineLevel="1">
      <c r="B2495" s="187">
        <v>26099</v>
      </c>
      <c r="C2495" s="188">
        <v>6.73</v>
      </c>
      <c r="D2495" s="104">
        <f t="shared" si="38"/>
        <v>6.7299999999999999E-2</v>
      </c>
      <c r="F2495" s="5"/>
    </row>
    <row r="2496" spans="2:6" ht="13.8" hidden="1" outlineLevel="1">
      <c r="B2496" s="187">
        <v>26100</v>
      </c>
      <c r="C2496" s="188">
        <v>6.68</v>
      </c>
      <c r="D2496" s="104">
        <f t="shared" si="38"/>
        <v>6.6799999999999998E-2</v>
      </c>
      <c r="F2496" s="5"/>
    </row>
    <row r="2497" spans="2:6" ht="13.8" hidden="1" outlineLevel="1">
      <c r="B2497" s="187">
        <v>26101</v>
      </c>
      <c r="C2497" s="188">
        <v>6.68</v>
      </c>
      <c r="D2497" s="104">
        <f t="shared" si="38"/>
        <v>6.6799999999999998E-2</v>
      </c>
      <c r="F2497" s="5"/>
    </row>
    <row r="2498" spans="2:6" ht="13.8" hidden="1" outlineLevel="1">
      <c r="B2498" s="187">
        <v>26102</v>
      </c>
      <c r="C2498" s="188">
        <v>6.58</v>
      </c>
      <c r="D2498" s="104">
        <f t="shared" si="38"/>
        <v>6.5799999999999997E-2</v>
      </c>
      <c r="F2498" s="5"/>
    </row>
    <row r="2499" spans="2:6" ht="13.8" hidden="1" outlineLevel="1">
      <c r="B2499" s="187">
        <v>26105</v>
      </c>
      <c r="C2499" s="188">
        <v>6.53</v>
      </c>
      <c r="D2499" s="104">
        <f t="shared" si="38"/>
        <v>6.5299999999999997E-2</v>
      </c>
      <c r="F2499" s="5"/>
    </row>
    <row r="2500" spans="2:6" ht="13.8" hidden="1" outlineLevel="1">
      <c r="B2500" s="187">
        <v>26106</v>
      </c>
      <c r="C2500" s="188">
        <v>6.62</v>
      </c>
      <c r="D2500" s="104">
        <f t="shared" si="38"/>
        <v>6.6199999999999995E-2</v>
      </c>
      <c r="F2500" s="5"/>
    </row>
    <row r="2501" spans="2:6" ht="13.8" hidden="1" outlineLevel="1">
      <c r="B2501" s="187">
        <v>26107</v>
      </c>
      <c r="C2501" s="188">
        <v>6.61</v>
      </c>
      <c r="D2501" s="104">
        <f t="shared" si="38"/>
        <v>6.6100000000000006E-2</v>
      </c>
      <c r="F2501" s="5"/>
    </row>
    <row r="2502" spans="2:6" ht="13.8" hidden="1" outlineLevel="1">
      <c r="B2502" s="187">
        <v>26108</v>
      </c>
      <c r="C2502" s="188">
        <v>6.61</v>
      </c>
      <c r="D2502" s="104">
        <f t="shared" si="38"/>
        <v>6.6100000000000006E-2</v>
      </c>
      <c r="F2502" s="5"/>
    </row>
    <row r="2503" spans="2:6" ht="13.8" hidden="1" outlineLevel="1">
      <c r="B2503" s="187">
        <v>26109</v>
      </c>
      <c r="C2503" s="188">
        <v>6.62</v>
      </c>
      <c r="D2503" s="104">
        <f t="shared" si="38"/>
        <v>6.6199999999999995E-2</v>
      </c>
      <c r="F2503" s="5"/>
    </row>
    <row r="2504" spans="2:6" ht="13.8" hidden="1" outlineLevel="1">
      <c r="B2504" s="187">
        <v>26112</v>
      </c>
      <c r="C2504" s="188">
        <v>6.64</v>
      </c>
      <c r="D2504" s="104">
        <f t="shared" si="38"/>
        <v>6.6400000000000001E-2</v>
      </c>
      <c r="F2504" s="5"/>
    </row>
    <row r="2505" spans="2:6" ht="13.8" hidden="1" outlineLevel="1">
      <c r="B2505" s="187">
        <v>26113</v>
      </c>
      <c r="C2505" s="188">
        <v>6.67</v>
      </c>
      <c r="D2505" s="104">
        <f t="shared" si="38"/>
        <v>6.6699999999999995E-2</v>
      </c>
      <c r="F2505" s="5"/>
    </row>
    <row r="2506" spans="2:6" ht="13.8" hidden="1" outlineLevel="1">
      <c r="B2506" s="187">
        <v>26114</v>
      </c>
      <c r="C2506" s="188">
        <v>6.7</v>
      </c>
      <c r="D2506" s="104">
        <f t="shared" si="38"/>
        <v>6.7000000000000004E-2</v>
      </c>
      <c r="F2506" s="5"/>
    </row>
    <row r="2507" spans="2:6" ht="13.8" hidden="1" outlineLevel="1">
      <c r="B2507" s="187">
        <v>26115</v>
      </c>
      <c r="C2507" s="188">
        <v>6.69</v>
      </c>
      <c r="D2507" s="104">
        <f t="shared" si="38"/>
        <v>6.6900000000000001E-2</v>
      </c>
      <c r="F2507" s="5"/>
    </row>
    <row r="2508" spans="2:6" ht="13.8" hidden="1" outlineLevel="1">
      <c r="B2508" s="187">
        <v>26116</v>
      </c>
      <c r="C2508" s="188">
        <v>6.69</v>
      </c>
      <c r="D2508" s="104">
        <f t="shared" si="38"/>
        <v>6.6900000000000001E-2</v>
      </c>
      <c r="F2508" s="5"/>
    </row>
    <row r="2509" spans="2:6" ht="13.8" hidden="1" outlineLevel="1">
      <c r="B2509" s="187">
        <v>26119</v>
      </c>
      <c r="C2509" s="188" t="s">
        <v>380</v>
      </c>
      <c r="D2509" s="104">
        <f t="shared" si="38"/>
        <v>6.6900000000000001E-2</v>
      </c>
      <c r="F2509" s="5"/>
    </row>
    <row r="2510" spans="2:6" ht="13.8" hidden="1" outlineLevel="1">
      <c r="B2510" s="187">
        <v>26120</v>
      </c>
      <c r="C2510" s="188">
        <v>6.68</v>
      </c>
      <c r="D2510" s="104">
        <f t="shared" si="38"/>
        <v>6.6799999999999998E-2</v>
      </c>
      <c r="F2510" s="5"/>
    </row>
    <row r="2511" spans="2:6" ht="13.8" hidden="1" outlineLevel="1">
      <c r="B2511" s="187">
        <v>26121</v>
      </c>
      <c r="C2511" s="188">
        <v>6.66</v>
      </c>
      <c r="D2511" s="104">
        <f t="shared" si="38"/>
        <v>6.6600000000000006E-2</v>
      </c>
      <c r="F2511" s="5"/>
    </row>
    <row r="2512" spans="2:6" ht="13.8" hidden="1" outlineLevel="1">
      <c r="B2512" s="187">
        <v>26122</v>
      </c>
      <c r="C2512" s="188">
        <v>6.67</v>
      </c>
      <c r="D2512" s="104">
        <f t="shared" si="38"/>
        <v>6.6699999999999995E-2</v>
      </c>
      <c r="F2512" s="5"/>
    </row>
    <row r="2513" spans="2:6" ht="13.8" hidden="1" outlineLevel="1">
      <c r="B2513" s="187">
        <v>26123</v>
      </c>
      <c r="C2513" s="188">
        <v>6.68</v>
      </c>
      <c r="D2513" s="104">
        <f t="shared" si="38"/>
        <v>6.6799999999999998E-2</v>
      </c>
      <c r="F2513" s="5"/>
    </row>
    <row r="2514" spans="2:6" ht="13.8" hidden="1" outlineLevel="1">
      <c r="B2514" s="187">
        <v>26126</v>
      </c>
      <c r="C2514" s="188">
        <v>6.6</v>
      </c>
      <c r="D2514" s="104">
        <f t="shared" si="38"/>
        <v>6.6000000000000003E-2</v>
      </c>
      <c r="F2514" s="5"/>
    </row>
    <row r="2515" spans="2:6" ht="13.8" hidden="1" outlineLevel="1">
      <c r="B2515" s="187">
        <v>26127</v>
      </c>
      <c r="C2515" s="188">
        <v>6.61</v>
      </c>
      <c r="D2515" s="104">
        <f t="shared" si="38"/>
        <v>6.6100000000000006E-2</v>
      </c>
      <c r="F2515" s="5"/>
    </row>
    <row r="2516" spans="2:6" ht="13.8" hidden="1" outlineLevel="1">
      <c r="B2516" s="187">
        <v>26128</v>
      </c>
      <c r="C2516" s="188">
        <v>6.6</v>
      </c>
      <c r="D2516" s="104">
        <f t="shared" si="38"/>
        <v>6.6000000000000003E-2</v>
      </c>
      <c r="F2516" s="5"/>
    </row>
    <row r="2517" spans="2:6" ht="13.8" hidden="1" outlineLevel="1">
      <c r="B2517" s="187">
        <v>26129</v>
      </c>
      <c r="C2517" s="188">
        <v>6.59</v>
      </c>
      <c r="D2517" s="104">
        <f t="shared" si="38"/>
        <v>6.59E-2</v>
      </c>
      <c r="F2517" s="5"/>
    </row>
    <row r="2518" spans="2:6" ht="13.8" hidden="1" outlineLevel="1">
      <c r="B2518" s="187">
        <v>26130</v>
      </c>
      <c r="C2518" s="188">
        <v>6.66</v>
      </c>
      <c r="D2518" s="104">
        <f t="shared" si="38"/>
        <v>6.6600000000000006E-2</v>
      </c>
      <c r="F2518" s="5"/>
    </row>
    <row r="2519" spans="2:6" ht="13.8" hidden="1" outlineLevel="1">
      <c r="B2519" s="187">
        <v>26133</v>
      </c>
      <c r="C2519" s="188">
        <v>6.71</v>
      </c>
      <c r="D2519" s="104">
        <f t="shared" si="38"/>
        <v>6.7099999999999993E-2</v>
      </c>
      <c r="F2519" s="5"/>
    </row>
    <row r="2520" spans="2:6" ht="13.8" hidden="1" outlineLevel="1">
      <c r="B2520" s="187">
        <v>26134</v>
      </c>
      <c r="C2520" s="188">
        <v>6.7</v>
      </c>
      <c r="D2520" s="104">
        <f t="shared" si="38"/>
        <v>6.7000000000000004E-2</v>
      </c>
      <c r="F2520" s="5"/>
    </row>
    <row r="2521" spans="2:6" ht="13.8" hidden="1" outlineLevel="1">
      <c r="B2521" s="187">
        <v>26135</v>
      </c>
      <c r="C2521" s="188">
        <v>6.7</v>
      </c>
      <c r="D2521" s="104">
        <f t="shared" si="38"/>
        <v>6.7000000000000004E-2</v>
      </c>
      <c r="F2521" s="5"/>
    </row>
    <row r="2522" spans="2:6" ht="13.8" hidden="1" outlineLevel="1">
      <c r="B2522" s="187">
        <v>26136</v>
      </c>
      <c r="C2522" s="188">
        <v>6.79</v>
      </c>
      <c r="D2522" s="104">
        <f t="shared" si="38"/>
        <v>6.7900000000000002E-2</v>
      </c>
      <c r="F2522" s="5"/>
    </row>
    <row r="2523" spans="2:6" ht="13.8" hidden="1" outlineLevel="1">
      <c r="B2523" s="187">
        <v>26137</v>
      </c>
      <c r="C2523" s="188">
        <v>6.84</v>
      </c>
      <c r="D2523" s="104">
        <f t="shared" si="38"/>
        <v>6.8400000000000002E-2</v>
      </c>
      <c r="F2523" s="5"/>
    </row>
    <row r="2524" spans="2:6" ht="13.8" hidden="1" outlineLevel="1">
      <c r="B2524" s="187">
        <v>26140</v>
      </c>
      <c r="C2524" s="188">
        <v>6.86</v>
      </c>
      <c r="D2524" s="104">
        <f t="shared" si="38"/>
        <v>6.8600000000000008E-2</v>
      </c>
      <c r="F2524" s="5"/>
    </row>
    <row r="2525" spans="2:6" ht="13.8" hidden="1" outlineLevel="1">
      <c r="B2525" s="187">
        <v>26141</v>
      </c>
      <c r="C2525" s="188">
        <v>6.91</v>
      </c>
      <c r="D2525" s="104">
        <f t="shared" si="38"/>
        <v>6.9099999999999995E-2</v>
      </c>
      <c r="F2525" s="5"/>
    </row>
    <row r="2526" spans="2:6" ht="13.8" hidden="1" outlineLevel="1">
      <c r="B2526" s="187">
        <v>26142</v>
      </c>
      <c r="C2526" s="188">
        <v>6.95</v>
      </c>
      <c r="D2526" s="104">
        <f t="shared" ref="D2526:D2589" si="39">IF( LEN( C2526 ) = 0, #N/A, IF( C2526 = "ND", D2525, C2526 / 100 ) )</f>
        <v>6.9500000000000006E-2</v>
      </c>
      <c r="F2526" s="5"/>
    </row>
    <row r="2527" spans="2:6" ht="13.8" hidden="1" outlineLevel="1">
      <c r="B2527" s="187">
        <v>26143</v>
      </c>
      <c r="C2527" s="188">
        <v>6.88</v>
      </c>
      <c r="D2527" s="104">
        <f t="shared" si="39"/>
        <v>6.88E-2</v>
      </c>
      <c r="F2527" s="5"/>
    </row>
    <row r="2528" spans="2:6" ht="13.8" hidden="1" outlineLevel="1">
      <c r="B2528" s="187">
        <v>26144</v>
      </c>
      <c r="C2528" s="188">
        <v>6.85</v>
      </c>
      <c r="D2528" s="104">
        <f t="shared" si="39"/>
        <v>6.8499999999999991E-2</v>
      </c>
      <c r="F2528" s="5"/>
    </row>
    <row r="2529" spans="2:6" ht="13.8" hidden="1" outlineLevel="1">
      <c r="B2529" s="187">
        <v>26147</v>
      </c>
      <c r="C2529" s="188">
        <v>6.86</v>
      </c>
      <c r="D2529" s="104">
        <f t="shared" si="39"/>
        <v>6.8600000000000008E-2</v>
      </c>
      <c r="F2529" s="5"/>
    </row>
    <row r="2530" spans="2:6" ht="13.8" hidden="1" outlineLevel="1">
      <c r="B2530" s="187">
        <v>26148</v>
      </c>
      <c r="C2530" s="188">
        <v>6.91</v>
      </c>
      <c r="D2530" s="104">
        <f t="shared" si="39"/>
        <v>6.9099999999999995E-2</v>
      </c>
      <c r="F2530" s="5"/>
    </row>
    <row r="2531" spans="2:6" ht="13.8" hidden="1" outlineLevel="1">
      <c r="B2531" s="187">
        <v>26149</v>
      </c>
      <c r="C2531" s="188">
        <v>6.89</v>
      </c>
      <c r="D2531" s="104">
        <f t="shared" si="39"/>
        <v>6.8900000000000003E-2</v>
      </c>
      <c r="F2531" s="5"/>
    </row>
    <row r="2532" spans="2:6" ht="13.8" hidden="1" outlineLevel="1">
      <c r="B2532" s="187">
        <v>26150</v>
      </c>
      <c r="C2532" s="188">
        <v>6.86</v>
      </c>
      <c r="D2532" s="104">
        <f t="shared" si="39"/>
        <v>6.8600000000000008E-2</v>
      </c>
      <c r="F2532" s="5"/>
    </row>
    <row r="2533" spans="2:6" ht="13.8" hidden="1" outlineLevel="1">
      <c r="B2533" s="187">
        <v>26151</v>
      </c>
      <c r="C2533" s="188">
        <v>6.86</v>
      </c>
      <c r="D2533" s="104">
        <f t="shared" si="39"/>
        <v>6.8600000000000008E-2</v>
      </c>
      <c r="F2533" s="5"/>
    </row>
    <row r="2534" spans="2:6" ht="13.8" hidden="1" outlineLevel="1">
      <c r="B2534" s="187">
        <v>26154</v>
      </c>
      <c r="C2534" s="188">
        <v>6.88</v>
      </c>
      <c r="D2534" s="104">
        <f t="shared" si="39"/>
        <v>6.88E-2</v>
      </c>
      <c r="F2534" s="5"/>
    </row>
    <row r="2535" spans="2:6" ht="13.8" hidden="1" outlineLevel="1">
      <c r="B2535" s="187">
        <v>26155</v>
      </c>
      <c r="C2535" s="188">
        <v>6.89</v>
      </c>
      <c r="D2535" s="104">
        <f t="shared" si="39"/>
        <v>6.8900000000000003E-2</v>
      </c>
      <c r="F2535" s="5"/>
    </row>
    <row r="2536" spans="2:6" ht="13.8" hidden="1" outlineLevel="1">
      <c r="B2536" s="187">
        <v>26156</v>
      </c>
      <c r="C2536" s="188">
        <v>6.86</v>
      </c>
      <c r="D2536" s="104">
        <f t="shared" si="39"/>
        <v>6.8600000000000008E-2</v>
      </c>
      <c r="F2536" s="5"/>
    </row>
    <row r="2537" spans="2:6" ht="13.8" hidden="1" outlineLevel="1">
      <c r="B2537" s="187">
        <v>26157</v>
      </c>
      <c r="C2537" s="188">
        <v>6.8</v>
      </c>
      <c r="D2537" s="104">
        <f t="shared" si="39"/>
        <v>6.8000000000000005E-2</v>
      </c>
      <c r="F2537" s="5"/>
    </row>
    <row r="2538" spans="2:6" ht="13.8" hidden="1" outlineLevel="1">
      <c r="B2538" s="187">
        <v>26158</v>
      </c>
      <c r="C2538" s="188">
        <v>6.68</v>
      </c>
      <c r="D2538" s="104">
        <f t="shared" si="39"/>
        <v>6.6799999999999998E-2</v>
      </c>
      <c r="F2538" s="5"/>
    </row>
    <row r="2539" spans="2:6" ht="13.8" hidden="1" outlineLevel="1">
      <c r="B2539" s="187">
        <v>26161</v>
      </c>
      <c r="C2539" s="188">
        <v>6.41</v>
      </c>
      <c r="D2539" s="104">
        <f t="shared" si="39"/>
        <v>6.4100000000000004E-2</v>
      </c>
      <c r="F2539" s="5"/>
    </row>
    <row r="2540" spans="2:6" ht="13.8" hidden="1" outlineLevel="1">
      <c r="B2540" s="187">
        <v>26162</v>
      </c>
      <c r="C2540" s="188">
        <v>6.3</v>
      </c>
      <c r="D2540" s="104">
        <f t="shared" si="39"/>
        <v>6.3E-2</v>
      </c>
      <c r="F2540" s="5"/>
    </row>
    <row r="2541" spans="2:6" ht="13.8" hidden="1" outlineLevel="1">
      <c r="B2541" s="187">
        <v>26163</v>
      </c>
      <c r="C2541" s="188">
        <v>6.35</v>
      </c>
      <c r="D2541" s="104">
        <f t="shared" si="39"/>
        <v>6.3500000000000001E-2</v>
      </c>
      <c r="F2541" s="5"/>
    </row>
    <row r="2542" spans="2:6" ht="13.8" hidden="1" outlineLevel="1">
      <c r="B2542" s="187">
        <v>26164</v>
      </c>
      <c r="C2542" s="188">
        <v>6.34</v>
      </c>
      <c r="D2542" s="104">
        <f t="shared" si="39"/>
        <v>6.3399999999999998E-2</v>
      </c>
      <c r="F2542" s="5"/>
    </row>
    <row r="2543" spans="2:6" ht="13.8" hidden="1" outlineLevel="1">
      <c r="B2543" s="187">
        <v>26165</v>
      </c>
      <c r="C2543" s="188">
        <v>6.37</v>
      </c>
      <c r="D2543" s="104">
        <f t="shared" si="39"/>
        <v>6.3700000000000007E-2</v>
      </c>
      <c r="F2543" s="5"/>
    </row>
    <row r="2544" spans="2:6" ht="13.8" hidden="1" outlineLevel="1">
      <c r="B2544" s="187">
        <v>26168</v>
      </c>
      <c r="C2544" s="188">
        <v>6.48</v>
      </c>
      <c r="D2544" s="104">
        <f t="shared" si="39"/>
        <v>6.480000000000001E-2</v>
      </c>
      <c r="F2544" s="5"/>
    </row>
    <row r="2545" spans="2:6" ht="13.8" hidden="1" outlineLevel="1">
      <c r="B2545" s="187">
        <v>26169</v>
      </c>
      <c r="C2545" s="188">
        <v>6.38</v>
      </c>
      <c r="D2545" s="104">
        <f t="shared" si="39"/>
        <v>6.3799999999999996E-2</v>
      </c>
      <c r="F2545" s="5"/>
    </row>
    <row r="2546" spans="2:6" ht="13.8" hidden="1" outlineLevel="1">
      <c r="B2546" s="187">
        <v>26170</v>
      </c>
      <c r="C2546" s="188">
        <v>6.4</v>
      </c>
      <c r="D2546" s="104">
        <f t="shared" si="39"/>
        <v>6.4000000000000001E-2</v>
      </c>
      <c r="F2546" s="5"/>
    </row>
    <row r="2547" spans="2:6" ht="13.8" hidden="1" outlineLevel="1">
      <c r="B2547" s="187">
        <v>26171</v>
      </c>
      <c r="C2547" s="188">
        <v>6.37</v>
      </c>
      <c r="D2547" s="104">
        <f t="shared" si="39"/>
        <v>6.3700000000000007E-2</v>
      </c>
      <c r="F2547" s="5"/>
    </row>
    <row r="2548" spans="2:6" ht="13.8" hidden="1" outlineLevel="1">
      <c r="B2548" s="187">
        <v>26172</v>
      </c>
      <c r="C2548" s="188">
        <v>6.33</v>
      </c>
      <c r="D2548" s="104">
        <f t="shared" si="39"/>
        <v>6.3299999999999995E-2</v>
      </c>
      <c r="F2548" s="5"/>
    </row>
    <row r="2549" spans="2:6" ht="13.8" hidden="1" outlineLevel="1">
      <c r="B2549" s="187">
        <v>26175</v>
      </c>
      <c r="C2549" s="188">
        <v>6.32</v>
      </c>
      <c r="D2549" s="104">
        <f t="shared" si="39"/>
        <v>6.3200000000000006E-2</v>
      </c>
      <c r="F2549" s="5"/>
    </row>
    <row r="2550" spans="2:6" ht="13.8" hidden="1" outlineLevel="1">
      <c r="B2550" s="187">
        <v>26176</v>
      </c>
      <c r="C2550" s="188">
        <v>6.28</v>
      </c>
      <c r="D2550" s="104">
        <f t="shared" si="39"/>
        <v>6.2800000000000009E-2</v>
      </c>
      <c r="F2550" s="5"/>
    </row>
    <row r="2551" spans="2:6" ht="13.8" hidden="1" outlineLevel="1">
      <c r="B2551" s="187">
        <v>26177</v>
      </c>
      <c r="C2551" s="188">
        <v>6.22</v>
      </c>
      <c r="D2551" s="104">
        <f t="shared" si="39"/>
        <v>6.2199999999999998E-2</v>
      </c>
      <c r="F2551" s="5"/>
    </row>
    <row r="2552" spans="2:6" ht="13.8" hidden="1" outlineLevel="1">
      <c r="B2552" s="187">
        <v>26178</v>
      </c>
      <c r="C2552" s="188">
        <v>6.17</v>
      </c>
      <c r="D2552" s="104">
        <f t="shared" si="39"/>
        <v>6.1699999999999998E-2</v>
      </c>
      <c r="F2552" s="5"/>
    </row>
    <row r="2553" spans="2:6" ht="13.8" hidden="1" outlineLevel="1">
      <c r="B2553" s="187">
        <v>26179</v>
      </c>
      <c r="C2553" s="188">
        <v>6.12</v>
      </c>
      <c r="D2553" s="104">
        <f t="shared" si="39"/>
        <v>6.1200000000000004E-2</v>
      </c>
      <c r="F2553" s="5"/>
    </row>
    <row r="2554" spans="2:6" ht="13.8" hidden="1" outlineLevel="1">
      <c r="B2554" s="187">
        <v>26182</v>
      </c>
      <c r="C2554" s="188" t="s">
        <v>380</v>
      </c>
      <c r="D2554" s="104">
        <f t="shared" si="39"/>
        <v>6.1200000000000004E-2</v>
      </c>
      <c r="F2554" s="5"/>
    </row>
    <row r="2555" spans="2:6" ht="13.8" hidden="1" outlineLevel="1">
      <c r="B2555" s="187">
        <v>26183</v>
      </c>
      <c r="C2555" s="188">
        <v>6.07</v>
      </c>
      <c r="D2555" s="104">
        <f t="shared" si="39"/>
        <v>6.0700000000000004E-2</v>
      </c>
      <c r="F2555" s="5"/>
    </row>
    <row r="2556" spans="2:6" ht="13.8" hidden="1" outlineLevel="1">
      <c r="B2556" s="187">
        <v>26184</v>
      </c>
      <c r="C2556" s="188">
        <v>6.08</v>
      </c>
      <c r="D2556" s="104">
        <f t="shared" si="39"/>
        <v>6.08E-2</v>
      </c>
      <c r="F2556" s="5"/>
    </row>
    <row r="2557" spans="2:6" ht="13.8" hidden="1" outlineLevel="1">
      <c r="B2557" s="187">
        <v>26185</v>
      </c>
      <c r="C2557" s="188">
        <v>6.13</v>
      </c>
      <c r="D2557" s="104">
        <f t="shared" si="39"/>
        <v>6.13E-2</v>
      </c>
      <c r="F2557" s="5"/>
    </row>
    <row r="2558" spans="2:6" ht="13.8" hidden="1" outlineLevel="1">
      <c r="B2558" s="187">
        <v>26186</v>
      </c>
      <c r="C2558" s="188">
        <v>6.12</v>
      </c>
      <c r="D2558" s="104">
        <f t="shared" si="39"/>
        <v>6.1200000000000004E-2</v>
      </c>
      <c r="F2558" s="5"/>
    </row>
    <row r="2559" spans="2:6" ht="13.8" hidden="1" outlineLevel="1">
      <c r="B2559" s="187">
        <v>26189</v>
      </c>
      <c r="C2559" s="188">
        <v>6.2</v>
      </c>
      <c r="D2559" s="104">
        <f t="shared" si="39"/>
        <v>6.2E-2</v>
      </c>
      <c r="F2559" s="5"/>
    </row>
    <row r="2560" spans="2:6" ht="13.8" hidden="1" outlineLevel="1">
      <c r="B2560" s="187">
        <v>26190</v>
      </c>
      <c r="C2560" s="188">
        <v>6.18</v>
      </c>
      <c r="D2560" s="104">
        <f t="shared" si="39"/>
        <v>6.1799999999999994E-2</v>
      </c>
      <c r="F2560" s="5"/>
    </row>
    <row r="2561" spans="2:6" ht="13.8" hidden="1" outlineLevel="1">
      <c r="B2561" s="187">
        <v>26191</v>
      </c>
      <c r="C2561" s="188">
        <v>6.17</v>
      </c>
      <c r="D2561" s="104">
        <f t="shared" si="39"/>
        <v>6.1699999999999998E-2</v>
      </c>
      <c r="F2561" s="5"/>
    </row>
    <row r="2562" spans="2:6" ht="13.8" hidden="1" outlineLevel="1">
      <c r="B2562" s="187">
        <v>26192</v>
      </c>
      <c r="C2562" s="188">
        <v>6.14</v>
      </c>
      <c r="D2562" s="104">
        <f t="shared" si="39"/>
        <v>6.1399999999999996E-2</v>
      </c>
      <c r="F2562" s="5"/>
    </row>
    <row r="2563" spans="2:6" ht="13.8" hidden="1" outlineLevel="1">
      <c r="B2563" s="187">
        <v>26193</v>
      </c>
      <c r="C2563" s="188">
        <v>6.13</v>
      </c>
      <c r="D2563" s="104">
        <f t="shared" si="39"/>
        <v>6.13E-2</v>
      </c>
      <c r="F2563" s="5"/>
    </row>
    <row r="2564" spans="2:6" ht="13.8" hidden="1" outlineLevel="1">
      <c r="B2564" s="187">
        <v>26196</v>
      </c>
      <c r="C2564" s="188">
        <v>6.15</v>
      </c>
      <c r="D2564" s="104">
        <f t="shared" si="39"/>
        <v>6.1500000000000006E-2</v>
      </c>
      <c r="F2564" s="5"/>
    </row>
    <row r="2565" spans="2:6" ht="13.8" hidden="1" outlineLevel="1">
      <c r="B2565" s="187">
        <v>26197</v>
      </c>
      <c r="C2565" s="188">
        <v>6.17</v>
      </c>
      <c r="D2565" s="104">
        <f t="shared" si="39"/>
        <v>6.1699999999999998E-2</v>
      </c>
      <c r="F2565" s="5"/>
    </row>
    <row r="2566" spans="2:6" ht="13.8" hidden="1" outlineLevel="1">
      <c r="B2566" s="187">
        <v>26198</v>
      </c>
      <c r="C2566" s="188">
        <v>6.19</v>
      </c>
      <c r="D2566" s="104">
        <f t="shared" si="39"/>
        <v>6.1900000000000004E-2</v>
      </c>
      <c r="F2566" s="5"/>
    </row>
    <row r="2567" spans="2:6" ht="13.8" hidden="1" outlineLevel="1">
      <c r="B2567" s="187">
        <v>26199</v>
      </c>
      <c r="C2567" s="188">
        <v>6.2</v>
      </c>
      <c r="D2567" s="104">
        <f t="shared" si="39"/>
        <v>6.2E-2</v>
      </c>
      <c r="F2567" s="5"/>
    </row>
    <row r="2568" spans="2:6" ht="13.8" hidden="1" outlineLevel="1">
      <c r="B2568" s="187">
        <v>26200</v>
      </c>
      <c r="C2568" s="188">
        <v>6.16</v>
      </c>
      <c r="D2568" s="104">
        <f t="shared" si="39"/>
        <v>6.1600000000000002E-2</v>
      </c>
      <c r="F2568" s="5"/>
    </row>
    <row r="2569" spans="2:6" ht="13.8" hidden="1" outlineLevel="1">
      <c r="B2569" s="187">
        <v>26203</v>
      </c>
      <c r="C2569" s="188">
        <v>6.13</v>
      </c>
      <c r="D2569" s="104">
        <f t="shared" si="39"/>
        <v>6.13E-2</v>
      </c>
      <c r="F2569" s="5"/>
    </row>
    <row r="2570" spans="2:6" ht="13.8" hidden="1" outlineLevel="1">
      <c r="B2570" s="187">
        <v>26204</v>
      </c>
      <c r="C2570" s="188">
        <v>6.12</v>
      </c>
      <c r="D2570" s="104">
        <f t="shared" si="39"/>
        <v>6.1200000000000004E-2</v>
      </c>
      <c r="F2570" s="5"/>
    </row>
    <row r="2571" spans="2:6" ht="13.8" hidden="1" outlineLevel="1">
      <c r="B2571" s="187">
        <v>26205</v>
      </c>
      <c r="C2571" s="188">
        <v>6.08</v>
      </c>
      <c r="D2571" s="104">
        <f t="shared" si="39"/>
        <v>6.08E-2</v>
      </c>
      <c r="F2571" s="5"/>
    </row>
    <row r="2572" spans="2:6" ht="13.8" hidden="1" outlineLevel="1">
      <c r="B2572" s="187">
        <v>26206</v>
      </c>
      <c r="C2572" s="188">
        <v>6</v>
      </c>
      <c r="D2572" s="104">
        <f t="shared" si="39"/>
        <v>0.06</v>
      </c>
      <c r="F2572" s="5"/>
    </row>
    <row r="2573" spans="2:6" ht="13.8" hidden="1" outlineLevel="1">
      <c r="B2573" s="187">
        <v>26207</v>
      </c>
      <c r="C2573" s="188">
        <v>6</v>
      </c>
      <c r="D2573" s="104">
        <f t="shared" si="39"/>
        <v>0.06</v>
      </c>
      <c r="F2573" s="5"/>
    </row>
    <row r="2574" spans="2:6" ht="13.8" hidden="1" outlineLevel="1">
      <c r="B2574" s="187">
        <v>26210</v>
      </c>
      <c r="C2574" s="188">
        <v>5.98</v>
      </c>
      <c r="D2574" s="104">
        <f t="shared" si="39"/>
        <v>5.9800000000000006E-2</v>
      </c>
      <c r="F2574" s="5"/>
    </row>
    <row r="2575" spans="2:6" ht="13.8" hidden="1" outlineLevel="1">
      <c r="B2575" s="187">
        <v>26211</v>
      </c>
      <c r="C2575" s="188">
        <v>6.01</v>
      </c>
      <c r="D2575" s="104">
        <f t="shared" si="39"/>
        <v>6.0100000000000001E-2</v>
      </c>
      <c r="F2575" s="5"/>
    </row>
    <row r="2576" spans="2:6" ht="13.8" hidden="1" outlineLevel="1">
      <c r="B2576" s="187">
        <v>26212</v>
      </c>
      <c r="C2576" s="188">
        <v>5.98</v>
      </c>
      <c r="D2576" s="104">
        <f t="shared" si="39"/>
        <v>5.9800000000000006E-2</v>
      </c>
      <c r="F2576" s="5"/>
    </row>
    <row r="2577" spans="2:6" ht="13.8" hidden="1" outlineLevel="1">
      <c r="B2577" s="187">
        <v>26213</v>
      </c>
      <c r="C2577" s="188">
        <v>5.97</v>
      </c>
      <c r="D2577" s="104">
        <f t="shared" si="39"/>
        <v>5.9699999999999996E-2</v>
      </c>
      <c r="F2577" s="5"/>
    </row>
    <row r="2578" spans="2:6" ht="13.8" hidden="1" outlineLevel="1">
      <c r="B2578" s="187">
        <v>26214</v>
      </c>
      <c r="C2578" s="188">
        <v>5.94</v>
      </c>
      <c r="D2578" s="104">
        <f t="shared" si="39"/>
        <v>5.9400000000000001E-2</v>
      </c>
      <c r="F2578" s="5"/>
    </row>
    <row r="2579" spans="2:6" ht="13.8" hidden="1" outlineLevel="1">
      <c r="B2579" s="187">
        <v>26217</v>
      </c>
      <c r="C2579" s="188" t="s">
        <v>380</v>
      </c>
      <c r="D2579" s="104">
        <f t="shared" si="39"/>
        <v>5.9400000000000001E-2</v>
      </c>
      <c r="F2579" s="5"/>
    </row>
    <row r="2580" spans="2:6" ht="13.8" hidden="1" outlineLevel="1">
      <c r="B2580" s="187">
        <v>26218</v>
      </c>
      <c r="C2580" s="188">
        <v>5.88</v>
      </c>
      <c r="D2580" s="104">
        <f t="shared" si="39"/>
        <v>5.8799999999999998E-2</v>
      </c>
      <c r="F2580" s="5"/>
    </row>
    <row r="2581" spans="2:6" ht="13.8" hidden="1" outlineLevel="1">
      <c r="B2581" s="187">
        <v>26219</v>
      </c>
      <c r="C2581" s="188">
        <v>5.86</v>
      </c>
      <c r="D2581" s="104">
        <f t="shared" si="39"/>
        <v>5.8600000000000006E-2</v>
      </c>
      <c r="F2581" s="5"/>
    </row>
    <row r="2582" spans="2:6" ht="13.8" hidden="1" outlineLevel="1">
      <c r="B2582" s="187">
        <v>26220</v>
      </c>
      <c r="C2582" s="188">
        <v>5.88</v>
      </c>
      <c r="D2582" s="104">
        <f t="shared" si="39"/>
        <v>5.8799999999999998E-2</v>
      </c>
      <c r="F2582" s="5"/>
    </row>
    <row r="2583" spans="2:6" ht="13.8" hidden="1" outlineLevel="1">
      <c r="B2583" s="187">
        <v>26221</v>
      </c>
      <c r="C2583" s="188">
        <v>5.9</v>
      </c>
      <c r="D2583" s="104">
        <f t="shared" si="39"/>
        <v>5.9000000000000004E-2</v>
      </c>
      <c r="F2583" s="5"/>
    </row>
    <row r="2584" spans="2:6" ht="13.8" hidden="1" outlineLevel="1">
      <c r="B2584" s="187">
        <v>26224</v>
      </c>
      <c r="C2584" s="188">
        <v>5.95</v>
      </c>
      <c r="D2584" s="104">
        <f t="shared" si="39"/>
        <v>5.9500000000000004E-2</v>
      </c>
      <c r="F2584" s="5"/>
    </row>
    <row r="2585" spans="2:6" ht="13.8" hidden="1" outlineLevel="1">
      <c r="B2585" s="187">
        <v>26225</v>
      </c>
      <c r="C2585" s="188">
        <v>5.96</v>
      </c>
      <c r="D2585" s="104">
        <f t="shared" si="39"/>
        <v>5.96E-2</v>
      </c>
      <c r="F2585" s="5"/>
    </row>
    <row r="2586" spans="2:6" ht="13.8" hidden="1" outlineLevel="1">
      <c r="B2586" s="187">
        <v>26226</v>
      </c>
      <c r="C2586" s="188">
        <v>5.92</v>
      </c>
      <c r="D2586" s="104">
        <f t="shared" si="39"/>
        <v>5.9200000000000003E-2</v>
      </c>
      <c r="F2586" s="5"/>
    </row>
    <row r="2587" spans="2:6" ht="13.8" hidden="1" outlineLevel="1">
      <c r="B2587" s="187">
        <v>26227</v>
      </c>
      <c r="C2587" s="188">
        <v>5.88</v>
      </c>
      <c r="D2587" s="104">
        <f t="shared" si="39"/>
        <v>5.8799999999999998E-2</v>
      </c>
      <c r="F2587" s="5"/>
    </row>
    <row r="2588" spans="2:6" ht="13.8" hidden="1" outlineLevel="1">
      <c r="B2588" s="187">
        <v>26228</v>
      </c>
      <c r="C2588" s="188">
        <v>5.9</v>
      </c>
      <c r="D2588" s="104">
        <f t="shared" si="39"/>
        <v>5.9000000000000004E-2</v>
      </c>
      <c r="F2588" s="5"/>
    </row>
    <row r="2589" spans="2:6" ht="13.8" hidden="1" outlineLevel="1">
      <c r="B2589" s="187">
        <v>26231</v>
      </c>
      <c r="C2589" s="188" t="s">
        <v>380</v>
      </c>
      <c r="D2589" s="104">
        <f t="shared" si="39"/>
        <v>5.9000000000000004E-2</v>
      </c>
      <c r="F2589" s="5"/>
    </row>
    <row r="2590" spans="2:6" ht="13.8" hidden="1" outlineLevel="1">
      <c r="B2590" s="187">
        <v>26232</v>
      </c>
      <c r="C2590" s="188">
        <v>5.89</v>
      </c>
      <c r="D2590" s="104">
        <f t="shared" ref="D2590:D2653" si="40">IF( LEN( C2590 ) = 0, #N/A, IF( C2590 = "ND", D2589, C2590 / 100 ) )</f>
        <v>5.8899999999999994E-2</v>
      </c>
      <c r="F2590" s="5"/>
    </row>
    <row r="2591" spans="2:6" ht="13.8" hidden="1" outlineLevel="1">
      <c r="B2591" s="187">
        <v>26233</v>
      </c>
      <c r="C2591" s="188">
        <v>5.92</v>
      </c>
      <c r="D2591" s="104">
        <f t="shared" si="40"/>
        <v>5.9200000000000003E-2</v>
      </c>
      <c r="F2591" s="5"/>
    </row>
    <row r="2592" spans="2:6" ht="13.8" hidden="1" outlineLevel="1">
      <c r="B2592" s="187">
        <v>26234</v>
      </c>
      <c r="C2592" s="188">
        <v>5.9</v>
      </c>
      <c r="D2592" s="104">
        <f t="shared" si="40"/>
        <v>5.9000000000000004E-2</v>
      </c>
      <c r="F2592" s="5"/>
    </row>
    <row r="2593" spans="2:6" ht="13.8" hidden="1" outlineLevel="1">
      <c r="B2593" s="187">
        <v>26235</v>
      </c>
      <c r="C2593" s="188">
        <v>5.87</v>
      </c>
      <c r="D2593" s="104">
        <f t="shared" si="40"/>
        <v>5.8700000000000002E-2</v>
      </c>
      <c r="F2593" s="5"/>
    </row>
    <row r="2594" spans="2:6" ht="13.8" hidden="1" outlineLevel="1">
      <c r="B2594" s="187">
        <v>26238</v>
      </c>
      <c r="C2594" s="188">
        <v>5.8</v>
      </c>
      <c r="D2594" s="104">
        <f t="shared" si="40"/>
        <v>5.7999999999999996E-2</v>
      </c>
      <c r="F2594" s="5"/>
    </row>
    <row r="2595" spans="2:6" ht="13.8" hidden="1" outlineLevel="1">
      <c r="B2595" s="187">
        <v>26239</v>
      </c>
      <c r="C2595" s="188" t="s">
        <v>380</v>
      </c>
      <c r="D2595" s="104">
        <f t="shared" si="40"/>
        <v>5.7999999999999996E-2</v>
      </c>
      <c r="F2595" s="5"/>
    </row>
    <row r="2596" spans="2:6" ht="13.8" hidden="1" outlineLevel="1">
      <c r="B2596" s="187">
        <v>26240</v>
      </c>
      <c r="C2596" s="188">
        <v>5.72</v>
      </c>
      <c r="D2596" s="104">
        <f t="shared" si="40"/>
        <v>5.7200000000000001E-2</v>
      </c>
      <c r="F2596" s="5"/>
    </row>
    <row r="2597" spans="2:6" ht="13.8" hidden="1" outlineLevel="1">
      <c r="B2597" s="187">
        <v>26241</v>
      </c>
      <c r="C2597" s="188">
        <v>5.72</v>
      </c>
      <c r="D2597" s="104">
        <f t="shared" si="40"/>
        <v>5.7200000000000001E-2</v>
      </c>
      <c r="F2597" s="5"/>
    </row>
    <row r="2598" spans="2:6" ht="13.8" hidden="1" outlineLevel="1">
      <c r="B2598" s="187">
        <v>26242</v>
      </c>
      <c r="C2598" s="188">
        <v>5.72</v>
      </c>
      <c r="D2598" s="104">
        <f t="shared" si="40"/>
        <v>5.7200000000000001E-2</v>
      </c>
      <c r="F2598" s="5"/>
    </row>
    <row r="2599" spans="2:6" ht="13.8" hidden="1" outlineLevel="1">
      <c r="B2599" s="187">
        <v>26245</v>
      </c>
      <c r="C2599" s="188">
        <v>5.77</v>
      </c>
      <c r="D2599" s="104">
        <f t="shared" si="40"/>
        <v>5.7699999999999994E-2</v>
      </c>
      <c r="F2599" s="5"/>
    </row>
    <row r="2600" spans="2:6" ht="13.8" hidden="1" outlineLevel="1">
      <c r="B2600" s="187">
        <v>26246</v>
      </c>
      <c r="C2600" s="188">
        <v>5.77</v>
      </c>
      <c r="D2600" s="104">
        <f t="shared" si="40"/>
        <v>5.7699999999999994E-2</v>
      </c>
      <c r="F2600" s="5"/>
    </row>
    <row r="2601" spans="2:6" ht="13.8" hidden="1" outlineLevel="1">
      <c r="B2601" s="187">
        <v>26247</v>
      </c>
      <c r="C2601" s="188">
        <v>5.82</v>
      </c>
      <c r="D2601" s="104">
        <f t="shared" si="40"/>
        <v>5.8200000000000002E-2</v>
      </c>
      <c r="F2601" s="5"/>
    </row>
    <row r="2602" spans="2:6" ht="13.8" hidden="1" outlineLevel="1">
      <c r="B2602" s="187">
        <v>26248</v>
      </c>
      <c r="C2602" s="188">
        <v>5.79</v>
      </c>
      <c r="D2602" s="104">
        <f t="shared" si="40"/>
        <v>5.79E-2</v>
      </c>
      <c r="F2602" s="5"/>
    </row>
    <row r="2603" spans="2:6" ht="13.8" hidden="1" outlineLevel="1">
      <c r="B2603" s="187">
        <v>26249</v>
      </c>
      <c r="C2603" s="188">
        <v>5.77</v>
      </c>
      <c r="D2603" s="104">
        <f t="shared" si="40"/>
        <v>5.7699999999999994E-2</v>
      </c>
      <c r="F2603" s="5"/>
    </row>
    <row r="2604" spans="2:6" ht="13.8" hidden="1" outlineLevel="1">
      <c r="B2604" s="187">
        <v>26252</v>
      </c>
      <c r="C2604" s="188">
        <v>5.77</v>
      </c>
      <c r="D2604" s="104">
        <f t="shared" si="40"/>
        <v>5.7699999999999994E-2</v>
      </c>
      <c r="F2604" s="5"/>
    </row>
    <row r="2605" spans="2:6" ht="13.8" hidden="1" outlineLevel="1">
      <c r="B2605" s="187">
        <v>26253</v>
      </c>
      <c r="C2605" s="188">
        <v>5.76</v>
      </c>
      <c r="D2605" s="104">
        <f t="shared" si="40"/>
        <v>5.7599999999999998E-2</v>
      </c>
      <c r="F2605" s="5"/>
    </row>
    <row r="2606" spans="2:6" ht="13.8" hidden="1" outlineLevel="1">
      <c r="B2606" s="187">
        <v>26254</v>
      </c>
      <c r="C2606" s="188">
        <v>5.75</v>
      </c>
      <c r="D2606" s="104">
        <f t="shared" si="40"/>
        <v>5.7500000000000002E-2</v>
      </c>
      <c r="F2606" s="5"/>
    </row>
    <row r="2607" spans="2:6" ht="13.8" hidden="1" outlineLevel="1">
      <c r="B2607" s="187">
        <v>26255</v>
      </c>
      <c r="C2607" s="188">
        <v>5.77</v>
      </c>
      <c r="D2607" s="104">
        <f t="shared" si="40"/>
        <v>5.7699999999999994E-2</v>
      </c>
      <c r="F2607" s="5"/>
    </row>
    <row r="2608" spans="2:6" ht="13.8" hidden="1" outlineLevel="1">
      <c r="B2608" s="187">
        <v>26256</v>
      </c>
      <c r="C2608" s="188">
        <v>5.79</v>
      </c>
      <c r="D2608" s="104">
        <f t="shared" si="40"/>
        <v>5.79E-2</v>
      </c>
      <c r="F2608" s="5"/>
    </row>
    <row r="2609" spans="2:6" ht="13.8" hidden="1" outlineLevel="1">
      <c r="B2609" s="187">
        <v>26259</v>
      </c>
      <c r="C2609" s="188">
        <v>5.82</v>
      </c>
      <c r="D2609" s="104">
        <f t="shared" si="40"/>
        <v>5.8200000000000002E-2</v>
      </c>
      <c r="F2609" s="5"/>
    </row>
    <row r="2610" spans="2:6" ht="13.8" hidden="1" outlineLevel="1">
      <c r="B2610" s="187">
        <v>26260</v>
      </c>
      <c r="C2610" s="188">
        <v>5.89</v>
      </c>
      <c r="D2610" s="104">
        <f t="shared" si="40"/>
        <v>5.8899999999999994E-2</v>
      </c>
      <c r="F2610" s="5"/>
    </row>
    <row r="2611" spans="2:6" ht="13.8" hidden="1" outlineLevel="1">
      <c r="B2611" s="187">
        <v>26261</v>
      </c>
      <c r="C2611" s="188">
        <v>5.95</v>
      </c>
      <c r="D2611" s="104">
        <f t="shared" si="40"/>
        <v>5.9500000000000004E-2</v>
      </c>
      <c r="F2611" s="5"/>
    </row>
    <row r="2612" spans="2:6" ht="13.8" hidden="1" outlineLevel="1">
      <c r="B2612" s="187">
        <v>26262</v>
      </c>
      <c r="C2612" s="188" t="s">
        <v>380</v>
      </c>
      <c r="D2612" s="104">
        <f t="shared" si="40"/>
        <v>5.9500000000000004E-2</v>
      </c>
      <c r="F2612" s="5"/>
    </row>
    <row r="2613" spans="2:6" ht="13.8" hidden="1" outlineLevel="1">
      <c r="B2613" s="187">
        <v>26263</v>
      </c>
      <c r="C2613" s="188">
        <v>5.94</v>
      </c>
      <c r="D2613" s="104">
        <f t="shared" si="40"/>
        <v>5.9400000000000001E-2</v>
      </c>
      <c r="F2613" s="5"/>
    </row>
    <row r="2614" spans="2:6" ht="13.8" hidden="1" outlineLevel="1">
      <c r="B2614" s="187">
        <v>26266</v>
      </c>
      <c r="C2614" s="188">
        <v>5.95</v>
      </c>
      <c r="D2614" s="104">
        <f t="shared" si="40"/>
        <v>5.9500000000000004E-2</v>
      </c>
      <c r="F2614" s="5"/>
    </row>
    <row r="2615" spans="2:6" ht="13.8" hidden="1" outlineLevel="1">
      <c r="B2615" s="187">
        <v>26267</v>
      </c>
      <c r="C2615" s="188">
        <v>5.93</v>
      </c>
      <c r="D2615" s="104">
        <f t="shared" si="40"/>
        <v>5.9299999999999999E-2</v>
      </c>
      <c r="F2615" s="5"/>
    </row>
    <row r="2616" spans="2:6" ht="13.8" hidden="1" outlineLevel="1">
      <c r="B2616" s="187">
        <v>26268</v>
      </c>
      <c r="C2616" s="188">
        <v>5.92</v>
      </c>
      <c r="D2616" s="104">
        <f t="shared" si="40"/>
        <v>5.9200000000000003E-2</v>
      </c>
      <c r="F2616" s="5"/>
    </row>
    <row r="2617" spans="2:6" ht="13.8" hidden="1" outlineLevel="1">
      <c r="B2617" s="187">
        <v>26269</v>
      </c>
      <c r="C2617" s="188">
        <v>5.9</v>
      </c>
      <c r="D2617" s="104">
        <f t="shared" si="40"/>
        <v>5.9000000000000004E-2</v>
      </c>
      <c r="F2617" s="5"/>
    </row>
    <row r="2618" spans="2:6" ht="13.8" hidden="1" outlineLevel="1">
      <c r="B2618" s="187">
        <v>26270</v>
      </c>
      <c r="C2618" s="188">
        <v>5.88</v>
      </c>
      <c r="D2618" s="104">
        <f t="shared" si="40"/>
        <v>5.8799999999999998E-2</v>
      </c>
      <c r="F2618" s="5"/>
    </row>
    <row r="2619" spans="2:6" ht="13.8" hidden="1" outlineLevel="1">
      <c r="B2619" s="187">
        <v>26273</v>
      </c>
      <c r="C2619" s="188">
        <v>5.88</v>
      </c>
      <c r="D2619" s="104">
        <f t="shared" si="40"/>
        <v>5.8799999999999998E-2</v>
      </c>
      <c r="F2619" s="5"/>
    </row>
    <row r="2620" spans="2:6" ht="13.8" hidden="1" outlineLevel="1">
      <c r="B2620" s="187">
        <v>26274</v>
      </c>
      <c r="C2620" s="188">
        <v>5.92</v>
      </c>
      <c r="D2620" s="104">
        <f t="shared" si="40"/>
        <v>5.9200000000000003E-2</v>
      </c>
      <c r="F2620" s="5"/>
    </row>
    <row r="2621" spans="2:6" ht="13.8" hidden="1" outlineLevel="1">
      <c r="B2621" s="187">
        <v>26275</v>
      </c>
      <c r="C2621" s="188">
        <v>5.92</v>
      </c>
      <c r="D2621" s="104">
        <f t="shared" si="40"/>
        <v>5.9200000000000003E-2</v>
      </c>
      <c r="F2621" s="5"/>
    </row>
    <row r="2622" spans="2:6" ht="13.8" hidden="1" outlineLevel="1">
      <c r="B2622" s="187">
        <v>26276</v>
      </c>
      <c r="C2622" s="188">
        <v>5.94</v>
      </c>
      <c r="D2622" s="104">
        <f t="shared" si="40"/>
        <v>5.9400000000000001E-2</v>
      </c>
      <c r="F2622" s="5"/>
    </row>
    <row r="2623" spans="2:6" ht="13.8" hidden="1" outlineLevel="1">
      <c r="B2623" s="187">
        <v>26277</v>
      </c>
      <c r="C2623" s="188">
        <v>5.93</v>
      </c>
      <c r="D2623" s="104">
        <f t="shared" si="40"/>
        <v>5.9299999999999999E-2</v>
      </c>
      <c r="F2623" s="5"/>
    </row>
    <row r="2624" spans="2:6" ht="13.8" hidden="1" outlineLevel="1">
      <c r="B2624" s="187">
        <v>26280</v>
      </c>
      <c r="C2624" s="188">
        <v>5.9</v>
      </c>
      <c r="D2624" s="104">
        <f t="shared" si="40"/>
        <v>5.9000000000000004E-2</v>
      </c>
      <c r="F2624" s="5"/>
    </row>
    <row r="2625" spans="2:6" ht="13.8" hidden="1" outlineLevel="1">
      <c r="B2625" s="187">
        <v>26281</v>
      </c>
      <c r="C2625" s="188">
        <v>5.94</v>
      </c>
      <c r="D2625" s="104">
        <f t="shared" si="40"/>
        <v>5.9400000000000001E-2</v>
      </c>
      <c r="F2625" s="5"/>
    </row>
    <row r="2626" spans="2:6" ht="13.8" hidden="1" outlineLevel="1">
      <c r="B2626" s="187">
        <v>26282</v>
      </c>
      <c r="C2626" s="188">
        <v>5.96</v>
      </c>
      <c r="D2626" s="104">
        <f t="shared" si="40"/>
        <v>5.96E-2</v>
      </c>
      <c r="F2626" s="5"/>
    </row>
    <row r="2627" spans="2:6" ht="13.8" hidden="1" outlineLevel="1">
      <c r="B2627" s="187">
        <v>26283</v>
      </c>
      <c r="C2627" s="188">
        <v>5.95</v>
      </c>
      <c r="D2627" s="104">
        <f t="shared" si="40"/>
        <v>5.9500000000000004E-2</v>
      </c>
      <c r="F2627" s="5"/>
    </row>
    <row r="2628" spans="2:6" ht="13.8" hidden="1" outlineLevel="1">
      <c r="B2628" s="187">
        <v>26284</v>
      </c>
      <c r="C2628" s="188">
        <v>5.93</v>
      </c>
      <c r="D2628" s="104">
        <f t="shared" si="40"/>
        <v>5.9299999999999999E-2</v>
      </c>
      <c r="F2628" s="5"/>
    </row>
    <row r="2629" spans="2:6" ht="13.8" hidden="1" outlineLevel="1">
      <c r="B2629" s="187">
        <v>26287</v>
      </c>
      <c r="C2629" s="188">
        <v>5.97</v>
      </c>
      <c r="D2629" s="104">
        <f t="shared" si="40"/>
        <v>5.9699999999999996E-2</v>
      </c>
      <c r="F2629" s="5"/>
    </row>
    <row r="2630" spans="2:6" ht="13.8" hidden="1" outlineLevel="1">
      <c r="B2630" s="187">
        <v>26288</v>
      </c>
      <c r="C2630" s="188">
        <v>6</v>
      </c>
      <c r="D2630" s="104">
        <f t="shared" si="40"/>
        <v>0.06</v>
      </c>
      <c r="F2630" s="5"/>
    </row>
    <row r="2631" spans="2:6" ht="13.8" hidden="1" outlineLevel="1">
      <c r="B2631" s="187">
        <v>26289</v>
      </c>
      <c r="C2631" s="188">
        <v>6.01</v>
      </c>
      <c r="D2631" s="104">
        <f t="shared" si="40"/>
        <v>6.0100000000000001E-2</v>
      </c>
      <c r="F2631" s="5"/>
    </row>
    <row r="2632" spans="2:6" ht="13.8" hidden="1" outlineLevel="1">
      <c r="B2632" s="187">
        <v>26290</v>
      </c>
      <c r="C2632" s="188">
        <v>5.97</v>
      </c>
      <c r="D2632" s="104">
        <f t="shared" si="40"/>
        <v>5.9699999999999996E-2</v>
      </c>
      <c r="F2632" s="5"/>
    </row>
    <row r="2633" spans="2:6" ht="13.8" hidden="1" outlineLevel="1">
      <c r="B2633" s="187">
        <v>26291</v>
      </c>
      <c r="C2633" s="188" t="s">
        <v>380</v>
      </c>
      <c r="D2633" s="104">
        <f t="shared" si="40"/>
        <v>5.9699999999999996E-2</v>
      </c>
      <c r="F2633" s="5"/>
    </row>
    <row r="2634" spans="2:6" ht="13.8" hidden="1" outlineLevel="1">
      <c r="B2634" s="187">
        <v>26294</v>
      </c>
      <c r="C2634" s="188">
        <v>5.91</v>
      </c>
      <c r="D2634" s="104">
        <f t="shared" si="40"/>
        <v>5.91E-2</v>
      </c>
      <c r="F2634" s="5"/>
    </row>
    <row r="2635" spans="2:6" ht="13.8" hidden="1" outlineLevel="1">
      <c r="B2635" s="187">
        <v>26295</v>
      </c>
      <c r="C2635" s="188">
        <v>5.86</v>
      </c>
      <c r="D2635" s="104">
        <f t="shared" si="40"/>
        <v>5.8600000000000006E-2</v>
      </c>
      <c r="F2635" s="5"/>
    </row>
    <row r="2636" spans="2:6" ht="13.8" hidden="1" outlineLevel="1">
      <c r="B2636" s="187">
        <v>26296</v>
      </c>
      <c r="C2636" s="188">
        <v>5.9</v>
      </c>
      <c r="D2636" s="104">
        <f t="shared" si="40"/>
        <v>5.9000000000000004E-2</v>
      </c>
      <c r="F2636" s="5"/>
    </row>
    <row r="2637" spans="2:6" ht="13.8" hidden="1" outlineLevel="1">
      <c r="B2637" s="187">
        <v>26297</v>
      </c>
      <c r="C2637" s="188">
        <v>5.9</v>
      </c>
      <c r="D2637" s="104">
        <f t="shared" si="40"/>
        <v>5.9000000000000004E-2</v>
      </c>
      <c r="F2637" s="5"/>
    </row>
    <row r="2638" spans="2:6" ht="13.8" hidden="1" outlineLevel="1">
      <c r="B2638" s="187">
        <v>26298</v>
      </c>
      <c r="C2638" s="188">
        <v>5.89</v>
      </c>
      <c r="D2638" s="104">
        <f t="shared" si="40"/>
        <v>5.8899999999999994E-2</v>
      </c>
      <c r="F2638" s="5"/>
    </row>
    <row r="2639" spans="2:6" ht="13.8" hidden="1" outlineLevel="1">
      <c r="B2639" s="187">
        <v>26301</v>
      </c>
      <c r="C2639" s="188">
        <v>5.94</v>
      </c>
      <c r="D2639" s="104">
        <f t="shared" si="40"/>
        <v>5.9400000000000001E-2</v>
      </c>
      <c r="F2639" s="5"/>
    </row>
    <row r="2640" spans="2:6" ht="13.8" hidden="1" outlineLevel="1">
      <c r="B2640" s="187">
        <v>26302</v>
      </c>
      <c r="C2640" s="188">
        <v>5.93</v>
      </c>
      <c r="D2640" s="104">
        <f t="shared" si="40"/>
        <v>5.9299999999999999E-2</v>
      </c>
      <c r="F2640" s="5"/>
    </row>
    <row r="2641" spans="2:6" ht="13.8" hidden="1" outlineLevel="1">
      <c r="B2641" s="187">
        <v>26303</v>
      </c>
      <c r="C2641" s="188">
        <v>5.91</v>
      </c>
      <c r="D2641" s="104">
        <f t="shared" si="40"/>
        <v>5.91E-2</v>
      </c>
      <c r="F2641" s="5"/>
    </row>
    <row r="2642" spans="2:6" ht="13.8" hidden="1" outlineLevel="1">
      <c r="B2642" s="187">
        <v>26304</v>
      </c>
      <c r="C2642" s="188">
        <v>5.9</v>
      </c>
      <c r="D2642" s="104">
        <f t="shared" si="40"/>
        <v>5.9000000000000004E-2</v>
      </c>
      <c r="F2642" s="5"/>
    </row>
    <row r="2643" spans="2:6" ht="13.8" hidden="1" outlineLevel="1">
      <c r="B2643" s="187">
        <v>26305</v>
      </c>
      <c r="C2643" s="188">
        <v>5.88</v>
      </c>
      <c r="D2643" s="104">
        <f t="shared" si="40"/>
        <v>5.8799999999999998E-2</v>
      </c>
      <c r="F2643" s="5"/>
    </row>
    <row r="2644" spans="2:6" ht="13.8" hidden="1" outlineLevel="1">
      <c r="B2644" s="187">
        <v>26308</v>
      </c>
      <c r="C2644" s="188">
        <v>5.86</v>
      </c>
      <c r="D2644" s="104">
        <f t="shared" si="40"/>
        <v>5.8600000000000006E-2</v>
      </c>
      <c r="F2644" s="5"/>
    </row>
    <row r="2645" spans="2:6" ht="13.8" hidden="1" outlineLevel="1">
      <c r="B2645" s="187">
        <v>26309</v>
      </c>
      <c r="C2645" s="188">
        <v>5.88</v>
      </c>
      <c r="D2645" s="104">
        <f t="shared" si="40"/>
        <v>5.8799999999999998E-2</v>
      </c>
      <c r="F2645" s="5"/>
    </row>
    <row r="2646" spans="2:6" ht="13.8" hidden="1" outlineLevel="1">
      <c r="B2646" s="187">
        <v>26310</v>
      </c>
      <c r="C2646" s="188">
        <v>5.88</v>
      </c>
      <c r="D2646" s="104">
        <f t="shared" si="40"/>
        <v>5.8799999999999998E-2</v>
      </c>
      <c r="F2646" s="5"/>
    </row>
    <row r="2647" spans="2:6" ht="13.8" hidden="1" outlineLevel="1">
      <c r="B2647" s="187">
        <v>26311</v>
      </c>
      <c r="C2647" s="188">
        <v>5.86</v>
      </c>
      <c r="D2647" s="104">
        <f t="shared" si="40"/>
        <v>5.8600000000000006E-2</v>
      </c>
      <c r="F2647" s="5"/>
    </row>
    <row r="2648" spans="2:6" ht="13.8" hidden="1" outlineLevel="1">
      <c r="B2648" s="187">
        <v>26312</v>
      </c>
      <c r="C2648" s="188">
        <v>5.85</v>
      </c>
      <c r="D2648" s="104">
        <f t="shared" si="40"/>
        <v>5.8499999999999996E-2</v>
      </c>
      <c r="F2648" s="5"/>
    </row>
    <row r="2649" spans="2:6" ht="13.8" hidden="1" outlineLevel="1">
      <c r="B2649" s="187">
        <v>26315</v>
      </c>
      <c r="C2649" s="188">
        <v>5.89</v>
      </c>
      <c r="D2649" s="104">
        <f t="shared" si="40"/>
        <v>5.8899999999999994E-2</v>
      </c>
      <c r="F2649" s="5"/>
    </row>
    <row r="2650" spans="2:6" ht="13.8" hidden="1" outlineLevel="1">
      <c r="B2650" s="187">
        <v>26316</v>
      </c>
      <c r="C2650" s="188">
        <v>5.92</v>
      </c>
      <c r="D2650" s="104">
        <f t="shared" si="40"/>
        <v>5.9200000000000003E-2</v>
      </c>
      <c r="F2650" s="5"/>
    </row>
    <row r="2651" spans="2:6" ht="13.8" hidden="1" outlineLevel="1">
      <c r="B2651" s="187">
        <v>26317</v>
      </c>
      <c r="C2651" s="188">
        <v>5.96</v>
      </c>
      <c r="D2651" s="104">
        <f t="shared" si="40"/>
        <v>5.96E-2</v>
      </c>
      <c r="F2651" s="5"/>
    </row>
    <row r="2652" spans="2:6" ht="13.8" hidden="1" outlineLevel="1">
      <c r="B2652" s="187">
        <v>26318</v>
      </c>
      <c r="C2652" s="188">
        <v>5.98</v>
      </c>
      <c r="D2652" s="104">
        <f t="shared" si="40"/>
        <v>5.9800000000000006E-2</v>
      </c>
      <c r="F2652" s="5"/>
    </row>
    <row r="2653" spans="2:6" ht="13.8" hidden="1" outlineLevel="1">
      <c r="B2653" s="187">
        <v>26319</v>
      </c>
      <c r="C2653" s="188">
        <v>5.99</v>
      </c>
      <c r="D2653" s="104">
        <f t="shared" si="40"/>
        <v>5.9900000000000002E-2</v>
      </c>
      <c r="F2653" s="5"/>
    </row>
    <row r="2654" spans="2:6" ht="13.8" hidden="1" outlineLevel="1">
      <c r="B2654" s="187">
        <v>26322</v>
      </c>
      <c r="C2654" s="188">
        <v>6.02</v>
      </c>
      <c r="D2654" s="104">
        <f t="shared" ref="D2654:D2717" si="41">IF( LEN( C2654 ) = 0, #N/A, IF( C2654 = "ND", D2653, C2654 / 100 ) )</f>
        <v>6.0199999999999997E-2</v>
      </c>
      <c r="F2654" s="5"/>
    </row>
    <row r="2655" spans="2:6" ht="13.8" hidden="1" outlineLevel="1">
      <c r="B2655" s="187">
        <v>26323</v>
      </c>
      <c r="C2655" s="188">
        <v>6.02</v>
      </c>
      <c r="D2655" s="104">
        <f t="shared" si="41"/>
        <v>6.0199999999999997E-2</v>
      </c>
      <c r="F2655" s="5"/>
    </row>
    <row r="2656" spans="2:6" ht="13.8" hidden="1" outlineLevel="1">
      <c r="B2656" s="187">
        <v>26324</v>
      </c>
      <c r="C2656" s="188">
        <v>6.01</v>
      </c>
      <c r="D2656" s="104">
        <f t="shared" si="41"/>
        <v>6.0100000000000001E-2</v>
      </c>
      <c r="F2656" s="5"/>
    </row>
    <row r="2657" spans="2:6" ht="13.8" hidden="1" outlineLevel="1">
      <c r="B2657" s="187">
        <v>26325</v>
      </c>
      <c r="C2657" s="188">
        <v>6.05</v>
      </c>
      <c r="D2657" s="104">
        <f t="shared" si="41"/>
        <v>6.0499999999999998E-2</v>
      </c>
      <c r="F2657" s="5"/>
    </row>
    <row r="2658" spans="2:6" ht="13.8" hidden="1" outlineLevel="1">
      <c r="B2658" s="187">
        <v>26326</v>
      </c>
      <c r="C2658" s="188">
        <v>6.08</v>
      </c>
      <c r="D2658" s="104">
        <f t="shared" si="41"/>
        <v>6.08E-2</v>
      </c>
      <c r="F2658" s="5"/>
    </row>
    <row r="2659" spans="2:6" ht="13.8" hidden="1" outlineLevel="1">
      <c r="B2659" s="187">
        <v>26329</v>
      </c>
      <c r="C2659" s="188">
        <v>6.09</v>
      </c>
      <c r="D2659" s="104">
        <f t="shared" si="41"/>
        <v>6.0899999999999996E-2</v>
      </c>
      <c r="F2659" s="5"/>
    </row>
    <row r="2660" spans="2:6" ht="13.8" hidden="1" outlineLevel="1">
      <c r="B2660" s="187">
        <v>26330</v>
      </c>
      <c r="C2660" s="188">
        <v>6.09</v>
      </c>
      <c r="D2660" s="104">
        <f t="shared" si="41"/>
        <v>6.0899999999999996E-2</v>
      </c>
      <c r="F2660" s="5"/>
    </row>
    <row r="2661" spans="2:6" ht="13.8" hidden="1" outlineLevel="1">
      <c r="B2661" s="187">
        <v>26331</v>
      </c>
      <c r="C2661" s="188">
        <v>6.08</v>
      </c>
      <c r="D2661" s="104">
        <f t="shared" si="41"/>
        <v>6.08E-2</v>
      </c>
      <c r="F2661" s="5"/>
    </row>
    <row r="2662" spans="2:6" ht="13.8" hidden="1" outlineLevel="1">
      <c r="B2662" s="187">
        <v>26332</v>
      </c>
      <c r="C2662" s="188">
        <v>6.08</v>
      </c>
      <c r="D2662" s="104">
        <f t="shared" si="41"/>
        <v>6.08E-2</v>
      </c>
      <c r="F2662" s="5"/>
    </row>
    <row r="2663" spans="2:6" ht="13.8" hidden="1" outlineLevel="1">
      <c r="B2663" s="187">
        <v>26333</v>
      </c>
      <c r="C2663" s="188">
        <v>6.08</v>
      </c>
      <c r="D2663" s="104">
        <f t="shared" si="41"/>
        <v>6.08E-2</v>
      </c>
      <c r="F2663" s="5"/>
    </row>
    <row r="2664" spans="2:6" ht="13.8" hidden="1" outlineLevel="1">
      <c r="B2664" s="187">
        <v>26336</v>
      </c>
      <c r="C2664" s="188">
        <v>6.09</v>
      </c>
      <c r="D2664" s="104">
        <f t="shared" si="41"/>
        <v>6.0899999999999996E-2</v>
      </c>
      <c r="F2664" s="5"/>
    </row>
    <row r="2665" spans="2:6" ht="13.8" hidden="1" outlineLevel="1">
      <c r="B2665" s="187">
        <v>26337</v>
      </c>
      <c r="C2665" s="188">
        <v>6.11</v>
      </c>
      <c r="D2665" s="104">
        <f t="shared" si="41"/>
        <v>6.1100000000000002E-2</v>
      </c>
      <c r="F2665" s="5"/>
    </row>
    <row r="2666" spans="2:6" ht="13.8" hidden="1" outlineLevel="1">
      <c r="B2666" s="187">
        <v>26338</v>
      </c>
      <c r="C2666" s="188">
        <v>6.12</v>
      </c>
      <c r="D2666" s="104">
        <f t="shared" si="41"/>
        <v>6.1200000000000004E-2</v>
      </c>
      <c r="F2666" s="5"/>
    </row>
    <row r="2667" spans="2:6" ht="13.8" hidden="1" outlineLevel="1">
      <c r="B2667" s="187">
        <v>26339</v>
      </c>
      <c r="C2667" s="188">
        <v>6.11</v>
      </c>
      <c r="D2667" s="104">
        <f t="shared" si="41"/>
        <v>6.1100000000000002E-2</v>
      </c>
      <c r="F2667" s="5"/>
    </row>
    <row r="2668" spans="2:6" ht="13.8" hidden="1" outlineLevel="1">
      <c r="B2668" s="187">
        <v>26340</v>
      </c>
      <c r="C2668" s="188">
        <v>6.12</v>
      </c>
      <c r="D2668" s="104">
        <f t="shared" si="41"/>
        <v>6.1200000000000004E-2</v>
      </c>
      <c r="F2668" s="5"/>
    </row>
    <row r="2669" spans="2:6" ht="13.8" hidden="1" outlineLevel="1">
      <c r="B2669" s="187">
        <v>26343</v>
      </c>
      <c r="C2669" s="188">
        <v>6.1</v>
      </c>
      <c r="D2669" s="104">
        <f t="shared" si="41"/>
        <v>6.0999999999999999E-2</v>
      </c>
      <c r="F2669" s="5"/>
    </row>
    <row r="2670" spans="2:6" ht="13.8" hidden="1" outlineLevel="1">
      <c r="B2670" s="187">
        <v>26344</v>
      </c>
      <c r="C2670" s="188">
        <v>6.1</v>
      </c>
      <c r="D2670" s="104">
        <f t="shared" si="41"/>
        <v>6.0999999999999999E-2</v>
      </c>
      <c r="F2670" s="5"/>
    </row>
    <row r="2671" spans="2:6" ht="13.8" hidden="1" outlineLevel="1">
      <c r="B2671" s="187">
        <v>26345</v>
      </c>
      <c r="C2671" s="188">
        <v>6.08</v>
      </c>
      <c r="D2671" s="104">
        <f t="shared" si="41"/>
        <v>6.08E-2</v>
      </c>
      <c r="F2671" s="5"/>
    </row>
    <row r="2672" spans="2:6" ht="13.8" hidden="1" outlineLevel="1">
      <c r="B2672" s="187">
        <v>26346</v>
      </c>
      <c r="C2672" s="188">
        <v>6.06</v>
      </c>
      <c r="D2672" s="104">
        <f t="shared" si="41"/>
        <v>6.0599999999999994E-2</v>
      </c>
      <c r="F2672" s="5"/>
    </row>
    <row r="2673" spans="2:6" ht="13.8" hidden="1" outlineLevel="1">
      <c r="B2673" s="187">
        <v>26347</v>
      </c>
      <c r="C2673" s="188">
        <v>6.06</v>
      </c>
      <c r="D2673" s="104">
        <f t="shared" si="41"/>
        <v>6.0599999999999994E-2</v>
      </c>
      <c r="F2673" s="5"/>
    </row>
    <row r="2674" spans="2:6" ht="13.8" hidden="1" outlineLevel="1">
      <c r="B2674" s="187">
        <v>26350</v>
      </c>
      <c r="C2674" s="188" t="s">
        <v>380</v>
      </c>
      <c r="D2674" s="104">
        <f t="shared" si="41"/>
        <v>6.0599999999999994E-2</v>
      </c>
      <c r="F2674" s="5"/>
    </row>
    <row r="2675" spans="2:6" ht="13.8" hidden="1" outlineLevel="1">
      <c r="B2675" s="187">
        <v>26351</v>
      </c>
      <c r="C2675" s="188">
        <v>6.06</v>
      </c>
      <c r="D2675" s="104">
        <f t="shared" si="41"/>
        <v>6.0599999999999994E-2</v>
      </c>
      <c r="F2675" s="5"/>
    </row>
    <row r="2676" spans="2:6" ht="13.8" hidden="1" outlineLevel="1">
      <c r="B2676" s="187">
        <v>26352</v>
      </c>
      <c r="C2676" s="188">
        <v>6.07</v>
      </c>
      <c r="D2676" s="104">
        <f t="shared" si="41"/>
        <v>6.0700000000000004E-2</v>
      </c>
      <c r="F2676" s="5"/>
    </row>
    <row r="2677" spans="2:6" ht="13.8" hidden="1" outlineLevel="1">
      <c r="B2677" s="187">
        <v>26353</v>
      </c>
      <c r="C2677" s="188">
        <v>6.07</v>
      </c>
      <c r="D2677" s="104">
        <f t="shared" si="41"/>
        <v>6.0700000000000004E-2</v>
      </c>
      <c r="F2677" s="5"/>
    </row>
    <row r="2678" spans="2:6" ht="13.8" hidden="1" outlineLevel="1">
      <c r="B2678" s="187">
        <v>26354</v>
      </c>
      <c r="C2678" s="188">
        <v>6.06</v>
      </c>
      <c r="D2678" s="104">
        <f t="shared" si="41"/>
        <v>6.0599999999999994E-2</v>
      </c>
      <c r="F2678" s="5"/>
    </row>
    <row r="2679" spans="2:6" ht="13.8" hidden="1" outlineLevel="1">
      <c r="B2679" s="187">
        <v>26357</v>
      </c>
      <c r="C2679" s="188">
        <v>6.04</v>
      </c>
      <c r="D2679" s="104">
        <f t="shared" si="41"/>
        <v>6.0400000000000002E-2</v>
      </c>
      <c r="F2679" s="5"/>
    </row>
    <row r="2680" spans="2:6" ht="13.8" hidden="1" outlineLevel="1">
      <c r="B2680" s="187">
        <v>26358</v>
      </c>
      <c r="C2680" s="188">
        <v>6.04</v>
      </c>
      <c r="D2680" s="104">
        <f t="shared" si="41"/>
        <v>6.0400000000000002E-2</v>
      </c>
      <c r="F2680" s="5"/>
    </row>
    <row r="2681" spans="2:6" ht="13.8" hidden="1" outlineLevel="1">
      <c r="B2681" s="187">
        <v>26359</v>
      </c>
      <c r="C2681" s="188">
        <v>6.04</v>
      </c>
      <c r="D2681" s="104">
        <f t="shared" si="41"/>
        <v>6.0400000000000002E-2</v>
      </c>
      <c r="F2681" s="5"/>
    </row>
    <row r="2682" spans="2:6" ht="13.8" hidden="1" outlineLevel="1">
      <c r="B2682" s="187">
        <v>26360</v>
      </c>
      <c r="C2682" s="188">
        <v>6.03</v>
      </c>
      <c r="D2682" s="104">
        <f t="shared" si="41"/>
        <v>6.0299999999999999E-2</v>
      </c>
      <c r="F2682" s="5"/>
    </row>
    <row r="2683" spans="2:6" ht="13.8" hidden="1" outlineLevel="1">
      <c r="B2683" s="187">
        <v>26361</v>
      </c>
      <c r="C2683" s="188">
        <v>6.02</v>
      </c>
      <c r="D2683" s="104">
        <f t="shared" si="41"/>
        <v>6.0199999999999997E-2</v>
      </c>
      <c r="F2683" s="5"/>
    </row>
    <row r="2684" spans="2:6" ht="13.8" hidden="1" outlineLevel="1">
      <c r="B2684" s="187">
        <v>26364</v>
      </c>
      <c r="C2684" s="188">
        <v>6.01</v>
      </c>
      <c r="D2684" s="104">
        <f t="shared" si="41"/>
        <v>6.0100000000000001E-2</v>
      </c>
      <c r="F2684" s="5"/>
    </row>
    <row r="2685" spans="2:6" ht="13.8" hidden="1" outlineLevel="1">
      <c r="B2685" s="187">
        <v>26365</v>
      </c>
      <c r="C2685" s="188">
        <v>6.02</v>
      </c>
      <c r="D2685" s="104">
        <f t="shared" si="41"/>
        <v>6.0199999999999997E-2</v>
      </c>
      <c r="F2685" s="5"/>
    </row>
    <row r="2686" spans="2:6" ht="13.8" hidden="1" outlineLevel="1">
      <c r="B2686" s="187">
        <v>26366</v>
      </c>
      <c r="C2686" s="188">
        <v>6.02</v>
      </c>
      <c r="D2686" s="104">
        <f t="shared" si="41"/>
        <v>6.0199999999999997E-2</v>
      </c>
      <c r="F2686" s="5"/>
    </row>
    <row r="2687" spans="2:6" ht="13.8" hidden="1" outlineLevel="1">
      <c r="B2687" s="187">
        <v>26367</v>
      </c>
      <c r="C2687" s="188">
        <v>6.02</v>
      </c>
      <c r="D2687" s="104">
        <f t="shared" si="41"/>
        <v>6.0199999999999997E-2</v>
      </c>
      <c r="F2687" s="5"/>
    </row>
    <row r="2688" spans="2:6" ht="13.8" hidden="1" outlineLevel="1">
      <c r="B2688" s="187">
        <v>26368</v>
      </c>
      <c r="C2688" s="188">
        <v>6.03</v>
      </c>
      <c r="D2688" s="104">
        <f t="shared" si="41"/>
        <v>6.0299999999999999E-2</v>
      </c>
      <c r="F2688" s="5"/>
    </row>
    <row r="2689" spans="2:6" ht="13.8" hidden="1" outlineLevel="1">
      <c r="B2689" s="187">
        <v>26371</v>
      </c>
      <c r="C2689" s="188">
        <v>6.07</v>
      </c>
      <c r="D2689" s="104">
        <f t="shared" si="41"/>
        <v>6.0700000000000004E-2</v>
      </c>
      <c r="F2689" s="5"/>
    </row>
    <row r="2690" spans="2:6" ht="13.8" hidden="1" outlineLevel="1">
      <c r="B2690" s="187">
        <v>26372</v>
      </c>
      <c r="C2690" s="188">
        <v>6.06</v>
      </c>
      <c r="D2690" s="104">
        <f t="shared" si="41"/>
        <v>6.0599999999999994E-2</v>
      </c>
      <c r="F2690" s="5"/>
    </row>
    <row r="2691" spans="2:6" ht="13.8" hidden="1" outlineLevel="1">
      <c r="B2691" s="187">
        <v>26373</v>
      </c>
      <c r="C2691" s="188">
        <v>6.11</v>
      </c>
      <c r="D2691" s="104">
        <f t="shared" si="41"/>
        <v>6.1100000000000002E-2</v>
      </c>
      <c r="F2691" s="5"/>
    </row>
    <row r="2692" spans="2:6" ht="13.8" hidden="1" outlineLevel="1">
      <c r="B2692" s="187">
        <v>26374</v>
      </c>
      <c r="C2692" s="188">
        <v>6.08</v>
      </c>
      <c r="D2692" s="104">
        <f t="shared" si="41"/>
        <v>6.08E-2</v>
      </c>
      <c r="F2692" s="5"/>
    </row>
    <row r="2693" spans="2:6" ht="13.8" hidden="1" outlineLevel="1">
      <c r="B2693" s="187">
        <v>26375</v>
      </c>
      <c r="C2693" s="188">
        <v>6.08</v>
      </c>
      <c r="D2693" s="104">
        <f t="shared" si="41"/>
        <v>6.08E-2</v>
      </c>
      <c r="F2693" s="5"/>
    </row>
    <row r="2694" spans="2:6" ht="13.8" hidden="1" outlineLevel="1">
      <c r="B2694" s="187">
        <v>26378</v>
      </c>
      <c r="C2694" s="188">
        <v>6.09</v>
      </c>
      <c r="D2694" s="104">
        <f t="shared" si="41"/>
        <v>6.0899999999999996E-2</v>
      </c>
      <c r="F2694" s="5"/>
    </row>
    <row r="2695" spans="2:6" ht="13.8" hidden="1" outlineLevel="1">
      <c r="B2695" s="187">
        <v>26379</v>
      </c>
      <c r="C2695" s="188">
        <v>6.08</v>
      </c>
      <c r="D2695" s="104">
        <f t="shared" si="41"/>
        <v>6.08E-2</v>
      </c>
      <c r="F2695" s="5"/>
    </row>
    <row r="2696" spans="2:6" ht="13.8" hidden="1" outlineLevel="1">
      <c r="B2696" s="187">
        <v>26380</v>
      </c>
      <c r="C2696" s="188">
        <v>6.08</v>
      </c>
      <c r="D2696" s="104">
        <f t="shared" si="41"/>
        <v>6.08E-2</v>
      </c>
      <c r="F2696" s="5"/>
    </row>
    <row r="2697" spans="2:6" ht="13.8" hidden="1" outlineLevel="1">
      <c r="B2697" s="187">
        <v>26381</v>
      </c>
      <c r="C2697" s="188">
        <v>6.1</v>
      </c>
      <c r="D2697" s="104">
        <f t="shared" si="41"/>
        <v>6.0999999999999999E-2</v>
      </c>
      <c r="F2697" s="5"/>
    </row>
    <row r="2698" spans="2:6" ht="13.8" hidden="1" outlineLevel="1">
      <c r="B2698" s="187">
        <v>26382</v>
      </c>
      <c r="C2698" s="188">
        <v>6.12</v>
      </c>
      <c r="D2698" s="104">
        <f t="shared" si="41"/>
        <v>6.1200000000000004E-2</v>
      </c>
      <c r="F2698" s="5"/>
    </row>
    <row r="2699" spans="2:6" ht="13.8" hidden="1" outlineLevel="1">
      <c r="B2699" s="187">
        <v>26385</v>
      </c>
      <c r="C2699" s="188">
        <v>6.1</v>
      </c>
      <c r="D2699" s="104">
        <f t="shared" si="41"/>
        <v>6.0999999999999999E-2</v>
      </c>
      <c r="F2699" s="5"/>
    </row>
    <row r="2700" spans="2:6" ht="13.8" hidden="1" outlineLevel="1">
      <c r="B2700" s="187">
        <v>26386</v>
      </c>
      <c r="C2700" s="188">
        <v>6.11</v>
      </c>
      <c r="D2700" s="104">
        <f t="shared" si="41"/>
        <v>6.1100000000000002E-2</v>
      </c>
      <c r="F2700" s="5"/>
    </row>
    <row r="2701" spans="2:6" ht="13.8" hidden="1" outlineLevel="1">
      <c r="B2701" s="187">
        <v>26387</v>
      </c>
      <c r="C2701" s="188">
        <v>6.12</v>
      </c>
      <c r="D2701" s="104">
        <f t="shared" si="41"/>
        <v>6.1200000000000004E-2</v>
      </c>
      <c r="F2701" s="5"/>
    </row>
    <row r="2702" spans="2:6" ht="13.8" hidden="1" outlineLevel="1">
      <c r="B2702" s="187">
        <v>26388</v>
      </c>
      <c r="C2702" s="188">
        <v>6.12</v>
      </c>
      <c r="D2702" s="104">
        <f t="shared" si="41"/>
        <v>6.1200000000000004E-2</v>
      </c>
      <c r="F2702" s="5"/>
    </row>
    <row r="2703" spans="2:6" ht="13.8" hidden="1" outlineLevel="1">
      <c r="B2703" s="187">
        <v>26389</v>
      </c>
      <c r="C2703" s="188" t="s">
        <v>380</v>
      </c>
      <c r="D2703" s="104">
        <f t="shared" si="41"/>
        <v>6.1200000000000004E-2</v>
      </c>
      <c r="F2703" s="5"/>
    </row>
    <row r="2704" spans="2:6" ht="13.8" hidden="1" outlineLevel="1">
      <c r="B2704" s="187">
        <v>26392</v>
      </c>
      <c r="C2704" s="188">
        <v>6.14</v>
      </c>
      <c r="D2704" s="104">
        <f t="shared" si="41"/>
        <v>6.1399999999999996E-2</v>
      </c>
      <c r="F2704" s="5"/>
    </row>
    <row r="2705" spans="2:6" ht="13.8" hidden="1" outlineLevel="1">
      <c r="B2705" s="187">
        <v>26393</v>
      </c>
      <c r="C2705" s="188">
        <v>6.18</v>
      </c>
      <c r="D2705" s="104">
        <f t="shared" si="41"/>
        <v>6.1799999999999994E-2</v>
      </c>
      <c r="F2705" s="5"/>
    </row>
    <row r="2706" spans="2:6" ht="13.8" hidden="1" outlineLevel="1">
      <c r="B2706" s="187">
        <v>26394</v>
      </c>
      <c r="C2706" s="188">
        <v>6.18</v>
      </c>
      <c r="D2706" s="104">
        <f t="shared" si="41"/>
        <v>6.1799999999999994E-2</v>
      </c>
      <c r="F2706" s="5"/>
    </row>
    <row r="2707" spans="2:6" ht="13.8" hidden="1" outlineLevel="1">
      <c r="B2707" s="187">
        <v>26395</v>
      </c>
      <c r="C2707" s="188">
        <v>6.18</v>
      </c>
      <c r="D2707" s="104">
        <f t="shared" si="41"/>
        <v>6.1799999999999994E-2</v>
      </c>
      <c r="F2707" s="5"/>
    </row>
    <row r="2708" spans="2:6" ht="13.8" hidden="1" outlineLevel="1">
      <c r="B2708" s="187">
        <v>26396</v>
      </c>
      <c r="C2708" s="188">
        <v>6.18</v>
      </c>
      <c r="D2708" s="104">
        <f t="shared" si="41"/>
        <v>6.1799999999999994E-2</v>
      </c>
      <c r="F2708" s="5"/>
    </row>
    <row r="2709" spans="2:6" ht="13.8" hidden="1" outlineLevel="1">
      <c r="B2709" s="187">
        <v>26399</v>
      </c>
      <c r="C2709" s="188">
        <v>6.17</v>
      </c>
      <c r="D2709" s="104">
        <f t="shared" si="41"/>
        <v>6.1699999999999998E-2</v>
      </c>
      <c r="F2709" s="5"/>
    </row>
    <row r="2710" spans="2:6" ht="13.8" hidden="1" outlineLevel="1">
      <c r="B2710" s="187">
        <v>26400</v>
      </c>
      <c r="C2710" s="188">
        <v>6.18</v>
      </c>
      <c r="D2710" s="104">
        <f t="shared" si="41"/>
        <v>6.1799999999999994E-2</v>
      </c>
      <c r="F2710" s="5"/>
    </row>
    <row r="2711" spans="2:6" ht="13.8" hidden="1" outlineLevel="1">
      <c r="B2711" s="187">
        <v>26401</v>
      </c>
      <c r="C2711" s="188">
        <v>6.21</v>
      </c>
      <c r="D2711" s="104">
        <f t="shared" si="41"/>
        <v>6.2100000000000002E-2</v>
      </c>
      <c r="F2711" s="5"/>
    </row>
    <row r="2712" spans="2:6" ht="13.8" hidden="1" outlineLevel="1">
      <c r="B2712" s="187">
        <v>26402</v>
      </c>
      <c r="C2712" s="188">
        <v>6.25</v>
      </c>
      <c r="D2712" s="104">
        <f t="shared" si="41"/>
        <v>6.25E-2</v>
      </c>
      <c r="F2712" s="5"/>
    </row>
    <row r="2713" spans="2:6" ht="13.8" hidden="1" outlineLevel="1">
      <c r="B2713" s="187">
        <v>26403</v>
      </c>
      <c r="C2713" s="188">
        <v>6.25</v>
      </c>
      <c r="D2713" s="104">
        <f t="shared" si="41"/>
        <v>6.25E-2</v>
      </c>
      <c r="F2713" s="5"/>
    </row>
    <row r="2714" spans="2:6" ht="13.8" hidden="1" outlineLevel="1">
      <c r="B2714" s="187">
        <v>26406</v>
      </c>
      <c r="C2714" s="188">
        <v>6.24</v>
      </c>
      <c r="D2714" s="104">
        <f t="shared" si="41"/>
        <v>6.2400000000000004E-2</v>
      </c>
      <c r="F2714" s="5"/>
    </row>
    <row r="2715" spans="2:6" ht="13.8" hidden="1" outlineLevel="1">
      <c r="B2715" s="187">
        <v>26407</v>
      </c>
      <c r="C2715" s="188">
        <v>6.24</v>
      </c>
      <c r="D2715" s="104">
        <f t="shared" si="41"/>
        <v>6.2400000000000004E-2</v>
      </c>
      <c r="F2715" s="5"/>
    </row>
    <row r="2716" spans="2:6" ht="13.8" hidden="1" outlineLevel="1">
      <c r="B2716" s="187">
        <v>26408</v>
      </c>
      <c r="C2716" s="188">
        <v>6.22</v>
      </c>
      <c r="D2716" s="104">
        <f t="shared" si="41"/>
        <v>6.2199999999999998E-2</v>
      </c>
      <c r="F2716" s="5"/>
    </row>
    <row r="2717" spans="2:6" ht="13.8" hidden="1" outlineLevel="1">
      <c r="B2717" s="187">
        <v>26409</v>
      </c>
      <c r="C2717" s="188">
        <v>6.21</v>
      </c>
      <c r="D2717" s="104">
        <f t="shared" si="41"/>
        <v>6.2100000000000002E-2</v>
      </c>
      <c r="F2717" s="5"/>
    </row>
    <row r="2718" spans="2:6" ht="13.8" hidden="1" outlineLevel="1">
      <c r="B2718" s="187">
        <v>26410</v>
      </c>
      <c r="C2718" s="188">
        <v>6.2</v>
      </c>
      <c r="D2718" s="104">
        <f t="shared" ref="D2718:D2781" si="42">IF( LEN( C2718 ) = 0, #N/A, IF( C2718 = "ND", D2717, C2718 / 100 ) )</f>
        <v>6.2E-2</v>
      </c>
      <c r="F2718" s="5"/>
    </row>
    <row r="2719" spans="2:6" ht="13.8" hidden="1" outlineLevel="1">
      <c r="B2719" s="187">
        <v>26413</v>
      </c>
      <c r="C2719" s="188">
        <v>6.21</v>
      </c>
      <c r="D2719" s="104">
        <f t="shared" si="42"/>
        <v>6.2100000000000002E-2</v>
      </c>
      <c r="F2719" s="5"/>
    </row>
    <row r="2720" spans="2:6" ht="13.8" hidden="1" outlineLevel="1">
      <c r="B2720" s="187">
        <v>26414</v>
      </c>
      <c r="C2720" s="188">
        <v>6.21</v>
      </c>
      <c r="D2720" s="104">
        <f t="shared" si="42"/>
        <v>6.2100000000000002E-2</v>
      </c>
      <c r="F2720" s="5"/>
    </row>
    <row r="2721" spans="2:6" ht="13.8" hidden="1" outlineLevel="1">
      <c r="B2721" s="187">
        <v>26415</v>
      </c>
      <c r="C2721" s="188">
        <v>6.19</v>
      </c>
      <c r="D2721" s="104">
        <f t="shared" si="42"/>
        <v>6.1900000000000004E-2</v>
      </c>
      <c r="F2721" s="5"/>
    </row>
    <row r="2722" spans="2:6" ht="13.8" hidden="1" outlineLevel="1">
      <c r="B2722" s="187">
        <v>26416</v>
      </c>
      <c r="C2722" s="188">
        <v>6.11</v>
      </c>
      <c r="D2722" s="104">
        <f t="shared" si="42"/>
        <v>6.1100000000000002E-2</v>
      </c>
      <c r="F2722" s="5"/>
    </row>
    <row r="2723" spans="2:6" ht="13.8" hidden="1" outlineLevel="1">
      <c r="B2723" s="187">
        <v>26417</v>
      </c>
      <c r="C2723" s="188">
        <v>6.14</v>
      </c>
      <c r="D2723" s="104">
        <f t="shared" si="42"/>
        <v>6.1399999999999996E-2</v>
      </c>
      <c r="F2723" s="5"/>
    </row>
    <row r="2724" spans="2:6" ht="13.8" hidden="1" outlineLevel="1">
      <c r="B2724" s="187">
        <v>26420</v>
      </c>
      <c r="C2724" s="188">
        <v>6.14</v>
      </c>
      <c r="D2724" s="104">
        <f t="shared" si="42"/>
        <v>6.1399999999999996E-2</v>
      </c>
      <c r="F2724" s="5"/>
    </row>
    <row r="2725" spans="2:6" ht="13.8" hidden="1" outlineLevel="1">
      <c r="B2725" s="187">
        <v>26421</v>
      </c>
      <c r="C2725" s="188">
        <v>6.16</v>
      </c>
      <c r="D2725" s="104">
        <f t="shared" si="42"/>
        <v>6.1600000000000002E-2</v>
      </c>
      <c r="F2725" s="5"/>
    </row>
    <row r="2726" spans="2:6" ht="13.8" hidden="1" outlineLevel="1">
      <c r="B2726" s="187">
        <v>26422</v>
      </c>
      <c r="C2726" s="188">
        <v>6.17</v>
      </c>
      <c r="D2726" s="104">
        <f t="shared" si="42"/>
        <v>6.1699999999999998E-2</v>
      </c>
      <c r="F2726" s="5"/>
    </row>
    <row r="2727" spans="2:6" ht="13.8" hidden="1" outlineLevel="1">
      <c r="B2727" s="187">
        <v>26423</v>
      </c>
      <c r="C2727" s="188">
        <v>6.17</v>
      </c>
      <c r="D2727" s="104">
        <f t="shared" si="42"/>
        <v>6.1699999999999998E-2</v>
      </c>
      <c r="F2727" s="5"/>
    </row>
    <row r="2728" spans="2:6" ht="13.8" hidden="1" outlineLevel="1">
      <c r="B2728" s="187">
        <v>26424</v>
      </c>
      <c r="C2728" s="188">
        <v>6.17</v>
      </c>
      <c r="D2728" s="104">
        <f t="shared" si="42"/>
        <v>6.1699999999999998E-2</v>
      </c>
      <c r="F2728" s="5"/>
    </row>
    <row r="2729" spans="2:6" ht="13.8" hidden="1" outlineLevel="1">
      <c r="B2729" s="187">
        <v>26427</v>
      </c>
      <c r="C2729" s="188">
        <v>6.17</v>
      </c>
      <c r="D2729" s="104">
        <f t="shared" si="42"/>
        <v>6.1699999999999998E-2</v>
      </c>
      <c r="F2729" s="5"/>
    </row>
    <row r="2730" spans="2:6" ht="13.8" hidden="1" outlineLevel="1">
      <c r="B2730" s="187">
        <v>26428</v>
      </c>
      <c r="C2730" s="188">
        <v>6.2</v>
      </c>
      <c r="D2730" s="104">
        <f t="shared" si="42"/>
        <v>6.2E-2</v>
      </c>
      <c r="F2730" s="5"/>
    </row>
    <row r="2731" spans="2:6" ht="13.8" hidden="1" outlineLevel="1">
      <c r="B2731" s="187">
        <v>26429</v>
      </c>
      <c r="C2731" s="188">
        <v>6.19</v>
      </c>
      <c r="D2731" s="104">
        <f t="shared" si="42"/>
        <v>6.1900000000000004E-2</v>
      </c>
      <c r="F2731" s="5"/>
    </row>
    <row r="2732" spans="2:6" ht="13.8" hidden="1" outlineLevel="1">
      <c r="B2732" s="187">
        <v>26430</v>
      </c>
      <c r="C2732" s="188">
        <v>6.19</v>
      </c>
      <c r="D2732" s="104">
        <f t="shared" si="42"/>
        <v>6.1900000000000004E-2</v>
      </c>
      <c r="F2732" s="5"/>
    </row>
    <row r="2733" spans="2:6" ht="13.8" hidden="1" outlineLevel="1">
      <c r="B2733" s="187">
        <v>26431</v>
      </c>
      <c r="C2733" s="188">
        <v>6.16</v>
      </c>
      <c r="D2733" s="104">
        <f t="shared" si="42"/>
        <v>6.1600000000000002E-2</v>
      </c>
      <c r="F2733" s="5"/>
    </row>
    <row r="2734" spans="2:6" ht="13.8" hidden="1" outlineLevel="1">
      <c r="B2734" s="187">
        <v>26434</v>
      </c>
      <c r="C2734" s="188">
        <v>6.16</v>
      </c>
      <c r="D2734" s="104">
        <f t="shared" si="42"/>
        <v>6.1600000000000002E-2</v>
      </c>
      <c r="F2734" s="5"/>
    </row>
    <row r="2735" spans="2:6" ht="13.8" hidden="1" outlineLevel="1">
      <c r="B2735" s="187">
        <v>26435</v>
      </c>
      <c r="C2735" s="188">
        <v>6.16</v>
      </c>
      <c r="D2735" s="104">
        <f t="shared" si="42"/>
        <v>6.1600000000000002E-2</v>
      </c>
      <c r="F2735" s="5"/>
    </row>
    <row r="2736" spans="2:6" ht="13.8" hidden="1" outlineLevel="1">
      <c r="B2736" s="187">
        <v>26436</v>
      </c>
      <c r="C2736" s="188">
        <v>6.15</v>
      </c>
      <c r="D2736" s="104">
        <f t="shared" si="42"/>
        <v>6.1500000000000006E-2</v>
      </c>
      <c r="F2736" s="5"/>
    </row>
    <row r="2737" spans="2:6" ht="13.8" hidden="1" outlineLevel="1">
      <c r="B2737" s="187">
        <v>26437</v>
      </c>
      <c r="C2737" s="188">
        <v>6.13</v>
      </c>
      <c r="D2737" s="104">
        <f t="shared" si="42"/>
        <v>6.13E-2</v>
      </c>
      <c r="F2737" s="5"/>
    </row>
    <row r="2738" spans="2:6" ht="13.8" hidden="1" outlineLevel="1">
      <c r="B2738" s="187">
        <v>26438</v>
      </c>
      <c r="C2738" s="188">
        <v>6.1</v>
      </c>
      <c r="D2738" s="104">
        <f t="shared" si="42"/>
        <v>6.0999999999999999E-2</v>
      </c>
      <c r="F2738" s="5"/>
    </row>
    <row r="2739" spans="2:6" ht="13.8" hidden="1" outlineLevel="1">
      <c r="B2739" s="187">
        <v>26441</v>
      </c>
      <c r="C2739" s="188">
        <v>6.07</v>
      </c>
      <c r="D2739" s="104">
        <f t="shared" si="42"/>
        <v>6.0700000000000004E-2</v>
      </c>
      <c r="F2739" s="5"/>
    </row>
    <row r="2740" spans="2:6" ht="13.8" hidden="1" outlineLevel="1">
      <c r="B2740" s="187">
        <v>26442</v>
      </c>
      <c r="C2740" s="188">
        <v>6.05</v>
      </c>
      <c r="D2740" s="104">
        <f t="shared" si="42"/>
        <v>6.0499999999999998E-2</v>
      </c>
      <c r="F2740" s="5"/>
    </row>
    <row r="2741" spans="2:6" ht="13.8" hidden="1" outlineLevel="1">
      <c r="B2741" s="187">
        <v>26443</v>
      </c>
      <c r="C2741" s="188">
        <v>6.06</v>
      </c>
      <c r="D2741" s="104">
        <f t="shared" si="42"/>
        <v>6.0599999999999994E-2</v>
      </c>
      <c r="F2741" s="5"/>
    </row>
    <row r="2742" spans="2:6" ht="13.8" hidden="1" outlineLevel="1">
      <c r="B2742" s="187">
        <v>26444</v>
      </c>
      <c r="C2742" s="188">
        <v>6.04</v>
      </c>
      <c r="D2742" s="104">
        <f t="shared" si="42"/>
        <v>6.0400000000000002E-2</v>
      </c>
      <c r="F2742" s="5"/>
    </row>
    <row r="2743" spans="2:6" ht="13.8" hidden="1" outlineLevel="1">
      <c r="B2743" s="187">
        <v>26445</v>
      </c>
      <c r="C2743" s="188">
        <v>6.04</v>
      </c>
      <c r="D2743" s="104">
        <f t="shared" si="42"/>
        <v>6.0400000000000002E-2</v>
      </c>
      <c r="F2743" s="5"/>
    </row>
    <row r="2744" spans="2:6" ht="13.8" hidden="1" outlineLevel="1">
      <c r="B2744" s="187">
        <v>26448</v>
      </c>
      <c r="C2744" s="188" t="s">
        <v>380</v>
      </c>
      <c r="D2744" s="104">
        <f t="shared" si="42"/>
        <v>6.0400000000000002E-2</v>
      </c>
      <c r="F2744" s="5"/>
    </row>
    <row r="2745" spans="2:6" ht="13.8" hidden="1" outlineLevel="1">
      <c r="B2745" s="187">
        <v>26449</v>
      </c>
      <c r="C2745" s="188">
        <v>6.05</v>
      </c>
      <c r="D2745" s="104">
        <f t="shared" si="42"/>
        <v>6.0499999999999998E-2</v>
      </c>
      <c r="F2745" s="5"/>
    </row>
    <row r="2746" spans="2:6" ht="13.8" hidden="1" outlineLevel="1">
      <c r="B2746" s="187">
        <v>26450</v>
      </c>
      <c r="C2746" s="188">
        <v>6.05</v>
      </c>
      <c r="D2746" s="104">
        <f t="shared" si="42"/>
        <v>6.0499999999999998E-2</v>
      </c>
      <c r="F2746" s="5"/>
    </row>
    <row r="2747" spans="2:6" ht="13.8" hidden="1" outlineLevel="1">
      <c r="B2747" s="187">
        <v>26451</v>
      </c>
      <c r="C2747" s="188">
        <v>6.07</v>
      </c>
      <c r="D2747" s="104">
        <f t="shared" si="42"/>
        <v>6.0700000000000004E-2</v>
      </c>
      <c r="F2747" s="5"/>
    </row>
    <row r="2748" spans="2:6" ht="13.8" hidden="1" outlineLevel="1">
      <c r="B2748" s="187">
        <v>26452</v>
      </c>
      <c r="C2748" s="188">
        <v>6.09</v>
      </c>
      <c r="D2748" s="104">
        <f t="shared" si="42"/>
        <v>6.0899999999999996E-2</v>
      </c>
      <c r="F2748" s="5"/>
    </row>
    <row r="2749" spans="2:6" ht="13.8" hidden="1" outlineLevel="1">
      <c r="B2749" s="187">
        <v>26455</v>
      </c>
      <c r="C2749" s="188">
        <v>6.1</v>
      </c>
      <c r="D2749" s="104">
        <f t="shared" si="42"/>
        <v>6.0999999999999999E-2</v>
      </c>
      <c r="F2749" s="5"/>
    </row>
    <row r="2750" spans="2:6" ht="13.8" hidden="1" outlineLevel="1">
      <c r="B2750" s="187">
        <v>26456</v>
      </c>
      <c r="C2750" s="188">
        <v>6.13</v>
      </c>
      <c r="D2750" s="104">
        <f t="shared" si="42"/>
        <v>6.13E-2</v>
      </c>
      <c r="F2750" s="5"/>
    </row>
    <row r="2751" spans="2:6" ht="13.8" hidden="1" outlineLevel="1">
      <c r="B2751" s="187">
        <v>26457</v>
      </c>
      <c r="C2751" s="188">
        <v>6.12</v>
      </c>
      <c r="D2751" s="104">
        <f t="shared" si="42"/>
        <v>6.1200000000000004E-2</v>
      </c>
      <c r="F2751" s="5"/>
    </row>
    <row r="2752" spans="2:6" ht="13.8" hidden="1" outlineLevel="1">
      <c r="B2752" s="187">
        <v>26458</v>
      </c>
      <c r="C2752" s="188">
        <v>6.12</v>
      </c>
      <c r="D2752" s="104">
        <f t="shared" si="42"/>
        <v>6.1200000000000004E-2</v>
      </c>
      <c r="F2752" s="5"/>
    </row>
    <row r="2753" spans="2:6" ht="13.8" hidden="1" outlineLevel="1">
      <c r="B2753" s="187">
        <v>26459</v>
      </c>
      <c r="C2753" s="188">
        <v>6.11</v>
      </c>
      <c r="D2753" s="104">
        <f t="shared" si="42"/>
        <v>6.1100000000000002E-2</v>
      </c>
      <c r="F2753" s="5"/>
    </row>
    <row r="2754" spans="2:6" ht="13.8" hidden="1" outlineLevel="1">
      <c r="B2754" s="187">
        <v>26462</v>
      </c>
      <c r="C2754" s="188">
        <v>6.1</v>
      </c>
      <c r="D2754" s="104">
        <f t="shared" si="42"/>
        <v>6.0999999999999999E-2</v>
      </c>
      <c r="F2754" s="5"/>
    </row>
    <row r="2755" spans="2:6" ht="13.8" hidden="1" outlineLevel="1">
      <c r="B2755" s="187">
        <v>26463</v>
      </c>
      <c r="C2755" s="188">
        <v>6.1</v>
      </c>
      <c r="D2755" s="104">
        <f t="shared" si="42"/>
        <v>6.0999999999999999E-2</v>
      </c>
      <c r="F2755" s="5"/>
    </row>
    <row r="2756" spans="2:6" ht="13.8" hidden="1" outlineLevel="1">
      <c r="B2756" s="187">
        <v>26464</v>
      </c>
      <c r="C2756" s="188">
        <v>6.1</v>
      </c>
      <c r="D2756" s="104">
        <f t="shared" si="42"/>
        <v>6.0999999999999999E-2</v>
      </c>
      <c r="F2756" s="5"/>
    </row>
    <row r="2757" spans="2:6" ht="13.8" hidden="1" outlineLevel="1">
      <c r="B2757" s="187">
        <v>26465</v>
      </c>
      <c r="C2757" s="188">
        <v>6.1</v>
      </c>
      <c r="D2757" s="104">
        <f t="shared" si="42"/>
        <v>6.0999999999999999E-2</v>
      </c>
      <c r="F2757" s="5"/>
    </row>
    <row r="2758" spans="2:6" ht="13.8" hidden="1" outlineLevel="1">
      <c r="B2758" s="187">
        <v>26466</v>
      </c>
      <c r="C2758" s="188">
        <v>6.1</v>
      </c>
      <c r="D2758" s="104">
        <f t="shared" si="42"/>
        <v>6.0999999999999999E-2</v>
      </c>
      <c r="F2758" s="5"/>
    </row>
    <row r="2759" spans="2:6" ht="13.8" hidden="1" outlineLevel="1">
      <c r="B2759" s="187">
        <v>26469</v>
      </c>
      <c r="C2759" s="188">
        <v>6.08</v>
      </c>
      <c r="D2759" s="104">
        <f t="shared" si="42"/>
        <v>6.08E-2</v>
      </c>
      <c r="F2759" s="5"/>
    </row>
    <row r="2760" spans="2:6" ht="13.8" hidden="1" outlineLevel="1">
      <c r="B2760" s="187">
        <v>26470</v>
      </c>
      <c r="C2760" s="188">
        <v>6.08</v>
      </c>
      <c r="D2760" s="104">
        <f t="shared" si="42"/>
        <v>6.08E-2</v>
      </c>
      <c r="F2760" s="5"/>
    </row>
    <row r="2761" spans="2:6" ht="13.8" hidden="1" outlineLevel="1">
      <c r="B2761" s="187">
        <v>26471</v>
      </c>
      <c r="C2761" s="188">
        <v>6.09</v>
      </c>
      <c r="D2761" s="104">
        <f t="shared" si="42"/>
        <v>6.0899999999999996E-2</v>
      </c>
      <c r="F2761" s="5"/>
    </row>
    <row r="2762" spans="2:6" ht="13.8" hidden="1" outlineLevel="1">
      <c r="B2762" s="187">
        <v>26472</v>
      </c>
      <c r="C2762" s="188">
        <v>6.11</v>
      </c>
      <c r="D2762" s="104">
        <f t="shared" si="42"/>
        <v>6.1100000000000002E-2</v>
      </c>
      <c r="F2762" s="5"/>
    </row>
    <row r="2763" spans="2:6" ht="13.8" hidden="1" outlineLevel="1">
      <c r="B2763" s="187">
        <v>26473</v>
      </c>
      <c r="C2763" s="188">
        <v>6.1</v>
      </c>
      <c r="D2763" s="104">
        <f t="shared" si="42"/>
        <v>6.0999999999999999E-2</v>
      </c>
      <c r="F2763" s="5"/>
    </row>
    <row r="2764" spans="2:6" ht="13.8" hidden="1" outlineLevel="1">
      <c r="B2764" s="187">
        <v>26476</v>
      </c>
      <c r="C2764" s="188">
        <v>6.12</v>
      </c>
      <c r="D2764" s="104">
        <f t="shared" si="42"/>
        <v>6.1200000000000004E-2</v>
      </c>
      <c r="F2764" s="5"/>
    </row>
    <row r="2765" spans="2:6" ht="13.8" hidden="1" outlineLevel="1">
      <c r="B2765" s="187">
        <v>26477</v>
      </c>
      <c r="C2765" s="188">
        <v>6.12</v>
      </c>
      <c r="D2765" s="104">
        <f t="shared" si="42"/>
        <v>6.1200000000000004E-2</v>
      </c>
      <c r="F2765" s="5"/>
    </row>
    <row r="2766" spans="2:6" ht="13.8" hidden="1" outlineLevel="1">
      <c r="B2766" s="187">
        <v>26478</v>
      </c>
      <c r="C2766" s="188">
        <v>6.12</v>
      </c>
      <c r="D2766" s="104">
        <f t="shared" si="42"/>
        <v>6.1200000000000004E-2</v>
      </c>
      <c r="F2766" s="5"/>
    </row>
    <row r="2767" spans="2:6" ht="13.8" hidden="1" outlineLevel="1">
      <c r="B2767" s="187">
        <v>26479</v>
      </c>
      <c r="C2767" s="188">
        <v>6.14</v>
      </c>
      <c r="D2767" s="104">
        <f t="shared" si="42"/>
        <v>6.1399999999999996E-2</v>
      </c>
      <c r="F2767" s="5"/>
    </row>
    <row r="2768" spans="2:6" ht="13.8" hidden="1" outlineLevel="1">
      <c r="B2768" s="187">
        <v>26480</v>
      </c>
      <c r="C2768" s="188">
        <v>6.15</v>
      </c>
      <c r="D2768" s="104">
        <f t="shared" si="42"/>
        <v>6.1500000000000006E-2</v>
      </c>
      <c r="F2768" s="5"/>
    </row>
    <row r="2769" spans="2:6" ht="13.8" hidden="1" outlineLevel="1">
      <c r="B2769" s="187">
        <v>26483</v>
      </c>
      <c r="C2769" s="188">
        <v>6.14</v>
      </c>
      <c r="D2769" s="104">
        <f t="shared" si="42"/>
        <v>6.1399999999999996E-2</v>
      </c>
      <c r="F2769" s="5"/>
    </row>
    <row r="2770" spans="2:6" ht="13.8" hidden="1" outlineLevel="1">
      <c r="B2770" s="187">
        <v>26484</v>
      </c>
      <c r="C2770" s="188" t="s">
        <v>380</v>
      </c>
      <c r="D2770" s="104">
        <f t="shared" si="42"/>
        <v>6.1399999999999996E-2</v>
      </c>
      <c r="F2770" s="5"/>
    </row>
    <row r="2771" spans="2:6" ht="13.8" hidden="1" outlineLevel="1">
      <c r="B2771" s="187">
        <v>26485</v>
      </c>
      <c r="C2771" s="188">
        <v>6.13</v>
      </c>
      <c r="D2771" s="104">
        <f t="shared" si="42"/>
        <v>6.13E-2</v>
      </c>
      <c r="F2771" s="5"/>
    </row>
    <row r="2772" spans="2:6" ht="13.8" hidden="1" outlineLevel="1">
      <c r="B2772" s="187">
        <v>26486</v>
      </c>
      <c r="C2772" s="188">
        <v>6.13</v>
      </c>
      <c r="D2772" s="104">
        <f t="shared" si="42"/>
        <v>6.13E-2</v>
      </c>
      <c r="F2772" s="5"/>
    </row>
    <row r="2773" spans="2:6" ht="13.8" hidden="1" outlineLevel="1">
      <c r="B2773" s="187">
        <v>26487</v>
      </c>
      <c r="C2773" s="188">
        <v>6.13</v>
      </c>
      <c r="D2773" s="104">
        <f t="shared" si="42"/>
        <v>6.13E-2</v>
      </c>
      <c r="F2773" s="5"/>
    </row>
    <row r="2774" spans="2:6" ht="13.8" hidden="1" outlineLevel="1">
      <c r="B2774" s="187">
        <v>26490</v>
      </c>
      <c r="C2774" s="188">
        <v>6.13</v>
      </c>
      <c r="D2774" s="104">
        <f t="shared" si="42"/>
        <v>6.13E-2</v>
      </c>
      <c r="F2774" s="5"/>
    </row>
    <row r="2775" spans="2:6" ht="13.8" hidden="1" outlineLevel="1">
      <c r="B2775" s="187">
        <v>26491</v>
      </c>
      <c r="C2775" s="188">
        <v>6.13</v>
      </c>
      <c r="D2775" s="104">
        <f t="shared" si="42"/>
        <v>6.13E-2</v>
      </c>
      <c r="F2775" s="5"/>
    </row>
    <row r="2776" spans="2:6" ht="13.8" hidden="1" outlineLevel="1">
      <c r="B2776" s="187">
        <v>26492</v>
      </c>
      <c r="C2776" s="188">
        <v>6.12</v>
      </c>
      <c r="D2776" s="104">
        <f t="shared" si="42"/>
        <v>6.1200000000000004E-2</v>
      </c>
      <c r="F2776" s="5"/>
    </row>
    <row r="2777" spans="2:6" ht="13.8" hidden="1" outlineLevel="1">
      <c r="B2777" s="187">
        <v>26493</v>
      </c>
      <c r="C2777" s="188">
        <v>6.11</v>
      </c>
      <c r="D2777" s="104">
        <f t="shared" si="42"/>
        <v>6.1100000000000002E-2</v>
      </c>
      <c r="F2777" s="5"/>
    </row>
    <row r="2778" spans="2:6" ht="13.8" hidden="1" outlineLevel="1">
      <c r="B2778" s="187">
        <v>26494</v>
      </c>
      <c r="C2778" s="188">
        <v>6.1</v>
      </c>
      <c r="D2778" s="104">
        <f t="shared" si="42"/>
        <v>6.0999999999999999E-2</v>
      </c>
      <c r="F2778" s="5"/>
    </row>
    <row r="2779" spans="2:6" ht="13.8" hidden="1" outlineLevel="1">
      <c r="B2779" s="187">
        <v>26497</v>
      </c>
      <c r="C2779" s="188">
        <v>6.11</v>
      </c>
      <c r="D2779" s="104">
        <f t="shared" si="42"/>
        <v>6.1100000000000002E-2</v>
      </c>
      <c r="F2779" s="5"/>
    </row>
    <row r="2780" spans="2:6" ht="13.8" hidden="1" outlineLevel="1">
      <c r="B2780" s="187">
        <v>26498</v>
      </c>
      <c r="C2780" s="188">
        <v>6.11</v>
      </c>
      <c r="D2780" s="104">
        <f t="shared" si="42"/>
        <v>6.1100000000000002E-2</v>
      </c>
      <c r="F2780" s="5"/>
    </row>
    <row r="2781" spans="2:6" ht="13.8" hidden="1" outlineLevel="1">
      <c r="B2781" s="187">
        <v>26499</v>
      </c>
      <c r="C2781" s="188">
        <v>6.09</v>
      </c>
      <c r="D2781" s="104">
        <f t="shared" si="42"/>
        <v>6.0899999999999996E-2</v>
      </c>
      <c r="F2781" s="5"/>
    </row>
    <row r="2782" spans="2:6" ht="13.8" hidden="1" outlineLevel="1">
      <c r="B2782" s="187">
        <v>26500</v>
      </c>
      <c r="C2782" s="188">
        <v>6.09</v>
      </c>
      <c r="D2782" s="104">
        <f t="shared" ref="D2782:D2845" si="43">IF( LEN( C2782 ) = 0, #N/A, IF( C2782 = "ND", D2781, C2782 / 100 ) )</f>
        <v>6.0899999999999996E-2</v>
      </c>
      <c r="F2782" s="5"/>
    </row>
    <row r="2783" spans="2:6" ht="13.8" hidden="1" outlineLevel="1">
      <c r="B2783" s="187">
        <v>26501</v>
      </c>
      <c r="C2783" s="188">
        <v>6.1</v>
      </c>
      <c r="D2783" s="104">
        <f t="shared" si="43"/>
        <v>6.0999999999999999E-2</v>
      </c>
      <c r="F2783" s="5"/>
    </row>
    <row r="2784" spans="2:6" ht="13.8" hidden="1" outlineLevel="1">
      <c r="B2784" s="187">
        <v>26504</v>
      </c>
      <c r="C2784" s="188">
        <v>6.1</v>
      </c>
      <c r="D2784" s="104">
        <f t="shared" si="43"/>
        <v>6.0999999999999999E-2</v>
      </c>
      <c r="F2784" s="5"/>
    </row>
    <row r="2785" spans="2:6" ht="13.8" hidden="1" outlineLevel="1">
      <c r="B2785" s="187">
        <v>26505</v>
      </c>
      <c r="C2785" s="188">
        <v>6.09</v>
      </c>
      <c r="D2785" s="104">
        <f t="shared" si="43"/>
        <v>6.0899999999999996E-2</v>
      </c>
      <c r="F2785" s="5"/>
    </row>
    <row r="2786" spans="2:6" ht="13.8" hidden="1" outlineLevel="1">
      <c r="B2786" s="187">
        <v>26506</v>
      </c>
      <c r="C2786" s="188">
        <v>6.08</v>
      </c>
      <c r="D2786" s="104">
        <f t="shared" si="43"/>
        <v>6.08E-2</v>
      </c>
      <c r="F2786" s="5"/>
    </row>
    <row r="2787" spans="2:6" ht="13.8" hidden="1" outlineLevel="1">
      <c r="B2787" s="187">
        <v>26507</v>
      </c>
      <c r="C2787" s="188">
        <v>6.13</v>
      </c>
      <c r="D2787" s="104">
        <f t="shared" si="43"/>
        <v>6.13E-2</v>
      </c>
      <c r="F2787" s="5"/>
    </row>
    <row r="2788" spans="2:6" ht="13.8" hidden="1" outlineLevel="1">
      <c r="B2788" s="187">
        <v>26508</v>
      </c>
      <c r="C2788" s="188">
        <v>6.12</v>
      </c>
      <c r="D2788" s="104">
        <f t="shared" si="43"/>
        <v>6.1200000000000004E-2</v>
      </c>
      <c r="F2788" s="5"/>
    </row>
    <row r="2789" spans="2:6" ht="13.8" hidden="1" outlineLevel="1">
      <c r="B2789" s="187">
        <v>26511</v>
      </c>
      <c r="C2789" s="188">
        <v>6.12</v>
      </c>
      <c r="D2789" s="104">
        <f t="shared" si="43"/>
        <v>6.1200000000000004E-2</v>
      </c>
      <c r="F2789" s="5"/>
    </row>
    <row r="2790" spans="2:6" ht="13.8" hidden="1" outlineLevel="1">
      <c r="B2790" s="187">
        <v>26512</v>
      </c>
      <c r="C2790" s="188">
        <v>6.14</v>
      </c>
      <c r="D2790" s="104">
        <f t="shared" si="43"/>
        <v>6.1399999999999996E-2</v>
      </c>
      <c r="F2790" s="5"/>
    </row>
    <row r="2791" spans="2:6" ht="13.8" hidden="1" outlineLevel="1">
      <c r="B2791" s="187">
        <v>26513</v>
      </c>
      <c r="C2791" s="188">
        <v>6.14</v>
      </c>
      <c r="D2791" s="104">
        <f t="shared" si="43"/>
        <v>6.1399999999999996E-2</v>
      </c>
      <c r="F2791" s="5"/>
    </row>
    <row r="2792" spans="2:6" ht="13.8" hidden="1" outlineLevel="1">
      <c r="B2792" s="187">
        <v>26514</v>
      </c>
      <c r="C2792" s="188">
        <v>6.15</v>
      </c>
      <c r="D2792" s="104">
        <f t="shared" si="43"/>
        <v>6.1500000000000006E-2</v>
      </c>
      <c r="F2792" s="5"/>
    </row>
    <row r="2793" spans="2:6" ht="13.8" hidden="1" outlineLevel="1">
      <c r="B2793" s="187">
        <v>26515</v>
      </c>
      <c r="C2793" s="188">
        <v>6.16</v>
      </c>
      <c r="D2793" s="104">
        <f t="shared" si="43"/>
        <v>6.1600000000000002E-2</v>
      </c>
      <c r="F2793" s="5"/>
    </row>
    <row r="2794" spans="2:6" ht="13.8" hidden="1" outlineLevel="1">
      <c r="B2794" s="187">
        <v>26518</v>
      </c>
      <c r="C2794" s="188">
        <v>6.16</v>
      </c>
      <c r="D2794" s="104">
        <f t="shared" si="43"/>
        <v>6.1600000000000002E-2</v>
      </c>
      <c r="F2794" s="5"/>
    </row>
    <row r="2795" spans="2:6" ht="13.8" hidden="1" outlineLevel="1">
      <c r="B2795" s="187">
        <v>26519</v>
      </c>
      <c r="C2795" s="188">
        <v>6.15</v>
      </c>
      <c r="D2795" s="104">
        <f t="shared" si="43"/>
        <v>6.1500000000000006E-2</v>
      </c>
      <c r="F2795" s="5"/>
    </row>
    <row r="2796" spans="2:6" ht="13.8" hidden="1" outlineLevel="1">
      <c r="B2796" s="187">
        <v>26520</v>
      </c>
      <c r="C2796" s="188">
        <v>6.14</v>
      </c>
      <c r="D2796" s="104">
        <f t="shared" si="43"/>
        <v>6.1399999999999996E-2</v>
      </c>
      <c r="F2796" s="5"/>
    </row>
    <row r="2797" spans="2:6" ht="13.8" hidden="1" outlineLevel="1">
      <c r="B2797" s="187">
        <v>26521</v>
      </c>
      <c r="C2797" s="188">
        <v>6.14</v>
      </c>
      <c r="D2797" s="104">
        <f t="shared" si="43"/>
        <v>6.1399999999999996E-2</v>
      </c>
      <c r="F2797" s="5"/>
    </row>
    <row r="2798" spans="2:6" ht="13.8" hidden="1" outlineLevel="1">
      <c r="B2798" s="187">
        <v>26522</v>
      </c>
      <c r="C2798" s="188">
        <v>6.14</v>
      </c>
      <c r="D2798" s="104">
        <f t="shared" si="43"/>
        <v>6.1399999999999996E-2</v>
      </c>
      <c r="F2798" s="5"/>
    </row>
    <row r="2799" spans="2:6" ht="13.8" hidden="1" outlineLevel="1">
      <c r="B2799" s="187">
        <v>26525</v>
      </c>
      <c r="C2799" s="188">
        <v>6.16</v>
      </c>
      <c r="D2799" s="104">
        <f t="shared" si="43"/>
        <v>6.1600000000000002E-2</v>
      </c>
      <c r="F2799" s="5"/>
    </row>
    <row r="2800" spans="2:6" ht="13.8" hidden="1" outlineLevel="1">
      <c r="B2800" s="187">
        <v>26526</v>
      </c>
      <c r="C2800" s="188">
        <v>6.17</v>
      </c>
      <c r="D2800" s="104">
        <f t="shared" si="43"/>
        <v>6.1699999999999998E-2</v>
      </c>
      <c r="F2800" s="5"/>
    </row>
    <row r="2801" spans="2:6" ht="13.8" hidden="1" outlineLevel="1">
      <c r="B2801" s="187">
        <v>26527</v>
      </c>
      <c r="C2801" s="188">
        <v>6.18</v>
      </c>
      <c r="D2801" s="104">
        <f t="shared" si="43"/>
        <v>6.1799999999999994E-2</v>
      </c>
      <c r="F2801" s="5"/>
    </row>
    <row r="2802" spans="2:6" ht="13.8" hidden="1" outlineLevel="1">
      <c r="B2802" s="187">
        <v>26528</v>
      </c>
      <c r="C2802" s="188">
        <v>6.2</v>
      </c>
      <c r="D2802" s="104">
        <f t="shared" si="43"/>
        <v>6.2E-2</v>
      </c>
      <c r="F2802" s="5"/>
    </row>
    <row r="2803" spans="2:6" ht="13.8" hidden="1" outlineLevel="1">
      <c r="B2803" s="187">
        <v>26529</v>
      </c>
      <c r="C2803" s="188">
        <v>6.21</v>
      </c>
      <c r="D2803" s="104">
        <f t="shared" si="43"/>
        <v>6.2100000000000002E-2</v>
      </c>
      <c r="F2803" s="5"/>
    </row>
    <row r="2804" spans="2:6" ht="13.8" hidden="1" outlineLevel="1">
      <c r="B2804" s="187">
        <v>26532</v>
      </c>
      <c r="C2804" s="188">
        <v>6.21</v>
      </c>
      <c r="D2804" s="104">
        <f t="shared" si="43"/>
        <v>6.2100000000000002E-2</v>
      </c>
      <c r="F2804" s="5"/>
    </row>
    <row r="2805" spans="2:6" ht="13.8" hidden="1" outlineLevel="1">
      <c r="B2805" s="187">
        <v>26533</v>
      </c>
      <c r="C2805" s="188">
        <v>6.2</v>
      </c>
      <c r="D2805" s="104">
        <f t="shared" si="43"/>
        <v>6.2E-2</v>
      </c>
      <c r="F2805" s="5"/>
    </row>
    <row r="2806" spans="2:6" ht="13.8" hidden="1" outlineLevel="1">
      <c r="B2806" s="187">
        <v>26534</v>
      </c>
      <c r="C2806" s="188">
        <v>6.22</v>
      </c>
      <c r="D2806" s="104">
        <f t="shared" si="43"/>
        <v>6.2199999999999998E-2</v>
      </c>
      <c r="F2806" s="5"/>
    </row>
    <row r="2807" spans="2:6" ht="13.8" hidden="1" outlineLevel="1">
      <c r="B2807" s="187">
        <v>26535</v>
      </c>
      <c r="C2807" s="188">
        <v>6.23</v>
      </c>
      <c r="D2807" s="104">
        <f t="shared" si="43"/>
        <v>6.2300000000000001E-2</v>
      </c>
      <c r="F2807" s="5"/>
    </row>
    <row r="2808" spans="2:6" ht="13.8" hidden="1" outlineLevel="1">
      <c r="B2808" s="187">
        <v>26536</v>
      </c>
      <c r="C2808" s="188">
        <v>6.26</v>
      </c>
      <c r="D2808" s="104">
        <f t="shared" si="43"/>
        <v>6.2600000000000003E-2</v>
      </c>
      <c r="F2808" s="5"/>
    </row>
    <row r="2809" spans="2:6" ht="13.8" hidden="1" outlineLevel="1">
      <c r="B2809" s="187">
        <v>26539</v>
      </c>
      <c r="C2809" s="188">
        <v>6.3</v>
      </c>
      <c r="D2809" s="104">
        <f t="shared" si="43"/>
        <v>6.3E-2</v>
      </c>
      <c r="F2809" s="5"/>
    </row>
    <row r="2810" spans="2:6" ht="13.8" hidden="1" outlineLevel="1">
      <c r="B2810" s="187">
        <v>26540</v>
      </c>
      <c r="C2810" s="188">
        <v>6.34</v>
      </c>
      <c r="D2810" s="104">
        <f t="shared" si="43"/>
        <v>6.3399999999999998E-2</v>
      </c>
      <c r="F2810" s="5"/>
    </row>
    <row r="2811" spans="2:6" ht="13.8" hidden="1" outlineLevel="1">
      <c r="B2811" s="187">
        <v>26541</v>
      </c>
      <c r="C2811" s="188">
        <v>6.42</v>
      </c>
      <c r="D2811" s="104">
        <f t="shared" si="43"/>
        <v>6.4199999999999993E-2</v>
      </c>
      <c r="F2811" s="5"/>
    </row>
    <row r="2812" spans="2:6" ht="13.8" hidden="1" outlineLevel="1">
      <c r="B2812" s="187">
        <v>26542</v>
      </c>
      <c r="C2812" s="188">
        <v>6.42</v>
      </c>
      <c r="D2812" s="104">
        <f t="shared" si="43"/>
        <v>6.4199999999999993E-2</v>
      </c>
      <c r="F2812" s="5"/>
    </row>
    <row r="2813" spans="2:6" ht="13.8" hidden="1" outlineLevel="1">
      <c r="B2813" s="187">
        <v>26543</v>
      </c>
      <c r="C2813" s="188">
        <v>6.43</v>
      </c>
      <c r="D2813" s="104">
        <f t="shared" si="43"/>
        <v>6.4299999999999996E-2</v>
      </c>
      <c r="F2813" s="5"/>
    </row>
    <row r="2814" spans="2:6" ht="13.8" hidden="1" outlineLevel="1">
      <c r="B2814" s="187">
        <v>26546</v>
      </c>
      <c r="C2814" s="188" t="s">
        <v>380</v>
      </c>
      <c r="D2814" s="104">
        <f t="shared" si="43"/>
        <v>6.4299999999999996E-2</v>
      </c>
      <c r="F2814" s="5"/>
    </row>
    <row r="2815" spans="2:6" ht="13.8" hidden="1" outlineLevel="1">
      <c r="B2815" s="187">
        <v>26547</v>
      </c>
      <c r="C2815" s="188">
        <v>6.46</v>
      </c>
      <c r="D2815" s="104">
        <f t="shared" si="43"/>
        <v>6.4600000000000005E-2</v>
      </c>
      <c r="F2815" s="5"/>
    </row>
    <row r="2816" spans="2:6" ht="13.8" hidden="1" outlineLevel="1">
      <c r="B2816" s="187">
        <v>26548</v>
      </c>
      <c r="C2816" s="188">
        <v>6.49</v>
      </c>
      <c r="D2816" s="104">
        <f t="shared" si="43"/>
        <v>6.4899999999999999E-2</v>
      </c>
      <c r="F2816" s="5"/>
    </row>
    <row r="2817" spans="2:6" ht="13.8" hidden="1" outlineLevel="1">
      <c r="B2817" s="187">
        <v>26549</v>
      </c>
      <c r="C2817" s="188">
        <v>6.52</v>
      </c>
      <c r="D2817" s="104">
        <f t="shared" si="43"/>
        <v>6.5199999999999994E-2</v>
      </c>
      <c r="F2817" s="5"/>
    </row>
    <row r="2818" spans="2:6" ht="13.8" hidden="1" outlineLevel="1">
      <c r="B2818" s="187">
        <v>26550</v>
      </c>
      <c r="C2818" s="188">
        <v>6.56</v>
      </c>
      <c r="D2818" s="104">
        <f t="shared" si="43"/>
        <v>6.5599999999999992E-2</v>
      </c>
      <c r="F2818" s="5"/>
    </row>
    <row r="2819" spans="2:6" ht="13.8" hidden="1" outlineLevel="1">
      <c r="B2819" s="187">
        <v>26553</v>
      </c>
      <c r="C2819" s="188">
        <v>6.54</v>
      </c>
      <c r="D2819" s="104">
        <f t="shared" si="43"/>
        <v>6.54E-2</v>
      </c>
      <c r="F2819" s="5"/>
    </row>
    <row r="2820" spans="2:6" ht="13.8" hidden="1" outlineLevel="1">
      <c r="B2820" s="187">
        <v>26554</v>
      </c>
      <c r="C2820" s="188">
        <v>6.54</v>
      </c>
      <c r="D2820" s="104">
        <f t="shared" si="43"/>
        <v>6.54E-2</v>
      </c>
      <c r="F2820" s="5"/>
    </row>
    <row r="2821" spans="2:6" ht="13.8" hidden="1" outlineLevel="1">
      <c r="B2821" s="187">
        <v>26555</v>
      </c>
      <c r="C2821" s="188">
        <v>6.54</v>
      </c>
      <c r="D2821" s="104">
        <f t="shared" si="43"/>
        <v>6.54E-2</v>
      </c>
      <c r="F2821" s="5"/>
    </row>
    <row r="2822" spans="2:6" ht="13.8" hidden="1" outlineLevel="1">
      <c r="B2822" s="187">
        <v>26556</v>
      </c>
      <c r="C2822" s="188">
        <v>6.57</v>
      </c>
      <c r="D2822" s="104">
        <f t="shared" si="43"/>
        <v>6.5700000000000008E-2</v>
      </c>
      <c r="F2822" s="5"/>
    </row>
    <row r="2823" spans="2:6" ht="13.8" hidden="1" outlineLevel="1">
      <c r="B2823" s="187">
        <v>26557</v>
      </c>
      <c r="C2823" s="188">
        <v>6.56</v>
      </c>
      <c r="D2823" s="104">
        <f t="shared" si="43"/>
        <v>6.5599999999999992E-2</v>
      </c>
      <c r="F2823" s="5"/>
    </row>
    <row r="2824" spans="2:6" ht="13.8" hidden="1" outlineLevel="1">
      <c r="B2824" s="187">
        <v>26560</v>
      </c>
      <c r="C2824" s="188">
        <v>6.55</v>
      </c>
      <c r="D2824" s="104">
        <f t="shared" si="43"/>
        <v>6.5500000000000003E-2</v>
      </c>
      <c r="F2824" s="5"/>
    </row>
    <row r="2825" spans="2:6" ht="13.8" hidden="1" outlineLevel="1">
      <c r="B2825" s="187">
        <v>26561</v>
      </c>
      <c r="C2825" s="188">
        <v>6.55</v>
      </c>
      <c r="D2825" s="104">
        <f t="shared" si="43"/>
        <v>6.5500000000000003E-2</v>
      </c>
      <c r="F2825" s="5"/>
    </row>
    <row r="2826" spans="2:6" ht="13.8" hidden="1" outlineLevel="1">
      <c r="B2826" s="187">
        <v>26562</v>
      </c>
      <c r="C2826" s="188">
        <v>6.56</v>
      </c>
      <c r="D2826" s="104">
        <f t="shared" si="43"/>
        <v>6.5599999999999992E-2</v>
      </c>
      <c r="F2826" s="5"/>
    </row>
    <row r="2827" spans="2:6" ht="13.8" hidden="1" outlineLevel="1">
      <c r="B2827" s="187">
        <v>26563</v>
      </c>
      <c r="C2827" s="188">
        <v>6.59</v>
      </c>
      <c r="D2827" s="104">
        <f t="shared" si="43"/>
        <v>6.59E-2</v>
      </c>
      <c r="F2827" s="5"/>
    </row>
    <row r="2828" spans="2:6" ht="13.8" hidden="1" outlineLevel="1">
      <c r="B2828" s="187">
        <v>26564</v>
      </c>
      <c r="C2828" s="188">
        <v>6.62</v>
      </c>
      <c r="D2828" s="104">
        <f t="shared" si="43"/>
        <v>6.6199999999999995E-2</v>
      </c>
      <c r="F2828" s="5"/>
    </row>
    <row r="2829" spans="2:6" ht="13.8" hidden="1" outlineLevel="1">
      <c r="B2829" s="187">
        <v>26567</v>
      </c>
      <c r="C2829" s="188">
        <v>6.62</v>
      </c>
      <c r="D2829" s="104">
        <f t="shared" si="43"/>
        <v>6.6199999999999995E-2</v>
      </c>
      <c r="F2829" s="5"/>
    </row>
    <row r="2830" spans="2:6" ht="13.8" hidden="1" outlineLevel="1">
      <c r="B2830" s="187">
        <v>26568</v>
      </c>
      <c r="C2830" s="188">
        <v>6.6</v>
      </c>
      <c r="D2830" s="104">
        <f t="shared" si="43"/>
        <v>6.6000000000000003E-2</v>
      </c>
      <c r="F2830" s="5"/>
    </row>
    <row r="2831" spans="2:6" ht="13.8" hidden="1" outlineLevel="1">
      <c r="B2831" s="187">
        <v>26569</v>
      </c>
      <c r="C2831" s="188">
        <v>6.59</v>
      </c>
      <c r="D2831" s="104">
        <f t="shared" si="43"/>
        <v>6.59E-2</v>
      </c>
      <c r="F2831" s="5"/>
    </row>
    <row r="2832" spans="2:6" ht="13.8" hidden="1" outlineLevel="1">
      <c r="B2832" s="187">
        <v>26570</v>
      </c>
      <c r="C2832" s="188">
        <v>6.56</v>
      </c>
      <c r="D2832" s="104">
        <f t="shared" si="43"/>
        <v>6.5599999999999992E-2</v>
      </c>
      <c r="F2832" s="5"/>
    </row>
    <row r="2833" spans="2:6" ht="13.8" hidden="1" outlineLevel="1">
      <c r="B2833" s="187">
        <v>26571</v>
      </c>
      <c r="C2833" s="188">
        <v>6.54</v>
      </c>
      <c r="D2833" s="104">
        <f t="shared" si="43"/>
        <v>6.54E-2</v>
      </c>
      <c r="F2833" s="5"/>
    </row>
    <row r="2834" spans="2:6" ht="13.8" hidden="1" outlineLevel="1">
      <c r="B2834" s="187">
        <v>26574</v>
      </c>
      <c r="C2834" s="188">
        <v>6.54</v>
      </c>
      <c r="D2834" s="104">
        <f t="shared" si="43"/>
        <v>6.54E-2</v>
      </c>
      <c r="F2834" s="5"/>
    </row>
    <row r="2835" spans="2:6" ht="13.8" hidden="1" outlineLevel="1">
      <c r="B2835" s="187">
        <v>26575</v>
      </c>
      <c r="C2835" s="188">
        <v>6.54</v>
      </c>
      <c r="D2835" s="104">
        <f t="shared" si="43"/>
        <v>6.54E-2</v>
      </c>
      <c r="F2835" s="5"/>
    </row>
    <row r="2836" spans="2:6" ht="13.8" hidden="1" outlineLevel="1">
      <c r="B2836" s="187">
        <v>26576</v>
      </c>
      <c r="C2836" s="188">
        <v>6.53</v>
      </c>
      <c r="D2836" s="104">
        <f t="shared" si="43"/>
        <v>6.5299999999999997E-2</v>
      </c>
      <c r="F2836" s="5"/>
    </row>
    <row r="2837" spans="2:6" ht="13.8" hidden="1" outlineLevel="1">
      <c r="B2837" s="187">
        <v>26577</v>
      </c>
      <c r="C2837" s="188">
        <v>6.53</v>
      </c>
      <c r="D2837" s="104">
        <f t="shared" si="43"/>
        <v>6.5299999999999997E-2</v>
      </c>
      <c r="F2837" s="5"/>
    </row>
    <row r="2838" spans="2:6" ht="13.8" hidden="1" outlineLevel="1">
      <c r="B2838" s="187">
        <v>26578</v>
      </c>
      <c r="C2838" s="188">
        <v>6.52</v>
      </c>
      <c r="D2838" s="104">
        <f t="shared" si="43"/>
        <v>6.5199999999999994E-2</v>
      </c>
      <c r="F2838" s="5"/>
    </row>
    <row r="2839" spans="2:6" ht="13.8" hidden="1" outlineLevel="1">
      <c r="B2839" s="187">
        <v>26581</v>
      </c>
      <c r="C2839" s="188" t="s">
        <v>380</v>
      </c>
      <c r="D2839" s="104">
        <f t="shared" si="43"/>
        <v>6.5199999999999994E-2</v>
      </c>
      <c r="F2839" s="5"/>
    </row>
    <row r="2840" spans="2:6" ht="13.8" hidden="1" outlineLevel="1">
      <c r="B2840" s="187">
        <v>26582</v>
      </c>
      <c r="C2840" s="188">
        <v>6.48</v>
      </c>
      <c r="D2840" s="104">
        <f t="shared" si="43"/>
        <v>6.480000000000001E-2</v>
      </c>
      <c r="F2840" s="5"/>
    </row>
    <row r="2841" spans="2:6" ht="13.8" hidden="1" outlineLevel="1">
      <c r="B2841" s="187">
        <v>26583</v>
      </c>
      <c r="C2841" s="188">
        <v>6.47</v>
      </c>
      <c r="D2841" s="104">
        <f t="shared" si="43"/>
        <v>6.4699999999999994E-2</v>
      </c>
      <c r="F2841" s="5"/>
    </row>
    <row r="2842" spans="2:6" ht="13.8" hidden="1" outlineLevel="1">
      <c r="B2842" s="187">
        <v>26584</v>
      </c>
      <c r="C2842" s="188">
        <v>6.5</v>
      </c>
      <c r="D2842" s="104">
        <f t="shared" si="43"/>
        <v>6.5000000000000002E-2</v>
      </c>
      <c r="F2842" s="5"/>
    </row>
    <row r="2843" spans="2:6" ht="13.8" hidden="1" outlineLevel="1">
      <c r="B2843" s="187">
        <v>26585</v>
      </c>
      <c r="C2843" s="188">
        <v>6.5</v>
      </c>
      <c r="D2843" s="104">
        <f t="shared" si="43"/>
        <v>6.5000000000000002E-2</v>
      </c>
      <c r="F2843" s="5"/>
    </row>
    <row r="2844" spans="2:6" ht="13.8" hidden="1" outlineLevel="1">
      <c r="B2844" s="187">
        <v>26588</v>
      </c>
      <c r="C2844" s="188">
        <v>6.49</v>
      </c>
      <c r="D2844" s="104">
        <f t="shared" si="43"/>
        <v>6.4899999999999999E-2</v>
      </c>
      <c r="F2844" s="5"/>
    </row>
    <row r="2845" spans="2:6" ht="13.8" hidden="1" outlineLevel="1">
      <c r="B2845" s="187">
        <v>26589</v>
      </c>
      <c r="C2845" s="188">
        <v>6.49</v>
      </c>
      <c r="D2845" s="104">
        <f t="shared" si="43"/>
        <v>6.4899999999999999E-2</v>
      </c>
      <c r="F2845" s="5"/>
    </row>
    <row r="2846" spans="2:6" ht="13.8" hidden="1" outlineLevel="1">
      <c r="B2846" s="187">
        <v>26590</v>
      </c>
      <c r="C2846" s="188">
        <v>6.49</v>
      </c>
      <c r="D2846" s="104">
        <f t="shared" ref="D2846:D2909" si="44">IF( LEN( C2846 ) = 0, #N/A, IF( C2846 = "ND", D2845, C2846 / 100 ) )</f>
        <v>6.4899999999999999E-2</v>
      </c>
      <c r="F2846" s="5"/>
    </row>
    <row r="2847" spans="2:6" ht="13.8" hidden="1" outlineLevel="1">
      <c r="B2847" s="187">
        <v>26591</v>
      </c>
      <c r="C2847" s="188">
        <v>6.48</v>
      </c>
      <c r="D2847" s="104">
        <f t="shared" si="44"/>
        <v>6.480000000000001E-2</v>
      </c>
      <c r="F2847" s="5"/>
    </row>
    <row r="2848" spans="2:6" ht="13.8" hidden="1" outlineLevel="1">
      <c r="B2848" s="187">
        <v>26592</v>
      </c>
      <c r="C2848" s="188">
        <v>6.47</v>
      </c>
      <c r="D2848" s="104">
        <f t="shared" si="44"/>
        <v>6.4699999999999994E-2</v>
      </c>
      <c r="F2848" s="5"/>
    </row>
    <row r="2849" spans="2:6" ht="13.8" hidden="1" outlineLevel="1">
      <c r="B2849" s="187">
        <v>26595</v>
      </c>
      <c r="C2849" s="188" t="s">
        <v>380</v>
      </c>
      <c r="D2849" s="104">
        <f t="shared" si="44"/>
        <v>6.4699999999999994E-2</v>
      </c>
      <c r="F2849" s="5"/>
    </row>
    <row r="2850" spans="2:6" ht="13.8" hidden="1" outlineLevel="1">
      <c r="B2850" s="187">
        <v>26596</v>
      </c>
      <c r="C2850" s="188">
        <v>6.45</v>
      </c>
      <c r="D2850" s="104">
        <f t="shared" si="44"/>
        <v>6.4500000000000002E-2</v>
      </c>
      <c r="F2850" s="5"/>
    </row>
    <row r="2851" spans="2:6" ht="13.8" hidden="1" outlineLevel="1">
      <c r="B2851" s="187">
        <v>26597</v>
      </c>
      <c r="C2851" s="188">
        <v>6.44</v>
      </c>
      <c r="D2851" s="104">
        <f t="shared" si="44"/>
        <v>6.4399999999999999E-2</v>
      </c>
      <c r="F2851" s="5"/>
    </row>
    <row r="2852" spans="2:6" ht="13.8" hidden="1" outlineLevel="1">
      <c r="B2852" s="187">
        <v>26598</v>
      </c>
      <c r="C2852" s="188">
        <v>6.42</v>
      </c>
      <c r="D2852" s="104">
        <f t="shared" si="44"/>
        <v>6.4199999999999993E-2</v>
      </c>
      <c r="F2852" s="5"/>
    </row>
    <row r="2853" spans="2:6" ht="13.8" hidden="1" outlineLevel="1">
      <c r="B2853" s="187">
        <v>26599</v>
      </c>
      <c r="C2853" s="188">
        <v>6.42</v>
      </c>
      <c r="D2853" s="104">
        <f t="shared" si="44"/>
        <v>6.4199999999999993E-2</v>
      </c>
      <c r="F2853" s="5"/>
    </row>
    <row r="2854" spans="2:6" ht="13.8" hidden="1" outlineLevel="1">
      <c r="B2854" s="187">
        <v>26602</v>
      </c>
      <c r="C2854" s="188">
        <v>6.42</v>
      </c>
      <c r="D2854" s="104">
        <f t="shared" si="44"/>
        <v>6.4199999999999993E-2</v>
      </c>
      <c r="F2854" s="5"/>
    </row>
    <row r="2855" spans="2:6" ht="13.8" hidden="1" outlineLevel="1">
      <c r="B2855" s="187">
        <v>26603</v>
      </c>
      <c r="C2855" s="188">
        <v>6.41</v>
      </c>
      <c r="D2855" s="104">
        <f t="shared" si="44"/>
        <v>6.4100000000000004E-2</v>
      </c>
      <c r="F2855" s="5"/>
    </row>
    <row r="2856" spans="2:6" ht="13.8" hidden="1" outlineLevel="1">
      <c r="B2856" s="187">
        <v>26604</v>
      </c>
      <c r="C2856" s="188">
        <v>6.39</v>
      </c>
      <c r="D2856" s="104">
        <f t="shared" si="44"/>
        <v>6.3899999999999998E-2</v>
      </c>
      <c r="F2856" s="5"/>
    </row>
    <row r="2857" spans="2:6" ht="13.8" hidden="1" outlineLevel="1">
      <c r="B2857" s="187">
        <v>26605</v>
      </c>
      <c r="C2857" s="188">
        <v>6.34</v>
      </c>
      <c r="D2857" s="104">
        <f t="shared" si="44"/>
        <v>6.3399999999999998E-2</v>
      </c>
      <c r="F2857" s="5"/>
    </row>
    <row r="2858" spans="2:6" ht="13.8" hidden="1" outlineLevel="1">
      <c r="B2858" s="187">
        <v>26606</v>
      </c>
      <c r="C2858" s="188">
        <v>6.3</v>
      </c>
      <c r="D2858" s="104">
        <f t="shared" si="44"/>
        <v>6.3E-2</v>
      </c>
      <c r="F2858" s="5"/>
    </row>
    <row r="2859" spans="2:6" ht="13.8" hidden="1" outlineLevel="1">
      <c r="B2859" s="187">
        <v>26609</v>
      </c>
      <c r="C2859" s="188">
        <v>6.27</v>
      </c>
      <c r="D2859" s="104">
        <f t="shared" si="44"/>
        <v>6.2699999999999992E-2</v>
      </c>
      <c r="F2859" s="5"/>
    </row>
    <row r="2860" spans="2:6" ht="13.8" hidden="1" outlineLevel="1">
      <c r="B2860" s="187">
        <v>26610</v>
      </c>
      <c r="C2860" s="188" t="s">
        <v>380</v>
      </c>
      <c r="D2860" s="104">
        <f t="shared" si="44"/>
        <v>6.2699999999999992E-2</v>
      </c>
      <c r="F2860" s="5"/>
    </row>
    <row r="2861" spans="2:6" ht="13.8" hidden="1" outlineLevel="1">
      <c r="B2861" s="187">
        <v>26611</v>
      </c>
      <c r="C2861" s="188">
        <v>6.3</v>
      </c>
      <c r="D2861" s="104">
        <f t="shared" si="44"/>
        <v>6.3E-2</v>
      </c>
      <c r="F2861" s="5"/>
    </row>
    <row r="2862" spans="2:6" ht="13.8" hidden="1" outlineLevel="1">
      <c r="B2862" s="187">
        <v>26612</v>
      </c>
      <c r="C2862" s="188">
        <v>6.3</v>
      </c>
      <c r="D2862" s="104">
        <f t="shared" si="44"/>
        <v>6.3E-2</v>
      </c>
      <c r="F2862" s="5"/>
    </row>
    <row r="2863" spans="2:6" ht="13.8" hidden="1" outlineLevel="1">
      <c r="B2863" s="187">
        <v>26613</v>
      </c>
      <c r="C2863" s="188">
        <v>6.3</v>
      </c>
      <c r="D2863" s="104">
        <f t="shared" si="44"/>
        <v>6.3E-2</v>
      </c>
      <c r="F2863" s="5"/>
    </row>
    <row r="2864" spans="2:6" ht="13.8" hidden="1" outlineLevel="1">
      <c r="B2864" s="187">
        <v>26616</v>
      </c>
      <c r="C2864" s="188">
        <v>6.27</v>
      </c>
      <c r="D2864" s="104">
        <f t="shared" si="44"/>
        <v>6.2699999999999992E-2</v>
      </c>
      <c r="F2864" s="5"/>
    </row>
    <row r="2865" spans="2:6" ht="13.8" hidden="1" outlineLevel="1">
      <c r="B2865" s="187">
        <v>26617</v>
      </c>
      <c r="C2865" s="188">
        <v>6.26</v>
      </c>
      <c r="D2865" s="104">
        <f t="shared" si="44"/>
        <v>6.2600000000000003E-2</v>
      </c>
      <c r="F2865" s="5"/>
    </row>
    <row r="2866" spans="2:6" ht="13.8" hidden="1" outlineLevel="1">
      <c r="B2866" s="187">
        <v>26618</v>
      </c>
      <c r="C2866" s="188">
        <v>6.23</v>
      </c>
      <c r="D2866" s="104">
        <f t="shared" si="44"/>
        <v>6.2300000000000001E-2</v>
      </c>
      <c r="F2866" s="5"/>
    </row>
    <row r="2867" spans="2:6" ht="13.8" hidden="1" outlineLevel="1">
      <c r="B2867" s="187">
        <v>26619</v>
      </c>
      <c r="C2867" s="188">
        <v>6.24</v>
      </c>
      <c r="D2867" s="104">
        <f t="shared" si="44"/>
        <v>6.2400000000000004E-2</v>
      </c>
      <c r="F2867" s="5"/>
    </row>
    <row r="2868" spans="2:6" ht="13.8" hidden="1" outlineLevel="1">
      <c r="B2868" s="187">
        <v>26620</v>
      </c>
      <c r="C2868" s="188">
        <v>6.24</v>
      </c>
      <c r="D2868" s="104">
        <f t="shared" si="44"/>
        <v>6.2400000000000004E-2</v>
      </c>
      <c r="F2868" s="5"/>
    </row>
    <row r="2869" spans="2:6" ht="13.8" hidden="1" outlineLevel="1">
      <c r="B2869" s="187">
        <v>26623</v>
      </c>
      <c r="C2869" s="188">
        <v>6.23</v>
      </c>
      <c r="D2869" s="104">
        <f t="shared" si="44"/>
        <v>6.2300000000000001E-2</v>
      </c>
      <c r="F2869" s="5"/>
    </row>
    <row r="2870" spans="2:6" ht="13.8" hidden="1" outlineLevel="1">
      <c r="B2870" s="187">
        <v>26624</v>
      </c>
      <c r="C2870" s="188">
        <v>6.26</v>
      </c>
      <c r="D2870" s="104">
        <f t="shared" si="44"/>
        <v>6.2600000000000003E-2</v>
      </c>
      <c r="F2870" s="5"/>
    </row>
    <row r="2871" spans="2:6" ht="13.8" hidden="1" outlineLevel="1">
      <c r="B2871" s="187">
        <v>26625</v>
      </c>
      <c r="C2871" s="188">
        <v>6.27</v>
      </c>
      <c r="D2871" s="104">
        <f t="shared" si="44"/>
        <v>6.2699999999999992E-2</v>
      </c>
      <c r="F2871" s="5"/>
    </row>
    <row r="2872" spans="2:6" ht="13.8" hidden="1" outlineLevel="1">
      <c r="B2872" s="187">
        <v>26626</v>
      </c>
      <c r="C2872" s="188" t="s">
        <v>380</v>
      </c>
      <c r="D2872" s="104">
        <f t="shared" si="44"/>
        <v>6.2699999999999992E-2</v>
      </c>
      <c r="F2872" s="5"/>
    </row>
    <row r="2873" spans="2:6" ht="13.8" hidden="1" outlineLevel="1">
      <c r="B2873" s="187">
        <v>26627</v>
      </c>
      <c r="C2873" s="188">
        <v>6.27</v>
      </c>
      <c r="D2873" s="104">
        <f t="shared" si="44"/>
        <v>6.2699999999999992E-2</v>
      </c>
      <c r="F2873" s="5"/>
    </row>
    <row r="2874" spans="2:6" ht="13.8" hidden="1" outlineLevel="1">
      <c r="B2874" s="187">
        <v>26630</v>
      </c>
      <c r="C2874" s="188">
        <v>6.3</v>
      </c>
      <c r="D2874" s="104">
        <f t="shared" si="44"/>
        <v>6.3E-2</v>
      </c>
      <c r="F2874" s="5"/>
    </row>
    <row r="2875" spans="2:6" ht="13.8" hidden="1" outlineLevel="1">
      <c r="B2875" s="187">
        <v>26631</v>
      </c>
      <c r="C2875" s="188">
        <v>6.29</v>
      </c>
      <c r="D2875" s="104">
        <f t="shared" si="44"/>
        <v>6.2899999999999998E-2</v>
      </c>
      <c r="F2875" s="5"/>
    </row>
    <row r="2876" spans="2:6" ht="13.8" hidden="1" outlineLevel="1">
      <c r="B2876" s="187">
        <v>26632</v>
      </c>
      <c r="C2876" s="188">
        <v>6.27</v>
      </c>
      <c r="D2876" s="104">
        <f t="shared" si="44"/>
        <v>6.2699999999999992E-2</v>
      </c>
      <c r="F2876" s="5"/>
    </row>
    <row r="2877" spans="2:6" ht="13.8" hidden="1" outlineLevel="1">
      <c r="B2877" s="187">
        <v>26633</v>
      </c>
      <c r="C2877" s="188">
        <v>6.28</v>
      </c>
      <c r="D2877" s="104">
        <f t="shared" si="44"/>
        <v>6.2800000000000009E-2</v>
      </c>
      <c r="F2877" s="5"/>
    </row>
    <row r="2878" spans="2:6" ht="13.8" hidden="1" outlineLevel="1">
      <c r="B2878" s="187">
        <v>26634</v>
      </c>
      <c r="C2878" s="188">
        <v>6.29</v>
      </c>
      <c r="D2878" s="104">
        <f t="shared" si="44"/>
        <v>6.2899999999999998E-2</v>
      </c>
      <c r="F2878" s="5"/>
    </row>
    <row r="2879" spans="2:6" ht="13.8" hidden="1" outlineLevel="1">
      <c r="B2879" s="187">
        <v>26637</v>
      </c>
      <c r="C2879" s="188">
        <v>6.3</v>
      </c>
      <c r="D2879" s="104">
        <f t="shared" si="44"/>
        <v>6.3E-2</v>
      </c>
      <c r="F2879" s="5"/>
    </row>
    <row r="2880" spans="2:6" ht="13.8" hidden="1" outlineLevel="1">
      <c r="B2880" s="187">
        <v>26638</v>
      </c>
      <c r="C2880" s="188">
        <v>6.31</v>
      </c>
      <c r="D2880" s="104">
        <f t="shared" si="44"/>
        <v>6.3099999999999989E-2</v>
      </c>
      <c r="F2880" s="5"/>
    </row>
    <row r="2881" spans="2:6" ht="13.8" hidden="1" outlineLevel="1">
      <c r="B2881" s="187">
        <v>26639</v>
      </c>
      <c r="C2881" s="188">
        <v>6.31</v>
      </c>
      <c r="D2881" s="104">
        <f t="shared" si="44"/>
        <v>6.3099999999999989E-2</v>
      </c>
      <c r="F2881" s="5"/>
    </row>
    <row r="2882" spans="2:6" ht="13.8" hidden="1" outlineLevel="1">
      <c r="B2882" s="187">
        <v>26640</v>
      </c>
      <c r="C2882" s="188">
        <v>6.31</v>
      </c>
      <c r="D2882" s="104">
        <f t="shared" si="44"/>
        <v>6.3099999999999989E-2</v>
      </c>
      <c r="F2882" s="5"/>
    </row>
    <row r="2883" spans="2:6" ht="13.8" hidden="1" outlineLevel="1">
      <c r="B2883" s="187">
        <v>26641</v>
      </c>
      <c r="C2883" s="188">
        <v>6.32</v>
      </c>
      <c r="D2883" s="104">
        <f t="shared" si="44"/>
        <v>6.3200000000000006E-2</v>
      </c>
      <c r="F2883" s="5"/>
    </row>
    <row r="2884" spans="2:6" ht="13.8" hidden="1" outlineLevel="1">
      <c r="B2884" s="187">
        <v>26644</v>
      </c>
      <c r="C2884" s="188">
        <v>6.34</v>
      </c>
      <c r="D2884" s="104">
        <f t="shared" si="44"/>
        <v>6.3399999999999998E-2</v>
      </c>
      <c r="F2884" s="5"/>
    </row>
    <row r="2885" spans="2:6" ht="13.8" hidden="1" outlineLevel="1">
      <c r="B2885" s="187">
        <v>26645</v>
      </c>
      <c r="C2885" s="188">
        <v>6.35</v>
      </c>
      <c r="D2885" s="104">
        <f t="shared" si="44"/>
        <v>6.3500000000000001E-2</v>
      </c>
      <c r="F2885" s="5"/>
    </row>
    <row r="2886" spans="2:6" ht="13.8" hidden="1" outlineLevel="1">
      <c r="B2886" s="187">
        <v>26646</v>
      </c>
      <c r="C2886" s="188">
        <v>6.35</v>
      </c>
      <c r="D2886" s="104">
        <f t="shared" si="44"/>
        <v>6.3500000000000001E-2</v>
      </c>
      <c r="F2886" s="5"/>
    </row>
    <row r="2887" spans="2:6" ht="13.8" hidden="1" outlineLevel="1">
      <c r="B2887" s="187">
        <v>26647</v>
      </c>
      <c r="C2887" s="188">
        <v>6.35</v>
      </c>
      <c r="D2887" s="104">
        <f t="shared" si="44"/>
        <v>6.3500000000000001E-2</v>
      </c>
      <c r="F2887" s="5"/>
    </row>
    <row r="2888" spans="2:6" ht="13.8" hidden="1" outlineLevel="1">
      <c r="B2888" s="187">
        <v>26648</v>
      </c>
      <c r="C2888" s="188">
        <v>6.35</v>
      </c>
      <c r="D2888" s="104">
        <f t="shared" si="44"/>
        <v>6.3500000000000001E-2</v>
      </c>
      <c r="F2888" s="5"/>
    </row>
    <row r="2889" spans="2:6" ht="13.8" hidden="1" outlineLevel="1">
      <c r="B2889" s="187">
        <v>26651</v>
      </c>
      <c r="C2889" s="188">
        <v>6.38</v>
      </c>
      <c r="D2889" s="104">
        <f t="shared" si="44"/>
        <v>6.3799999999999996E-2</v>
      </c>
      <c r="F2889" s="5"/>
    </row>
    <row r="2890" spans="2:6" ht="13.8" hidden="1" outlineLevel="1">
      <c r="B2890" s="187">
        <v>26652</v>
      </c>
      <c r="C2890" s="188">
        <v>6.4</v>
      </c>
      <c r="D2890" s="104">
        <f t="shared" si="44"/>
        <v>6.4000000000000001E-2</v>
      </c>
      <c r="F2890" s="5"/>
    </row>
    <row r="2891" spans="2:6" ht="13.8" hidden="1" outlineLevel="1">
      <c r="B2891" s="187">
        <v>26653</v>
      </c>
      <c r="C2891" s="188">
        <v>6.4</v>
      </c>
      <c r="D2891" s="104">
        <f t="shared" si="44"/>
        <v>6.4000000000000001E-2</v>
      </c>
      <c r="F2891" s="5"/>
    </row>
    <row r="2892" spans="2:6" ht="13.8" hidden="1" outlineLevel="1">
      <c r="B2892" s="187">
        <v>26654</v>
      </c>
      <c r="C2892" s="188">
        <v>6.4</v>
      </c>
      <c r="D2892" s="104">
        <f t="shared" si="44"/>
        <v>6.4000000000000001E-2</v>
      </c>
      <c r="F2892" s="5"/>
    </row>
    <row r="2893" spans="2:6" ht="13.8" hidden="1" outlineLevel="1">
      <c r="B2893" s="187">
        <v>26655</v>
      </c>
      <c r="C2893" s="188">
        <v>6.4</v>
      </c>
      <c r="D2893" s="104">
        <f t="shared" si="44"/>
        <v>6.4000000000000001E-2</v>
      </c>
      <c r="F2893" s="5"/>
    </row>
    <row r="2894" spans="2:6" ht="13.8" hidden="1" outlineLevel="1">
      <c r="B2894" s="187">
        <v>26658</v>
      </c>
      <c r="C2894" s="188" t="s">
        <v>380</v>
      </c>
      <c r="D2894" s="104">
        <f t="shared" si="44"/>
        <v>6.4000000000000001E-2</v>
      </c>
      <c r="F2894" s="5"/>
    </row>
    <row r="2895" spans="2:6" ht="13.8" hidden="1" outlineLevel="1">
      <c r="B2895" s="187">
        <v>26659</v>
      </c>
      <c r="C2895" s="188">
        <v>6.39</v>
      </c>
      <c r="D2895" s="104">
        <f t="shared" si="44"/>
        <v>6.3899999999999998E-2</v>
      </c>
      <c r="F2895" s="5"/>
    </row>
    <row r="2896" spans="2:6" ht="13.8" hidden="1" outlineLevel="1">
      <c r="B2896" s="187">
        <v>26660</v>
      </c>
      <c r="C2896" s="188">
        <v>6.4</v>
      </c>
      <c r="D2896" s="104">
        <f t="shared" si="44"/>
        <v>6.4000000000000001E-2</v>
      </c>
      <c r="F2896" s="5"/>
    </row>
    <row r="2897" spans="2:6" ht="13.8" hidden="1" outlineLevel="1">
      <c r="B2897" s="187">
        <v>26661</v>
      </c>
      <c r="C2897" s="188">
        <v>6.41</v>
      </c>
      <c r="D2897" s="104">
        <f t="shared" si="44"/>
        <v>6.4100000000000004E-2</v>
      </c>
      <c r="F2897" s="5"/>
    </row>
    <row r="2898" spans="2:6" ht="13.8" hidden="1" outlineLevel="1">
      <c r="B2898" s="187">
        <v>26662</v>
      </c>
      <c r="C2898" s="188">
        <v>6.41</v>
      </c>
      <c r="D2898" s="104">
        <f t="shared" si="44"/>
        <v>6.4100000000000004E-2</v>
      </c>
      <c r="F2898" s="5"/>
    </row>
    <row r="2899" spans="2:6" ht="13.8" hidden="1" outlineLevel="1">
      <c r="B2899" s="187">
        <v>26665</v>
      </c>
      <c r="C2899" s="188" t="s">
        <v>380</v>
      </c>
      <c r="D2899" s="104">
        <f t="shared" si="44"/>
        <v>6.4100000000000004E-2</v>
      </c>
      <c r="F2899" s="5"/>
    </row>
    <row r="2900" spans="2:6" ht="13.8" hidden="1" outlineLevel="1">
      <c r="B2900" s="187">
        <v>26666</v>
      </c>
      <c r="C2900" s="188">
        <v>6.43</v>
      </c>
      <c r="D2900" s="104">
        <f t="shared" si="44"/>
        <v>6.4299999999999996E-2</v>
      </c>
      <c r="F2900" s="5"/>
    </row>
    <row r="2901" spans="2:6" ht="13.8" hidden="1" outlineLevel="1">
      <c r="B2901" s="187">
        <v>26667</v>
      </c>
      <c r="C2901" s="188">
        <v>6.42</v>
      </c>
      <c r="D2901" s="104">
        <f t="shared" si="44"/>
        <v>6.4199999999999993E-2</v>
      </c>
      <c r="F2901" s="5"/>
    </row>
    <row r="2902" spans="2:6" ht="13.8" hidden="1" outlineLevel="1">
      <c r="B2902" s="187">
        <v>26668</v>
      </c>
      <c r="C2902" s="188">
        <v>6.4</v>
      </c>
      <c r="D2902" s="104">
        <f t="shared" si="44"/>
        <v>6.4000000000000001E-2</v>
      </c>
      <c r="F2902" s="5"/>
    </row>
    <row r="2903" spans="2:6" ht="13.8" hidden="1" outlineLevel="1">
      <c r="B2903" s="187">
        <v>26669</v>
      </c>
      <c r="C2903" s="188">
        <v>6.42</v>
      </c>
      <c r="D2903" s="104">
        <f t="shared" si="44"/>
        <v>6.4199999999999993E-2</v>
      </c>
      <c r="F2903" s="5"/>
    </row>
    <row r="2904" spans="2:6" ht="13.8" hidden="1" outlineLevel="1">
      <c r="B2904" s="187">
        <v>26672</v>
      </c>
      <c r="C2904" s="188">
        <v>6.43</v>
      </c>
      <c r="D2904" s="104">
        <f t="shared" si="44"/>
        <v>6.4299999999999996E-2</v>
      </c>
      <c r="F2904" s="5"/>
    </row>
    <row r="2905" spans="2:6" ht="13.8" hidden="1" outlineLevel="1">
      <c r="B2905" s="187">
        <v>26673</v>
      </c>
      <c r="C2905" s="188">
        <v>6.42</v>
      </c>
      <c r="D2905" s="104">
        <f t="shared" si="44"/>
        <v>6.4199999999999993E-2</v>
      </c>
      <c r="F2905" s="5"/>
    </row>
    <row r="2906" spans="2:6" ht="13.8" hidden="1" outlineLevel="1">
      <c r="B2906" s="187">
        <v>26674</v>
      </c>
      <c r="C2906" s="188">
        <v>6.43</v>
      </c>
      <c r="D2906" s="104">
        <f t="shared" si="44"/>
        <v>6.4299999999999996E-2</v>
      </c>
      <c r="F2906" s="5"/>
    </row>
    <row r="2907" spans="2:6" ht="13.8" hidden="1" outlineLevel="1">
      <c r="B2907" s="187">
        <v>26675</v>
      </c>
      <c r="C2907" s="188">
        <v>6.43</v>
      </c>
      <c r="D2907" s="104">
        <f t="shared" si="44"/>
        <v>6.4299999999999996E-2</v>
      </c>
      <c r="F2907" s="5"/>
    </row>
    <row r="2908" spans="2:6" ht="13.8" hidden="1" outlineLevel="1">
      <c r="B2908" s="187">
        <v>26676</v>
      </c>
      <c r="C2908" s="188">
        <v>6.44</v>
      </c>
      <c r="D2908" s="104">
        <f t="shared" si="44"/>
        <v>6.4399999999999999E-2</v>
      </c>
      <c r="F2908" s="5"/>
    </row>
    <row r="2909" spans="2:6" ht="13.8" hidden="1" outlineLevel="1">
      <c r="B2909" s="187">
        <v>26679</v>
      </c>
      <c r="C2909" s="188">
        <v>6.44</v>
      </c>
      <c r="D2909" s="104">
        <f t="shared" si="44"/>
        <v>6.4399999999999999E-2</v>
      </c>
      <c r="F2909" s="5"/>
    </row>
    <row r="2910" spans="2:6" ht="13.8" hidden="1" outlineLevel="1">
      <c r="B2910" s="187">
        <v>26680</v>
      </c>
      <c r="C2910" s="188">
        <v>6.44</v>
      </c>
      <c r="D2910" s="104">
        <f t="shared" ref="D2910:D2973" si="45">IF( LEN( C2910 ) = 0, #N/A, IF( C2910 = "ND", D2909, C2910 / 100 ) )</f>
        <v>6.4399999999999999E-2</v>
      </c>
      <c r="F2910" s="5"/>
    </row>
    <row r="2911" spans="2:6" ht="13.8" hidden="1" outlineLevel="1">
      <c r="B2911" s="187">
        <v>26681</v>
      </c>
      <c r="C2911" s="188">
        <v>6.45</v>
      </c>
      <c r="D2911" s="104">
        <f t="shared" si="45"/>
        <v>6.4500000000000002E-2</v>
      </c>
      <c r="F2911" s="5"/>
    </row>
    <row r="2912" spans="2:6" ht="13.8" hidden="1" outlineLevel="1">
      <c r="B2912" s="187">
        <v>26682</v>
      </c>
      <c r="C2912" s="188">
        <v>6.46</v>
      </c>
      <c r="D2912" s="104">
        <f t="shared" si="45"/>
        <v>6.4600000000000005E-2</v>
      </c>
      <c r="F2912" s="5"/>
    </row>
    <row r="2913" spans="2:6" ht="13.8" hidden="1" outlineLevel="1">
      <c r="B2913" s="187">
        <v>26683</v>
      </c>
      <c r="C2913" s="188">
        <v>6.49</v>
      </c>
      <c r="D2913" s="104">
        <f t="shared" si="45"/>
        <v>6.4899999999999999E-2</v>
      </c>
      <c r="F2913" s="5"/>
    </row>
    <row r="2914" spans="2:6" ht="13.8" hidden="1" outlineLevel="1">
      <c r="B2914" s="187">
        <v>26686</v>
      </c>
      <c r="C2914" s="188">
        <v>6.5</v>
      </c>
      <c r="D2914" s="104">
        <f t="shared" si="45"/>
        <v>6.5000000000000002E-2</v>
      </c>
      <c r="F2914" s="5"/>
    </row>
    <row r="2915" spans="2:6" ht="13.8" hidden="1" outlineLevel="1">
      <c r="B2915" s="187">
        <v>26687</v>
      </c>
      <c r="C2915" s="188">
        <v>6.48</v>
      </c>
      <c r="D2915" s="104">
        <f t="shared" si="45"/>
        <v>6.480000000000001E-2</v>
      </c>
      <c r="F2915" s="5"/>
    </row>
    <row r="2916" spans="2:6" ht="13.8" hidden="1" outlineLevel="1">
      <c r="B2916" s="187">
        <v>26688</v>
      </c>
      <c r="C2916" s="188">
        <v>6.49</v>
      </c>
      <c r="D2916" s="104">
        <f t="shared" si="45"/>
        <v>6.4899999999999999E-2</v>
      </c>
      <c r="F2916" s="5"/>
    </row>
    <row r="2917" spans="2:6" ht="13.8" hidden="1" outlineLevel="1">
      <c r="B2917" s="187">
        <v>26689</v>
      </c>
      <c r="C2917" s="188">
        <v>6.51</v>
      </c>
      <c r="D2917" s="104">
        <f t="shared" si="45"/>
        <v>6.5099999999999991E-2</v>
      </c>
      <c r="F2917" s="5"/>
    </row>
    <row r="2918" spans="2:6" ht="13.8" hidden="1" outlineLevel="1">
      <c r="B2918" s="187">
        <v>26690</v>
      </c>
      <c r="C2918" s="188">
        <v>6.53</v>
      </c>
      <c r="D2918" s="104">
        <f t="shared" si="45"/>
        <v>6.5299999999999997E-2</v>
      </c>
      <c r="F2918" s="5"/>
    </row>
    <row r="2919" spans="2:6" ht="13.8" hidden="1" outlineLevel="1">
      <c r="B2919" s="187">
        <v>26693</v>
      </c>
      <c r="C2919" s="188">
        <v>6.55</v>
      </c>
      <c r="D2919" s="104">
        <f t="shared" si="45"/>
        <v>6.5500000000000003E-2</v>
      </c>
      <c r="F2919" s="5"/>
    </row>
    <row r="2920" spans="2:6" ht="13.8" hidden="1" outlineLevel="1">
      <c r="B2920" s="187">
        <v>26694</v>
      </c>
      <c r="C2920" s="188">
        <v>6.52</v>
      </c>
      <c r="D2920" s="104">
        <f t="shared" si="45"/>
        <v>6.5199999999999994E-2</v>
      </c>
      <c r="F2920" s="5"/>
    </row>
    <row r="2921" spans="2:6" ht="13.8" hidden="1" outlineLevel="1">
      <c r="B2921" s="187">
        <v>26695</v>
      </c>
      <c r="C2921" s="188">
        <v>6.54</v>
      </c>
      <c r="D2921" s="104">
        <f t="shared" si="45"/>
        <v>6.54E-2</v>
      </c>
      <c r="F2921" s="5"/>
    </row>
    <row r="2922" spans="2:6" ht="13.8" hidden="1" outlineLevel="1">
      <c r="B2922" s="187">
        <v>26696</v>
      </c>
      <c r="C2922" s="188">
        <v>6.6</v>
      </c>
      <c r="D2922" s="104">
        <f t="shared" si="45"/>
        <v>6.6000000000000003E-2</v>
      </c>
      <c r="F2922" s="5"/>
    </row>
    <row r="2923" spans="2:6" ht="13.8" hidden="1" outlineLevel="1">
      <c r="B2923" s="187">
        <v>26697</v>
      </c>
      <c r="C2923" s="188">
        <v>6.64</v>
      </c>
      <c r="D2923" s="104">
        <f t="shared" si="45"/>
        <v>6.6400000000000001E-2</v>
      </c>
      <c r="F2923" s="5"/>
    </row>
    <row r="2924" spans="2:6" ht="13.8" hidden="1" outlineLevel="1">
      <c r="B2924" s="187">
        <v>26700</v>
      </c>
      <c r="C2924" s="188">
        <v>6.64</v>
      </c>
      <c r="D2924" s="104">
        <f t="shared" si="45"/>
        <v>6.6400000000000001E-2</v>
      </c>
      <c r="F2924" s="5"/>
    </row>
    <row r="2925" spans="2:6" ht="13.8" hidden="1" outlineLevel="1">
      <c r="B2925" s="187">
        <v>26701</v>
      </c>
      <c r="C2925" s="188">
        <v>6.64</v>
      </c>
      <c r="D2925" s="104">
        <f t="shared" si="45"/>
        <v>6.6400000000000001E-2</v>
      </c>
      <c r="F2925" s="5"/>
    </row>
    <row r="2926" spans="2:6" ht="13.8" hidden="1" outlineLevel="1">
      <c r="B2926" s="187">
        <v>26702</v>
      </c>
      <c r="C2926" s="188">
        <v>6.64</v>
      </c>
      <c r="D2926" s="104">
        <f t="shared" si="45"/>
        <v>6.6400000000000001E-2</v>
      </c>
      <c r="F2926" s="5"/>
    </row>
    <row r="2927" spans="2:6" ht="13.8" hidden="1" outlineLevel="1">
      <c r="B2927" s="187">
        <v>26703</v>
      </c>
      <c r="C2927" s="188">
        <v>6.66</v>
      </c>
      <c r="D2927" s="104">
        <f t="shared" si="45"/>
        <v>6.6600000000000006E-2</v>
      </c>
      <c r="F2927" s="5"/>
    </row>
    <row r="2928" spans="2:6" ht="13.8" hidden="1" outlineLevel="1">
      <c r="B2928" s="187">
        <v>26704</v>
      </c>
      <c r="C2928" s="188">
        <v>6.63</v>
      </c>
      <c r="D2928" s="104">
        <f t="shared" si="45"/>
        <v>6.6299999999999998E-2</v>
      </c>
      <c r="F2928" s="5"/>
    </row>
    <row r="2929" spans="2:6" ht="13.8" hidden="1" outlineLevel="1">
      <c r="B2929" s="187">
        <v>26707</v>
      </c>
      <c r="C2929" s="188" t="s">
        <v>380</v>
      </c>
      <c r="D2929" s="104">
        <f t="shared" si="45"/>
        <v>6.6299999999999998E-2</v>
      </c>
      <c r="F2929" s="5"/>
    </row>
    <row r="2930" spans="2:6" ht="13.8" hidden="1" outlineLevel="1">
      <c r="B2930" s="187">
        <v>26708</v>
      </c>
      <c r="C2930" s="188">
        <v>6.61</v>
      </c>
      <c r="D2930" s="104">
        <f t="shared" si="45"/>
        <v>6.6100000000000006E-2</v>
      </c>
      <c r="F2930" s="5"/>
    </row>
    <row r="2931" spans="2:6" ht="13.8" hidden="1" outlineLevel="1">
      <c r="B2931" s="187">
        <v>26709</v>
      </c>
      <c r="C2931" s="188">
        <v>6.62</v>
      </c>
      <c r="D2931" s="104">
        <f t="shared" si="45"/>
        <v>6.6199999999999995E-2</v>
      </c>
      <c r="F2931" s="5"/>
    </row>
    <row r="2932" spans="2:6" ht="13.8" hidden="1" outlineLevel="1">
      <c r="B2932" s="187">
        <v>26710</v>
      </c>
      <c r="C2932" s="188">
        <v>6.62</v>
      </c>
      <c r="D2932" s="104">
        <f t="shared" si="45"/>
        <v>6.6199999999999995E-2</v>
      </c>
      <c r="F2932" s="5"/>
    </row>
    <row r="2933" spans="2:6" ht="13.8" hidden="1" outlineLevel="1">
      <c r="B2933" s="187">
        <v>26711</v>
      </c>
      <c r="C2933" s="188">
        <v>6.63</v>
      </c>
      <c r="D2933" s="104">
        <f t="shared" si="45"/>
        <v>6.6299999999999998E-2</v>
      </c>
      <c r="F2933" s="5"/>
    </row>
    <row r="2934" spans="2:6" ht="13.8" hidden="1" outlineLevel="1">
      <c r="B2934" s="187">
        <v>26714</v>
      </c>
      <c r="C2934" s="188" t="s">
        <v>380</v>
      </c>
      <c r="D2934" s="104">
        <f t="shared" si="45"/>
        <v>6.6299999999999998E-2</v>
      </c>
      <c r="F2934" s="5"/>
    </row>
    <row r="2935" spans="2:6" ht="13.8" hidden="1" outlineLevel="1">
      <c r="B2935" s="187">
        <v>26715</v>
      </c>
      <c r="C2935" s="188">
        <v>6.66</v>
      </c>
      <c r="D2935" s="104">
        <f t="shared" si="45"/>
        <v>6.6600000000000006E-2</v>
      </c>
      <c r="F2935" s="5"/>
    </row>
    <row r="2936" spans="2:6" ht="13.8" hidden="1" outlineLevel="1">
      <c r="B2936" s="187">
        <v>26716</v>
      </c>
      <c r="C2936" s="188">
        <v>6.66</v>
      </c>
      <c r="D2936" s="104">
        <f t="shared" si="45"/>
        <v>6.6600000000000006E-2</v>
      </c>
      <c r="F2936" s="5"/>
    </row>
    <row r="2937" spans="2:6" ht="13.8" hidden="1" outlineLevel="1">
      <c r="B2937" s="187">
        <v>26717</v>
      </c>
      <c r="C2937" s="188">
        <v>6.65</v>
      </c>
      <c r="D2937" s="104">
        <f t="shared" si="45"/>
        <v>6.6500000000000004E-2</v>
      </c>
      <c r="F2937" s="5"/>
    </row>
    <row r="2938" spans="2:6" ht="13.8" hidden="1" outlineLevel="1">
      <c r="B2938" s="187">
        <v>26718</v>
      </c>
      <c r="C2938" s="188">
        <v>6.61</v>
      </c>
      <c r="D2938" s="104">
        <f t="shared" si="45"/>
        <v>6.6100000000000006E-2</v>
      </c>
      <c r="F2938" s="5"/>
    </row>
    <row r="2939" spans="2:6" ht="13.8" hidden="1" outlineLevel="1">
      <c r="B2939" s="187">
        <v>26721</v>
      </c>
      <c r="C2939" s="188">
        <v>6.65</v>
      </c>
      <c r="D2939" s="104">
        <f t="shared" si="45"/>
        <v>6.6500000000000004E-2</v>
      </c>
      <c r="F2939" s="5"/>
    </row>
    <row r="2940" spans="2:6" ht="13.8" hidden="1" outlineLevel="1">
      <c r="B2940" s="187">
        <v>26722</v>
      </c>
      <c r="C2940" s="188">
        <v>6.64</v>
      </c>
      <c r="D2940" s="104">
        <f t="shared" si="45"/>
        <v>6.6400000000000001E-2</v>
      </c>
      <c r="F2940" s="5"/>
    </row>
    <row r="2941" spans="2:6" ht="13.8" hidden="1" outlineLevel="1">
      <c r="B2941" s="187">
        <v>26723</v>
      </c>
      <c r="C2941" s="188">
        <v>6.64</v>
      </c>
      <c r="D2941" s="104">
        <f t="shared" si="45"/>
        <v>6.6400000000000001E-2</v>
      </c>
      <c r="F2941" s="5"/>
    </row>
    <row r="2942" spans="2:6" ht="13.8" hidden="1" outlineLevel="1">
      <c r="B2942" s="187">
        <v>26724</v>
      </c>
      <c r="C2942" s="188">
        <v>6.65</v>
      </c>
      <c r="D2942" s="104">
        <f t="shared" si="45"/>
        <v>6.6500000000000004E-2</v>
      </c>
      <c r="F2942" s="5"/>
    </row>
    <row r="2943" spans="2:6" ht="13.8" hidden="1" outlineLevel="1">
      <c r="B2943" s="187">
        <v>26725</v>
      </c>
      <c r="C2943" s="188">
        <v>6.67</v>
      </c>
      <c r="D2943" s="104">
        <f t="shared" si="45"/>
        <v>6.6699999999999995E-2</v>
      </c>
      <c r="F2943" s="5"/>
    </row>
    <row r="2944" spans="2:6" ht="13.8" hidden="1" outlineLevel="1">
      <c r="B2944" s="187">
        <v>26728</v>
      </c>
      <c r="C2944" s="188">
        <v>6.68</v>
      </c>
      <c r="D2944" s="104">
        <f t="shared" si="45"/>
        <v>6.6799999999999998E-2</v>
      </c>
      <c r="F2944" s="5"/>
    </row>
    <row r="2945" spans="2:6" ht="13.8" hidden="1" outlineLevel="1">
      <c r="B2945" s="187">
        <v>26729</v>
      </c>
      <c r="C2945" s="188">
        <v>6.68</v>
      </c>
      <c r="D2945" s="104">
        <f t="shared" si="45"/>
        <v>6.6799999999999998E-2</v>
      </c>
      <c r="F2945" s="5"/>
    </row>
    <row r="2946" spans="2:6" ht="13.8" hidden="1" outlineLevel="1">
      <c r="B2946" s="187">
        <v>26730</v>
      </c>
      <c r="C2946" s="188">
        <v>6.66</v>
      </c>
      <c r="D2946" s="104">
        <f t="shared" si="45"/>
        <v>6.6600000000000006E-2</v>
      </c>
      <c r="F2946" s="5"/>
    </row>
    <row r="2947" spans="2:6" ht="13.8" hidden="1" outlineLevel="1">
      <c r="B2947" s="187">
        <v>26731</v>
      </c>
      <c r="C2947" s="188">
        <v>6.67</v>
      </c>
      <c r="D2947" s="104">
        <f t="shared" si="45"/>
        <v>6.6699999999999995E-2</v>
      </c>
      <c r="F2947" s="5"/>
    </row>
    <row r="2948" spans="2:6" ht="13.8" hidden="1" outlineLevel="1">
      <c r="B2948" s="187">
        <v>26732</v>
      </c>
      <c r="C2948" s="188">
        <v>6.68</v>
      </c>
      <c r="D2948" s="104">
        <f t="shared" si="45"/>
        <v>6.6799999999999998E-2</v>
      </c>
      <c r="F2948" s="5"/>
    </row>
    <row r="2949" spans="2:6" ht="13.8" hidden="1" outlineLevel="1">
      <c r="B2949" s="187">
        <v>26735</v>
      </c>
      <c r="C2949" s="188">
        <v>6.68</v>
      </c>
      <c r="D2949" s="104">
        <f t="shared" si="45"/>
        <v>6.6799999999999998E-2</v>
      </c>
      <c r="F2949" s="5"/>
    </row>
    <row r="2950" spans="2:6" ht="13.8" hidden="1" outlineLevel="1">
      <c r="B2950" s="187">
        <v>26736</v>
      </c>
      <c r="C2950" s="188">
        <v>6.7</v>
      </c>
      <c r="D2950" s="104">
        <f t="shared" si="45"/>
        <v>6.7000000000000004E-2</v>
      </c>
      <c r="F2950" s="5"/>
    </row>
    <row r="2951" spans="2:6" ht="13.8" hidden="1" outlineLevel="1">
      <c r="B2951" s="187">
        <v>26737</v>
      </c>
      <c r="C2951" s="188">
        <v>6.71</v>
      </c>
      <c r="D2951" s="104">
        <f t="shared" si="45"/>
        <v>6.7099999999999993E-2</v>
      </c>
      <c r="F2951" s="5"/>
    </row>
    <row r="2952" spans="2:6" ht="13.8" hidden="1" outlineLevel="1">
      <c r="B2952" s="187">
        <v>26738</v>
      </c>
      <c r="C2952" s="188">
        <v>6.73</v>
      </c>
      <c r="D2952" s="104">
        <f t="shared" si="45"/>
        <v>6.7299999999999999E-2</v>
      </c>
      <c r="F2952" s="5"/>
    </row>
    <row r="2953" spans="2:6" ht="13.8" hidden="1" outlineLevel="1">
      <c r="B2953" s="187">
        <v>26739</v>
      </c>
      <c r="C2953" s="188">
        <v>6.77</v>
      </c>
      <c r="D2953" s="104">
        <f t="shared" si="45"/>
        <v>6.7699999999999996E-2</v>
      </c>
      <c r="F2953" s="5"/>
    </row>
    <row r="2954" spans="2:6" ht="13.8" hidden="1" outlineLevel="1">
      <c r="B2954" s="187">
        <v>26742</v>
      </c>
      <c r="C2954" s="188">
        <v>6.75</v>
      </c>
      <c r="D2954" s="104">
        <f t="shared" si="45"/>
        <v>6.7500000000000004E-2</v>
      </c>
      <c r="F2954" s="5"/>
    </row>
    <row r="2955" spans="2:6" ht="13.8" hidden="1" outlineLevel="1">
      <c r="B2955" s="187">
        <v>26743</v>
      </c>
      <c r="C2955" s="188">
        <v>6.76</v>
      </c>
      <c r="D2955" s="104">
        <f t="shared" si="45"/>
        <v>6.7599999999999993E-2</v>
      </c>
      <c r="F2955" s="5"/>
    </row>
    <row r="2956" spans="2:6" ht="13.8" hidden="1" outlineLevel="1">
      <c r="B2956" s="187">
        <v>26744</v>
      </c>
      <c r="C2956" s="188">
        <v>6.76</v>
      </c>
      <c r="D2956" s="104">
        <f t="shared" si="45"/>
        <v>6.7599999999999993E-2</v>
      </c>
      <c r="F2956" s="5"/>
    </row>
    <row r="2957" spans="2:6" ht="13.8" hidden="1" outlineLevel="1">
      <c r="B2957" s="187">
        <v>26745</v>
      </c>
      <c r="C2957" s="188">
        <v>6.76</v>
      </c>
      <c r="D2957" s="104">
        <f t="shared" si="45"/>
        <v>6.7599999999999993E-2</v>
      </c>
      <c r="F2957" s="5"/>
    </row>
    <row r="2958" spans="2:6" ht="13.8" hidden="1" outlineLevel="1">
      <c r="B2958" s="187">
        <v>26746</v>
      </c>
      <c r="C2958" s="188">
        <v>6.76</v>
      </c>
      <c r="D2958" s="104">
        <f t="shared" si="45"/>
        <v>6.7599999999999993E-2</v>
      </c>
      <c r="F2958" s="5"/>
    </row>
    <row r="2959" spans="2:6" ht="13.8" hidden="1" outlineLevel="1">
      <c r="B2959" s="187">
        <v>26749</v>
      </c>
      <c r="C2959" s="188">
        <v>6.73</v>
      </c>
      <c r="D2959" s="104">
        <f t="shared" si="45"/>
        <v>6.7299999999999999E-2</v>
      </c>
      <c r="F2959" s="5"/>
    </row>
    <row r="2960" spans="2:6" ht="13.8" hidden="1" outlineLevel="1">
      <c r="B2960" s="187">
        <v>26750</v>
      </c>
      <c r="C2960" s="188">
        <v>6.72</v>
      </c>
      <c r="D2960" s="104">
        <f t="shared" si="45"/>
        <v>6.7199999999999996E-2</v>
      </c>
      <c r="F2960" s="5"/>
    </row>
    <row r="2961" spans="2:6" ht="13.8" hidden="1" outlineLevel="1">
      <c r="B2961" s="187">
        <v>26751</v>
      </c>
      <c r="C2961" s="188">
        <v>6.67</v>
      </c>
      <c r="D2961" s="104">
        <f t="shared" si="45"/>
        <v>6.6699999999999995E-2</v>
      </c>
      <c r="F2961" s="5"/>
    </row>
    <row r="2962" spans="2:6" ht="13.8" hidden="1" outlineLevel="1">
      <c r="B2962" s="187">
        <v>26752</v>
      </c>
      <c r="C2962" s="188">
        <v>6.68</v>
      </c>
      <c r="D2962" s="104">
        <f t="shared" si="45"/>
        <v>6.6799999999999998E-2</v>
      </c>
      <c r="F2962" s="5"/>
    </row>
    <row r="2963" spans="2:6" ht="13.8" hidden="1" outlineLevel="1">
      <c r="B2963" s="187">
        <v>26753</v>
      </c>
      <c r="C2963" s="188">
        <v>6.73</v>
      </c>
      <c r="D2963" s="104">
        <f t="shared" si="45"/>
        <v>6.7299999999999999E-2</v>
      </c>
      <c r="F2963" s="5"/>
    </row>
    <row r="2964" spans="2:6" ht="13.8" hidden="1" outlineLevel="1">
      <c r="B2964" s="187">
        <v>26756</v>
      </c>
      <c r="C2964" s="188">
        <v>6.74</v>
      </c>
      <c r="D2964" s="104">
        <f t="shared" si="45"/>
        <v>6.7400000000000002E-2</v>
      </c>
      <c r="F2964" s="5"/>
    </row>
    <row r="2965" spans="2:6" ht="13.8" hidden="1" outlineLevel="1">
      <c r="B2965" s="187">
        <v>26757</v>
      </c>
      <c r="C2965" s="188">
        <v>6.73</v>
      </c>
      <c r="D2965" s="104">
        <f t="shared" si="45"/>
        <v>6.7299999999999999E-2</v>
      </c>
      <c r="F2965" s="5"/>
    </row>
    <row r="2966" spans="2:6" ht="13.8" hidden="1" outlineLevel="1">
      <c r="B2966" s="187">
        <v>26758</v>
      </c>
      <c r="C2966" s="188">
        <v>6.7</v>
      </c>
      <c r="D2966" s="104">
        <f t="shared" si="45"/>
        <v>6.7000000000000004E-2</v>
      </c>
      <c r="F2966" s="5"/>
    </row>
    <row r="2967" spans="2:6" ht="13.8" hidden="1" outlineLevel="1">
      <c r="B2967" s="187">
        <v>26759</v>
      </c>
      <c r="C2967" s="188">
        <v>6.68</v>
      </c>
      <c r="D2967" s="104">
        <f t="shared" si="45"/>
        <v>6.6799999999999998E-2</v>
      </c>
      <c r="F2967" s="5"/>
    </row>
    <row r="2968" spans="2:6" ht="13.8" hidden="1" outlineLevel="1">
      <c r="B2968" s="187">
        <v>26760</v>
      </c>
      <c r="C2968" s="188">
        <v>6.64</v>
      </c>
      <c r="D2968" s="104">
        <f t="shared" si="45"/>
        <v>6.6400000000000001E-2</v>
      </c>
      <c r="F2968" s="5"/>
    </row>
    <row r="2969" spans="2:6" ht="13.8" hidden="1" outlineLevel="1">
      <c r="B2969" s="187">
        <v>26763</v>
      </c>
      <c r="C2969" s="188">
        <v>6.62</v>
      </c>
      <c r="D2969" s="104">
        <f t="shared" si="45"/>
        <v>6.6199999999999995E-2</v>
      </c>
      <c r="F2969" s="5"/>
    </row>
    <row r="2970" spans="2:6" ht="13.8" hidden="1" outlineLevel="1">
      <c r="B2970" s="187">
        <v>26764</v>
      </c>
      <c r="C2970" s="188">
        <v>6.64</v>
      </c>
      <c r="D2970" s="104">
        <f t="shared" si="45"/>
        <v>6.6400000000000001E-2</v>
      </c>
      <c r="F2970" s="5"/>
    </row>
    <row r="2971" spans="2:6" ht="13.8" hidden="1" outlineLevel="1">
      <c r="B2971" s="187">
        <v>26765</v>
      </c>
      <c r="C2971" s="188">
        <v>6.65</v>
      </c>
      <c r="D2971" s="104">
        <f t="shared" si="45"/>
        <v>6.6500000000000004E-2</v>
      </c>
      <c r="F2971" s="5"/>
    </row>
    <row r="2972" spans="2:6" ht="13.8" hidden="1" outlineLevel="1">
      <c r="B2972" s="187">
        <v>26766</v>
      </c>
      <c r="C2972" s="188">
        <v>6.66</v>
      </c>
      <c r="D2972" s="104">
        <f t="shared" si="45"/>
        <v>6.6600000000000006E-2</v>
      </c>
      <c r="F2972" s="5"/>
    </row>
    <row r="2973" spans="2:6" ht="13.8" hidden="1" outlineLevel="1">
      <c r="B2973" s="187">
        <v>26767</v>
      </c>
      <c r="C2973" s="188">
        <v>6.63</v>
      </c>
      <c r="D2973" s="104">
        <f t="shared" si="45"/>
        <v>6.6299999999999998E-2</v>
      </c>
      <c r="F2973" s="5"/>
    </row>
    <row r="2974" spans="2:6" ht="13.8" hidden="1" outlineLevel="1">
      <c r="B2974" s="187">
        <v>26770</v>
      </c>
      <c r="C2974" s="188">
        <v>6.62</v>
      </c>
      <c r="D2974" s="104">
        <f t="shared" ref="D2974:D3037" si="46">IF( LEN( C2974 ) = 0, #N/A, IF( C2974 = "ND", D2973, C2974 / 100 ) )</f>
        <v>6.6199999999999995E-2</v>
      </c>
      <c r="F2974" s="5"/>
    </row>
    <row r="2975" spans="2:6" ht="13.8" hidden="1" outlineLevel="1">
      <c r="B2975" s="187">
        <v>26771</v>
      </c>
      <c r="C2975" s="188">
        <v>6.64</v>
      </c>
      <c r="D2975" s="104">
        <f t="shared" si="46"/>
        <v>6.6400000000000001E-2</v>
      </c>
      <c r="F2975" s="5"/>
    </row>
    <row r="2976" spans="2:6" ht="13.8" hidden="1" outlineLevel="1">
      <c r="B2976" s="187">
        <v>26772</v>
      </c>
      <c r="C2976" s="188">
        <v>6.64</v>
      </c>
      <c r="D2976" s="104">
        <f t="shared" si="46"/>
        <v>6.6400000000000001E-2</v>
      </c>
      <c r="F2976" s="5"/>
    </row>
    <row r="2977" spans="2:6" ht="13.8" hidden="1" outlineLevel="1">
      <c r="B2977" s="187">
        <v>26773</v>
      </c>
      <c r="C2977" s="188">
        <v>6.66</v>
      </c>
      <c r="D2977" s="104">
        <f t="shared" si="46"/>
        <v>6.6600000000000006E-2</v>
      </c>
      <c r="F2977" s="5"/>
    </row>
    <row r="2978" spans="2:6" ht="13.8" hidden="1" outlineLevel="1">
      <c r="B2978" s="187">
        <v>26774</v>
      </c>
      <c r="C2978" s="188" t="s">
        <v>380</v>
      </c>
      <c r="D2978" s="104">
        <f t="shared" si="46"/>
        <v>6.6600000000000006E-2</v>
      </c>
      <c r="F2978" s="5"/>
    </row>
    <row r="2979" spans="2:6" ht="13.8" hidden="1" outlineLevel="1">
      <c r="B2979" s="187">
        <v>26777</v>
      </c>
      <c r="C2979" s="188">
        <v>6.73</v>
      </c>
      <c r="D2979" s="104">
        <f t="shared" si="46"/>
        <v>6.7299999999999999E-2</v>
      </c>
      <c r="F2979" s="5"/>
    </row>
    <row r="2980" spans="2:6" ht="13.8" hidden="1" outlineLevel="1">
      <c r="B2980" s="187">
        <v>26778</v>
      </c>
      <c r="C2980" s="188">
        <v>6.66</v>
      </c>
      <c r="D2980" s="104">
        <f t="shared" si="46"/>
        <v>6.6600000000000006E-2</v>
      </c>
      <c r="F2980" s="5"/>
    </row>
    <row r="2981" spans="2:6" ht="13.8" hidden="1" outlineLevel="1">
      <c r="B2981" s="187">
        <v>26779</v>
      </c>
      <c r="C2981" s="188">
        <v>6.66</v>
      </c>
      <c r="D2981" s="104">
        <f t="shared" si="46"/>
        <v>6.6600000000000006E-2</v>
      </c>
      <c r="F2981" s="5"/>
    </row>
    <row r="2982" spans="2:6" ht="13.8" hidden="1" outlineLevel="1">
      <c r="B2982" s="187">
        <v>26780</v>
      </c>
      <c r="C2982" s="188">
        <v>6.68</v>
      </c>
      <c r="D2982" s="104">
        <f t="shared" si="46"/>
        <v>6.6799999999999998E-2</v>
      </c>
      <c r="F2982" s="5"/>
    </row>
    <row r="2983" spans="2:6" ht="13.8" hidden="1" outlineLevel="1">
      <c r="B2983" s="187">
        <v>26781</v>
      </c>
      <c r="C2983" s="188">
        <v>6.69</v>
      </c>
      <c r="D2983" s="104">
        <f t="shared" si="46"/>
        <v>6.6900000000000001E-2</v>
      </c>
      <c r="F2983" s="5"/>
    </row>
    <row r="2984" spans="2:6" ht="13.8" hidden="1" outlineLevel="1">
      <c r="B2984" s="187">
        <v>26784</v>
      </c>
      <c r="C2984" s="188">
        <v>6.7</v>
      </c>
      <c r="D2984" s="104">
        <f t="shared" si="46"/>
        <v>6.7000000000000004E-2</v>
      </c>
      <c r="F2984" s="5"/>
    </row>
    <row r="2985" spans="2:6" ht="13.8" hidden="1" outlineLevel="1">
      <c r="B2985" s="187">
        <v>26785</v>
      </c>
      <c r="C2985" s="188">
        <v>6.72</v>
      </c>
      <c r="D2985" s="104">
        <f t="shared" si="46"/>
        <v>6.7199999999999996E-2</v>
      </c>
      <c r="F2985" s="5"/>
    </row>
    <row r="2986" spans="2:6" ht="13.8" hidden="1" outlineLevel="1">
      <c r="B2986" s="187">
        <v>26786</v>
      </c>
      <c r="C2986" s="188">
        <v>6.76</v>
      </c>
      <c r="D2986" s="104">
        <f t="shared" si="46"/>
        <v>6.7599999999999993E-2</v>
      </c>
      <c r="F2986" s="5"/>
    </row>
    <row r="2987" spans="2:6" ht="13.8" hidden="1" outlineLevel="1">
      <c r="B2987" s="187">
        <v>26787</v>
      </c>
      <c r="C2987" s="188">
        <v>6.77</v>
      </c>
      <c r="D2987" s="104">
        <f t="shared" si="46"/>
        <v>6.7699999999999996E-2</v>
      </c>
      <c r="F2987" s="5"/>
    </row>
    <row r="2988" spans="2:6" ht="13.8" hidden="1" outlineLevel="1">
      <c r="B2988" s="187">
        <v>26788</v>
      </c>
      <c r="C2988" s="188">
        <v>6.79</v>
      </c>
      <c r="D2988" s="104">
        <f t="shared" si="46"/>
        <v>6.7900000000000002E-2</v>
      </c>
      <c r="F2988" s="5"/>
    </row>
    <row r="2989" spans="2:6" ht="13.8" hidden="1" outlineLevel="1">
      <c r="B2989" s="187">
        <v>26791</v>
      </c>
      <c r="C2989" s="188">
        <v>6.81</v>
      </c>
      <c r="D2989" s="104">
        <f t="shared" si="46"/>
        <v>6.8099999999999994E-2</v>
      </c>
      <c r="F2989" s="5"/>
    </row>
    <row r="2990" spans="2:6" ht="13.8" hidden="1" outlineLevel="1">
      <c r="B2990" s="187">
        <v>26792</v>
      </c>
      <c r="C2990" s="188">
        <v>6.8</v>
      </c>
      <c r="D2990" s="104">
        <f t="shared" si="46"/>
        <v>6.8000000000000005E-2</v>
      </c>
      <c r="F2990" s="5"/>
    </row>
    <row r="2991" spans="2:6" ht="13.8" hidden="1" outlineLevel="1">
      <c r="B2991" s="187">
        <v>26793</v>
      </c>
      <c r="C2991" s="188">
        <v>6.8</v>
      </c>
      <c r="D2991" s="104">
        <f t="shared" si="46"/>
        <v>6.8000000000000005E-2</v>
      </c>
      <c r="F2991" s="5"/>
    </row>
    <row r="2992" spans="2:6" ht="13.8" hidden="1" outlineLevel="1">
      <c r="B2992" s="187">
        <v>26794</v>
      </c>
      <c r="C2992" s="188">
        <v>6.81</v>
      </c>
      <c r="D2992" s="104">
        <f t="shared" si="46"/>
        <v>6.8099999999999994E-2</v>
      </c>
      <c r="F2992" s="5"/>
    </row>
    <row r="2993" spans="2:6" ht="13.8" hidden="1" outlineLevel="1">
      <c r="B2993" s="187">
        <v>26795</v>
      </c>
      <c r="C2993" s="188">
        <v>6.82</v>
      </c>
      <c r="D2993" s="104">
        <f t="shared" si="46"/>
        <v>6.8199999999999997E-2</v>
      </c>
      <c r="F2993" s="5"/>
    </row>
    <row r="2994" spans="2:6" ht="13.8" hidden="1" outlineLevel="1">
      <c r="B2994" s="187">
        <v>26798</v>
      </c>
      <c r="C2994" s="188">
        <v>6.83</v>
      </c>
      <c r="D2994" s="104">
        <f t="shared" si="46"/>
        <v>6.83E-2</v>
      </c>
      <c r="F2994" s="5"/>
    </row>
    <row r="2995" spans="2:6" ht="13.8" hidden="1" outlineLevel="1">
      <c r="B2995" s="187">
        <v>26799</v>
      </c>
      <c r="C2995" s="188">
        <v>6.86</v>
      </c>
      <c r="D2995" s="104">
        <f t="shared" si="46"/>
        <v>6.8600000000000008E-2</v>
      </c>
      <c r="F2995" s="5"/>
    </row>
    <row r="2996" spans="2:6" ht="13.8" hidden="1" outlineLevel="1">
      <c r="B2996" s="187">
        <v>26800</v>
      </c>
      <c r="C2996" s="188">
        <v>6.84</v>
      </c>
      <c r="D2996" s="104">
        <f t="shared" si="46"/>
        <v>6.8400000000000002E-2</v>
      </c>
      <c r="F2996" s="5"/>
    </row>
    <row r="2997" spans="2:6" ht="13.8" hidden="1" outlineLevel="1">
      <c r="B2997" s="187">
        <v>26801</v>
      </c>
      <c r="C2997" s="188">
        <v>6.85</v>
      </c>
      <c r="D2997" s="104">
        <f t="shared" si="46"/>
        <v>6.8499999999999991E-2</v>
      </c>
      <c r="F2997" s="5"/>
    </row>
    <row r="2998" spans="2:6" ht="13.8" hidden="1" outlineLevel="1">
      <c r="B2998" s="187">
        <v>26802</v>
      </c>
      <c r="C2998" s="188">
        <v>6.86</v>
      </c>
      <c r="D2998" s="104">
        <f t="shared" si="46"/>
        <v>6.8600000000000008E-2</v>
      </c>
      <c r="F2998" s="5"/>
    </row>
    <row r="2999" spans="2:6" ht="13.8" hidden="1" outlineLevel="1">
      <c r="B2999" s="187">
        <v>26805</v>
      </c>
      <c r="C2999" s="188">
        <v>6.89</v>
      </c>
      <c r="D2999" s="104">
        <f t="shared" si="46"/>
        <v>6.8900000000000003E-2</v>
      </c>
      <c r="F2999" s="5"/>
    </row>
    <row r="3000" spans="2:6" ht="13.8" hidden="1" outlineLevel="1">
      <c r="B3000" s="187">
        <v>26806</v>
      </c>
      <c r="C3000" s="188">
        <v>6.9</v>
      </c>
      <c r="D3000" s="104">
        <f t="shared" si="46"/>
        <v>6.9000000000000006E-2</v>
      </c>
      <c r="F3000" s="5"/>
    </row>
    <row r="3001" spans="2:6" ht="13.8" hidden="1" outlineLevel="1">
      <c r="B3001" s="187">
        <v>26807</v>
      </c>
      <c r="C3001" s="188">
        <v>6.92</v>
      </c>
      <c r="D3001" s="104">
        <f t="shared" si="46"/>
        <v>6.9199999999999998E-2</v>
      </c>
      <c r="F3001" s="5"/>
    </row>
    <row r="3002" spans="2:6" ht="13.8" hidden="1" outlineLevel="1">
      <c r="B3002" s="187">
        <v>26808</v>
      </c>
      <c r="C3002" s="188">
        <v>6.91</v>
      </c>
      <c r="D3002" s="104">
        <f t="shared" si="46"/>
        <v>6.9099999999999995E-2</v>
      </c>
      <c r="F3002" s="5"/>
    </row>
    <row r="3003" spans="2:6" ht="13.8" hidden="1" outlineLevel="1">
      <c r="B3003" s="187">
        <v>26809</v>
      </c>
      <c r="C3003" s="188">
        <v>6.91</v>
      </c>
      <c r="D3003" s="104">
        <f t="shared" si="46"/>
        <v>6.9099999999999995E-2</v>
      </c>
      <c r="F3003" s="5"/>
    </row>
    <row r="3004" spans="2:6" ht="13.8" hidden="1" outlineLevel="1">
      <c r="B3004" s="187">
        <v>26812</v>
      </c>
      <c r="C3004" s="188" t="s">
        <v>380</v>
      </c>
      <c r="D3004" s="104">
        <f t="shared" si="46"/>
        <v>6.9099999999999995E-2</v>
      </c>
      <c r="F3004" s="5"/>
    </row>
    <row r="3005" spans="2:6" ht="13.8" hidden="1" outlineLevel="1">
      <c r="B3005" s="187">
        <v>26813</v>
      </c>
      <c r="C3005" s="188">
        <v>6.93</v>
      </c>
      <c r="D3005" s="104">
        <f t="shared" si="46"/>
        <v>6.93E-2</v>
      </c>
      <c r="F3005" s="5"/>
    </row>
    <row r="3006" spans="2:6" ht="13.8" hidden="1" outlineLevel="1">
      <c r="B3006" s="187">
        <v>26814</v>
      </c>
      <c r="C3006" s="188">
        <v>6.93</v>
      </c>
      <c r="D3006" s="104">
        <f t="shared" si="46"/>
        <v>6.93E-2</v>
      </c>
      <c r="F3006" s="5"/>
    </row>
    <row r="3007" spans="2:6" ht="13.8" hidden="1" outlineLevel="1">
      <c r="B3007" s="187">
        <v>26815</v>
      </c>
      <c r="C3007" s="188">
        <v>6.93</v>
      </c>
      <c r="D3007" s="104">
        <f t="shared" si="46"/>
        <v>6.93E-2</v>
      </c>
      <c r="F3007" s="5"/>
    </row>
    <row r="3008" spans="2:6" ht="13.8" hidden="1" outlineLevel="1">
      <c r="B3008" s="187">
        <v>26816</v>
      </c>
      <c r="C3008" s="188">
        <v>6.96</v>
      </c>
      <c r="D3008" s="104">
        <f t="shared" si="46"/>
        <v>6.9599999999999995E-2</v>
      </c>
      <c r="F3008" s="5"/>
    </row>
    <row r="3009" spans="2:6" ht="13.8" hidden="1" outlineLevel="1">
      <c r="B3009" s="187">
        <v>26819</v>
      </c>
      <c r="C3009" s="188">
        <v>6.98</v>
      </c>
      <c r="D3009" s="104">
        <f t="shared" si="46"/>
        <v>6.9800000000000001E-2</v>
      </c>
      <c r="F3009" s="5"/>
    </row>
    <row r="3010" spans="2:6" ht="13.8" hidden="1" outlineLevel="1">
      <c r="B3010" s="187">
        <v>26820</v>
      </c>
      <c r="C3010" s="188">
        <v>6.95</v>
      </c>
      <c r="D3010" s="104">
        <f t="shared" si="46"/>
        <v>6.9500000000000006E-2</v>
      </c>
      <c r="F3010" s="5"/>
    </row>
    <row r="3011" spans="2:6" ht="13.8" hidden="1" outlineLevel="1">
      <c r="B3011" s="187">
        <v>26821</v>
      </c>
      <c r="C3011" s="188">
        <v>6.89</v>
      </c>
      <c r="D3011" s="104">
        <f t="shared" si="46"/>
        <v>6.8900000000000003E-2</v>
      </c>
      <c r="F3011" s="5"/>
    </row>
    <row r="3012" spans="2:6" ht="13.8" hidden="1" outlineLevel="1">
      <c r="B3012" s="187">
        <v>26822</v>
      </c>
      <c r="C3012" s="188">
        <v>6.89</v>
      </c>
      <c r="D3012" s="104">
        <f t="shared" si="46"/>
        <v>6.8900000000000003E-2</v>
      </c>
      <c r="F3012" s="5"/>
    </row>
    <row r="3013" spans="2:6" ht="13.8" hidden="1" outlineLevel="1">
      <c r="B3013" s="187">
        <v>26823</v>
      </c>
      <c r="C3013" s="188">
        <v>6.87</v>
      </c>
      <c r="D3013" s="104">
        <f t="shared" si="46"/>
        <v>6.8699999999999997E-2</v>
      </c>
      <c r="F3013" s="5"/>
    </row>
    <row r="3014" spans="2:6" ht="13.8" hidden="1" outlineLevel="1">
      <c r="B3014" s="187">
        <v>26826</v>
      </c>
      <c r="C3014" s="188">
        <v>6.87</v>
      </c>
      <c r="D3014" s="104">
        <f t="shared" si="46"/>
        <v>6.8699999999999997E-2</v>
      </c>
      <c r="F3014" s="5"/>
    </row>
    <row r="3015" spans="2:6" ht="13.8" hidden="1" outlineLevel="1">
      <c r="B3015" s="187">
        <v>26827</v>
      </c>
      <c r="C3015" s="188">
        <v>6.86</v>
      </c>
      <c r="D3015" s="104">
        <f t="shared" si="46"/>
        <v>6.8600000000000008E-2</v>
      </c>
      <c r="F3015" s="5"/>
    </row>
    <row r="3016" spans="2:6" ht="13.8" hidden="1" outlineLevel="1">
      <c r="B3016" s="187">
        <v>26828</v>
      </c>
      <c r="C3016" s="188">
        <v>6.85</v>
      </c>
      <c r="D3016" s="104">
        <f t="shared" si="46"/>
        <v>6.8499999999999991E-2</v>
      </c>
      <c r="F3016" s="5"/>
    </row>
    <row r="3017" spans="2:6" ht="13.8" hidden="1" outlineLevel="1">
      <c r="B3017" s="187">
        <v>26829</v>
      </c>
      <c r="C3017" s="188">
        <v>6.85</v>
      </c>
      <c r="D3017" s="104">
        <f t="shared" si="46"/>
        <v>6.8499999999999991E-2</v>
      </c>
      <c r="F3017" s="5"/>
    </row>
    <row r="3018" spans="2:6" ht="13.8" hidden="1" outlineLevel="1">
      <c r="B3018" s="187">
        <v>26830</v>
      </c>
      <c r="C3018" s="188">
        <v>6.86</v>
      </c>
      <c r="D3018" s="104">
        <f t="shared" si="46"/>
        <v>6.8600000000000008E-2</v>
      </c>
      <c r="F3018" s="5"/>
    </row>
    <row r="3019" spans="2:6" ht="13.8" hidden="1" outlineLevel="1">
      <c r="B3019" s="187">
        <v>26833</v>
      </c>
      <c r="C3019" s="188">
        <v>6.87</v>
      </c>
      <c r="D3019" s="104">
        <f t="shared" si="46"/>
        <v>6.8699999999999997E-2</v>
      </c>
      <c r="F3019" s="5"/>
    </row>
    <row r="3020" spans="2:6" ht="13.8" hidden="1" outlineLevel="1">
      <c r="B3020" s="187">
        <v>26834</v>
      </c>
      <c r="C3020" s="188">
        <v>6.87</v>
      </c>
      <c r="D3020" s="104">
        <f t="shared" si="46"/>
        <v>6.8699999999999997E-2</v>
      </c>
      <c r="F3020" s="5"/>
    </row>
    <row r="3021" spans="2:6" ht="13.8" hidden="1" outlineLevel="1">
      <c r="B3021" s="187">
        <v>26835</v>
      </c>
      <c r="C3021" s="188">
        <v>6.89</v>
      </c>
      <c r="D3021" s="104">
        <f t="shared" si="46"/>
        <v>6.8900000000000003E-2</v>
      </c>
      <c r="F3021" s="5"/>
    </row>
    <row r="3022" spans="2:6" ht="13.8" hidden="1" outlineLevel="1">
      <c r="B3022" s="187">
        <v>26836</v>
      </c>
      <c r="C3022" s="188">
        <v>6.89</v>
      </c>
      <c r="D3022" s="104">
        <f t="shared" si="46"/>
        <v>6.8900000000000003E-2</v>
      </c>
      <c r="F3022" s="5"/>
    </row>
    <row r="3023" spans="2:6" ht="13.8" hidden="1" outlineLevel="1">
      <c r="B3023" s="187">
        <v>26837</v>
      </c>
      <c r="C3023" s="188">
        <v>6.91</v>
      </c>
      <c r="D3023" s="104">
        <f t="shared" si="46"/>
        <v>6.9099999999999995E-2</v>
      </c>
      <c r="F3023" s="5"/>
    </row>
    <row r="3024" spans="2:6" ht="13.8" hidden="1" outlineLevel="1">
      <c r="B3024" s="187">
        <v>26840</v>
      </c>
      <c r="C3024" s="188">
        <v>6.93</v>
      </c>
      <c r="D3024" s="104">
        <f t="shared" si="46"/>
        <v>6.93E-2</v>
      </c>
      <c r="F3024" s="5"/>
    </row>
    <row r="3025" spans="2:6" ht="13.8" hidden="1" outlineLevel="1">
      <c r="B3025" s="187">
        <v>26841</v>
      </c>
      <c r="C3025" s="188">
        <v>6.93</v>
      </c>
      <c r="D3025" s="104">
        <f t="shared" si="46"/>
        <v>6.93E-2</v>
      </c>
      <c r="F3025" s="5"/>
    </row>
    <row r="3026" spans="2:6" ht="13.8" hidden="1" outlineLevel="1">
      <c r="B3026" s="187">
        <v>26842</v>
      </c>
      <c r="C3026" s="188">
        <v>6.92</v>
      </c>
      <c r="D3026" s="104">
        <f t="shared" si="46"/>
        <v>6.9199999999999998E-2</v>
      </c>
      <c r="F3026" s="5"/>
    </row>
    <row r="3027" spans="2:6" ht="13.8" hidden="1" outlineLevel="1">
      <c r="B3027" s="187">
        <v>26843</v>
      </c>
      <c r="C3027" s="188">
        <v>6.92</v>
      </c>
      <c r="D3027" s="104">
        <f t="shared" si="46"/>
        <v>6.9199999999999998E-2</v>
      </c>
      <c r="F3027" s="5"/>
    </row>
    <row r="3028" spans="2:6" ht="13.8" hidden="1" outlineLevel="1">
      <c r="B3028" s="187">
        <v>26844</v>
      </c>
      <c r="C3028" s="188">
        <v>6.94</v>
      </c>
      <c r="D3028" s="104">
        <f t="shared" si="46"/>
        <v>6.9400000000000003E-2</v>
      </c>
      <c r="F3028" s="5"/>
    </row>
    <row r="3029" spans="2:6" ht="13.8" hidden="1" outlineLevel="1">
      <c r="B3029" s="187">
        <v>26847</v>
      </c>
      <c r="C3029" s="188">
        <v>7.01</v>
      </c>
      <c r="D3029" s="104">
        <f t="shared" si="46"/>
        <v>7.0099999999999996E-2</v>
      </c>
      <c r="F3029" s="5"/>
    </row>
    <row r="3030" spans="2:6" ht="13.8" hidden="1" outlineLevel="1">
      <c r="B3030" s="187">
        <v>26848</v>
      </c>
      <c r="C3030" s="188">
        <v>7.01</v>
      </c>
      <c r="D3030" s="104">
        <f t="shared" si="46"/>
        <v>7.0099999999999996E-2</v>
      </c>
      <c r="F3030" s="5"/>
    </row>
    <row r="3031" spans="2:6" ht="13.8" hidden="1" outlineLevel="1">
      <c r="B3031" s="187">
        <v>26849</v>
      </c>
      <c r="C3031" s="188" t="s">
        <v>380</v>
      </c>
      <c r="D3031" s="104">
        <f t="shared" si="46"/>
        <v>7.0099999999999996E-2</v>
      </c>
      <c r="F3031" s="5"/>
    </row>
    <row r="3032" spans="2:6" ht="13.8" hidden="1" outlineLevel="1">
      <c r="B3032" s="187">
        <v>26850</v>
      </c>
      <c r="C3032" s="188">
        <v>7.01</v>
      </c>
      <c r="D3032" s="104">
        <f t="shared" si="46"/>
        <v>7.0099999999999996E-2</v>
      </c>
      <c r="F3032" s="5"/>
    </row>
    <row r="3033" spans="2:6" ht="13.8" hidden="1" outlineLevel="1">
      <c r="B3033" s="187">
        <v>26851</v>
      </c>
      <c r="C3033" s="188">
        <v>7.03</v>
      </c>
      <c r="D3033" s="104">
        <f t="shared" si="46"/>
        <v>7.0300000000000001E-2</v>
      </c>
      <c r="F3033" s="5"/>
    </row>
    <row r="3034" spans="2:6" ht="13.8" hidden="1" outlineLevel="1">
      <c r="B3034" s="187">
        <v>26854</v>
      </c>
      <c r="C3034" s="188">
        <v>7.05</v>
      </c>
      <c r="D3034" s="104">
        <f t="shared" si="46"/>
        <v>7.0499999999999993E-2</v>
      </c>
      <c r="F3034" s="5"/>
    </row>
    <row r="3035" spans="2:6" ht="13.8" hidden="1" outlineLevel="1">
      <c r="B3035" s="187">
        <v>26855</v>
      </c>
      <c r="C3035" s="188">
        <v>7.05</v>
      </c>
      <c r="D3035" s="104">
        <f t="shared" si="46"/>
        <v>7.0499999999999993E-2</v>
      </c>
      <c r="F3035" s="5"/>
    </row>
    <row r="3036" spans="2:6" ht="13.8" hidden="1" outlineLevel="1">
      <c r="B3036" s="187">
        <v>26856</v>
      </c>
      <c r="C3036" s="188">
        <v>7.05</v>
      </c>
      <c r="D3036" s="104">
        <f t="shared" si="46"/>
        <v>7.0499999999999993E-2</v>
      </c>
      <c r="F3036" s="5"/>
    </row>
    <row r="3037" spans="2:6" ht="13.8" hidden="1" outlineLevel="1">
      <c r="B3037" s="187">
        <v>26857</v>
      </c>
      <c r="C3037" s="188">
        <v>7.04</v>
      </c>
      <c r="D3037" s="104">
        <f t="shared" si="46"/>
        <v>7.0400000000000004E-2</v>
      </c>
      <c r="F3037" s="5"/>
    </row>
    <row r="3038" spans="2:6" ht="13.8" hidden="1" outlineLevel="1">
      <c r="B3038" s="187">
        <v>26858</v>
      </c>
      <c r="C3038" s="188">
        <v>7.05</v>
      </c>
      <c r="D3038" s="104">
        <f t="shared" ref="D3038:D3101" si="47">IF( LEN( C3038 ) = 0, #N/A, IF( C3038 = "ND", D3037, C3038 / 100 ) )</f>
        <v>7.0499999999999993E-2</v>
      </c>
      <c r="F3038" s="5"/>
    </row>
    <row r="3039" spans="2:6" ht="13.8" hidden="1" outlineLevel="1">
      <c r="B3039" s="187">
        <v>26861</v>
      </c>
      <c r="C3039" s="188">
        <v>7.06</v>
      </c>
      <c r="D3039" s="104">
        <f t="shared" si="47"/>
        <v>7.0599999999999996E-2</v>
      </c>
      <c r="F3039" s="5"/>
    </row>
    <row r="3040" spans="2:6" ht="13.8" hidden="1" outlineLevel="1">
      <c r="B3040" s="187">
        <v>26862</v>
      </c>
      <c r="C3040" s="188">
        <v>7.06</v>
      </c>
      <c r="D3040" s="104">
        <f t="shared" si="47"/>
        <v>7.0599999999999996E-2</v>
      </c>
      <c r="F3040" s="5"/>
    </row>
    <row r="3041" spans="2:6" ht="13.8" hidden="1" outlineLevel="1">
      <c r="B3041" s="187">
        <v>26863</v>
      </c>
      <c r="C3041" s="188">
        <v>7.07</v>
      </c>
      <c r="D3041" s="104">
        <f t="shared" si="47"/>
        <v>7.0699999999999999E-2</v>
      </c>
      <c r="F3041" s="5"/>
    </row>
    <row r="3042" spans="2:6" ht="13.8" hidden="1" outlineLevel="1">
      <c r="B3042" s="187">
        <v>26864</v>
      </c>
      <c r="C3042" s="188">
        <v>7.11</v>
      </c>
      <c r="D3042" s="104">
        <f t="shared" si="47"/>
        <v>7.1099999999999997E-2</v>
      </c>
      <c r="F3042" s="5"/>
    </row>
    <row r="3043" spans="2:6" ht="13.8" hidden="1" outlineLevel="1">
      <c r="B3043" s="187">
        <v>26865</v>
      </c>
      <c r="C3043" s="188">
        <v>7.17</v>
      </c>
      <c r="D3043" s="104">
        <f t="shared" si="47"/>
        <v>7.17E-2</v>
      </c>
      <c r="F3043" s="5"/>
    </row>
    <row r="3044" spans="2:6" ht="13.8" hidden="1" outlineLevel="1">
      <c r="B3044" s="187">
        <v>26868</v>
      </c>
      <c r="C3044" s="188">
        <v>7.17</v>
      </c>
      <c r="D3044" s="104">
        <f t="shared" si="47"/>
        <v>7.17E-2</v>
      </c>
      <c r="F3044" s="5"/>
    </row>
    <row r="3045" spans="2:6" ht="13.8" hidden="1" outlineLevel="1">
      <c r="B3045" s="187">
        <v>26869</v>
      </c>
      <c r="C3045" s="188">
        <v>7.19</v>
      </c>
      <c r="D3045" s="104">
        <f t="shared" si="47"/>
        <v>7.1900000000000006E-2</v>
      </c>
      <c r="F3045" s="5"/>
    </row>
    <row r="3046" spans="2:6" ht="13.8" hidden="1" outlineLevel="1">
      <c r="B3046" s="187">
        <v>26870</v>
      </c>
      <c r="C3046" s="188">
        <v>7.19</v>
      </c>
      <c r="D3046" s="104">
        <f t="shared" si="47"/>
        <v>7.1900000000000006E-2</v>
      </c>
      <c r="F3046" s="5"/>
    </row>
    <row r="3047" spans="2:6" ht="13.8" hidden="1" outlineLevel="1">
      <c r="B3047" s="187">
        <v>26871</v>
      </c>
      <c r="C3047" s="188">
        <v>7.28</v>
      </c>
      <c r="D3047" s="104">
        <f t="shared" si="47"/>
        <v>7.2800000000000004E-2</v>
      </c>
      <c r="F3047" s="5"/>
    </row>
    <row r="3048" spans="2:6" ht="13.8" hidden="1" outlineLevel="1">
      <c r="B3048" s="187">
        <v>26872</v>
      </c>
      <c r="C3048" s="188">
        <v>7.35</v>
      </c>
      <c r="D3048" s="104">
        <f t="shared" si="47"/>
        <v>7.3499999999999996E-2</v>
      </c>
      <c r="F3048" s="5"/>
    </row>
    <row r="3049" spans="2:6" ht="13.8" hidden="1" outlineLevel="1">
      <c r="B3049" s="187">
        <v>26875</v>
      </c>
      <c r="C3049" s="188">
        <v>7.37</v>
      </c>
      <c r="D3049" s="104">
        <f t="shared" si="47"/>
        <v>7.3700000000000002E-2</v>
      </c>
      <c r="F3049" s="5"/>
    </row>
    <row r="3050" spans="2:6" ht="13.8" hidden="1" outlineLevel="1">
      <c r="B3050" s="187">
        <v>26876</v>
      </c>
      <c r="C3050" s="188">
        <v>7.43</v>
      </c>
      <c r="D3050" s="104">
        <f t="shared" si="47"/>
        <v>7.4299999999999991E-2</v>
      </c>
      <c r="F3050" s="5"/>
    </row>
    <row r="3051" spans="2:6" ht="13.8" hidden="1" outlineLevel="1">
      <c r="B3051" s="187">
        <v>26877</v>
      </c>
      <c r="C3051" s="188">
        <v>7.55</v>
      </c>
      <c r="D3051" s="104">
        <f t="shared" si="47"/>
        <v>7.5499999999999998E-2</v>
      </c>
      <c r="F3051" s="5"/>
    </row>
    <row r="3052" spans="2:6" ht="13.8" hidden="1" outlineLevel="1">
      <c r="B3052" s="187">
        <v>26878</v>
      </c>
      <c r="C3052" s="188">
        <v>7.52</v>
      </c>
      <c r="D3052" s="104">
        <f t="shared" si="47"/>
        <v>7.5199999999999989E-2</v>
      </c>
      <c r="F3052" s="5"/>
    </row>
    <row r="3053" spans="2:6" ht="13.8" hidden="1" outlineLevel="1">
      <c r="B3053" s="187">
        <v>26879</v>
      </c>
      <c r="C3053" s="188">
        <v>7.53</v>
      </c>
      <c r="D3053" s="104">
        <f t="shared" si="47"/>
        <v>7.5300000000000006E-2</v>
      </c>
      <c r="F3053" s="5"/>
    </row>
    <row r="3054" spans="2:6" ht="13.8" hidden="1" outlineLevel="1">
      <c r="B3054" s="187">
        <v>26882</v>
      </c>
      <c r="C3054" s="188">
        <v>7.54</v>
      </c>
      <c r="D3054" s="104">
        <f t="shared" si="47"/>
        <v>7.5399999999999995E-2</v>
      </c>
      <c r="F3054" s="5"/>
    </row>
    <row r="3055" spans="2:6" ht="13.8" hidden="1" outlineLevel="1">
      <c r="B3055" s="187">
        <v>26883</v>
      </c>
      <c r="C3055" s="188">
        <v>7.58</v>
      </c>
      <c r="D3055" s="104">
        <f t="shared" si="47"/>
        <v>7.5800000000000006E-2</v>
      </c>
      <c r="F3055" s="5"/>
    </row>
    <row r="3056" spans="2:6" ht="13.8" hidden="1" outlineLevel="1">
      <c r="B3056" s="187">
        <v>26884</v>
      </c>
      <c r="C3056" s="188">
        <v>7.52</v>
      </c>
      <c r="D3056" s="104">
        <f t="shared" si="47"/>
        <v>7.5199999999999989E-2</v>
      </c>
      <c r="F3056" s="5"/>
    </row>
    <row r="3057" spans="2:6" ht="13.8" hidden="1" outlineLevel="1">
      <c r="B3057" s="187">
        <v>26885</v>
      </c>
      <c r="C3057" s="188">
        <v>7.54</v>
      </c>
      <c r="D3057" s="104">
        <f t="shared" si="47"/>
        <v>7.5399999999999995E-2</v>
      </c>
      <c r="F3057" s="5"/>
    </row>
    <row r="3058" spans="2:6" ht="13.8" hidden="1" outlineLevel="1">
      <c r="B3058" s="187">
        <v>26886</v>
      </c>
      <c r="C3058" s="188">
        <v>7.52</v>
      </c>
      <c r="D3058" s="104">
        <f t="shared" si="47"/>
        <v>7.5199999999999989E-2</v>
      </c>
      <c r="F3058" s="5"/>
    </row>
    <row r="3059" spans="2:6" ht="13.8" hidden="1" outlineLevel="1">
      <c r="B3059" s="187">
        <v>26889</v>
      </c>
      <c r="C3059" s="188">
        <v>7.47</v>
      </c>
      <c r="D3059" s="104">
        <f t="shared" si="47"/>
        <v>7.4700000000000003E-2</v>
      </c>
      <c r="F3059" s="5"/>
    </row>
    <row r="3060" spans="2:6" ht="13.8" hidden="1" outlineLevel="1">
      <c r="B3060" s="187">
        <v>26890</v>
      </c>
      <c r="C3060" s="188">
        <v>7.46</v>
      </c>
      <c r="D3060" s="104">
        <f t="shared" si="47"/>
        <v>7.46E-2</v>
      </c>
      <c r="F3060" s="5"/>
    </row>
    <row r="3061" spans="2:6" ht="13.8" hidden="1" outlineLevel="1">
      <c r="B3061" s="187">
        <v>26891</v>
      </c>
      <c r="C3061" s="188">
        <v>7.45</v>
      </c>
      <c r="D3061" s="104">
        <f t="shared" si="47"/>
        <v>7.4499999999999997E-2</v>
      </c>
      <c r="F3061" s="5"/>
    </row>
    <row r="3062" spans="2:6" ht="13.8" hidden="1" outlineLevel="1">
      <c r="B3062" s="187">
        <v>26892</v>
      </c>
      <c r="C3062" s="188">
        <v>7.37</v>
      </c>
      <c r="D3062" s="104">
        <f t="shared" si="47"/>
        <v>7.3700000000000002E-2</v>
      </c>
      <c r="F3062" s="5"/>
    </row>
    <row r="3063" spans="2:6" ht="13.8" hidden="1" outlineLevel="1">
      <c r="B3063" s="187">
        <v>26893</v>
      </c>
      <c r="C3063" s="188">
        <v>7.28</v>
      </c>
      <c r="D3063" s="104">
        <f t="shared" si="47"/>
        <v>7.2800000000000004E-2</v>
      </c>
      <c r="F3063" s="5"/>
    </row>
    <row r="3064" spans="2:6" ht="13.8" hidden="1" outlineLevel="1">
      <c r="B3064" s="187">
        <v>26896</v>
      </c>
      <c r="C3064" s="188">
        <v>7.38</v>
      </c>
      <c r="D3064" s="104">
        <f t="shared" si="47"/>
        <v>7.3800000000000004E-2</v>
      </c>
      <c r="F3064" s="5"/>
    </row>
    <row r="3065" spans="2:6" ht="13.8" hidden="1" outlineLevel="1">
      <c r="B3065" s="187">
        <v>26897</v>
      </c>
      <c r="C3065" s="188">
        <v>7.36</v>
      </c>
      <c r="D3065" s="104">
        <f t="shared" si="47"/>
        <v>7.3599999999999999E-2</v>
      </c>
      <c r="F3065" s="5"/>
    </row>
    <row r="3066" spans="2:6" ht="13.8" hidden="1" outlineLevel="1">
      <c r="B3066" s="187">
        <v>26898</v>
      </c>
      <c r="C3066" s="188">
        <v>7.39</v>
      </c>
      <c r="D3066" s="104">
        <f t="shared" si="47"/>
        <v>7.3899999999999993E-2</v>
      </c>
      <c r="F3066" s="5"/>
    </row>
    <row r="3067" spans="2:6" ht="13.8" hidden="1" outlineLevel="1">
      <c r="B3067" s="187">
        <v>26899</v>
      </c>
      <c r="C3067" s="188">
        <v>7.31</v>
      </c>
      <c r="D3067" s="104">
        <f t="shared" si="47"/>
        <v>7.3099999999999998E-2</v>
      </c>
      <c r="F3067" s="5"/>
    </row>
    <row r="3068" spans="2:6" ht="13.8" hidden="1" outlineLevel="1">
      <c r="B3068" s="187">
        <v>26900</v>
      </c>
      <c r="C3068" s="188">
        <v>7.23</v>
      </c>
      <c r="D3068" s="104">
        <f t="shared" si="47"/>
        <v>7.2300000000000003E-2</v>
      </c>
      <c r="F3068" s="5"/>
    </row>
    <row r="3069" spans="2:6" ht="13.8" hidden="1" outlineLevel="1">
      <c r="B3069" s="187">
        <v>26903</v>
      </c>
      <c r="C3069" s="188">
        <v>7.26</v>
      </c>
      <c r="D3069" s="104">
        <f t="shared" si="47"/>
        <v>7.2599999999999998E-2</v>
      </c>
      <c r="F3069" s="5"/>
    </row>
    <row r="3070" spans="2:6" ht="13.8" hidden="1" outlineLevel="1">
      <c r="B3070" s="187">
        <v>26904</v>
      </c>
      <c r="C3070" s="188">
        <v>7.29</v>
      </c>
      <c r="D3070" s="104">
        <f t="shared" si="47"/>
        <v>7.2900000000000006E-2</v>
      </c>
      <c r="F3070" s="5"/>
    </row>
    <row r="3071" spans="2:6" ht="13.8" hidden="1" outlineLevel="1">
      <c r="B3071" s="187">
        <v>26905</v>
      </c>
      <c r="C3071" s="188">
        <v>7.26</v>
      </c>
      <c r="D3071" s="104">
        <f t="shared" si="47"/>
        <v>7.2599999999999998E-2</v>
      </c>
      <c r="F3071" s="5"/>
    </row>
    <row r="3072" spans="2:6" ht="13.8" hidden="1" outlineLevel="1">
      <c r="B3072" s="187">
        <v>26906</v>
      </c>
      <c r="C3072" s="188">
        <v>7.25</v>
      </c>
      <c r="D3072" s="104">
        <f t="shared" si="47"/>
        <v>7.2499999999999995E-2</v>
      </c>
      <c r="F3072" s="5"/>
    </row>
    <row r="3073" spans="2:6" ht="13.8" hidden="1" outlineLevel="1">
      <c r="B3073" s="187">
        <v>26907</v>
      </c>
      <c r="C3073" s="188">
        <v>7.25</v>
      </c>
      <c r="D3073" s="104">
        <f t="shared" si="47"/>
        <v>7.2499999999999995E-2</v>
      </c>
      <c r="F3073" s="5"/>
    </row>
    <row r="3074" spans="2:6" ht="13.8" hidden="1" outlineLevel="1">
      <c r="B3074" s="187">
        <v>26910</v>
      </c>
      <c r="C3074" s="188" t="s">
        <v>380</v>
      </c>
      <c r="D3074" s="104">
        <f t="shared" si="47"/>
        <v>7.2499999999999995E-2</v>
      </c>
      <c r="F3074" s="5"/>
    </row>
    <row r="3075" spans="2:6" ht="13.8" hidden="1" outlineLevel="1">
      <c r="B3075" s="187">
        <v>26911</v>
      </c>
      <c r="C3075" s="188">
        <v>7.21</v>
      </c>
      <c r="D3075" s="104">
        <f t="shared" si="47"/>
        <v>7.2099999999999997E-2</v>
      </c>
      <c r="F3075" s="5"/>
    </row>
    <row r="3076" spans="2:6" ht="13.8" hidden="1" outlineLevel="1">
      <c r="B3076" s="187">
        <v>26912</v>
      </c>
      <c r="C3076" s="188">
        <v>7.11</v>
      </c>
      <c r="D3076" s="104">
        <f t="shared" si="47"/>
        <v>7.1099999999999997E-2</v>
      </c>
      <c r="F3076" s="5"/>
    </row>
    <row r="3077" spans="2:6" ht="13.8" hidden="1" outlineLevel="1">
      <c r="B3077" s="187">
        <v>26913</v>
      </c>
      <c r="C3077" s="188">
        <v>7.1</v>
      </c>
      <c r="D3077" s="104">
        <f t="shared" si="47"/>
        <v>7.0999999999999994E-2</v>
      </c>
      <c r="F3077" s="5"/>
    </row>
    <row r="3078" spans="2:6" ht="13.8" hidden="1" outlineLevel="1">
      <c r="B3078" s="187">
        <v>26914</v>
      </c>
      <c r="C3078" s="188">
        <v>7.11</v>
      </c>
      <c r="D3078" s="104">
        <f t="shared" si="47"/>
        <v>7.1099999999999997E-2</v>
      </c>
      <c r="F3078" s="5"/>
    </row>
    <row r="3079" spans="2:6" ht="13.8" hidden="1" outlineLevel="1">
      <c r="B3079" s="187">
        <v>26917</v>
      </c>
      <c r="C3079" s="188">
        <v>7.16</v>
      </c>
      <c r="D3079" s="104">
        <f t="shared" si="47"/>
        <v>7.1599999999999997E-2</v>
      </c>
      <c r="F3079" s="5"/>
    </row>
    <row r="3080" spans="2:6" ht="13.8" hidden="1" outlineLevel="1">
      <c r="B3080" s="187">
        <v>26918</v>
      </c>
      <c r="C3080" s="188">
        <v>7.19</v>
      </c>
      <c r="D3080" s="104">
        <f t="shared" si="47"/>
        <v>7.1900000000000006E-2</v>
      </c>
      <c r="F3080" s="5"/>
    </row>
    <row r="3081" spans="2:6" ht="13.8" hidden="1" outlineLevel="1">
      <c r="B3081" s="187">
        <v>26919</v>
      </c>
      <c r="C3081" s="188">
        <v>7.2</v>
      </c>
      <c r="D3081" s="104">
        <f t="shared" si="47"/>
        <v>7.2000000000000008E-2</v>
      </c>
      <c r="F3081" s="5"/>
    </row>
    <row r="3082" spans="2:6" ht="13.8" hidden="1" outlineLevel="1">
      <c r="B3082" s="187">
        <v>26920</v>
      </c>
      <c r="C3082" s="188">
        <v>7.21</v>
      </c>
      <c r="D3082" s="104">
        <f t="shared" si="47"/>
        <v>7.2099999999999997E-2</v>
      </c>
      <c r="F3082" s="5"/>
    </row>
    <row r="3083" spans="2:6" ht="13.8" hidden="1" outlineLevel="1">
      <c r="B3083" s="187">
        <v>26921</v>
      </c>
      <c r="C3083" s="188">
        <v>7.21</v>
      </c>
      <c r="D3083" s="104">
        <f t="shared" si="47"/>
        <v>7.2099999999999997E-2</v>
      </c>
      <c r="F3083" s="5"/>
    </row>
    <row r="3084" spans="2:6" ht="13.8" hidden="1" outlineLevel="1">
      <c r="B3084" s="187">
        <v>26924</v>
      </c>
      <c r="C3084" s="188">
        <v>7.16</v>
      </c>
      <c r="D3084" s="104">
        <f t="shared" si="47"/>
        <v>7.1599999999999997E-2</v>
      </c>
      <c r="F3084" s="5"/>
    </row>
    <row r="3085" spans="2:6" ht="13.8" hidden="1" outlineLevel="1">
      <c r="B3085" s="187">
        <v>26925</v>
      </c>
      <c r="C3085" s="188">
        <v>7.08</v>
      </c>
      <c r="D3085" s="104">
        <f t="shared" si="47"/>
        <v>7.0800000000000002E-2</v>
      </c>
      <c r="F3085" s="5"/>
    </row>
    <row r="3086" spans="2:6" ht="13.8" hidden="1" outlineLevel="1">
      <c r="B3086" s="187">
        <v>26926</v>
      </c>
      <c r="C3086" s="188">
        <v>7.1</v>
      </c>
      <c r="D3086" s="104">
        <f t="shared" si="47"/>
        <v>7.0999999999999994E-2</v>
      </c>
      <c r="F3086" s="5"/>
    </row>
    <row r="3087" spans="2:6" ht="13.8" hidden="1" outlineLevel="1">
      <c r="B3087" s="187">
        <v>26927</v>
      </c>
      <c r="C3087" s="188">
        <v>7.09</v>
      </c>
      <c r="D3087" s="104">
        <f t="shared" si="47"/>
        <v>7.0900000000000005E-2</v>
      </c>
      <c r="F3087" s="5"/>
    </row>
    <row r="3088" spans="2:6" ht="13.8" hidden="1" outlineLevel="1">
      <c r="B3088" s="187">
        <v>26928</v>
      </c>
      <c r="C3088" s="188">
        <v>7.02</v>
      </c>
      <c r="D3088" s="104">
        <f t="shared" si="47"/>
        <v>7.0199999999999999E-2</v>
      </c>
      <c r="F3088" s="5"/>
    </row>
    <row r="3089" spans="2:6" ht="13.8" hidden="1" outlineLevel="1">
      <c r="B3089" s="187">
        <v>26931</v>
      </c>
      <c r="C3089" s="188">
        <v>7</v>
      </c>
      <c r="D3089" s="104">
        <f t="shared" si="47"/>
        <v>7.0000000000000007E-2</v>
      </c>
      <c r="F3089" s="5"/>
    </row>
    <row r="3090" spans="2:6" ht="13.8" hidden="1" outlineLevel="1">
      <c r="B3090" s="187">
        <v>26932</v>
      </c>
      <c r="C3090" s="188">
        <v>6.96</v>
      </c>
      <c r="D3090" s="104">
        <f t="shared" si="47"/>
        <v>6.9599999999999995E-2</v>
      </c>
      <c r="F3090" s="5"/>
    </row>
    <row r="3091" spans="2:6" ht="13.8" hidden="1" outlineLevel="1">
      <c r="B3091" s="187">
        <v>26933</v>
      </c>
      <c r="C3091" s="188">
        <v>6.97</v>
      </c>
      <c r="D3091" s="104">
        <f t="shared" si="47"/>
        <v>6.9699999999999998E-2</v>
      </c>
      <c r="F3091" s="5"/>
    </row>
    <row r="3092" spans="2:6" ht="13.8" hidden="1" outlineLevel="1">
      <c r="B3092" s="187">
        <v>26934</v>
      </c>
      <c r="C3092" s="188">
        <v>6.94</v>
      </c>
      <c r="D3092" s="104">
        <f t="shared" si="47"/>
        <v>6.9400000000000003E-2</v>
      </c>
      <c r="F3092" s="5"/>
    </row>
    <row r="3093" spans="2:6" ht="13.8" hidden="1" outlineLevel="1">
      <c r="B3093" s="187">
        <v>26935</v>
      </c>
      <c r="C3093" s="188">
        <v>6.9</v>
      </c>
      <c r="D3093" s="104">
        <f t="shared" si="47"/>
        <v>6.9000000000000006E-2</v>
      </c>
      <c r="F3093" s="5"/>
    </row>
    <row r="3094" spans="2:6" ht="13.8" hidden="1" outlineLevel="1">
      <c r="B3094" s="187">
        <v>26938</v>
      </c>
      <c r="C3094" s="188">
        <v>6.91</v>
      </c>
      <c r="D3094" s="104">
        <f t="shared" si="47"/>
        <v>6.9099999999999995E-2</v>
      </c>
      <c r="F3094" s="5"/>
    </row>
    <row r="3095" spans="2:6" ht="13.8" hidden="1" outlineLevel="1">
      <c r="B3095" s="187">
        <v>26939</v>
      </c>
      <c r="C3095" s="188">
        <v>6.89</v>
      </c>
      <c r="D3095" s="104">
        <f t="shared" si="47"/>
        <v>6.8900000000000003E-2</v>
      </c>
      <c r="F3095" s="5"/>
    </row>
    <row r="3096" spans="2:6" ht="13.8" hidden="1" outlineLevel="1">
      <c r="B3096" s="187">
        <v>26940</v>
      </c>
      <c r="C3096" s="188">
        <v>6.9</v>
      </c>
      <c r="D3096" s="104">
        <f t="shared" si="47"/>
        <v>6.9000000000000006E-2</v>
      </c>
      <c r="F3096" s="5"/>
    </row>
    <row r="3097" spans="2:6" ht="13.8" hidden="1" outlineLevel="1">
      <c r="B3097" s="187">
        <v>26941</v>
      </c>
      <c r="C3097" s="188">
        <v>6.88</v>
      </c>
      <c r="D3097" s="104">
        <f t="shared" si="47"/>
        <v>6.88E-2</v>
      </c>
      <c r="F3097" s="5"/>
    </row>
    <row r="3098" spans="2:6" ht="13.8" hidden="1" outlineLevel="1">
      <c r="B3098" s="187">
        <v>26942</v>
      </c>
      <c r="C3098" s="188">
        <v>6.86</v>
      </c>
      <c r="D3098" s="104">
        <f t="shared" si="47"/>
        <v>6.8600000000000008E-2</v>
      </c>
      <c r="F3098" s="5"/>
    </row>
    <row r="3099" spans="2:6" ht="13.8" hidden="1" outlineLevel="1">
      <c r="B3099" s="187">
        <v>26945</v>
      </c>
      <c r="C3099" s="188" t="s">
        <v>380</v>
      </c>
      <c r="D3099" s="104">
        <f t="shared" si="47"/>
        <v>6.8600000000000008E-2</v>
      </c>
      <c r="F3099" s="5"/>
    </row>
    <row r="3100" spans="2:6" ht="13.8" hidden="1" outlineLevel="1">
      <c r="B3100" s="187">
        <v>26946</v>
      </c>
      <c r="C3100" s="188">
        <v>6.78</v>
      </c>
      <c r="D3100" s="104">
        <f t="shared" si="47"/>
        <v>6.7799999999999999E-2</v>
      </c>
      <c r="F3100" s="5"/>
    </row>
    <row r="3101" spans="2:6" ht="13.8" hidden="1" outlineLevel="1">
      <c r="B3101" s="187">
        <v>26947</v>
      </c>
      <c r="C3101" s="188">
        <v>6.77</v>
      </c>
      <c r="D3101" s="104">
        <f t="shared" si="47"/>
        <v>6.7699999999999996E-2</v>
      </c>
      <c r="F3101" s="5"/>
    </row>
    <row r="3102" spans="2:6" ht="13.8" hidden="1" outlineLevel="1">
      <c r="B3102" s="187">
        <v>26948</v>
      </c>
      <c r="C3102" s="188">
        <v>6.78</v>
      </c>
      <c r="D3102" s="104">
        <f t="shared" ref="D3102:D3165" si="48">IF( LEN( C3102 ) = 0, #N/A, IF( C3102 = "ND", D3101, C3102 / 100 ) )</f>
        <v>6.7799999999999999E-2</v>
      </c>
      <c r="F3102" s="5"/>
    </row>
    <row r="3103" spans="2:6" ht="13.8" hidden="1" outlineLevel="1">
      <c r="B3103" s="187">
        <v>26949</v>
      </c>
      <c r="C3103" s="188">
        <v>6.75</v>
      </c>
      <c r="D3103" s="104">
        <f t="shared" si="48"/>
        <v>6.7500000000000004E-2</v>
      </c>
      <c r="F3103" s="5"/>
    </row>
    <row r="3104" spans="2:6" ht="13.8" hidden="1" outlineLevel="1">
      <c r="B3104" s="187">
        <v>26952</v>
      </c>
      <c r="C3104" s="188">
        <v>6.77</v>
      </c>
      <c r="D3104" s="104">
        <f t="shared" si="48"/>
        <v>6.7699999999999996E-2</v>
      </c>
      <c r="F3104" s="5"/>
    </row>
    <row r="3105" spans="2:6" ht="13.8" hidden="1" outlineLevel="1">
      <c r="B3105" s="187">
        <v>26953</v>
      </c>
      <c r="C3105" s="188">
        <v>6.81</v>
      </c>
      <c r="D3105" s="104">
        <f t="shared" si="48"/>
        <v>6.8099999999999994E-2</v>
      </c>
      <c r="F3105" s="5"/>
    </row>
    <row r="3106" spans="2:6" ht="13.8" hidden="1" outlineLevel="1">
      <c r="B3106" s="187">
        <v>26954</v>
      </c>
      <c r="C3106" s="188">
        <v>6.82</v>
      </c>
      <c r="D3106" s="104">
        <f t="shared" si="48"/>
        <v>6.8199999999999997E-2</v>
      </c>
      <c r="F3106" s="5"/>
    </row>
    <row r="3107" spans="2:6" ht="13.8" hidden="1" outlineLevel="1">
      <c r="B3107" s="187">
        <v>26955</v>
      </c>
      <c r="C3107" s="188">
        <v>6.81</v>
      </c>
      <c r="D3107" s="104">
        <f t="shared" si="48"/>
        <v>6.8099999999999994E-2</v>
      </c>
      <c r="F3107" s="5"/>
    </row>
    <row r="3108" spans="2:6" ht="13.8" hidden="1" outlineLevel="1">
      <c r="B3108" s="187">
        <v>26956</v>
      </c>
      <c r="C3108" s="188">
        <v>6.8</v>
      </c>
      <c r="D3108" s="104">
        <f t="shared" si="48"/>
        <v>6.8000000000000005E-2</v>
      </c>
      <c r="F3108" s="5"/>
    </row>
    <row r="3109" spans="2:6" ht="13.8" hidden="1" outlineLevel="1">
      <c r="B3109" s="187">
        <v>26959</v>
      </c>
      <c r="C3109" s="188" t="s">
        <v>380</v>
      </c>
      <c r="D3109" s="104">
        <f t="shared" si="48"/>
        <v>6.8000000000000005E-2</v>
      </c>
      <c r="F3109" s="5"/>
    </row>
    <row r="3110" spans="2:6" ht="13.8" hidden="1" outlineLevel="1">
      <c r="B3110" s="187">
        <v>26960</v>
      </c>
      <c r="C3110" s="188">
        <v>6.8</v>
      </c>
      <c r="D3110" s="104">
        <f t="shared" si="48"/>
        <v>6.8000000000000005E-2</v>
      </c>
      <c r="F3110" s="5"/>
    </row>
    <row r="3111" spans="2:6" ht="13.8" hidden="1" outlineLevel="1">
      <c r="B3111" s="187">
        <v>26961</v>
      </c>
      <c r="C3111" s="188">
        <v>6.75</v>
      </c>
      <c r="D3111" s="104">
        <f t="shared" si="48"/>
        <v>6.7500000000000004E-2</v>
      </c>
      <c r="F3111" s="5"/>
    </row>
    <row r="3112" spans="2:6" ht="13.8" hidden="1" outlineLevel="1">
      <c r="B3112" s="187">
        <v>26962</v>
      </c>
      <c r="C3112" s="188">
        <v>6.73</v>
      </c>
      <c r="D3112" s="104">
        <f t="shared" si="48"/>
        <v>6.7299999999999999E-2</v>
      </c>
      <c r="F3112" s="5"/>
    </row>
    <row r="3113" spans="2:6" ht="13.8" hidden="1" outlineLevel="1">
      <c r="B3113" s="187">
        <v>26963</v>
      </c>
      <c r="C3113" s="188">
        <v>6.72</v>
      </c>
      <c r="D3113" s="104">
        <f t="shared" si="48"/>
        <v>6.7199999999999996E-2</v>
      </c>
      <c r="F3113" s="5"/>
    </row>
    <row r="3114" spans="2:6" ht="13.8" hidden="1" outlineLevel="1">
      <c r="B3114" s="187">
        <v>26966</v>
      </c>
      <c r="C3114" s="188">
        <v>6.72</v>
      </c>
      <c r="D3114" s="104">
        <f t="shared" si="48"/>
        <v>6.7199999999999996E-2</v>
      </c>
      <c r="F3114" s="5"/>
    </row>
    <row r="3115" spans="2:6" ht="13.8" hidden="1" outlineLevel="1">
      <c r="B3115" s="187">
        <v>26967</v>
      </c>
      <c r="C3115" s="188">
        <v>6.72</v>
      </c>
      <c r="D3115" s="104">
        <f t="shared" si="48"/>
        <v>6.7199999999999996E-2</v>
      </c>
      <c r="F3115" s="5"/>
    </row>
    <row r="3116" spans="2:6" ht="13.8" hidden="1" outlineLevel="1">
      <c r="B3116" s="187">
        <v>26968</v>
      </c>
      <c r="C3116" s="188">
        <v>6.71</v>
      </c>
      <c r="D3116" s="104">
        <f t="shared" si="48"/>
        <v>6.7099999999999993E-2</v>
      </c>
      <c r="F3116" s="5"/>
    </row>
    <row r="3117" spans="2:6" ht="13.8" hidden="1" outlineLevel="1">
      <c r="B3117" s="187">
        <v>26969</v>
      </c>
      <c r="C3117" s="188">
        <v>6.71</v>
      </c>
      <c r="D3117" s="104">
        <f t="shared" si="48"/>
        <v>6.7099999999999993E-2</v>
      </c>
      <c r="F3117" s="5"/>
    </row>
    <row r="3118" spans="2:6" ht="13.8" hidden="1" outlineLevel="1">
      <c r="B3118" s="187">
        <v>26970</v>
      </c>
      <c r="C3118" s="188">
        <v>6.72</v>
      </c>
      <c r="D3118" s="104">
        <f t="shared" si="48"/>
        <v>6.7199999999999996E-2</v>
      </c>
      <c r="F3118" s="5"/>
    </row>
    <row r="3119" spans="2:6" ht="13.8" hidden="1" outlineLevel="1">
      <c r="B3119" s="187">
        <v>26973</v>
      </c>
      <c r="C3119" s="188">
        <v>6.74</v>
      </c>
      <c r="D3119" s="104">
        <f t="shared" si="48"/>
        <v>6.7400000000000002E-2</v>
      </c>
      <c r="F3119" s="5"/>
    </row>
    <row r="3120" spans="2:6" ht="13.8" hidden="1" outlineLevel="1">
      <c r="B3120" s="187">
        <v>26974</v>
      </c>
      <c r="C3120" s="188" t="s">
        <v>380</v>
      </c>
      <c r="D3120" s="104">
        <f t="shared" si="48"/>
        <v>6.7400000000000002E-2</v>
      </c>
      <c r="F3120" s="5"/>
    </row>
    <row r="3121" spans="2:6" ht="13.8" hidden="1" outlineLevel="1">
      <c r="B3121" s="187">
        <v>26975</v>
      </c>
      <c r="C3121" s="188">
        <v>6.76</v>
      </c>
      <c r="D3121" s="104">
        <f t="shared" si="48"/>
        <v>6.7599999999999993E-2</v>
      </c>
      <c r="F3121" s="5"/>
    </row>
    <row r="3122" spans="2:6" ht="13.8" hidden="1" outlineLevel="1">
      <c r="B3122" s="187">
        <v>26976</v>
      </c>
      <c r="C3122" s="188">
        <v>6.77</v>
      </c>
      <c r="D3122" s="104">
        <f t="shared" si="48"/>
        <v>6.7699999999999996E-2</v>
      </c>
      <c r="F3122" s="5"/>
    </row>
    <row r="3123" spans="2:6" ht="13.8" hidden="1" outlineLevel="1">
      <c r="B3123" s="187">
        <v>26977</v>
      </c>
      <c r="C3123" s="188">
        <v>6.76</v>
      </c>
      <c r="D3123" s="104">
        <f t="shared" si="48"/>
        <v>6.7599999999999993E-2</v>
      </c>
      <c r="F3123" s="5"/>
    </row>
    <row r="3124" spans="2:6" ht="13.8" hidden="1" outlineLevel="1">
      <c r="B3124" s="187">
        <v>26980</v>
      </c>
      <c r="C3124" s="188">
        <v>6.76</v>
      </c>
      <c r="D3124" s="104">
        <f t="shared" si="48"/>
        <v>6.7599999999999993E-2</v>
      </c>
      <c r="F3124" s="5"/>
    </row>
    <row r="3125" spans="2:6" ht="13.8" hidden="1" outlineLevel="1">
      <c r="B3125" s="187">
        <v>26981</v>
      </c>
      <c r="C3125" s="188">
        <v>6.76</v>
      </c>
      <c r="D3125" s="104">
        <f t="shared" si="48"/>
        <v>6.7599999999999993E-2</v>
      </c>
      <c r="F3125" s="5"/>
    </row>
    <row r="3126" spans="2:6" ht="13.8" hidden="1" outlineLevel="1">
      <c r="B3126" s="187">
        <v>26982</v>
      </c>
      <c r="C3126" s="188">
        <v>6.79</v>
      </c>
      <c r="D3126" s="104">
        <f t="shared" si="48"/>
        <v>6.7900000000000002E-2</v>
      </c>
      <c r="F3126" s="5"/>
    </row>
    <row r="3127" spans="2:6" ht="13.8" hidden="1" outlineLevel="1">
      <c r="B3127" s="187">
        <v>26983</v>
      </c>
      <c r="C3127" s="188">
        <v>6.76</v>
      </c>
      <c r="D3127" s="104">
        <f t="shared" si="48"/>
        <v>6.7599999999999993E-2</v>
      </c>
      <c r="F3127" s="5"/>
    </row>
    <row r="3128" spans="2:6" ht="13.8" hidden="1" outlineLevel="1">
      <c r="B3128" s="187">
        <v>26984</v>
      </c>
      <c r="C3128" s="188">
        <v>6.72</v>
      </c>
      <c r="D3128" s="104">
        <f t="shared" si="48"/>
        <v>6.7199999999999996E-2</v>
      </c>
      <c r="F3128" s="5"/>
    </row>
    <row r="3129" spans="2:6" ht="13.8" hidden="1" outlineLevel="1">
      <c r="B3129" s="187">
        <v>26987</v>
      </c>
      <c r="C3129" s="188">
        <v>6.71</v>
      </c>
      <c r="D3129" s="104">
        <f t="shared" si="48"/>
        <v>6.7099999999999993E-2</v>
      </c>
      <c r="F3129" s="5"/>
    </row>
    <row r="3130" spans="2:6" ht="13.8" hidden="1" outlineLevel="1">
      <c r="B3130" s="187">
        <v>26988</v>
      </c>
      <c r="C3130" s="188">
        <v>6.72</v>
      </c>
      <c r="D3130" s="104">
        <f t="shared" si="48"/>
        <v>6.7199999999999996E-2</v>
      </c>
      <c r="F3130" s="5"/>
    </row>
    <row r="3131" spans="2:6" ht="13.8" hidden="1" outlineLevel="1">
      <c r="B3131" s="187">
        <v>26989</v>
      </c>
      <c r="C3131" s="188">
        <v>6.71</v>
      </c>
      <c r="D3131" s="104">
        <f t="shared" si="48"/>
        <v>6.7099999999999993E-2</v>
      </c>
      <c r="F3131" s="5"/>
    </row>
    <row r="3132" spans="2:6" ht="13.8" hidden="1" outlineLevel="1">
      <c r="B3132" s="187">
        <v>26990</v>
      </c>
      <c r="C3132" s="188" t="s">
        <v>380</v>
      </c>
      <c r="D3132" s="104">
        <f t="shared" si="48"/>
        <v>6.7099999999999993E-2</v>
      </c>
      <c r="F3132" s="5"/>
    </row>
    <row r="3133" spans="2:6" ht="13.8" hidden="1" outlineLevel="1">
      <c r="B3133" s="187">
        <v>26991</v>
      </c>
      <c r="C3133" s="188">
        <v>6.7</v>
      </c>
      <c r="D3133" s="104">
        <f t="shared" si="48"/>
        <v>6.7000000000000004E-2</v>
      </c>
      <c r="F3133" s="5"/>
    </row>
    <row r="3134" spans="2:6" ht="13.8" hidden="1" outlineLevel="1">
      <c r="B3134" s="187">
        <v>26994</v>
      </c>
      <c r="C3134" s="188">
        <v>6.69</v>
      </c>
      <c r="D3134" s="104">
        <f t="shared" si="48"/>
        <v>6.6900000000000001E-2</v>
      </c>
      <c r="F3134" s="5"/>
    </row>
    <row r="3135" spans="2:6" ht="13.8" hidden="1" outlineLevel="1">
      <c r="B3135" s="187">
        <v>26995</v>
      </c>
      <c r="C3135" s="188">
        <v>6.7</v>
      </c>
      <c r="D3135" s="104">
        <f t="shared" si="48"/>
        <v>6.7000000000000004E-2</v>
      </c>
      <c r="F3135" s="5"/>
    </row>
    <row r="3136" spans="2:6" ht="13.8" hidden="1" outlineLevel="1">
      <c r="B3136" s="187">
        <v>26996</v>
      </c>
      <c r="C3136" s="188">
        <v>6.7</v>
      </c>
      <c r="D3136" s="104">
        <f t="shared" si="48"/>
        <v>6.7000000000000004E-2</v>
      </c>
      <c r="F3136" s="5"/>
    </row>
    <row r="3137" spans="2:6" ht="13.8" hidden="1" outlineLevel="1">
      <c r="B3137" s="187">
        <v>26997</v>
      </c>
      <c r="C3137" s="188">
        <v>6.7</v>
      </c>
      <c r="D3137" s="104">
        <f t="shared" si="48"/>
        <v>6.7000000000000004E-2</v>
      </c>
      <c r="F3137" s="5"/>
    </row>
    <row r="3138" spans="2:6" ht="13.8" hidden="1" outlineLevel="1">
      <c r="B3138" s="187">
        <v>26998</v>
      </c>
      <c r="C3138" s="188">
        <v>6.69</v>
      </c>
      <c r="D3138" s="104">
        <f t="shared" si="48"/>
        <v>6.6900000000000001E-2</v>
      </c>
      <c r="F3138" s="5"/>
    </row>
    <row r="3139" spans="2:6" ht="13.8" hidden="1" outlineLevel="1">
      <c r="B3139" s="187">
        <v>27001</v>
      </c>
      <c r="C3139" s="188">
        <v>6.69</v>
      </c>
      <c r="D3139" s="104">
        <f t="shared" si="48"/>
        <v>6.6900000000000001E-2</v>
      </c>
      <c r="F3139" s="5"/>
    </row>
    <row r="3140" spans="2:6" ht="13.8" hidden="1" outlineLevel="1">
      <c r="B3140" s="187">
        <v>27002</v>
      </c>
      <c r="C3140" s="188">
        <v>6.69</v>
      </c>
      <c r="D3140" s="104">
        <f t="shared" si="48"/>
        <v>6.6900000000000001E-2</v>
      </c>
      <c r="F3140" s="5"/>
    </row>
    <row r="3141" spans="2:6" ht="13.8" hidden="1" outlineLevel="1">
      <c r="B3141" s="187">
        <v>27003</v>
      </c>
      <c r="C3141" s="188">
        <v>6.72</v>
      </c>
      <c r="D3141" s="104">
        <f t="shared" si="48"/>
        <v>6.7199999999999996E-2</v>
      </c>
      <c r="F3141" s="5"/>
    </row>
    <row r="3142" spans="2:6" ht="13.8" hidden="1" outlineLevel="1">
      <c r="B3142" s="187">
        <v>27004</v>
      </c>
      <c r="C3142" s="188">
        <v>6.75</v>
      </c>
      <c r="D3142" s="104">
        <f t="shared" si="48"/>
        <v>6.7500000000000004E-2</v>
      </c>
      <c r="F3142" s="5"/>
    </row>
    <row r="3143" spans="2:6" ht="13.8" hidden="1" outlineLevel="1">
      <c r="B3143" s="187">
        <v>27005</v>
      </c>
      <c r="C3143" s="188">
        <v>6.74</v>
      </c>
      <c r="D3143" s="104">
        <f t="shared" si="48"/>
        <v>6.7400000000000002E-2</v>
      </c>
      <c r="F3143" s="5"/>
    </row>
    <row r="3144" spans="2:6" ht="13.8" hidden="1" outlineLevel="1">
      <c r="B3144" s="187">
        <v>27008</v>
      </c>
      <c r="C3144" s="188">
        <v>6.71</v>
      </c>
      <c r="D3144" s="104">
        <f t="shared" si="48"/>
        <v>6.7099999999999993E-2</v>
      </c>
      <c r="F3144" s="5"/>
    </row>
    <row r="3145" spans="2:6" ht="13.8" hidden="1" outlineLevel="1">
      <c r="B3145" s="187">
        <v>27009</v>
      </c>
      <c r="C3145" s="188">
        <v>6.69</v>
      </c>
      <c r="D3145" s="104">
        <f t="shared" si="48"/>
        <v>6.6900000000000001E-2</v>
      </c>
      <c r="F3145" s="5"/>
    </row>
    <row r="3146" spans="2:6" ht="13.8" hidden="1" outlineLevel="1">
      <c r="B3146" s="187">
        <v>27010</v>
      </c>
      <c r="C3146" s="188">
        <v>6.69</v>
      </c>
      <c r="D3146" s="104">
        <f t="shared" si="48"/>
        <v>6.6900000000000001E-2</v>
      </c>
      <c r="F3146" s="5"/>
    </row>
    <row r="3147" spans="2:6" ht="13.8" hidden="1" outlineLevel="1">
      <c r="B3147" s="187">
        <v>27011</v>
      </c>
      <c r="C3147" s="188">
        <v>6.68</v>
      </c>
      <c r="D3147" s="104">
        <f t="shared" si="48"/>
        <v>6.6799999999999998E-2</v>
      </c>
      <c r="F3147" s="5"/>
    </row>
    <row r="3148" spans="2:6" ht="13.8" hidden="1" outlineLevel="1">
      <c r="B3148" s="187">
        <v>27012</v>
      </c>
      <c r="C3148" s="188">
        <v>6.68</v>
      </c>
      <c r="D3148" s="104">
        <f t="shared" si="48"/>
        <v>6.6799999999999998E-2</v>
      </c>
      <c r="F3148" s="5"/>
    </row>
    <row r="3149" spans="2:6" ht="13.8" hidden="1" outlineLevel="1">
      <c r="B3149" s="187">
        <v>27015</v>
      </c>
      <c r="C3149" s="188">
        <v>6.67</v>
      </c>
      <c r="D3149" s="104">
        <f t="shared" si="48"/>
        <v>6.6699999999999995E-2</v>
      </c>
      <c r="F3149" s="5"/>
    </row>
    <row r="3150" spans="2:6" ht="13.8" hidden="1" outlineLevel="1">
      <c r="B3150" s="187">
        <v>27016</v>
      </c>
      <c r="C3150" s="188">
        <v>6.68</v>
      </c>
      <c r="D3150" s="104">
        <f t="shared" si="48"/>
        <v>6.6799999999999998E-2</v>
      </c>
      <c r="F3150" s="5"/>
    </row>
    <row r="3151" spans="2:6" ht="13.8" hidden="1" outlineLevel="1">
      <c r="B3151" s="187">
        <v>27017</v>
      </c>
      <c r="C3151" s="188">
        <v>6.71</v>
      </c>
      <c r="D3151" s="104">
        <f t="shared" si="48"/>
        <v>6.7099999999999993E-2</v>
      </c>
      <c r="F3151" s="5"/>
    </row>
    <row r="3152" spans="2:6" ht="13.8" hidden="1" outlineLevel="1">
      <c r="B3152" s="187">
        <v>27018</v>
      </c>
      <c r="C3152" s="188">
        <v>6.73</v>
      </c>
      <c r="D3152" s="104">
        <f t="shared" si="48"/>
        <v>6.7299999999999999E-2</v>
      </c>
      <c r="F3152" s="5"/>
    </row>
    <row r="3153" spans="2:6" ht="13.8" hidden="1" outlineLevel="1">
      <c r="B3153" s="187">
        <v>27019</v>
      </c>
      <c r="C3153" s="188">
        <v>6.78</v>
      </c>
      <c r="D3153" s="104">
        <f t="shared" si="48"/>
        <v>6.7799999999999999E-2</v>
      </c>
      <c r="F3153" s="5"/>
    </row>
    <row r="3154" spans="2:6" ht="13.8" hidden="1" outlineLevel="1">
      <c r="B3154" s="187">
        <v>27022</v>
      </c>
      <c r="C3154" s="188" t="s">
        <v>380</v>
      </c>
      <c r="D3154" s="104">
        <f t="shared" si="48"/>
        <v>6.7799999999999999E-2</v>
      </c>
      <c r="F3154" s="5"/>
    </row>
    <row r="3155" spans="2:6" ht="13.8" hidden="1" outlineLevel="1">
      <c r="B3155" s="187">
        <v>27023</v>
      </c>
      <c r="C3155" s="188" t="s">
        <v>380</v>
      </c>
      <c r="D3155" s="104">
        <f t="shared" si="48"/>
        <v>6.7799999999999999E-2</v>
      </c>
      <c r="F3155" s="5"/>
    </row>
    <row r="3156" spans="2:6" ht="13.8" hidden="1" outlineLevel="1">
      <c r="B3156" s="187">
        <v>27024</v>
      </c>
      <c r="C3156" s="188">
        <v>6.83</v>
      </c>
      <c r="D3156" s="104">
        <f t="shared" si="48"/>
        <v>6.83E-2</v>
      </c>
      <c r="F3156" s="5"/>
    </row>
    <row r="3157" spans="2:6" ht="13.8" hidden="1" outlineLevel="1">
      <c r="B3157" s="187">
        <v>27025</v>
      </c>
      <c r="C3157" s="188">
        <v>6.88</v>
      </c>
      <c r="D3157" s="104">
        <f t="shared" si="48"/>
        <v>6.88E-2</v>
      </c>
      <c r="F3157" s="5"/>
    </row>
    <row r="3158" spans="2:6" ht="13.8" hidden="1" outlineLevel="1">
      <c r="B3158" s="187">
        <v>27026</v>
      </c>
      <c r="C3158" s="188">
        <v>6.91</v>
      </c>
      <c r="D3158" s="104">
        <f t="shared" si="48"/>
        <v>6.9099999999999995E-2</v>
      </c>
      <c r="F3158" s="5"/>
    </row>
    <row r="3159" spans="2:6" ht="13.8" hidden="1" outlineLevel="1">
      <c r="B3159" s="187">
        <v>27029</v>
      </c>
      <c r="C3159" s="188">
        <v>6.9</v>
      </c>
      <c r="D3159" s="104">
        <f t="shared" si="48"/>
        <v>6.9000000000000006E-2</v>
      </c>
      <c r="F3159" s="5"/>
    </row>
    <row r="3160" spans="2:6" ht="13.8" hidden="1" outlineLevel="1">
      <c r="B3160" s="187">
        <v>27030</v>
      </c>
      <c r="C3160" s="188" t="s">
        <v>380</v>
      </c>
      <c r="D3160" s="104">
        <f t="shared" si="48"/>
        <v>6.9000000000000006E-2</v>
      </c>
      <c r="F3160" s="5"/>
    </row>
    <row r="3161" spans="2:6" ht="13.8" hidden="1" outlineLevel="1">
      <c r="B3161" s="187">
        <v>27031</v>
      </c>
      <c r="C3161" s="188">
        <v>6.94</v>
      </c>
      <c r="D3161" s="104">
        <f t="shared" si="48"/>
        <v>6.9400000000000003E-2</v>
      </c>
      <c r="F3161" s="5"/>
    </row>
    <row r="3162" spans="2:6" ht="13.8" hidden="1" outlineLevel="1">
      <c r="B3162" s="187">
        <v>27032</v>
      </c>
      <c r="C3162" s="188">
        <v>6.96</v>
      </c>
      <c r="D3162" s="104">
        <f t="shared" si="48"/>
        <v>6.9599999999999995E-2</v>
      </c>
      <c r="F3162" s="5"/>
    </row>
    <row r="3163" spans="2:6" ht="13.8" hidden="1" outlineLevel="1">
      <c r="B3163" s="187">
        <v>27033</v>
      </c>
      <c r="C3163" s="188">
        <v>6.94</v>
      </c>
      <c r="D3163" s="104">
        <f t="shared" si="48"/>
        <v>6.9400000000000003E-2</v>
      </c>
      <c r="F3163" s="5"/>
    </row>
    <row r="3164" spans="2:6" ht="13.8" hidden="1" outlineLevel="1">
      <c r="B3164" s="187">
        <v>27036</v>
      </c>
      <c r="C3164" s="188">
        <v>6.96</v>
      </c>
      <c r="D3164" s="104">
        <f t="shared" si="48"/>
        <v>6.9599999999999995E-2</v>
      </c>
      <c r="F3164" s="5"/>
    </row>
    <row r="3165" spans="2:6" ht="13.8" hidden="1" outlineLevel="1">
      <c r="B3165" s="187">
        <v>27037</v>
      </c>
      <c r="C3165" s="188">
        <v>6.96</v>
      </c>
      <c r="D3165" s="104">
        <f t="shared" si="48"/>
        <v>6.9599999999999995E-2</v>
      </c>
      <c r="F3165" s="5"/>
    </row>
    <row r="3166" spans="2:6" ht="13.8" hidden="1" outlineLevel="1">
      <c r="B3166" s="187">
        <v>27038</v>
      </c>
      <c r="C3166" s="188">
        <v>6.96</v>
      </c>
      <c r="D3166" s="104">
        <f t="shared" ref="D3166:D3229" si="49">IF( LEN( C3166 ) = 0, #N/A, IF( C3166 = "ND", D3165, C3166 / 100 ) )</f>
        <v>6.9599999999999995E-2</v>
      </c>
      <c r="F3166" s="5"/>
    </row>
    <row r="3167" spans="2:6" ht="13.8" hidden="1" outlineLevel="1">
      <c r="B3167" s="187">
        <v>27039</v>
      </c>
      <c r="C3167" s="188">
        <v>7</v>
      </c>
      <c r="D3167" s="104">
        <f t="shared" si="49"/>
        <v>7.0000000000000007E-2</v>
      </c>
      <c r="F3167" s="5"/>
    </row>
    <row r="3168" spans="2:6" ht="13.8" hidden="1" outlineLevel="1">
      <c r="B3168" s="187">
        <v>27040</v>
      </c>
      <c r="C3168" s="188">
        <v>7.01</v>
      </c>
      <c r="D3168" s="104">
        <f t="shared" si="49"/>
        <v>7.0099999999999996E-2</v>
      </c>
      <c r="F3168" s="5"/>
    </row>
    <row r="3169" spans="2:6" ht="13.8" hidden="1" outlineLevel="1">
      <c r="B3169" s="187">
        <v>27043</v>
      </c>
      <c r="C3169" s="188">
        <v>7.01</v>
      </c>
      <c r="D3169" s="104">
        <f t="shared" si="49"/>
        <v>7.0099999999999996E-2</v>
      </c>
      <c r="F3169" s="5"/>
    </row>
    <row r="3170" spans="2:6" ht="13.8" hidden="1" outlineLevel="1">
      <c r="B3170" s="187">
        <v>27044</v>
      </c>
      <c r="C3170" s="188">
        <v>6.99</v>
      </c>
      <c r="D3170" s="104">
        <f t="shared" si="49"/>
        <v>6.9900000000000004E-2</v>
      </c>
      <c r="F3170" s="5"/>
    </row>
    <row r="3171" spans="2:6" ht="13.8" hidden="1" outlineLevel="1">
      <c r="B3171" s="187">
        <v>27045</v>
      </c>
      <c r="C3171" s="188">
        <v>6.99</v>
      </c>
      <c r="D3171" s="104">
        <f t="shared" si="49"/>
        <v>6.9900000000000004E-2</v>
      </c>
      <c r="F3171" s="5"/>
    </row>
    <row r="3172" spans="2:6" ht="13.8" hidden="1" outlineLevel="1">
      <c r="B3172" s="187">
        <v>27046</v>
      </c>
      <c r="C3172" s="188">
        <v>6.97</v>
      </c>
      <c r="D3172" s="104">
        <f t="shared" si="49"/>
        <v>6.9699999999999998E-2</v>
      </c>
      <c r="F3172" s="5"/>
    </row>
    <row r="3173" spans="2:6" ht="13.8" hidden="1" outlineLevel="1">
      <c r="B3173" s="187">
        <v>27047</v>
      </c>
      <c r="C3173" s="188">
        <v>6.98</v>
      </c>
      <c r="D3173" s="104">
        <f t="shared" si="49"/>
        <v>6.9800000000000001E-2</v>
      </c>
      <c r="F3173" s="5"/>
    </row>
    <row r="3174" spans="2:6" ht="13.8" hidden="1" outlineLevel="1">
      <c r="B3174" s="187">
        <v>27050</v>
      </c>
      <c r="C3174" s="188">
        <v>6.99</v>
      </c>
      <c r="D3174" s="104">
        <f t="shared" si="49"/>
        <v>6.9900000000000004E-2</v>
      </c>
      <c r="F3174" s="5"/>
    </row>
    <row r="3175" spans="2:6" ht="13.8" hidden="1" outlineLevel="1">
      <c r="B3175" s="187">
        <v>27051</v>
      </c>
      <c r="C3175" s="188">
        <v>7</v>
      </c>
      <c r="D3175" s="104">
        <f t="shared" si="49"/>
        <v>7.0000000000000007E-2</v>
      </c>
      <c r="F3175" s="5"/>
    </row>
    <row r="3176" spans="2:6" ht="13.8" hidden="1" outlineLevel="1">
      <c r="B3176" s="187">
        <v>27052</v>
      </c>
      <c r="C3176" s="188">
        <v>7.01</v>
      </c>
      <c r="D3176" s="104">
        <f t="shared" si="49"/>
        <v>7.0099999999999996E-2</v>
      </c>
      <c r="F3176" s="5"/>
    </row>
    <row r="3177" spans="2:6" ht="13.8" hidden="1" outlineLevel="1">
      <c r="B3177" s="187">
        <v>27053</v>
      </c>
      <c r="C3177" s="188">
        <v>7.02</v>
      </c>
      <c r="D3177" s="104">
        <f t="shared" si="49"/>
        <v>7.0199999999999999E-2</v>
      </c>
      <c r="F3177" s="5"/>
    </row>
    <row r="3178" spans="2:6" ht="13.8" hidden="1" outlineLevel="1">
      <c r="B3178" s="187">
        <v>27054</v>
      </c>
      <c r="C3178" s="188">
        <v>7.02</v>
      </c>
      <c r="D3178" s="104">
        <f t="shared" si="49"/>
        <v>7.0199999999999999E-2</v>
      </c>
      <c r="F3178" s="5"/>
    </row>
    <row r="3179" spans="2:6" ht="13.8" hidden="1" outlineLevel="1">
      <c r="B3179" s="187">
        <v>27057</v>
      </c>
      <c r="C3179" s="188">
        <v>7.01</v>
      </c>
      <c r="D3179" s="104">
        <f t="shared" si="49"/>
        <v>7.0099999999999996E-2</v>
      </c>
      <c r="F3179" s="5"/>
    </row>
    <row r="3180" spans="2:6" ht="13.8" hidden="1" outlineLevel="1">
      <c r="B3180" s="187">
        <v>27058</v>
      </c>
      <c r="C3180" s="188">
        <v>7.02</v>
      </c>
      <c r="D3180" s="104">
        <f t="shared" si="49"/>
        <v>7.0199999999999999E-2</v>
      </c>
      <c r="F3180" s="5"/>
    </row>
    <row r="3181" spans="2:6" ht="13.8" hidden="1" outlineLevel="1">
      <c r="B3181" s="187">
        <v>27059</v>
      </c>
      <c r="C3181" s="188">
        <v>7.01</v>
      </c>
      <c r="D3181" s="104">
        <f t="shared" si="49"/>
        <v>7.0099999999999996E-2</v>
      </c>
      <c r="F3181" s="5"/>
    </row>
    <row r="3182" spans="2:6" ht="13.8" hidden="1" outlineLevel="1">
      <c r="B3182" s="187">
        <v>27060</v>
      </c>
      <c r="C3182" s="188">
        <v>7</v>
      </c>
      <c r="D3182" s="104">
        <f t="shared" si="49"/>
        <v>7.0000000000000007E-2</v>
      </c>
      <c r="F3182" s="5"/>
    </row>
    <row r="3183" spans="2:6" ht="13.8" hidden="1" outlineLevel="1">
      <c r="B3183" s="187">
        <v>27061</v>
      </c>
      <c r="C3183" s="188">
        <v>7</v>
      </c>
      <c r="D3183" s="104">
        <f t="shared" si="49"/>
        <v>7.0000000000000007E-2</v>
      </c>
      <c r="F3183" s="5"/>
    </row>
    <row r="3184" spans="2:6" ht="13.8" hidden="1" outlineLevel="1">
      <c r="B3184" s="187">
        <v>27064</v>
      </c>
      <c r="C3184" s="188">
        <v>6.98</v>
      </c>
      <c r="D3184" s="104">
        <f t="shared" si="49"/>
        <v>6.9800000000000001E-2</v>
      </c>
      <c r="F3184" s="5"/>
    </row>
    <row r="3185" spans="2:6" ht="13.8" hidden="1" outlineLevel="1">
      <c r="B3185" s="187">
        <v>27065</v>
      </c>
      <c r="C3185" s="188">
        <v>6.95</v>
      </c>
      <c r="D3185" s="104">
        <f t="shared" si="49"/>
        <v>6.9500000000000006E-2</v>
      </c>
      <c r="F3185" s="5"/>
    </row>
    <row r="3186" spans="2:6" ht="13.8" hidden="1" outlineLevel="1">
      <c r="B3186" s="187">
        <v>27066</v>
      </c>
      <c r="C3186" s="188">
        <v>6.93</v>
      </c>
      <c r="D3186" s="104">
        <f t="shared" si="49"/>
        <v>6.93E-2</v>
      </c>
      <c r="F3186" s="5"/>
    </row>
    <row r="3187" spans="2:6" ht="13.8" hidden="1" outlineLevel="1">
      <c r="B3187" s="187">
        <v>27067</v>
      </c>
      <c r="C3187" s="188">
        <v>6.93</v>
      </c>
      <c r="D3187" s="104">
        <f t="shared" si="49"/>
        <v>6.93E-2</v>
      </c>
      <c r="F3187" s="5"/>
    </row>
    <row r="3188" spans="2:6" ht="13.8" hidden="1" outlineLevel="1">
      <c r="B3188" s="187">
        <v>27068</v>
      </c>
      <c r="C3188" s="188">
        <v>6.93</v>
      </c>
      <c r="D3188" s="104">
        <f t="shared" si="49"/>
        <v>6.93E-2</v>
      </c>
      <c r="F3188" s="5"/>
    </row>
    <row r="3189" spans="2:6" ht="13.8" hidden="1" outlineLevel="1">
      <c r="B3189" s="187">
        <v>27071</v>
      </c>
      <c r="C3189" s="188">
        <v>6.93</v>
      </c>
      <c r="D3189" s="104">
        <f t="shared" si="49"/>
        <v>6.93E-2</v>
      </c>
      <c r="F3189" s="5"/>
    </row>
    <row r="3190" spans="2:6" ht="13.8" hidden="1" outlineLevel="1">
      <c r="B3190" s="187">
        <v>27072</v>
      </c>
      <c r="C3190" s="188" t="s">
        <v>380</v>
      </c>
      <c r="D3190" s="104">
        <f t="shared" si="49"/>
        <v>6.93E-2</v>
      </c>
      <c r="F3190" s="5"/>
    </row>
    <row r="3191" spans="2:6" ht="13.8" hidden="1" outlineLevel="1">
      <c r="B3191" s="187">
        <v>27073</v>
      </c>
      <c r="C3191" s="188">
        <v>6.93</v>
      </c>
      <c r="D3191" s="104">
        <f t="shared" si="49"/>
        <v>6.93E-2</v>
      </c>
      <c r="F3191" s="5"/>
    </row>
    <row r="3192" spans="2:6" ht="13.8" hidden="1" outlineLevel="1">
      <c r="B3192" s="187">
        <v>27074</v>
      </c>
      <c r="C3192" s="188">
        <v>6.93</v>
      </c>
      <c r="D3192" s="104">
        <f t="shared" si="49"/>
        <v>6.93E-2</v>
      </c>
      <c r="F3192" s="5"/>
    </row>
    <row r="3193" spans="2:6" ht="13.8" hidden="1" outlineLevel="1">
      <c r="B3193" s="187">
        <v>27075</v>
      </c>
      <c r="C3193" s="188">
        <v>6.93</v>
      </c>
      <c r="D3193" s="104">
        <f t="shared" si="49"/>
        <v>6.93E-2</v>
      </c>
      <c r="F3193" s="5"/>
    </row>
    <row r="3194" spans="2:6" ht="13.8" hidden="1" outlineLevel="1">
      <c r="B3194" s="187">
        <v>27078</v>
      </c>
      <c r="C3194" s="188" t="s">
        <v>380</v>
      </c>
      <c r="D3194" s="104">
        <f t="shared" si="49"/>
        <v>6.93E-2</v>
      </c>
      <c r="F3194" s="5"/>
    </row>
    <row r="3195" spans="2:6" ht="13.8" hidden="1" outlineLevel="1">
      <c r="B3195" s="187">
        <v>27079</v>
      </c>
      <c r="C3195" s="188">
        <v>6.93</v>
      </c>
      <c r="D3195" s="104">
        <f t="shared" si="49"/>
        <v>6.93E-2</v>
      </c>
      <c r="F3195" s="5"/>
    </row>
    <row r="3196" spans="2:6" ht="13.8" hidden="1" outlineLevel="1">
      <c r="B3196" s="187">
        <v>27080</v>
      </c>
      <c r="C3196" s="188">
        <v>6.96</v>
      </c>
      <c r="D3196" s="104">
        <f t="shared" si="49"/>
        <v>6.9599999999999995E-2</v>
      </c>
      <c r="F3196" s="5"/>
    </row>
    <row r="3197" spans="2:6" ht="13.8" hidden="1" outlineLevel="1">
      <c r="B3197" s="187">
        <v>27081</v>
      </c>
      <c r="C3197" s="188">
        <v>6.98</v>
      </c>
      <c r="D3197" s="104">
        <f t="shared" si="49"/>
        <v>6.9800000000000001E-2</v>
      </c>
      <c r="F3197" s="5"/>
    </row>
    <row r="3198" spans="2:6" ht="13.8" hidden="1" outlineLevel="1">
      <c r="B3198" s="187">
        <v>27082</v>
      </c>
      <c r="C3198" s="188">
        <v>6.97</v>
      </c>
      <c r="D3198" s="104">
        <f t="shared" si="49"/>
        <v>6.9699999999999998E-2</v>
      </c>
      <c r="F3198" s="5"/>
    </row>
    <row r="3199" spans="2:6" ht="13.8" hidden="1" outlineLevel="1">
      <c r="B3199" s="187">
        <v>27085</v>
      </c>
      <c r="C3199" s="188">
        <v>6.96</v>
      </c>
      <c r="D3199" s="104">
        <f t="shared" si="49"/>
        <v>6.9599999999999995E-2</v>
      </c>
      <c r="F3199" s="5"/>
    </row>
    <row r="3200" spans="2:6" ht="13.8" hidden="1" outlineLevel="1">
      <c r="B3200" s="187">
        <v>27086</v>
      </c>
      <c r="C3200" s="188">
        <v>6.98</v>
      </c>
      <c r="D3200" s="104">
        <f t="shared" si="49"/>
        <v>6.9800000000000001E-2</v>
      </c>
      <c r="F3200" s="5"/>
    </row>
    <row r="3201" spans="2:6" ht="13.8" hidden="1" outlineLevel="1">
      <c r="B3201" s="187">
        <v>27087</v>
      </c>
      <c r="C3201" s="188">
        <v>7</v>
      </c>
      <c r="D3201" s="104">
        <f t="shared" si="49"/>
        <v>7.0000000000000007E-2</v>
      </c>
      <c r="F3201" s="5"/>
    </row>
    <row r="3202" spans="2:6" ht="13.8" hidden="1" outlineLevel="1">
      <c r="B3202" s="187">
        <v>27088</v>
      </c>
      <c r="C3202" s="188">
        <v>7.01</v>
      </c>
      <c r="D3202" s="104">
        <f t="shared" si="49"/>
        <v>7.0099999999999996E-2</v>
      </c>
      <c r="F3202" s="5"/>
    </row>
    <row r="3203" spans="2:6" ht="13.8" hidden="1" outlineLevel="1">
      <c r="B3203" s="187">
        <v>27089</v>
      </c>
      <c r="C3203" s="188">
        <v>7.08</v>
      </c>
      <c r="D3203" s="104">
        <f t="shared" si="49"/>
        <v>7.0800000000000002E-2</v>
      </c>
      <c r="F3203" s="5"/>
    </row>
    <row r="3204" spans="2:6" ht="13.8" hidden="1" outlineLevel="1">
      <c r="B3204" s="187">
        <v>27092</v>
      </c>
      <c r="C3204" s="188">
        <v>7.09</v>
      </c>
      <c r="D3204" s="104">
        <f t="shared" si="49"/>
        <v>7.0900000000000005E-2</v>
      </c>
      <c r="F3204" s="5"/>
    </row>
    <row r="3205" spans="2:6" ht="13.8" hidden="1" outlineLevel="1">
      <c r="B3205" s="187">
        <v>27093</v>
      </c>
      <c r="C3205" s="188">
        <v>7.1</v>
      </c>
      <c r="D3205" s="104">
        <f t="shared" si="49"/>
        <v>7.0999999999999994E-2</v>
      </c>
      <c r="F3205" s="5"/>
    </row>
    <row r="3206" spans="2:6" ht="13.8" hidden="1" outlineLevel="1">
      <c r="B3206" s="187">
        <v>27094</v>
      </c>
      <c r="C3206" s="188">
        <v>7.09</v>
      </c>
      <c r="D3206" s="104">
        <f t="shared" si="49"/>
        <v>7.0900000000000005E-2</v>
      </c>
      <c r="F3206" s="5"/>
    </row>
    <row r="3207" spans="2:6" ht="13.8" hidden="1" outlineLevel="1">
      <c r="B3207" s="187">
        <v>27095</v>
      </c>
      <c r="C3207" s="188">
        <v>7.06</v>
      </c>
      <c r="D3207" s="104">
        <f t="shared" si="49"/>
        <v>7.0599999999999996E-2</v>
      </c>
      <c r="F3207" s="5"/>
    </row>
    <row r="3208" spans="2:6" ht="13.8" hidden="1" outlineLevel="1">
      <c r="B3208" s="187">
        <v>27096</v>
      </c>
      <c r="C3208" s="188">
        <v>7.06</v>
      </c>
      <c r="D3208" s="104">
        <f t="shared" si="49"/>
        <v>7.0599999999999996E-2</v>
      </c>
      <c r="F3208" s="5"/>
    </row>
    <row r="3209" spans="2:6" ht="13.8" hidden="1" outlineLevel="1">
      <c r="B3209" s="187">
        <v>27099</v>
      </c>
      <c r="C3209" s="188">
        <v>7.08</v>
      </c>
      <c r="D3209" s="104">
        <f t="shared" si="49"/>
        <v>7.0800000000000002E-2</v>
      </c>
      <c r="F3209" s="5"/>
    </row>
    <row r="3210" spans="2:6" ht="13.8" hidden="1" outlineLevel="1">
      <c r="B3210" s="187">
        <v>27100</v>
      </c>
      <c r="C3210" s="188">
        <v>7.09</v>
      </c>
      <c r="D3210" s="104">
        <f t="shared" si="49"/>
        <v>7.0900000000000005E-2</v>
      </c>
      <c r="F3210" s="5"/>
    </row>
    <row r="3211" spans="2:6" ht="13.8" hidden="1" outlineLevel="1">
      <c r="B3211" s="187">
        <v>27101</v>
      </c>
      <c r="C3211" s="188">
        <v>7.13</v>
      </c>
      <c r="D3211" s="104">
        <f t="shared" si="49"/>
        <v>7.1300000000000002E-2</v>
      </c>
      <c r="F3211" s="5"/>
    </row>
    <row r="3212" spans="2:6" ht="13.8" hidden="1" outlineLevel="1">
      <c r="B3212" s="187">
        <v>27102</v>
      </c>
      <c r="C3212" s="188">
        <v>7.13</v>
      </c>
      <c r="D3212" s="104">
        <f t="shared" si="49"/>
        <v>7.1300000000000002E-2</v>
      </c>
      <c r="F3212" s="5"/>
    </row>
    <row r="3213" spans="2:6" ht="13.8" hidden="1" outlineLevel="1">
      <c r="B3213" s="187">
        <v>27103</v>
      </c>
      <c r="C3213" s="188">
        <v>7.18</v>
      </c>
      <c r="D3213" s="104">
        <f t="shared" si="49"/>
        <v>7.1800000000000003E-2</v>
      </c>
      <c r="F3213" s="5"/>
    </row>
    <row r="3214" spans="2:6" ht="13.8" hidden="1" outlineLevel="1">
      <c r="B3214" s="187">
        <v>27106</v>
      </c>
      <c r="C3214" s="188">
        <v>7.23</v>
      </c>
      <c r="D3214" s="104">
        <f t="shared" si="49"/>
        <v>7.2300000000000003E-2</v>
      </c>
      <c r="F3214" s="5"/>
    </row>
    <row r="3215" spans="2:6" ht="13.8" hidden="1" outlineLevel="1">
      <c r="B3215" s="187">
        <v>27107</v>
      </c>
      <c r="C3215" s="188">
        <v>7.24</v>
      </c>
      <c r="D3215" s="104">
        <f t="shared" si="49"/>
        <v>7.2400000000000006E-2</v>
      </c>
      <c r="F3215" s="5"/>
    </row>
    <row r="3216" spans="2:6" ht="13.8" hidden="1" outlineLevel="1">
      <c r="B3216" s="187">
        <v>27108</v>
      </c>
      <c r="C3216" s="188">
        <v>7.27</v>
      </c>
      <c r="D3216" s="104">
        <f t="shared" si="49"/>
        <v>7.2700000000000001E-2</v>
      </c>
      <c r="F3216" s="5"/>
    </row>
    <row r="3217" spans="2:6" ht="13.8" hidden="1" outlineLevel="1">
      <c r="B3217" s="187">
        <v>27109</v>
      </c>
      <c r="C3217" s="188">
        <v>7.3</v>
      </c>
      <c r="D3217" s="104">
        <f t="shared" si="49"/>
        <v>7.2999999999999995E-2</v>
      </c>
      <c r="F3217" s="5"/>
    </row>
    <row r="3218" spans="2:6" ht="13.8" hidden="1" outlineLevel="1">
      <c r="B3218" s="187">
        <v>27110</v>
      </c>
      <c r="C3218" s="188">
        <v>7.35</v>
      </c>
      <c r="D3218" s="104">
        <f t="shared" si="49"/>
        <v>7.3499999999999996E-2</v>
      </c>
      <c r="F3218" s="5"/>
    </row>
    <row r="3219" spans="2:6" ht="13.8" hidden="1" outlineLevel="1">
      <c r="B3219" s="187">
        <v>27113</v>
      </c>
      <c r="C3219" s="188">
        <v>7.39</v>
      </c>
      <c r="D3219" s="104">
        <f t="shared" si="49"/>
        <v>7.3899999999999993E-2</v>
      </c>
      <c r="F3219" s="5"/>
    </row>
    <row r="3220" spans="2:6" ht="13.8" hidden="1" outlineLevel="1">
      <c r="B3220" s="187">
        <v>27114</v>
      </c>
      <c r="C3220" s="188">
        <v>7.38</v>
      </c>
      <c r="D3220" s="104">
        <f t="shared" si="49"/>
        <v>7.3800000000000004E-2</v>
      </c>
      <c r="F3220" s="5"/>
    </row>
    <row r="3221" spans="2:6" ht="13.8" hidden="1" outlineLevel="1">
      <c r="B3221" s="187">
        <v>27115</v>
      </c>
      <c r="C3221" s="188">
        <v>7.35</v>
      </c>
      <c r="D3221" s="104">
        <f t="shared" si="49"/>
        <v>7.3499999999999996E-2</v>
      </c>
      <c r="F3221" s="5"/>
    </row>
    <row r="3222" spans="2:6" ht="13.8" hidden="1" outlineLevel="1">
      <c r="B3222" s="187">
        <v>27116</v>
      </c>
      <c r="C3222" s="188">
        <v>7.38</v>
      </c>
      <c r="D3222" s="104">
        <f t="shared" si="49"/>
        <v>7.3800000000000004E-2</v>
      </c>
      <c r="F3222" s="5"/>
    </row>
    <row r="3223" spans="2:6" ht="13.8" hidden="1" outlineLevel="1">
      <c r="B3223" s="187">
        <v>27117</v>
      </c>
      <c r="C3223" s="188">
        <v>7.41</v>
      </c>
      <c r="D3223" s="104">
        <f t="shared" si="49"/>
        <v>7.4099999999999999E-2</v>
      </c>
      <c r="F3223" s="5"/>
    </row>
    <row r="3224" spans="2:6" ht="13.8" hidden="1" outlineLevel="1">
      <c r="B3224" s="187">
        <v>27120</v>
      </c>
      <c r="C3224" s="188">
        <v>7.42</v>
      </c>
      <c r="D3224" s="104">
        <f t="shared" si="49"/>
        <v>7.4200000000000002E-2</v>
      </c>
      <c r="F3224" s="5"/>
    </row>
    <row r="3225" spans="2:6" ht="13.8" hidden="1" outlineLevel="1">
      <c r="B3225" s="187">
        <v>27121</v>
      </c>
      <c r="C3225" s="188">
        <v>7.43</v>
      </c>
      <c r="D3225" s="104">
        <f t="shared" si="49"/>
        <v>7.4299999999999991E-2</v>
      </c>
      <c r="F3225" s="5"/>
    </row>
    <row r="3226" spans="2:6" ht="13.8" hidden="1" outlineLevel="1">
      <c r="B3226" s="187">
        <v>27122</v>
      </c>
      <c r="C3226" s="188">
        <v>7.43</v>
      </c>
      <c r="D3226" s="104">
        <f t="shared" si="49"/>
        <v>7.4299999999999991E-2</v>
      </c>
      <c r="F3226" s="5"/>
    </row>
    <row r="3227" spans="2:6" ht="13.8" hidden="1" outlineLevel="1">
      <c r="B3227" s="187">
        <v>27123</v>
      </c>
      <c r="C3227" s="188">
        <v>7.51</v>
      </c>
      <c r="D3227" s="104">
        <f t="shared" si="49"/>
        <v>7.51E-2</v>
      </c>
      <c r="F3227" s="5"/>
    </row>
    <row r="3228" spans="2:6" ht="13.8" hidden="1" outlineLevel="1">
      <c r="B3228" s="187">
        <v>27124</v>
      </c>
      <c r="C3228" s="188">
        <v>7.54</v>
      </c>
      <c r="D3228" s="104">
        <f t="shared" si="49"/>
        <v>7.5399999999999995E-2</v>
      </c>
      <c r="F3228" s="5"/>
    </row>
    <row r="3229" spans="2:6" ht="13.8" hidden="1" outlineLevel="1">
      <c r="B3229" s="187">
        <v>27127</v>
      </c>
      <c r="C3229" s="188">
        <v>7.5</v>
      </c>
      <c r="D3229" s="104">
        <f t="shared" si="49"/>
        <v>7.4999999999999997E-2</v>
      </c>
      <c r="F3229" s="5"/>
    </row>
    <row r="3230" spans="2:6" ht="13.8" hidden="1" outlineLevel="1">
      <c r="B3230" s="187">
        <v>27128</v>
      </c>
      <c r="C3230" s="188">
        <v>7.49</v>
      </c>
      <c r="D3230" s="104">
        <f t="shared" ref="D3230:D3293" si="50">IF( LEN( C3230 ) = 0, #N/A, IF( C3230 = "ND", D3229, C3230 / 100 ) )</f>
        <v>7.4900000000000008E-2</v>
      </c>
      <c r="F3230" s="5"/>
    </row>
    <row r="3231" spans="2:6" ht="13.8" hidden="1" outlineLevel="1">
      <c r="B3231" s="187">
        <v>27129</v>
      </c>
      <c r="C3231" s="188">
        <v>7.46</v>
      </c>
      <c r="D3231" s="104">
        <f t="shared" si="50"/>
        <v>7.46E-2</v>
      </c>
      <c r="F3231" s="5"/>
    </row>
    <row r="3232" spans="2:6" ht="13.8" hidden="1" outlineLevel="1">
      <c r="B3232" s="187">
        <v>27130</v>
      </c>
      <c r="C3232" s="188">
        <v>7.45</v>
      </c>
      <c r="D3232" s="104">
        <f t="shared" si="50"/>
        <v>7.4499999999999997E-2</v>
      </c>
      <c r="F3232" s="5"/>
    </row>
    <row r="3233" spans="2:6" ht="13.8" hidden="1" outlineLevel="1">
      <c r="B3233" s="187">
        <v>27131</v>
      </c>
      <c r="C3233" s="188" t="s">
        <v>380</v>
      </c>
      <c r="D3233" s="104">
        <f t="shared" si="50"/>
        <v>7.4499999999999997E-2</v>
      </c>
      <c r="F3233" s="5"/>
    </row>
    <row r="3234" spans="2:6" ht="13.8" hidden="1" outlineLevel="1">
      <c r="B3234" s="187">
        <v>27134</v>
      </c>
      <c r="C3234" s="188">
        <v>7.42</v>
      </c>
      <c r="D3234" s="104">
        <f t="shared" si="50"/>
        <v>7.4200000000000002E-2</v>
      </c>
      <c r="F3234" s="5"/>
    </row>
    <row r="3235" spans="2:6" ht="13.8" hidden="1" outlineLevel="1">
      <c r="B3235" s="187">
        <v>27135</v>
      </c>
      <c r="C3235" s="188">
        <v>7.43</v>
      </c>
      <c r="D3235" s="104">
        <f t="shared" si="50"/>
        <v>7.4299999999999991E-2</v>
      </c>
      <c r="F3235" s="5"/>
    </row>
    <row r="3236" spans="2:6" ht="13.8" hidden="1" outlineLevel="1">
      <c r="B3236" s="187">
        <v>27136</v>
      </c>
      <c r="C3236" s="188">
        <v>7.45</v>
      </c>
      <c r="D3236" s="104">
        <f t="shared" si="50"/>
        <v>7.4499999999999997E-2</v>
      </c>
      <c r="F3236" s="5"/>
    </row>
    <row r="3237" spans="2:6" ht="13.8" hidden="1" outlineLevel="1">
      <c r="B3237" s="187">
        <v>27137</v>
      </c>
      <c r="C3237" s="188">
        <v>7.5</v>
      </c>
      <c r="D3237" s="104">
        <f t="shared" si="50"/>
        <v>7.4999999999999997E-2</v>
      </c>
      <c r="F3237" s="5"/>
    </row>
    <row r="3238" spans="2:6" ht="13.8" hidden="1" outlineLevel="1">
      <c r="B3238" s="187">
        <v>27138</v>
      </c>
      <c r="C3238" s="188">
        <v>7.51</v>
      </c>
      <c r="D3238" s="104">
        <f t="shared" si="50"/>
        <v>7.51E-2</v>
      </c>
      <c r="F3238" s="5"/>
    </row>
    <row r="3239" spans="2:6" ht="13.8" hidden="1" outlineLevel="1">
      <c r="B3239" s="187">
        <v>27141</v>
      </c>
      <c r="C3239" s="188">
        <v>7.52</v>
      </c>
      <c r="D3239" s="104">
        <f t="shared" si="50"/>
        <v>7.5199999999999989E-2</v>
      </c>
      <c r="F3239" s="5"/>
    </row>
    <row r="3240" spans="2:6" ht="13.8" hidden="1" outlineLevel="1">
      <c r="B3240" s="187">
        <v>27142</v>
      </c>
      <c r="C3240" s="188">
        <v>7.54</v>
      </c>
      <c r="D3240" s="104">
        <f t="shared" si="50"/>
        <v>7.5399999999999995E-2</v>
      </c>
      <c r="F3240" s="5"/>
    </row>
    <row r="3241" spans="2:6" ht="13.8" hidden="1" outlineLevel="1">
      <c r="B3241" s="187">
        <v>27143</v>
      </c>
      <c r="C3241" s="188">
        <v>7.58</v>
      </c>
      <c r="D3241" s="104">
        <f t="shared" si="50"/>
        <v>7.5800000000000006E-2</v>
      </c>
      <c r="F3241" s="5"/>
    </row>
    <row r="3242" spans="2:6" ht="13.8" hidden="1" outlineLevel="1">
      <c r="B3242" s="187">
        <v>27144</v>
      </c>
      <c r="C3242" s="188">
        <v>7.63</v>
      </c>
      <c r="D3242" s="104">
        <f t="shared" si="50"/>
        <v>7.6299999999999993E-2</v>
      </c>
      <c r="F3242" s="5"/>
    </row>
    <row r="3243" spans="2:6" ht="13.8" hidden="1" outlineLevel="1">
      <c r="B3243" s="187">
        <v>27145</v>
      </c>
      <c r="C3243" s="188">
        <v>7.64</v>
      </c>
      <c r="D3243" s="104">
        <f t="shared" si="50"/>
        <v>7.6399999999999996E-2</v>
      </c>
      <c r="F3243" s="5"/>
    </row>
    <row r="3244" spans="2:6" ht="13.8" hidden="1" outlineLevel="1">
      <c r="B3244" s="187">
        <v>27148</v>
      </c>
      <c r="C3244" s="188">
        <v>7.65</v>
      </c>
      <c r="D3244" s="104">
        <f t="shared" si="50"/>
        <v>7.6499999999999999E-2</v>
      </c>
      <c r="F3244" s="5"/>
    </row>
    <row r="3245" spans="2:6" ht="13.8" hidden="1" outlineLevel="1">
      <c r="B3245" s="187">
        <v>27149</v>
      </c>
      <c r="C3245" s="188">
        <v>7.66</v>
      </c>
      <c r="D3245" s="104">
        <f t="shared" si="50"/>
        <v>7.6600000000000001E-2</v>
      </c>
      <c r="F3245" s="5"/>
    </row>
    <row r="3246" spans="2:6" ht="13.8" hidden="1" outlineLevel="1">
      <c r="B3246" s="187">
        <v>27150</v>
      </c>
      <c r="C3246" s="188">
        <v>7.62</v>
      </c>
      <c r="D3246" s="104">
        <f t="shared" si="50"/>
        <v>7.6200000000000004E-2</v>
      </c>
      <c r="F3246" s="5"/>
    </row>
    <row r="3247" spans="2:6" ht="13.8" hidden="1" outlineLevel="1">
      <c r="B3247" s="187">
        <v>27151</v>
      </c>
      <c r="C3247" s="188">
        <v>7.58</v>
      </c>
      <c r="D3247" s="104">
        <f t="shared" si="50"/>
        <v>7.5800000000000006E-2</v>
      </c>
      <c r="F3247" s="5"/>
    </row>
    <row r="3248" spans="2:6" ht="13.8" hidden="1" outlineLevel="1">
      <c r="B3248" s="187">
        <v>27152</v>
      </c>
      <c r="C3248" s="188">
        <v>7.65</v>
      </c>
      <c r="D3248" s="104">
        <f t="shared" si="50"/>
        <v>7.6499999999999999E-2</v>
      </c>
      <c r="F3248" s="5"/>
    </row>
    <row r="3249" spans="2:6" ht="13.8" hidden="1" outlineLevel="1">
      <c r="B3249" s="187">
        <v>27155</v>
      </c>
      <c r="C3249" s="188">
        <v>7.65</v>
      </c>
      <c r="D3249" s="104">
        <f t="shared" si="50"/>
        <v>7.6499999999999999E-2</v>
      </c>
      <c r="F3249" s="5"/>
    </row>
    <row r="3250" spans="2:6" ht="13.8" hidden="1" outlineLevel="1">
      <c r="B3250" s="187">
        <v>27156</v>
      </c>
      <c r="C3250" s="188">
        <v>7.65</v>
      </c>
      <c r="D3250" s="104">
        <f t="shared" si="50"/>
        <v>7.6499999999999999E-2</v>
      </c>
      <c r="F3250" s="5"/>
    </row>
    <row r="3251" spans="2:6" ht="13.8" hidden="1" outlineLevel="1">
      <c r="B3251" s="187">
        <v>27157</v>
      </c>
      <c r="C3251" s="188">
        <v>7.65</v>
      </c>
      <c r="D3251" s="104">
        <f t="shared" si="50"/>
        <v>7.6499999999999999E-2</v>
      </c>
      <c r="F3251" s="5"/>
    </row>
    <row r="3252" spans="2:6" ht="13.8" hidden="1" outlineLevel="1">
      <c r="B3252" s="187">
        <v>27158</v>
      </c>
      <c r="C3252" s="188">
        <v>7.7</v>
      </c>
      <c r="D3252" s="104">
        <f t="shared" si="50"/>
        <v>7.6999999999999999E-2</v>
      </c>
      <c r="F3252" s="5"/>
    </row>
    <row r="3253" spans="2:6" ht="13.8" hidden="1" outlineLevel="1">
      <c r="B3253" s="187">
        <v>27159</v>
      </c>
      <c r="C3253" s="188">
        <v>7.63</v>
      </c>
      <c r="D3253" s="104">
        <f t="shared" si="50"/>
        <v>7.6299999999999993E-2</v>
      </c>
      <c r="F3253" s="5"/>
    </row>
    <row r="3254" spans="2:6" ht="13.8" hidden="1" outlineLevel="1">
      <c r="B3254" s="187">
        <v>27162</v>
      </c>
      <c r="C3254" s="188">
        <v>7.54</v>
      </c>
      <c r="D3254" s="104">
        <f t="shared" si="50"/>
        <v>7.5399999999999995E-2</v>
      </c>
      <c r="F3254" s="5"/>
    </row>
    <row r="3255" spans="2:6" ht="13.8" hidden="1" outlineLevel="1">
      <c r="B3255" s="187">
        <v>27163</v>
      </c>
      <c r="C3255" s="188">
        <v>7.57</v>
      </c>
      <c r="D3255" s="104">
        <f t="shared" si="50"/>
        <v>7.5700000000000003E-2</v>
      </c>
      <c r="F3255" s="5"/>
    </row>
    <row r="3256" spans="2:6" ht="13.8" hidden="1" outlineLevel="1">
      <c r="B3256" s="187">
        <v>27164</v>
      </c>
      <c r="C3256" s="188">
        <v>7.55</v>
      </c>
      <c r="D3256" s="104">
        <f t="shared" si="50"/>
        <v>7.5499999999999998E-2</v>
      </c>
      <c r="F3256" s="5"/>
    </row>
    <row r="3257" spans="2:6" ht="13.8" hidden="1" outlineLevel="1">
      <c r="B3257" s="187">
        <v>27165</v>
      </c>
      <c r="C3257" s="188">
        <v>7.54</v>
      </c>
      <c r="D3257" s="104">
        <f t="shared" si="50"/>
        <v>7.5399999999999995E-2</v>
      </c>
      <c r="F3257" s="5"/>
    </row>
    <row r="3258" spans="2:6" ht="13.8" hidden="1" outlineLevel="1">
      <c r="B3258" s="187">
        <v>27166</v>
      </c>
      <c r="C3258" s="188">
        <v>7.57</v>
      </c>
      <c r="D3258" s="104">
        <f t="shared" si="50"/>
        <v>7.5700000000000003E-2</v>
      </c>
      <c r="F3258" s="5"/>
    </row>
    <row r="3259" spans="2:6" ht="13.8" hidden="1" outlineLevel="1">
      <c r="B3259" s="187">
        <v>27169</v>
      </c>
      <c r="C3259" s="188">
        <v>7.58</v>
      </c>
      <c r="D3259" s="104">
        <f t="shared" si="50"/>
        <v>7.5800000000000006E-2</v>
      </c>
      <c r="F3259" s="5"/>
    </row>
    <row r="3260" spans="2:6" ht="13.8" hidden="1" outlineLevel="1">
      <c r="B3260" s="187">
        <v>27170</v>
      </c>
      <c r="C3260" s="188">
        <v>7.57</v>
      </c>
      <c r="D3260" s="104">
        <f t="shared" si="50"/>
        <v>7.5700000000000003E-2</v>
      </c>
      <c r="F3260" s="5"/>
    </row>
    <row r="3261" spans="2:6" ht="13.8" hidden="1" outlineLevel="1">
      <c r="B3261" s="187">
        <v>27171</v>
      </c>
      <c r="C3261" s="188">
        <v>7.56</v>
      </c>
      <c r="D3261" s="104">
        <f t="shared" si="50"/>
        <v>7.5600000000000001E-2</v>
      </c>
      <c r="F3261" s="5"/>
    </row>
    <row r="3262" spans="2:6" ht="13.8" hidden="1" outlineLevel="1">
      <c r="B3262" s="187">
        <v>27172</v>
      </c>
      <c r="C3262" s="188">
        <v>7.52</v>
      </c>
      <c r="D3262" s="104">
        <f t="shared" si="50"/>
        <v>7.5199999999999989E-2</v>
      </c>
      <c r="F3262" s="5"/>
    </row>
    <row r="3263" spans="2:6" ht="13.8" hidden="1" outlineLevel="1">
      <c r="B3263" s="187">
        <v>27173</v>
      </c>
      <c r="C3263" s="188">
        <v>7.49</v>
      </c>
      <c r="D3263" s="104">
        <f t="shared" si="50"/>
        <v>7.4900000000000008E-2</v>
      </c>
      <c r="F3263" s="5"/>
    </row>
    <row r="3264" spans="2:6" ht="13.8" hidden="1" outlineLevel="1">
      <c r="B3264" s="187">
        <v>27176</v>
      </c>
      <c r="C3264" s="188" t="s">
        <v>380</v>
      </c>
      <c r="D3264" s="104">
        <f t="shared" si="50"/>
        <v>7.4900000000000008E-2</v>
      </c>
      <c r="F3264" s="5"/>
    </row>
    <row r="3265" spans="2:6" ht="13.8" hidden="1" outlineLevel="1">
      <c r="B3265" s="187">
        <v>27177</v>
      </c>
      <c r="C3265" s="188">
        <v>7.5</v>
      </c>
      <c r="D3265" s="104">
        <f t="shared" si="50"/>
        <v>7.4999999999999997E-2</v>
      </c>
      <c r="F3265" s="5"/>
    </row>
    <row r="3266" spans="2:6" ht="13.8" hidden="1" outlineLevel="1">
      <c r="B3266" s="187">
        <v>27178</v>
      </c>
      <c r="C3266" s="188">
        <v>7.52</v>
      </c>
      <c r="D3266" s="104">
        <f t="shared" si="50"/>
        <v>7.5199999999999989E-2</v>
      </c>
      <c r="F3266" s="5"/>
    </row>
    <row r="3267" spans="2:6" ht="13.8" hidden="1" outlineLevel="1">
      <c r="B3267" s="187">
        <v>27179</v>
      </c>
      <c r="C3267" s="188">
        <v>7.51</v>
      </c>
      <c r="D3267" s="104">
        <f t="shared" si="50"/>
        <v>7.51E-2</v>
      </c>
      <c r="F3267" s="5"/>
    </row>
    <row r="3268" spans="2:6" ht="13.8" hidden="1" outlineLevel="1">
      <c r="B3268" s="187">
        <v>27180</v>
      </c>
      <c r="C3268" s="188">
        <v>7.52</v>
      </c>
      <c r="D3268" s="104">
        <f t="shared" si="50"/>
        <v>7.5199999999999989E-2</v>
      </c>
      <c r="F3268" s="5"/>
    </row>
    <row r="3269" spans="2:6" ht="13.8" hidden="1" outlineLevel="1">
      <c r="B3269" s="187">
        <v>27183</v>
      </c>
      <c r="C3269" s="188">
        <v>7.53</v>
      </c>
      <c r="D3269" s="104">
        <f t="shared" si="50"/>
        <v>7.5300000000000006E-2</v>
      </c>
      <c r="F3269" s="5"/>
    </row>
    <row r="3270" spans="2:6" ht="13.8" hidden="1" outlineLevel="1">
      <c r="B3270" s="187">
        <v>27184</v>
      </c>
      <c r="C3270" s="188">
        <v>7.52</v>
      </c>
      <c r="D3270" s="104">
        <f t="shared" si="50"/>
        <v>7.5199999999999989E-2</v>
      </c>
      <c r="F3270" s="5"/>
    </row>
    <row r="3271" spans="2:6" ht="13.8" hidden="1" outlineLevel="1">
      <c r="B3271" s="187">
        <v>27185</v>
      </c>
      <c r="C3271" s="188">
        <v>7.52</v>
      </c>
      <c r="D3271" s="104">
        <f t="shared" si="50"/>
        <v>7.5199999999999989E-2</v>
      </c>
      <c r="F3271" s="5"/>
    </row>
    <row r="3272" spans="2:6" ht="13.8" hidden="1" outlineLevel="1">
      <c r="B3272" s="187">
        <v>27186</v>
      </c>
      <c r="C3272" s="188">
        <v>7.5</v>
      </c>
      <c r="D3272" s="104">
        <f t="shared" si="50"/>
        <v>7.4999999999999997E-2</v>
      </c>
      <c r="F3272" s="5"/>
    </row>
    <row r="3273" spans="2:6" ht="13.8" hidden="1" outlineLevel="1">
      <c r="B3273" s="187">
        <v>27187</v>
      </c>
      <c r="C3273" s="188">
        <v>7.46</v>
      </c>
      <c r="D3273" s="104">
        <f t="shared" si="50"/>
        <v>7.46E-2</v>
      </c>
      <c r="F3273" s="5"/>
    </row>
    <row r="3274" spans="2:6" ht="13.8" hidden="1" outlineLevel="1">
      <c r="B3274" s="187">
        <v>27190</v>
      </c>
      <c r="C3274" s="188">
        <v>7.47</v>
      </c>
      <c r="D3274" s="104">
        <f t="shared" si="50"/>
        <v>7.4700000000000003E-2</v>
      </c>
      <c r="F3274" s="5"/>
    </row>
    <row r="3275" spans="2:6" ht="13.8" hidden="1" outlineLevel="1">
      <c r="B3275" s="187">
        <v>27191</v>
      </c>
      <c r="C3275" s="188">
        <v>7.48</v>
      </c>
      <c r="D3275" s="104">
        <f t="shared" si="50"/>
        <v>7.4800000000000005E-2</v>
      </c>
      <c r="F3275" s="5"/>
    </row>
    <row r="3276" spans="2:6" ht="13.8" hidden="1" outlineLevel="1">
      <c r="B3276" s="187">
        <v>27192</v>
      </c>
      <c r="C3276" s="188">
        <v>7.5</v>
      </c>
      <c r="D3276" s="104">
        <f t="shared" si="50"/>
        <v>7.4999999999999997E-2</v>
      </c>
      <c r="F3276" s="5"/>
    </row>
    <row r="3277" spans="2:6" ht="13.8" hidden="1" outlineLevel="1">
      <c r="B3277" s="187">
        <v>27193</v>
      </c>
      <c r="C3277" s="188">
        <v>7.5</v>
      </c>
      <c r="D3277" s="104">
        <f t="shared" si="50"/>
        <v>7.4999999999999997E-2</v>
      </c>
      <c r="F3277" s="5"/>
    </row>
    <row r="3278" spans="2:6" ht="13.8" hidden="1" outlineLevel="1">
      <c r="B3278" s="187">
        <v>27194</v>
      </c>
      <c r="C3278" s="188">
        <v>7.5</v>
      </c>
      <c r="D3278" s="104">
        <f t="shared" si="50"/>
        <v>7.4999999999999997E-2</v>
      </c>
      <c r="F3278" s="5"/>
    </row>
    <row r="3279" spans="2:6" ht="13.8" hidden="1" outlineLevel="1">
      <c r="B3279" s="187">
        <v>27197</v>
      </c>
      <c r="C3279" s="188">
        <v>7.49</v>
      </c>
      <c r="D3279" s="104">
        <f t="shared" si="50"/>
        <v>7.4900000000000008E-2</v>
      </c>
      <c r="F3279" s="5"/>
    </row>
    <row r="3280" spans="2:6" ht="13.8" hidden="1" outlineLevel="1">
      <c r="B3280" s="187">
        <v>27198</v>
      </c>
      <c r="C3280" s="188">
        <v>7.52</v>
      </c>
      <c r="D3280" s="104">
        <f t="shared" si="50"/>
        <v>7.5199999999999989E-2</v>
      </c>
      <c r="F3280" s="5"/>
    </row>
    <row r="3281" spans="2:6" ht="13.8" hidden="1" outlineLevel="1">
      <c r="B3281" s="187">
        <v>27199</v>
      </c>
      <c r="C3281" s="188">
        <v>7.52</v>
      </c>
      <c r="D3281" s="104">
        <f t="shared" si="50"/>
        <v>7.5199999999999989E-2</v>
      </c>
      <c r="F3281" s="5"/>
    </row>
    <row r="3282" spans="2:6" ht="13.8" hidden="1" outlineLevel="1">
      <c r="B3282" s="187">
        <v>27200</v>
      </c>
      <c r="C3282" s="188">
        <v>7.55</v>
      </c>
      <c r="D3282" s="104">
        <f t="shared" si="50"/>
        <v>7.5499999999999998E-2</v>
      </c>
      <c r="F3282" s="5"/>
    </row>
    <row r="3283" spans="2:6" ht="13.8" hidden="1" outlineLevel="1">
      <c r="B3283" s="187">
        <v>27201</v>
      </c>
      <c r="C3283" s="188">
        <v>7.55</v>
      </c>
      <c r="D3283" s="104">
        <f t="shared" si="50"/>
        <v>7.5499999999999998E-2</v>
      </c>
      <c r="F3283" s="5"/>
    </row>
    <row r="3284" spans="2:6" ht="13.8" hidden="1" outlineLevel="1">
      <c r="B3284" s="187">
        <v>27204</v>
      </c>
      <c r="C3284" s="188">
        <v>7.58</v>
      </c>
      <c r="D3284" s="104">
        <f t="shared" si="50"/>
        <v>7.5800000000000006E-2</v>
      </c>
      <c r="F3284" s="5"/>
    </row>
    <row r="3285" spans="2:6" ht="13.8" hidden="1" outlineLevel="1">
      <c r="B3285" s="187">
        <v>27205</v>
      </c>
      <c r="C3285" s="188">
        <v>7.62</v>
      </c>
      <c r="D3285" s="104">
        <f t="shared" si="50"/>
        <v>7.6200000000000004E-2</v>
      </c>
      <c r="F3285" s="5"/>
    </row>
    <row r="3286" spans="2:6" ht="13.8" hidden="1" outlineLevel="1">
      <c r="B3286" s="187">
        <v>27206</v>
      </c>
      <c r="C3286" s="188">
        <v>7.62</v>
      </c>
      <c r="D3286" s="104">
        <f t="shared" si="50"/>
        <v>7.6200000000000004E-2</v>
      </c>
      <c r="F3286" s="5"/>
    </row>
    <row r="3287" spans="2:6" ht="13.8" hidden="1" outlineLevel="1">
      <c r="B3287" s="187">
        <v>27207</v>
      </c>
      <c r="C3287" s="188">
        <v>7.64</v>
      </c>
      <c r="D3287" s="104">
        <f t="shared" si="50"/>
        <v>7.6399999999999996E-2</v>
      </c>
      <c r="F3287" s="5"/>
    </row>
    <row r="3288" spans="2:6" ht="13.8" hidden="1" outlineLevel="1">
      <c r="B3288" s="187">
        <v>27208</v>
      </c>
      <c r="C3288" s="188">
        <v>7.64</v>
      </c>
      <c r="D3288" s="104">
        <f t="shared" si="50"/>
        <v>7.6399999999999996E-2</v>
      </c>
      <c r="F3288" s="5"/>
    </row>
    <row r="3289" spans="2:6" ht="13.8" hidden="1" outlineLevel="1">
      <c r="B3289" s="187">
        <v>27211</v>
      </c>
      <c r="C3289" s="188">
        <v>7.65</v>
      </c>
      <c r="D3289" s="104">
        <f t="shared" si="50"/>
        <v>7.6499999999999999E-2</v>
      </c>
      <c r="F3289" s="5"/>
    </row>
    <row r="3290" spans="2:6" ht="13.8" hidden="1" outlineLevel="1">
      <c r="B3290" s="187">
        <v>27212</v>
      </c>
      <c r="C3290" s="188">
        <v>7.65</v>
      </c>
      <c r="D3290" s="104">
        <f t="shared" si="50"/>
        <v>7.6499999999999999E-2</v>
      </c>
      <c r="F3290" s="5"/>
    </row>
    <row r="3291" spans="2:6" ht="13.8" hidden="1" outlineLevel="1">
      <c r="B3291" s="187">
        <v>27213</v>
      </c>
      <c r="C3291" s="188">
        <v>7.7</v>
      </c>
      <c r="D3291" s="104">
        <f t="shared" si="50"/>
        <v>7.6999999999999999E-2</v>
      </c>
      <c r="F3291" s="5"/>
    </row>
    <row r="3292" spans="2:6" ht="13.8" hidden="1" outlineLevel="1">
      <c r="B3292" s="187">
        <v>27214</v>
      </c>
      <c r="C3292" s="188" t="s">
        <v>380</v>
      </c>
      <c r="D3292" s="104">
        <f t="shared" si="50"/>
        <v>7.6999999999999999E-2</v>
      </c>
      <c r="F3292" s="5"/>
    </row>
    <row r="3293" spans="2:6" ht="13.8" hidden="1" outlineLevel="1">
      <c r="B3293" s="187">
        <v>27215</v>
      </c>
      <c r="C3293" s="188">
        <v>7.71</v>
      </c>
      <c r="D3293" s="104">
        <f t="shared" si="50"/>
        <v>7.7100000000000002E-2</v>
      </c>
      <c r="F3293" s="5"/>
    </row>
    <row r="3294" spans="2:6" ht="13.8" hidden="1" outlineLevel="1">
      <c r="B3294" s="187">
        <v>27218</v>
      </c>
      <c r="C3294" s="188">
        <v>7.77</v>
      </c>
      <c r="D3294" s="104">
        <f t="shared" ref="D3294:D3357" si="51">IF( LEN( C3294 ) = 0, #N/A, IF( C3294 = "ND", D3293, C3294 / 100 ) )</f>
        <v>7.7699999999999991E-2</v>
      </c>
      <c r="F3294" s="5"/>
    </row>
    <row r="3295" spans="2:6" ht="13.8" hidden="1" outlineLevel="1">
      <c r="B3295" s="187">
        <v>27219</v>
      </c>
      <c r="C3295" s="188">
        <v>7.81</v>
      </c>
      <c r="D3295" s="104">
        <f t="shared" si="51"/>
        <v>7.8100000000000003E-2</v>
      </c>
      <c r="F3295" s="5"/>
    </row>
    <row r="3296" spans="2:6" ht="13.8" hidden="1" outlineLevel="1">
      <c r="B3296" s="187">
        <v>27220</v>
      </c>
      <c r="C3296" s="188">
        <v>7.82</v>
      </c>
      <c r="D3296" s="104">
        <f t="shared" si="51"/>
        <v>7.8200000000000006E-2</v>
      </c>
      <c r="F3296" s="5"/>
    </row>
    <row r="3297" spans="2:6" ht="13.8" hidden="1" outlineLevel="1">
      <c r="B3297" s="187">
        <v>27221</v>
      </c>
      <c r="C3297" s="188">
        <v>7.84</v>
      </c>
      <c r="D3297" s="104">
        <f t="shared" si="51"/>
        <v>7.8399999999999997E-2</v>
      </c>
      <c r="F3297" s="5"/>
    </row>
    <row r="3298" spans="2:6" ht="13.8" hidden="1" outlineLevel="1">
      <c r="B3298" s="187">
        <v>27222</v>
      </c>
      <c r="C3298" s="188">
        <v>7.85</v>
      </c>
      <c r="D3298" s="104">
        <f t="shared" si="51"/>
        <v>7.85E-2</v>
      </c>
      <c r="F3298" s="5"/>
    </row>
    <row r="3299" spans="2:6" ht="13.8" hidden="1" outlineLevel="1">
      <c r="B3299" s="187">
        <v>27225</v>
      </c>
      <c r="C3299" s="188">
        <v>7.86</v>
      </c>
      <c r="D3299" s="104">
        <f t="shared" si="51"/>
        <v>7.8600000000000003E-2</v>
      </c>
      <c r="F3299" s="5"/>
    </row>
    <row r="3300" spans="2:6" ht="13.8" hidden="1" outlineLevel="1">
      <c r="B3300" s="187">
        <v>27226</v>
      </c>
      <c r="C3300" s="188">
        <v>7.88</v>
      </c>
      <c r="D3300" s="104">
        <f t="shared" si="51"/>
        <v>7.8799999999999995E-2</v>
      </c>
      <c r="F3300" s="5"/>
    </row>
    <row r="3301" spans="2:6" ht="13.8" hidden="1" outlineLevel="1">
      <c r="B3301" s="187">
        <v>27227</v>
      </c>
      <c r="C3301" s="188">
        <v>7.91</v>
      </c>
      <c r="D3301" s="104">
        <f t="shared" si="51"/>
        <v>7.9100000000000004E-2</v>
      </c>
      <c r="F3301" s="5"/>
    </row>
    <row r="3302" spans="2:6" ht="13.8" hidden="1" outlineLevel="1">
      <c r="B3302" s="187">
        <v>27228</v>
      </c>
      <c r="C3302" s="188">
        <v>7.9</v>
      </c>
      <c r="D3302" s="104">
        <f t="shared" si="51"/>
        <v>7.9000000000000001E-2</v>
      </c>
      <c r="F3302" s="5"/>
    </row>
    <row r="3303" spans="2:6" ht="13.8" hidden="1" outlineLevel="1">
      <c r="B3303" s="187">
        <v>27229</v>
      </c>
      <c r="C3303" s="188">
        <v>7.87</v>
      </c>
      <c r="D3303" s="104">
        <f t="shared" si="51"/>
        <v>7.8700000000000006E-2</v>
      </c>
      <c r="F3303" s="5"/>
    </row>
    <row r="3304" spans="2:6" ht="13.8" hidden="1" outlineLevel="1">
      <c r="B3304" s="187">
        <v>27232</v>
      </c>
      <c r="C3304" s="188">
        <v>7.77</v>
      </c>
      <c r="D3304" s="104">
        <f t="shared" si="51"/>
        <v>7.7699999999999991E-2</v>
      </c>
      <c r="F3304" s="5"/>
    </row>
    <row r="3305" spans="2:6" ht="13.8" hidden="1" outlineLevel="1">
      <c r="B3305" s="187">
        <v>27233</v>
      </c>
      <c r="C3305" s="188">
        <v>7.79</v>
      </c>
      <c r="D3305" s="104">
        <f t="shared" si="51"/>
        <v>7.7899999999999997E-2</v>
      </c>
      <c r="F3305" s="5"/>
    </row>
    <row r="3306" spans="2:6" ht="13.8" hidden="1" outlineLevel="1">
      <c r="B3306" s="187">
        <v>27234</v>
      </c>
      <c r="C3306" s="188">
        <v>7.76</v>
      </c>
      <c r="D3306" s="104">
        <f t="shared" si="51"/>
        <v>7.7600000000000002E-2</v>
      </c>
      <c r="F3306" s="5"/>
    </row>
    <row r="3307" spans="2:6" ht="13.8" hidden="1" outlineLevel="1">
      <c r="B3307" s="187">
        <v>27235</v>
      </c>
      <c r="C3307" s="188">
        <v>7.75</v>
      </c>
      <c r="D3307" s="104">
        <f t="shared" si="51"/>
        <v>7.7499999999999999E-2</v>
      </c>
      <c r="F3307" s="5"/>
    </row>
    <row r="3308" spans="2:6" ht="13.8" hidden="1" outlineLevel="1">
      <c r="B3308" s="187">
        <v>27236</v>
      </c>
      <c r="C3308" s="188">
        <v>7.79</v>
      </c>
      <c r="D3308" s="104">
        <f t="shared" si="51"/>
        <v>7.7899999999999997E-2</v>
      </c>
      <c r="F3308" s="5"/>
    </row>
    <row r="3309" spans="2:6" ht="13.8" hidden="1" outlineLevel="1">
      <c r="B3309" s="187">
        <v>27239</v>
      </c>
      <c r="C3309" s="188">
        <v>7.85</v>
      </c>
      <c r="D3309" s="104">
        <f t="shared" si="51"/>
        <v>7.85E-2</v>
      </c>
      <c r="F3309" s="5"/>
    </row>
    <row r="3310" spans="2:6" ht="13.8" hidden="1" outlineLevel="1">
      <c r="B3310" s="187">
        <v>27240</v>
      </c>
      <c r="C3310" s="188">
        <v>7.89</v>
      </c>
      <c r="D3310" s="104">
        <f t="shared" si="51"/>
        <v>7.8899999999999998E-2</v>
      </c>
      <c r="F3310" s="5"/>
    </row>
    <row r="3311" spans="2:6" ht="13.8" hidden="1" outlineLevel="1">
      <c r="B3311" s="187">
        <v>27241</v>
      </c>
      <c r="C3311" s="188">
        <v>7.89</v>
      </c>
      <c r="D3311" s="104">
        <f t="shared" si="51"/>
        <v>7.8899999999999998E-2</v>
      </c>
      <c r="F3311" s="5"/>
    </row>
    <row r="3312" spans="2:6" ht="13.8" hidden="1" outlineLevel="1">
      <c r="B3312" s="187">
        <v>27242</v>
      </c>
      <c r="C3312" s="188">
        <v>7.92</v>
      </c>
      <c r="D3312" s="104">
        <f t="shared" si="51"/>
        <v>7.9199999999999993E-2</v>
      </c>
      <c r="F3312" s="5"/>
    </row>
    <row r="3313" spans="2:6" ht="13.8" hidden="1" outlineLevel="1">
      <c r="B3313" s="187">
        <v>27243</v>
      </c>
      <c r="C3313" s="188">
        <v>7.96</v>
      </c>
      <c r="D3313" s="104">
        <f t="shared" si="51"/>
        <v>7.9600000000000004E-2</v>
      </c>
      <c r="F3313" s="5"/>
    </row>
    <row r="3314" spans="2:6" ht="13.8" hidden="1" outlineLevel="1">
      <c r="B3314" s="187">
        <v>27246</v>
      </c>
      <c r="C3314" s="188">
        <v>7.99</v>
      </c>
      <c r="D3314" s="104">
        <f t="shared" si="51"/>
        <v>7.9899999999999999E-2</v>
      </c>
      <c r="F3314" s="5"/>
    </row>
    <row r="3315" spans="2:6" ht="13.8" hidden="1" outlineLevel="1">
      <c r="B3315" s="187">
        <v>27247</v>
      </c>
      <c r="C3315" s="188">
        <v>7.97</v>
      </c>
      <c r="D3315" s="104">
        <f t="shared" si="51"/>
        <v>7.9699999999999993E-2</v>
      </c>
      <c r="F3315" s="5"/>
    </row>
    <row r="3316" spans="2:6" ht="13.8" hidden="1" outlineLevel="1">
      <c r="B3316" s="187">
        <v>27248</v>
      </c>
      <c r="C3316" s="188">
        <v>7.97</v>
      </c>
      <c r="D3316" s="104">
        <f t="shared" si="51"/>
        <v>7.9699999999999993E-2</v>
      </c>
      <c r="F3316" s="5"/>
    </row>
    <row r="3317" spans="2:6" ht="13.8" hidden="1" outlineLevel="1">
      <c r="B3317" s="187">
        <v>27249</v>
      </c>
      <c r="C3317" s="188">
        <v>7.97</v>
      </c>
      <c r="D3317" s="104">
        <f t="shared" si="51"/>
        <v>7.9699999999999993E-2</v>
      </c>
      <c r="F3317" s="5"/>
    </row>
    <row r="3318" spans="2:6" ht="13.8" hidden="1" outlineLevel="1">
      <c r="B3318" s="187">
        <v>27250</v>
      </c>
      <c r="C3318" s="188">
        <v>8.0299999999999994</v>
      </c>
      <c r="D3318" s="104">
        <f t="shared" si="51"/>
        <v>8.0299999999999996E-2</v>
      </c>
      <c r="F3318" s="5"/>
    </row>
    <row r="3319" spans="2:6" ht="13.8" hidden="1" outlineLevel="1">
      <c r="B3319" s="187">
        <v>27253</v>
      </c>
      <c r="C3319" s="188">
        <v>8.0500000000000007</v>
      </c>
      <c r="D3319" s="104">
        <f t="shared" si="51"/>
        <v>8.0500000000000002E-2</v>
      </c>
      <c r="F3319" s="5"/>
    </row>
    <row r="3320" spans="2:6" ht="13.8" hidden="1" outlineLevel="1">
      <c r="B3320" s="187">
        <v>27254</v>
      </c>
      <c r="C3320" s="188">
        <v>8.06</v>
      </c>
      <c r="D3320" s="104">
        <f t="shared" si="51"/>
        <v>8.0600000000000005E-2</v>
      </c>
      <c r="F3320" s="5"/>
    </row>
    <row r="3321" spans="2:6" ht="13.8" hidden="1" outlineLevel="1">
      <c r="B3321" s="187">
        <v>27255</v>
      </c>
      <c r="C3321" s="188">
        <v>8.0500000000000007</v>
      </c>
      <c r="D3321" s="104">
        <f t="shared" si="51"/>
        <v>8.0500000000000002E-2</v>
      </c>
      <c r="F3321" s="5"/>
    </row>
    <row r="3322" spans="2:6" ht="13.8" hidden="1" outlineLevel="1">
      <c r="B3322" s="187">
        <v>27256</v>
      </c>
      <c r="C3322" s="188">
        <v>8.02</v>
      </c>
      <c r="D3322" s="104">
        <f t="shared" si="51"/>
        <v>8.0199999999999994E-2</v>
      </c>
      <c r="F3322" s="5"/>
    </row>
    <row r="3323" spans="2:6" ht="13.8" hidden="1" outlineLevel="1">
      <c r="B3323" s="187">
        <v>27257</v>
      </c>
      <c r="C3323" s="188">
        <v>8</v>
      </c>
      <c r="D3323" s="104">
        <f t="shared" si="51"/>
        <v>0.08</v>
      </c>
      <c r="F3323" s="5"/>
    </row>
    <row r="3324" spans="2:6" ht="13.8" hidden="1" outlineLevel="1">
      <c r="B3324" s="187">
        <v>27260</v>
      </c>
      <c r="C3324" s="188">
        <v>7.98</v>
      </c>
      <c r="D3324" s="104">
        <f t="shared" si="51"/>
        <v>7.980000000000001E-2</v>
      </c>
      <c r="F3324" s="5"/>
    </row>
    <row r="3325" spans="2:6" ht="13.8" hidden="1" outlineLevel="1">
      <c r="B3325" s="187">
        <v>27261</v>
      </c>
      <c r="C3325" s="188">
        <v>7.99</v>
      </c>
      <c r="D3325" s="104">
        <f t="shared" si="51"/>
        <v>7.9899999999999999E-2</v>
      </c>
      <c r="F3325" s="5"/>
    </row>
    <row r="3326" spans="2:6" ht="13.8" hidden="1" outlineLevel="1">
      <c r="B3326" s="187">
        <v>27262</v>
      </c>
      <c r="C3326" s="188">
        <v>8.0500000000000007</v>
      </c>
      <c r="D3326" s="104">
        <f t="shared" si="51"/>
        <v>8.0500000000000002E-2</v>
      </c>
      <c r="F3326" s="5"/>
    </row>
    <row r="3327" spans="2:6" ht="13.8" hidden="1" outlineLevel="1">
      <c r="B3327" s="187">
        <v>27263</v>
      </c>
      <c r="C3327" s="188">
        <v>8.09</v>
      </c>
      <c r="D3327" s="104">
        <f t="shared" si="51"/>
        <v>8.09E-2</v>
      </c>
      <c r="F3327" s="5"/>
    </row>
    <row r="3328" spans="2:6" ht="13.8" hidden="1" outlineLevel="1">
      <c r="B3328" s="187">
        <v>27264</v>
      </c>
      <c r="C3328" s="188">
        <v>8.15</v>
      </c>
      <c r="D3328" s="104">
        <f t="shared" si="51"/>
        <v>8.1500000000000003E-2</v>
      </c>
      <c r="F3328" s="5"/>
    </row>
    <row r="3329" spans="2:6" ht="13.8" hidden="1" outlineLevel="1">
      <c r="B3329" s="187">
        <v>27267</v>
      </c>
      <c r="C3329" s="188">
        <v>8.16</v>
      </c>
      <c r="D3329" s="104">
        <f t="shared" si="51"/>
        <v>8.1600000000000006E-2</v>
      </c>
      <c r="F3329" s="5"/>
    </row>
    <row r="3330" spans="2:6" ht="13.8" hidden="1" outlineLevel="1">
      <c r="B3330" s="187">
        <v>27268</v>
      </c>
      <c r="C3330" s="188">
        <v>8.15</v>
      </c>
      <c r="D3330" s="104">
        <f t="shared" si="51"/>
        <v>8.1500000000000003E-2</v>
      </c>
      <c r="F3330" s="5"/>
    </row>
    <row r="3331" spans="2:6" ht="13.8" hidden="1" outlineLevel="1">
      <c r="B3331" s="187">
        <v>27269</v>
      </c>
      <c r="C3331" s="188">
        <v>8.15</v>
      </c>
      <c r="D3331" s="104">
        <f t="shared" si="51"/>
        <v>8.1500000000000003E-2</v>
      </c>
      <c r="F3331" s="5"/>
    </row>
    <row r="3332" spans="2:6" ht="13.8" hidden="1" outlineLevel="1">
      <c r="B3332" s="187">
        <v>27270</v>
      </c>
      <c r="C3332" s="188">
        <v>8.15</v>
      </c>
      <c r="D3332" s="104">
        <f t="shared" si="51"/>
        <v>8.1500000000000003E-2</v>
      </c>
      <c r="F3332" s="5"/>
    </row>
    <row r="3333" spans="2:6" ht="13.8" hidden="1" outlineLevel="1">
      <c r="B3333" s="187">
        <v>27271</v>
      </c>
      <c r="C3333" s="188">
        <v>8.11</v>
      </c>
      <c r="D3333" s="104">
        <f t="shared" si="51"/>
        <v>8.1099999999999992E-2</v>
      </c>
      <c r="F3333" s="5"/>
    </row>
    <row r="3334" spans="2:6" ht="13.8" hidden="1" outlineLevel="1">
      <c r="B3334" s="187">
        <v>27274</v>
      </c>
      <c r="C3334" s="188" t="s">
        <v>380</v>
      </c>
      <c r="D3334" s="104">
        <f t="shared" si="51"/>
        <v>8.1099999999999992E-2</v>
      </c>
      <c r="F3334" s="5"/>
    </row>
    <row r="3335" spans="2:6" ht="13.8" hidden="1" outlineLevel="1">
      <c r="B3335" s="187">
        <v>27275</v>
      </c>
      <c r="C3335" s="188">
        <v>8.11</v>
      </c>
      <c r="D3335" s="104">
        <f t="shared" si="51"/>
        <v>8.1099999999999992E-2</v>
      </c>
      <c r="F3335" s="5"/>
    </row>
    <row r="3336" spans="2:6" ht="13.8" hidden="1" outlineLevel="1">
      <c r="B3336" s="187">
        <v>27276</v>
      </c>
      <c r="C3336" s="188">
        <v>8.1199999999999992</v>
      </c>
      <c r="D3336" s="104">
        <f t="shared" si="51"/>
        <v>8.1199999999999994E-2</v>
      </c>
      <c r="F3336" s="5"/>
    </row>
    <row r="3337" spans="2:6" ht="13.8" hidden="1" outlineLevel="1">
      <c r="B3337" s="187">
        <v>27277</v>
      </c>
      <c r="C3337" s="188">
        <v>8.1</v>
      </c>
      <c r="D3337" s="104">
        <f t="shared" si="51"/>
        <v>8.1000000000000003E-2</v>
      </c>
      <c r="F3337" s="5"/>
    </row>
    <row r="3338" spans="2:6" ht="13.8" hidden="1" outlineLevel="1">
      <c r="B3338" s="187">
        <v>27278</v>
      </c>
      <c r="C3338" s="188">
        <v>8.09</v>
      </c>
      <c r="D3338" s="104">
        <f t="shared" si="51"/>
        <v>8.09E-2</v>
      </c>
      <c r="F3338" s="5"/>
    </row>
    <row r="3339" spans="2:6" ht="13.8" hidden="1" outlineLevel="1">
      <c r="B3339" s="187">
        <v>27281</v>
      </c>
      <c r="C3339" s="188">
        <v>8.02</v>
      </c>
      <c r="D3339" s="104">
        <f t="shared" si="51"/>
        <v>8.0199999999999994E-2</v>
      </c>
      <c r="F3339" s="5"/>
    </row>
    <row r="3340" spans="2:6" ht="13.8" hidden="1" outlineLevel="1">
      <c r="B3340" s="187">
        <v>27282</v>
      </c>
      <c r="C3340" s="188">
        <v>8.0399999999999991</v>
      </c>
      <c r="D3340" s="104">
        <f t="shared" si="51"/>
        <v>8.0399999999999985E-2</v>
      </c>
      <c r="F3340" s="5"/>
    </row>
    <row r="3341" spans="2:6" ht="13.8" hidden="1" outlineLevel="1">
      <c r="B3341" s="187">
        <v>27283</v>
      </c>
      <c r="C3341" s="188">
        <v>8.0500000000000007</v>
      </c>
      <c r="D3341" s="104">
        <f t="shared" si="51"/>
        <v>8.0500000000000002E-2</v>
      </c>
      <c r="F3341" s="5"/>
    </row>
    <row r="3342" spans="2:6" ht="13.8" hidden="1" outlineLevel="1">
      <c r="B3342" s="187">
        <v>27284</v>
      </c>
      <c r="C3342" s="188">
        <v>8.1300000000000008</v>
      </c>
      <c r="D3342" s="104">
        <f t="shared" si="51"/>
        <v>8.1300000000000011E-2</v>
      </c>
      <c r="F3342" s="5"/>
    </row>
    <row r="3343" spans="2:6" ht="13.8" hidden="1" outlineLevel="1">
      <c r="B3343" s="187">
        <v>27285</v>
      </c>
      <c r="C3343" s="188">
        <v>8.1300000000000008</v>
      </c>
      <c r="D3343" s="104">
        <f t="shared" si="51"/>
        <v>8.1300000000000011E-2</v>
      </c>
      <c r="F3343" s="5"/>
    </row>
    <row r="3344" spans="2:6" ht="13.8" hidden="1" outlineLevel="1">
      <c r="B3344" s="187">
        <v>27288</v>
      </c>
      <c r="C3344" s="188">
        <v>8.1</v>
      </c>
      <c r="D3344" s="104">
        <f t="shared" si="51"/>
        <v>8.1000000000000003E-2</v>
      </c>
      <c r="F3344" s="5"/>
    </row>
    <row r="3345" spans="2:6" ht="13.8" hidden="1" outlineLevel="1">
      <c r="B3345" s="187">
        <v>27289</v>
      </c>
      <c r="C3345" s="188">
        <v>8.09</v>
      </c>
      <c r="D3345" s="104">
        <f t="shared" si="51"/>
        <v>8.09E-2</v>
      </c>
      <c r="F3345" s="5"/>
    </row>
    <row r="3346" spans="2:6" ht="13.8" hidden="1" outlineLevel="1">
      <c r="B3346" s="187">
        <v>27290</v>
      </c>
      <c r="C3346" s="188">
        <v>8.08</v>
      </c>
      <c r="D3346" s="104">
        <f t="shared" si="51"/>
        <v>8.0799999999999997E-2</v>
      </c>
      <c r="F3346" s="5"/>
    </row>
    <row r="3347" spans="2:6" ht="13.8" hidden="1" outlineLevel="1">
      <c r="B3347" s="187">
        <v>27291</v>
      </c>
      <c r="C3347" s="188">
        <v>8.0399999999999991</v>
      </c>
      <c r="D3347" s="104">
        <f t="shared" si="51"/>
        <v>8.0399999999999985E-2</v>
      </c>
      <c r="F3347" s="5"/>
    </row>
    <row r="3348" spans="2:6" ht="13.8" hidden="1" outlineLevel="1">
      <c r="B3348" s="187">
        <v>27292</v>
      </c>
      <c r="C3348" s="188">
        <v>8.02</v>
      </c>
      <c r="D3348" s="104">
        <f t="shared" si="51"/>
        <v>8.0199999999999994E-2</v>
      </c>
      <c r="F3348" s="5"/>
    </row>
    <row r="3349" spans="2:6" ht="13.8" hidden="1" outlineLevel="1">
      <c r="B3349" s="187">
        <v>27295</v>
      </c>
      <c r="C3349" s="188">
        <v>7.91</v>
      </c>
      <c r="D3349" s="104">
        <f t="shared" si="51"/>
        <v>7.9100000000000004E-2</v>
      </c>
      <c r="F3349" s="5"/>
    </row>
    <row r="3350" spans="2:6" ht="13.8" hidden="1" outlineLevel="1">
      <c r="B3350" s="187">
        <v>27296</v>
      </c>
      <c r="C3350" s="188">
        <v>7.94</v>
      </c>
      <c r="D3350" s="104">
        <f t="shared" si="51"/>
        <v>7.9399999999999998E-2</v>
      </c>
      <c r="F3350" s="5"/>
    </row>
    <row r="3351" spans="2:6" ht="13.8" hidden="1" outlineLevel="1">
      <c r="B3351" s="187">
        <v>27297</v>
      </c>
      <c r="C3351" s="188">
        <v>7.94</v>
      </c>
      <c r="D3351" s="104">
        <f t="shared" si="51"/>
        <v>7.9399999999999998E-2</v>
      </c>
      <c r="F3351" s="5"/>
    </row>
    <row r="3352" spans="2:6" ht="13.8" hidden="1" outlineLevel="1">
      <c r="B3352" s="187">
        <v>27298</v>
      </c>
      <c r="C3352" s="188">
        <v>7.96</v>
      </c>
      <c r="D3352" s="104">
        <f t="shared" si="51"/>
        <v>7.9600000000000004E-2</v>
      </c>
      <c r="F3352" s="5"/>
    </row>
    <row r="3353" spans="2:6" ht="13.8" hidden="1" outlineLevel="1">
      <c r="B3353" s="187">
        <v>27299</v>
      </c>
      <c r="C3353" s="188">
        <v>7.94</v>
      </c>
      <c r="D3353" s="104">
        <f t="shared" si="51"/>
        <v>7.9399999999999998E-2</v>
      </c>
      <c r="F3353" s="5"/>
    </row>
    <row r="3354" spans="2:6" ht="13.8" hidden="1" outlineLevel="1">
      <c r="B3354" s="187">
        <v>27302</v>
      </c>
      <c r="C3354" s="188">
        <v>7.94</v>
      </c>
      <c r="D3354" s="104">
        <f t="shared" si="51"/>
        <v>7.9399999999999998E-2</v>
      </c>
      <c r="F3354" s="5"/>
    </row>
    <row r="3355" spans="2:6" ht="13.8" hidden="1" outlineLevel="1">
      <c r="B3355" s="187">
        <v>27303</v>
      </c>
      <c r="C3355" s="188">
        <v>7.97</v>
      </c>
      <c r="D3355" s="104">
        <f t="shared" si="51"/>
        <v>7.9699999999999993E-2</v>
      </c>
      <c r="F3355" s="5"/>
    </row>
    <row r="3356" spans="2:6" ht="13.8" hidden="1" outlineLevel="1">
      <c r="B3356" s="187">
        <v>27304</v>
      </c>
      <c r="C3356" s="188">
        <v>7.98</v>
      </c>
      <c r="D3356" s="104">
        <f t="shared" si="51"/>
        <v>7.980000000000001E-2</v>
      </c>
      <c r="F3356" s="5"/>
    </row>
    <row r="3357" spans="2:6" ht="13.8" hidden="1" outlineLevel="1">
      <c r="B3357" s="187">
        <v>27305</v>
      </c>
      <c r="C3357" s="188">
        <v>8.0399999999999991</v>
      </c>
      <c r="D3357" s="104">
        <f t="shared" si="51"/>
        <v>8.0399999999999985E-2</v>
      </c>
      <c r="F3357" s="5"/>
    </row>
    <row r="3358" spans="2:6" ht="13.8" hidden="1" outlineLevel="1">
      <c r="B3358" s="187">
        <v>27306</v>
      </c>
      <c r="C3358" s="188">
        <v>8.02</v>
      </c>
      <c r="D3358" s="104">
        <f t="shared" ref="D3358:D3421" si="52">IF( LEN( C3358 ) = 0, #N/A, IF( C3358 = "ND", D3357, C3358 / 100 ) )</f>
        <v>8.0199999999999994E-2</v>
      </c>
      <c r="F3358" s="5"/>
    </row>
    <row r="3359" spans="2:6" ht="13.8" hidden="1" outlineLevel="1">
      <c r="B3359" s="187">
        <v>27309</v>
      </c>
      <c r="C3359" s="188">
        <v>8.01</v>
      </c>
      <c r="D3359" s="104">
        <f t="shared" si="52"/>
        <v>8.0100000000000005E-2</v>
      </c>
      <c r="F3359" s="5"/>
    </row>
    <row r="3360" spans="2:6" ht="13.8" hidden="1" outlineLevel="1">
      <c r="B3360" s="187">
        <v>27310</v>
      </c>
      <c r="C3360" s="188">
        <v>7.95</v>
      </c>
      <c r="D3360" s="104">
        <f t="shared" si="52"/>
        <v>7.9500000000000001E-2</v>
      </c>
      <c r="F3360" s="5"/>
    </row>
    <row r="3361" spans="2:6" ht="13.8" hidden="1" outlineLevel="1">
      <c r="B3361" s="187">
        <v>27311</v>
      </c>
      <c r="C3361" s="188">
        <v>7.95</v>
      </c>
      <c r="D3361" s="104">
        <f t="shared" si="52"/>
        <v>7.9500000000000001E-2</v>
      </c>
      <c r="F3361" s="5"/>
    </row>
    <row r="3362" spans="2:6" ht="13.8" hidden="1" outlineLevel="1">
      <c r="B3362" s="187">
        <v>27312</v>
      </c>
      <c r="C3362" s="188">
        <v>7.93</v>
      </c>
      <c r="D3362" s="104">
        <f t="shared" si="52"/>
        <v>7.9299999999999995E-2</v>
      </c>
      <c r="F3362" s="5"/>
    </row>
    <row r="3363" spans="2:6" ht="13.8" hidden="1" outlineLevel="1">
      <c r="B3363" s="187">
        <v>27313</v>
      </c>
      <c r="C3363" s="188">
        <v>7.88</v>
      </c>
      <c r="D3363" s="104">
        <f t="shared" si="52"/>
        <v>7.8799999999999995E-2</v>
      </c>
      <c r="F3363" s="5"/>
    </row>
    <row r="3364" spans="2:6" ht="13.8" hidden="1" outlineLevel="1">
      <c r="B3364" s="187">
        <v>27316</v>
      </c>
      <c r="C3364" s="188" t="s">
        <v>380</v>
      </c>
      <c r="D3364" s="104">
        <f t="shared" si="52"/>
        <v>7.8799999999999995E-2</v>
      </c>
      <c r="F3364" s="5"/>
    </row>
    <row r="3365" spans="2:6" ht="13.8" hidden="1" outlineLevel="1">
      <c r="B3365" s="187">
        <v>27317</v>
      </c>
      <c r="C3365" s="188">
        <v>7.87</v>
      </c>
      <c r="D3365" s="104">
        <f t="shared" si="52"/>
        <v>7.8700000000000006E-2</v>
      </c>
      <c r="F3365" s="5"/>
    </row>
    <row r="3366" spans="2:6" ht="13.8" hidden="1" outlineLevel="1">
      <c r="B3366" s="187">
        <v>27318</v>
      </c>
      <c r="C3366" s="188">
        <v>7.87</v>
      </c>
      <c r="D3366" s="104">
        <f t="shared" si="52"/>
        <v>7.8700000000000006E-2</v>
      </c>
      <c r="F3366" s="5"/>
    </row>
    <row r="3367" spans="2:6" ht="13.8" hidden="1" outlineLevel="1">
      <c r="B3367" s="187">
        <v>27319</v>
      </c>
      <c r="C3367" s="188">
        <v>7.88</v>
      </c>
      <c r="D3367" s="104">
        <f t="shared" si="52"/>
        <v>7.8799999999999995E-2</v>
      </c>
      <c r="F3367" s="5"/>
    </row>
    <row r="3368" spans="2:6" ht="13.8" hidden="1" outlineLevel="1">
      <c r="B3368" s="187">
        <v>27320</v>
      </c>
      <c r="C3368" s="188">
        <v>7.86</v>
      </c>
      <c r="D3368" s="104">
        <f t="shared" si="52"/>
        <v>7.8600000000000003E-2</v>
      </c>
      <c r="F3368" s="5"/>
    </row>
    <row r="3369" spans="2:6" ht="13.8" hidden="1" outlineLevel="1">
      <c r="B3369" s="187">
        <v>27323</v>
      </c>
      <c r="C3369" s="188">
        <v>7.81</v>
      </c>
      <c r="D3369" s="104">
        <f t="shared" si="52"/>
        <v>7.8100000000000003E-2</v>
      </c>
      <c r="F3369" s="5"/>
    </row>
    <row r="3370" spans="2:6" ht="13.8" hidden="1" outlineLevel="1">
      <c r="B3370" s="187">
        <v>27324</v>
      </c>
      <c r="C3370" s="188">
        <v>7.81</v>
      </c>
      <c r="D3370" s="104">
        <f t="shared" si="52"/>
        <v>7.8100000000000003E-2</v>
      </c>
      <c r="F3370" s="5"/>
    </row>
    <row r="3371" spans="2:6" ht="13.8" hidden="1" outlineLevel="1">
      <c r="B3371" s="187">
        <v>27325</v>
      </c>
      <c r="C3371" s="188">
        <v>7.85</v>
      </c>
      <c r="D3371" s="104">
        <f t="shared" si="52"/>
        <v>7.85E-2</v>
      </c>
      <c r="F3371" s="5"/>
    </row>
    <row r="3372" spans="2:6" ht="13.8" hidden="1" outlineLevel="1">
      <c r="B3372" s="187">
        <v>27326</v>
      </c>
      <c r="C3372" s="188">
        <v>7.87</v>
      </c>
      <c r="D3372" s="104">
        <f t="shared" si="52"/>
        <v>7.8700000000000006E-2</v>
      </c>
      <c r="F3372" s="5"/>
    </row>
    <row r="3373" spans="2:6" ht="13.8" hidden="1" outlineLevel="1">
      <c r="B3373" s="187">
        <v>27327</v>
      </c>
      <c r="C3373" s="188">
        <v>7.86</v>
      </c>
      <c r="D3373" s="104">
        <f t="shared" si="52"/>
        <v>7.8600000000000003E-2</v>
      </c>
      <c r="F3373" s="5"/>
    </row>
    <row r="3374" spans="2:6" ht="13.8" hidden="1" outlineLevel="1">
      <c r="B3374" s="187">
        <v>27330</v>
      </c>
      <c r="C3374" s="188">
        <v>7.88</v>
      </c>
      <c r="D3374" s="104">
        <f t="shared" si="52"/>
        <v>7.8799999999999995E-2</v>
      </c>
      <c r="F3374" s="5"/>
    </row>
    <row r="3375" spans="2:6" ht="13.8" hidden="1" outlineLevel="1">
      <c r="B3375" s="187">
        <v>27331</v>
      </c>
      <c r="C3375" s="188">
        <v>7.84</v>
      </c>
      <c r="D3375" s="104">
        <f t="shared" si="52"/>
        <v>7.8399999999999997E-2</v>
      </c>
      <c r="F3375" s="5"/>
    </row>
    <row r="3376" spans="2:6" ht="13.8" hidden="1" outlineLevel="1">
      <c r="B3376" s="187">
        <v>27332</v>
      </c>
      <c r="C3376" s="188">
        <v>7.81</v>
      </c>
      <c r="D3376" s="104">
        <f t="shared" si="52"/>
        <v>7.8100000000000003E-2</v>
      </c>
      <c r="F3376" s="5"/>
    </row>
    <row r="3377" spans="2:6" ht="13.8" hidden="1" outlineLevel="1">
      <c r="B3377" s="187">
        <v>27333</v>
      </c>
      <c r="C3377" s="188">
        <v>7.79</v>
      </c>
      <c r="D3377" s="104">
        <f t="shared" si="52"/>
        <v>7.7899999999999997E-2</v>
      </c>
      <c r="F3377" s="5"/>
    </row>
    <row r="3378" spans="2:6" ht="13.8" hidden="1" outlineLevel="1">
      <c r="B3378" s="187">
        <v>27334</v>
      </c>
      <c r="C3378" s="188">
        <v>7.8</v>
      </c>
      <c r="D3378" s="104">
        <f t="shared" si="52"/>
        <v>7.8E-2</v>
      </c>
      <c r="F3378" s="5"/>
    </row>
    <row r="3379" spans="2:6" ht="13.8" hidden="1" outlineLevel="1">
      <c r="B3379" s="187">
        <v>27337</v>
      </c>
      <c r="C3379" s="188">
        <v>7.8</v>
      </c>
      <c r="D3379" s="104">
        <f t="shared" si="52"/>
        <v>7.8E-2</v>
      </c>
      <c r="F3379" s="5"/>
    </row>
    <row r="3380" spans="2:6" ht="13.8" hidden="1" outlineLevel="1">
      <c r="B3380" s="187">
        <v>27338</v>
      </c>
      <c r="C3380" s="188" t="s">
        <v>380</v>
      </c>
      <c r="D3380" s="104">
        <f t="shared" si="52"/>
        <v>7.8E-2</v>
      </c>
      <c r="F3380" s="5"/>
    </row>
    <row r="3381" spans="2:6" ht="13.8" hidden="1" outlineLevel="1">
      <c r="B3381" s="187">
        <v>27339</v>
      </c>
      <c r="C3381" s="188">
        <v>7.76</v>
      </c>
      <c r="D3381" s="104">
        <f t="shared" si="52"/>
        <v>7.7600000000000002E-2</v>
      </c>
      <c r="F3381" s="5"/>
    </row>
    <row r="3382" spans="2:6" ht="13.8" hidden="1" outlineLevel="1">
      <c r="B3382" s="187">
        <v>27340</v>
      </c>
      <c r="C3382" s="188">
        <v>7.74</v>
      </c>
      <c r="D3382" s="104">
        <f t="shared" si="52"/>
        <v>7.7399999999999997E-2</v>
      </c>
      <c r="F3382" s="5"/>
    </row>
    <row r="3383" spans="2:6" ht="13.8" hidden="1" outlineLevel="1">
      <c r="B3383" s="187">
        <v>27341</v>
      </c>
      <c r="C3383" s="188">
        <v>7.72</v>
      </c>
      <c r="D3383" s="104">
        <f t="shared" si="52"/>
        <v>7.7199999999999991E-2</v>
      </c>
      <c r="F3383" s="5"/>
    </row>
    <row r="3384" spans="2:6" ht="13.8" hidden="1" outlineLevel="1">
      <c r="B3384" s="187">
        <v>27344</v>
      </c>
      <c r="C3384" s="188" t="s">
        <v>380</v>
      </c>
      <c r="D3384" s="104">
        <f t="shared" si="52"/>
        <v>7.7199999999999991E-2</v>
      </c>
      <c r="F3384" s="5"/>
    </row>
    <row r="3385" spans="2:6" ht="13.8" hidden="1" outlineLevel="1">
      <c r="B3385" s="187">
        <v>27345</v>
      </c>
      <c r="C3385" s="188">
        <v>7.78</v>
      </c>
      <c r="D3385" s="104">
        <f t="shared" si="52"/>
        <v>7.7800000000000008E-2</v>
      </c>
      <c r="F3385" s="5"/>
    </row>
    <row r="3386" spans="2:6" ht="13.8" hidden="1" outlineLevel="1">
      <c r="B3386" s="187">
        <v>27346</v>
      </c>
      <c r="C3386" s="188">
        <v>7.75</v>
      </c>
      <c r="D3386" s="104">
        <f t="shared" si="52"/>
        <v>7.7499999999999999E-2</v>
      </c>
      <c r="F3386" s="5"/>
    </row>
    <row r="3387" spans="2:6" ht="13.8" hidden="1" outlineLevel="1">
      <c r="B3387" s="187">
        <v>27347</v>
      </c>
      <c r="C3387" s="188">
        <v>7.72</v>
      </c>
      <c r="D3387" s="104">
        <f t="shared" si="52"/>
        <v>7.7199999999999991E-2</v>
      </c>
      <c r="F3387" s="5"/>
    </row>
    <row r="3388" spans="2:6" ht="13.8" hidden="1" outlineLevel="1">
      <c r="B3388" s="187">
        <v>27348</v>
      </c>
      <c r="C3388" s="188">
        <v>7.61</v>
      </c>
      <c r="D3388" s="104">
        <f t="shared" si="52"/>
        <v>7.6100000000000001E-2</v>
      </c>
      <c r="F3388" s="5"/>
    </row>
    <row r="3389" spans="2:6" ht="13.8" hidden="1" outlineLevel="1">
      <c r="B3389" s="187">
        <v>27351</v>
      </c>
      <c r="C3389" s="188">
        <v>7.63</v>
      </c>
      <c r="D3389" s="104">
        <f t="shared" si="52"/>
        <v>7.6299999999999993E-2</v>
      </c>
      <c r="F3389" s="5"/>
    </row>
    <row r="3390" spans="2:6" ht="13.8" hidden="1" outlineLevel="1">
      <c r="B3390" s="187">
        <v>27352</v>
      </c>
      <c r="C3390" s="188">
        <v>7.63</v>
      </c>
      <c r="D3390" s="104">
        <f t="shared" si="52"/>
        <v>7.6299999999999993E-2</v>
      </c>
      <c r="F3390" s="5"/>
    </row>
    <row r="3391" spans="2:6" ht="13.8" hidden="1" outlineLevel="1">
      <c r="B3391" s="187">
        <v>27353</v>
      </c>
      <c r="C3391" s="188">
        <v>7.59</v>
      </c>
      <c r="D3391" s="104">
        <f t="shared" si="52"/>
        <v>7.5899999999999995E-2</v>
      </c>
      <c r="F3391" s="5"/>
    </row>
    <row r="3392" spans="2:6" ht="13.8" hidden="1" outlineLevel="1">
      <c r="B3392" s="187">
        <v>27354</v>
      </c>
      <c r="C3392" s="188">
        <v>7.6</v>
      </c>
      <c r="D3392" s="104">
        <f t="shared" si="52"/>
        <v>7.5999999999999998E-2</v>
      </c>
      <c r="F3392" s="5"/>
    </row>
    <row r="3393" spans="2:6" ht="13.8" hidden="1" outlineLevel="1">
      <c r="B3393" s="187">
        <v>27355</v>
      </c>
      <c r="C3393" s="188">
        <v>7.6</v>
      </c>
      <c r="D3393" s="104">
        <f t="shared" si="52"/>
        <v>7.5999999999999998E-2</v>
      </c>
      <c r="F3393" s="5"/>
    </row>
    <row r="3394" spans="2:6" ht="13.8" hidden="1" outlineLevel="1">
      <c r="B3394" s="187">
        <v>27358</v>
      </c>
      <c r="C3394" s="188">
        <v>7.62</v>
      </c>
      <c r="D3394" s="104">
        <f t="shared" si="52"/>
        <v>7.6200000000000004E-2</v>
      </c>
      <c r="F3394" s="5"/>
    </row>
    <row r="3395" spans="2:6" ht="13.8" hidden="1" outlineLevel="1">
      <c r="B3395" s="187">
        <v>27359</v>
      </c>
      <c r="C3395" s="188">
        <v>7.63</v>
      </c>
      <c r="D3395" s="104">
        <f t="shared" si="52"/>
        <v>7.6299999999999993E-2</v>
      </c>
      <c r="F3395" s="5"/>
    </row>
    <row r="3396" spans="2:6" ht="13.8" hidden="1" outlineLevel="1">
      <c r="B3396" s="187">
        <v>27360</v>
      </c>
      <c r="C3396" s="188">
        <v>7.64</v>
      </c>
      <c r="D3396" s="104">
        <f t="shared" si="52"/>
        <v>7.6399999999999996E-2</v>
      </c>
      <c r="F3396" s="5"/>
    </row>
    <row r="3397" spans="2:6" ht="13.8" hidden="1" outlineLevel="1">
      <c r="B3397" s="187">
        <v>27361</v>
      </c>
      <c r="C3397" s="188" t="s">
        <v>380</v>
      </c>
      <c r="D3397" s="104">
        <f t="shared" si="52"/>
        <v>7.6399999999999996E-2</v>
      </c>
      <c r="F3397" s="5"/>
    </row>
    <row r="3398" spans="2:6" ht="13.8" hidden="1" outlineLevel="1">
      <c r="B3398" s="187">
        <v>27362</v>
      </c>
      <c r="C3398" s="188">
        <v>7.64</v>
      </c>
      <c r="D3398" s="104">
        <f t="shared" si="52"/>
        <v>7.6399999999999996E-2</v>
      </c>
      <c r="F3398" s="5"/>
    </row>
    <row r="3399" spans="2:6" ht="13.8" hidden="1" outlineLevel="1">
      <c r="B3399" s="187">
        <v>27365</v>
      </c>
      <c r="C3399" s="188">
        <v>7.71</v>
      </c>
      <c r="D3399" s="104">
        <f t="shared" si="52"/>
        <v>7.7100000000000002E-2</v>
      </c>
      <c r="F3399" s="5"/>
    </row>
    <row r="3400" spans="2:6" ht="13.8" hidden="1" outlineLevel="1">
      <c r="B3400" s="187">
        <v>27366</v>
      </c>
      <c r="C3400" s="188">
        <v>7.74</v>
      </c>
      <c r="D3400" s="104">
        <f t="shared" si="52"/>
        <v>7.7399999999999997E-2</v>
      </c>
      <c r="F3400" s="5"/>
    </row>
    <row r="3401" spans="2:6" ht="13.8" hidden="1" outlineLevel="1">
      <c r="B3401" s="187">
        <v>27367</v>
      </c>
      <c r="C3401" s="188">
        <v>7.68</v>
      </c>
      <c r="D3401" s="104">
        <f t="shared" si="52"/>
        <v>7.6799999999999993E-2</v>
      </c>
      <c r="F3401" s="5"/>
    </row>
    <row r="3402" spans="2:6" ht="13.8" hidden="1" outlineLevel="1">
      <c r="B3402" s="187">
        <v>27368</v>
      </c>
      <c r="C3402" s="188">
        <v>7.64</v>
      </c>
      <c r="D3402" s="104">
        <f t="shared" si="52"/>
        <v>7.6399999999999996E-2</v>
      </c>
      <c r="F3402" s="5"/>
    </row>
    <row r="3403" spans="2:6" ht="13.8" hidden="1" outlineLevel="1">
      <c r="B3403" s="187">
        <v>27369</v>
      </c>
      <c r="C3403" s="188">
        <v>7.59</v>
      </c>
      <c r="D3403" s="104">
        <f t="shared" si="52"/>
        <v>7.5899999999999995E-2</v>
      </c>
      <c r="F3403" s="5"/>
    </row>
    <row r="3404" spans="2:6" ht="13.8" hidden="1" outlineLevel="1">
      <c r="B3404" s="187">
        <v>27372</v>
      </c>
      <c r="C3404" s="188">
        <v>7.4</v>
      </c>
      <c r="D3404" s="104">
        <f t="shared" si="52"/>
        <v>7.400000000000001E-2</v>
      </c>
      <c r="F3404" s="5"/>
    </row>
    <row r="3405" spans="2:6" ht="13.8" hidden="1" outlineLevel="1">
      <c r="B3405" s="187">
        <v>27373</v>
      </c>
      <c r="C3405" s="188">
        <v>7.42</v>
      </c>
      <c r="D3405" s="104">
        <f t="shared" si="52"/>
        <v>7.4200000000000002E-2</v>
      </c>
      <c r="F3405" s="5"/>
    </row>
    <row r="3406" spans="2:6" ht="13.8" hidden="1" outlineLevel="1">
      <c r="B3406" s="187">
        <v>27374</v>
      </c>
      <c r="C3406" s="188">
        <v>7.38</v>
      </c>
      <c r="D3406" s="104">
        <f t="shared" si="52"/>
        <v>7.3800000000000004E-2</v>
      </c>
      <c r="F3406" s="5"/>
    </row>
    <row r="3407" spans="2:6" ht="13.8" hidden="1" outlineLevel="1">
      <c r="B3407" s="187">
        <v>27375</v>
      </c>
      <c r="C3407" s="188">
        <v>7.39</v>
      </c>
      <c r="D3407" s="104">
        <f t="shared" si="52"/>
        <v>7.3899999999999993E-2</v>
      </c>
      <c r="F3407" s="5"/>
    </row>
    <row r="3408" spans="2:6" ht="13.8" hidden="1" outlineLevel="1">
      <c r="B3408" s="187">
        <v>27376</v>
      </c>
      <c r="C3408" s="188">
        <v>7.38</v>
      </c>
      <c r="D3408" s="104">
        <f t="shared" si="52"/>
        <v>7.3800000000000004E-2</v>
      </c>
      <c r="F3408" s="5"/>
    </row>
    <row r="3409" spans="2:6" ht="13.8" hidden="1" outlineLevel="1">
      <c r="B3409" s="187">
        <v>27379</v>
      </c>
      <c r="C3409" s="188">
        <v>7.34</v>
      </c>
      <c r="D3409" s="104">
        <f t="shared" si="52"/>
        <v>7.3399999999999993E-2</v>
      </c>
      <c r="F3409" s="5"/>
    </row>
    <row r="3410" spans="2:6" ht="13.8" hidden="1" outlineLevel="1">
      <c r="B3410" s="187">
        <v>27380</v>
      </c>
      <c r="C3410" s="188">
        <v>7.28</v>
      </c>
      <c r="D3410" s="104">
        <f t="shared" si="52"/>
        <v>7.2800000000000004E-2</v>
      </c>
      <c r="F3410" s="5"/>
    </row>
    <row r="3411" spans="2:6" ht="13.8" hidden="1" outlineLevel="1">
      <c r="B3411" s="187">
        <v>27381</v>
      </c>
      <c r="C3411" s="188">
        <v>7.25</v>
      </c>
      <c r="D3411" s="104">
        <f t="shared" si="52"/>
        <v>7.2499999999999995E-2</v>
      </c>
      <c r="F3411" s="5"/>
    </row>
    <row r="3412" spans="2:6" ht="13.8" hidden="1" outlineLevel="1">
      <c r="B3412" s="187">
        <v>27382</v>
      </c>
      <c r="C3412" s="188">
        <v>7.25</v>
      </c>
      <c r="D3412" s="104">
        <f t="shared" si="52"/>
        <v>7.2499999999999995E-2</v>
      </c>
      <c r="F3412" s="5"/>
    </row>
    <row r="3413" spans="2:6" ht="13.8" hidden="1" outlineLevel="1">
      <c r="B3413" s="187">
        <v>27383</v>
      </c>
      <c r="C3413" s="188">
        <v>7.27</v>
      </c>
      <c r="D3413" s="104">
        <f t="shared" si="52"/>
        <v>7.2700000000000001E-2</v>
      </c>
      <c r="F3413" s="5"/>
    </row>
    <row r="3414" spans="2:6" ht="13.8" hidden="1" outlineLevel="1">
      <c r="B3414" s="187">
        <v>27386</v>
      </c>
      <c r="C3414" s="188">
        <v>7.41</v>
      </c>
      <c r="D3414" s="104">
        <f t="shared" si="52"/>
        <v>7.4099999999999999E-2</v>
      </c>
      <c r="F3414" s="5"/>
    </row>
    <row r="3415" spans="2:6" ht="13.8" hidden="1" outlineLevel="1">
      <c r="B3415" s="187">
        <v>27387</v>
      </c>
      <c r="C3415" s="188">
        <v>7.43</v>
      </c>
      <c r="D3415" s="104">
        <f t="shared" si="52"/>
        <v>7.4299999999999991E-2</v>
      </c>
      <c r="F3415" s="5"/>
    </row>
    <row r="3416" spans="2:6" ht="13.8" hidden="1" outlineLevel="1">
      <c r="B3416" s="187">
        <v>27388</v>
      </c>
      <c r="C3416" s="188" t="s">
        <v>380</v>
      </c>
      <c r="D3416" s="104">
        <f t="shared" si="52"/>
        <v>7.4299999999999991E-2</v>
      </c>
      <c r="F3416" s="5"/>
    </row>
    <row r="3417" spans="2:6" ht="13.8" hidden="1" outlineLevel="1">
      <c r="B3417" s="187">
        <v>27389</v>
      </c>
      <c r="C3417" s="188">
        <v>7.37</v>
      </c>
      <c r="D3417" s="104">
        <f t="shared" si="52"/>
        <v>7.3700000000000002E-2</v>
      </c>
      <c r="F3417" s="5"/>
    </row>
    <row r="3418" spans="2:6" ht="13.8" hidden="1" outlineLevel="1">
      <c r="B3418" s="187">
        <v>27390</v>
      </c>
      <c r="C3418" s="188">
        <v>7.39</v>
      </c>
      <c r="D3418" s="104">
        <f t="shared" si="52"/>
        <v>7.3899999999999993E-2</v>
      </c>
      <c r="F3418" s="5"/>
    </row>
    <row r="3419" spans="2:6" ht="13.8" hidden="1" outlineLevel="1">
      <c r="B3419" s="187">
        <v>27393</v>
      </c>
      <c r="C3419" s="188">
        <v>7.39</v>
      </c>
      <c r="D3419" s="104">
        <f t="shared" si="52"/>
        <v>7.3899999999999993E-2</v>
      </c>
      <c r="F3419" s="5"/>
    </row>
    <row r="3420" spans="2:6" ht="13.8" hidden="1" outlineLevel="1">
      <c r="B3420" s="187">
        <v>27394</v>
      </c>
      <c r="C3420" s="188">
        <v>7.4</v>
      </c>
      <c r="D3420" s="104">
        <f t="shared" si="52"/>
        <v>7.400000000000001E-2</v>
      </c>
      <c r="F3420" s="5"/>
    </row>
    <row r="3421" spans="2:6" ht="13.8" hidden="1" outlineLevel="1">
      <c r="B3421" s="187">
        <v>27395</v>
      </c>
      <c r="C3421" s="188" t="s">
        <v>380</v>
      </c>
      <c r="D3421" s="104">
        <f t="shared" si="52"/>
        <v>7.400000000000001E-2</v>
      </c>
      <c r="F3421" s="5"/>
    </row>
    <row r="3422" spans="2:6" ht="13.8" hidden="1" outlineLevel="1">
      <c r="B3422" s="187">
        <v>27396</v>
      </c>
      <c r="C3422" s="188">
        <v>7.42</v>
      </c>
      <c r="D3422" s="104">
        <f t="shared" ref="D3422:D3485" si="53">IF( LEN( C3422 ) = 0, #N/A, IF( C3422 = "ND", D3421, C3422 / 100 ) )</f>
        <v>7.4200000000000002E-2</v>
      </c>
      <c r="F3422" s="5"/>
    </row>
    <row r="3423" spans="2:6" ht="13.8" hidden="1" outlineLevel="1">
      <c r="B3423" s="187">
        <v>27397</v>
      </c>
      <c r="C3423" s="188">
        <v>7.43</v>
      </c>
      <c r="D3423" s="104">
        <f t="shared" si="53"/>
        <v>7.4299999999999991E-2</v>
      </c>
      <c r="F3423" s="5"/>
    </row>
    <row r="3424" spans="2:6" ht="13.8" hidden="1" outlineLevel="1">
      <c r="B3424" s="187">
        <v>27400</v>
      </c>
      <c r="C3424" s="188">
        <v>7.39</v>
      </c>
      <c r="D3424" s="104">
        <f t="shared" si="53"/>
        <v>7.3899999999999993E-2</v>
      </c>
      <c r="F3424" s="5"/>
    </row>
    <row r="3425" spans="2:6" ht="13.8" hidden="1" outlineLevel="1">
      <c r="B3425" s="187">
        <v>27401</v>
      </c>
      <c r="C3425" s="188">
        <v>7.38</v>
      </c>
      <c r="D3425" s="104">
        <f t="shared" si="53"/>
        <v>7.3800000000000004E-2</v>
      </c>
      <c r="F3425" s="5"/>
    </row>
    <row r="3426" spans="2:6" ht="13.8" hidden="1" outlineLevel="1">
      <c r="B3426" s="187">
        <v>27402</v>
      </c>
      <c r="C3426" s="188">
        <v>7.39</v>
      </c>
      <c r="D3426" s="104">
        <f t="shared" si="53"/>
        <v>7.3899999999999993E-2</v>
      </c>
      <c r="F3426" s="5"/>
    </row>
    <row r="3427" spans="2:6" ht="13.8" hidden="1" outlineLevel="1">
      <c r="B3427" s="187">
        <v>27403</v>
      </c>
      <c r="C3427" s="188">
        <v>7.35</v>
      </c>
      <c r="D3427" s="104">
        <f t="shared" si="53"/>
        <v>7.3499999999999996E-2</v>
      </c>
      <c r="F3427" s="5"/>
    </row>
    <row r="3428" spans="2:6" ht="13.8" hidden="1" outlineLevel="1">
      <c r="B3428" s="187">
        <v>27404</v>
      </c>
      <c r="C3428" s="188">
        <v>7.37</v>
      </c>
      <c r="D3428" s="104">
        <f t="shared" si="53"/>
        <v>7.3700000000000002E-2</v>
      </c>
      <c r="F3428" s="5"/>
    </row>
    <row r="3429" spans="2:6" ht="13.8" hidden="1" outlineLevel="1">
      <c r="B3429" s="187">
        <v>27407</v>
      </c>
      <c r="C3429" s="188">
        <v>7.46</v>
      </c>
      <c r="D3429" s="104">
        <f t="shared" si="53"/>
        <v>7.46E-2</v>
      </c>
      <c r="F3429" s="5"/>
    </row>
    <row r="3430" spans="2:6" ht="13.8" hidden="1" outlineLevel="1">
      <c r="B3430" s="187">
        <v>27408</v>
      </c>
      <c r="C3430" s="188">
        <v>7.49</v>
      </c>
      <c r="D3430" s="104">
        <f t="shared" si="53"/>
        <v>7.4900000000000008E-2</v>
      </c>
      <c r="F3430" s="5"/>
    </row>
    <row r="3431" spans="2:6" ht="13.8" hidden="1" outlineLevel="1">
      <c r="B3431" s="187">
        <v>27409</v>
      </c>
      <c r="C3431" s="188">
        <v>7.54</v>
      </c>
      <c r="D3431" s="104">
        <f t="shared" si="53"/>
        <v>7.5399999999999995E-2</v>
      </c>
      <c r="F3431" s="5"/>
    </row>
    <row r="3432" spans="2:6" ht="13.8" hidden="1" outlineLevel="1">
      <c r="B3432" s="187">
        <v>27410</v>
      </c>
      <c r="C3432" s="188">
        <v>7.54</v>
      </c>
      <c r="D3432" s="104">
        <f t="shared" si="53"/>
        <v>7.5399999999999995E-2</v>
      </c>
      <c r="F3432" s="5"/>
    </row>
    <row r="3433" spans="2:6" ht="13.8" hidden="1" outlineLevel="1">
      <c r="B3433" s="187">
        <v>27411</v>
      </c>
      <c r="C3433" s="188">
        <v>7.53</v>
      </c>
      <c r="D3433" s="104">
        <f t="shared" si="53"/>
        <v>7.5300000000000006E-2</v>
      </c>
      <c r="F3433" s="5"/>
    </row>
    <row r="3434" spans="2:6" ht="13.8" hidden="1" outlineLevel="1">
      <c r="B3434" s="187">
        <v>27414</v>
      </c>
      <c r="C3434" s="188">
        <v>7.59</v>
      </c>
      <c r="D3434" s="104">
        <f t="shared" si="53"/>
        <v>7.5899999999999995E-2</v>
      </c>
      <c r="F3434" s="5"/>
    </row>
    <row r="3435" spans="2:6" ht="13.8" hidden="1" outlineLevel="1">
      <c r="B3435" s="187">
        <v>27415</v>
      </c>
      <c r="C3435" s="188">
        <v>7.55</v>
      </c>
      <c r="D3435" s="104">
        <f t="shared" si="53"/>
        <v>7.5499999999999998E-2</v>
      </c>
      <c r="F3435" s="5"/>
    </row>
    <row r="3436" spans="2:6" ht="13.8" hidden="1" outlineLevel="1">
      <c r="B3436" s="187">
        <v>27416</v>
      </c>
      <c r="C3436" s="188">
        <v>7.51</v>
      </c>
      <c r="D3436" s="104">
        <f t="shared" si="53"/>
        <v>7.51E-2</v>
      </c>
      <c r="F3436" s="5"/>
    </row>
    <row r="3437" spans="2:6" ht="13.8" hidden="1" outlineLevel="1">
      <c r="B3437" s="187">
        <v>27417</v>
      </c>
      <c r="C3437" s="188">
        <v>7.57</v>
      </c>
      <c r="D3437" s="104">
        <f t="shared" si="53"/>
        <v>7.5700000000000003E-2</v>
      </c>
      <c r="F3437" s="5"/>
    </row>
    <row r="3438" spans="2:6" ht="13.8" hidden="1" outlineLevel="1">
      <c r="B3438" s="187">
        <v>27418</v>
      </c>
      <c r="C3438" s="188">
        <v>7.64</v>
      </c>
      <c r="D3438" s="104">
        <f t="shared" si="53"/>
        <v>7.6399999999999996E-2</v>
      </c>
      <c r="F3438" s="5"/>
    </row>
    <row r="3439" spans="2:6" ht="13.8" hidden="1" outlineLevel="1">
      <c r="B3439" s="187">
        <v>27421</v>
      </c>
      <c r="C3439" s="188">
        <v>7.61</v>
      </c>
      <c r="D3439" s="104">
        <f t="shared" si="53"/>
        <v>7.6100000000000001E-2</v>
      </c>
      <c r="F3439" s="5"/>
    </row>
    <row r="3440" spans="2:6" ht="13.8" hidden="1" outlineLevel="1">
      <c r="B3440" s="187">
        <v>27422</v>
      </c>
      <c r="C3440" s="188">
        <v>7.61</v>
      </c>
      <c r="D3440" s="104">
        <f t="shared" si="53"/>
        <v>7.6100000000000001E-2</v>
      </c>
      <c r="F3440" s="5"/>
    </row>
    <row r="3441" spans="2:6" ht="13.8" hidden="1" outlineLevel="1">
      <c r="B3441" s="187">
        <v>27423</v>
      </c>
      <c r="C3441" s="188">
        <v>7.59</v>
      </c>
      <c r="D3441" s="104">
        <f t="shared" si="53"/>
        <v>7.5899999999999995E-2</v>
      </c>
      <c r="F3441" s="5"/>
    </row>
    <row r="3442" spans="2:6" ht="13.8" hidden="1" outlineLevel="1">
      <c r="B3442" s="187">
        <v>27424</v>
      </c>
      <c r="C3442" s="188">
        <v>7.54</v>
      </c>
      <c r="D3442" s="104">
        <f t="shared" si="53"/>
        <v>7.5399999999999995E-2</v>
      </c>
      <c r="F3442" s="5"/>
    </row>
    <row r="3443" spans="2:6" ht="13.8" hidden="1" outlineLevel="1">
      <c r="B3443" s="187">
        <v>27425</v>
      </c>
      <c r="C3443" s="188">
        <v>7.53</v>
      </c>
      <c r="D3443" s="104">
        <f t="shared" si="53"/>
        <v>7.5300000000000006E-2</v>
      </c>
      <c r="F3443" s="5"/>
    </row>
    <row r="3444" spans="2:6" ht="13.8" hidden="1" outlineLevel="1">
      <c r="B3444" s="187">
        <v>27428</v>
      </c>
      <c r="C3444" s="188">
        <v>7.49</v>
      </c>
      <c r="D3444" s="104">
        <f t="shared" si="53"/>
        <v>7.4900000000000008E-2</v>
      </c>
      <c r="F3444" s="5"/>
    </row>
    <row r="3445" spans="2:6" ht="13.8" hidden="1" outlineLevel="1">
      <c r="B3445" s="187">
        <v>27429</v>
      </c>
      <c r="C3445" s="188">
        <v>7.47</v>
      </c>
      <c r="D3445" s="104">
        <f t="shared" si="53"/>
        <v>7.4700000000000003E-2</v>
      </c>
      <c r="F3445" s="5"/>
    </row>
    <row r="3446" spans="2:6" ht="13.8" hidden="1" outlineLevel="1">
      <c r="B3446" s="187">
        <v>27430</v>
      </c>
      <c r="C3446" s="188">
        <v>7.35</v>
      </c>
      <c r="D3446" s="104">
        <f t="shared" si="53"/>
        <v>7.3499999999999996E-2</v>
      </c>
      <c r="F3446" s="5"/>
    </row>
    <row r="3447" spans="2:6" ht="13.8" hidden="1" outlineLevel="1">
      <c r="B3447" s="187">
        <v>27431</v>
      </c>
      <c r="C3447" s="188">
        <v>7.43</v>
      </c>
      <c r="D3447" s="104">
        <f t="shared" si="53"/>
        <v>7.4299999999999991E-2</v>
      </c>
      <c r="F3447" s="5"/>
    </row>
    <row r="3448" spans="2:6" ht="13.8" hidden="1" outlineLevel="1">
      <c r="B3448" s="187">
        <v>27432</v>
      </c>
      <c r="C3448" s="188">
        <v>7.38</v>
      </c>
      <c r="D3448" s="104">
        <f t="shared" si="53"/>
        <v>7.3800000000000004E-2</v>
      </c>
      <c r="F3448" s="5"/>
    </row>
    <row r="3449" spans="2:6" ht="13.8" hidden="1" outlineLevel="1">
      <c r="B3449" s="187">
        <v>27435</v>
      </c>
      <c r="C3449" s="188">
        <v>7.45</v>
      </c>
      <c r="D3449" s="104">
        <f t="shared" si="53"/>
        <v>7.4499999999999997E-2</v>
      </c>
      <c r="F3449" s="5"/>
    </row>
    <row r="3450" spans="2:6" ht="13.8" hidden="1" outlineLevel="1">
      <c r="B3450" s="187">
        <v>27436</v>
      </c>
      <c r="C3450" s="188">
        <v>7.42</v>
      </c>
      <c r="D3450" s="104">
        <f t="shared" si="53"/>
        <v>7.4200000000000002E-2</v>
      </c>
      <c r="F3450" s="5"/>
    </row>
    <row r="3451" spans="2:6" ht="13.8" hidden="1" outlineLevel="1">
      <c r="B3451" s="187">
        <v>27437</v>
      </c>
      <c r="C3451" s="188" t="s">
        <v>380</v>
      </c>
      <c r="D3451" s="104">
        <f t="shared" si="53"/>
        <v>7.4200000000000002E-2</v>
      </c>
      <c r="F3451" s="5"/>
    </row>
    <row r="3452" spans="2:6" ht="13.8" hidden="1" outlineLevel="1">
      <c r="B3452" s="187">
        <v>27438</v>
      </c>
      <c r="C3452" s="188">
        <v>7.44</v>
      </c>
      <c r="D3452" s="104">
        <f t="shared" si="53"/>
        <v>7.4400000000000008E-2</v>
      </c>
      <c r="F3452" s="5"/>
    </row>
    <row r="3453" spans="2:6" ht="13.8" hidden="1" outlineLevel="1">
      <c r="B3453" s="187">
        <v>27439</v>
      </c>
      <c r="C3453" s="188">
        <v>7.35</v>
      </c>
      <c r="D3453" s="104">
        <f t="shared" si="53"/>
        <v>7.3499999999999996E-2</v>
      </c>
      <c r="F3453" s="5"/>
    </row>
    <row r="3454" spans="2:6" ht="13.8" hidden="1" outlineLevel="1">
      <c r="B3454" s="187">
        <v>27442</v>
      </c>
      <c r="C3454" s="188" t="s">
        <v>380</v>
      </c>
      <c r="D3454" s="104">
        <f t="shared" si="53"/>
        <v>7.3499999999999996E-2</v>
      </c>
      <c r="F3454" s="5"/>
    </row>
    <row r="3455" spans="2:6" ht="13.8" hidden="1" outlineLevel="1">
      <c r="B3455" s="187">
        <v>27443</v>
      </c>
      <c r="C3455" s="188">
        <v>7.28</v>
      </c>
      <c r="D3455" s="104">
        <f t="shared" si="53"/>
        <v>7.2800000000000004E-2</v>
      </c>
      <c r="F3455" s="5"/>
    </row>
    <row r="3456" spans="2:6" ht="13.8" hidden="1" outlineLevel="1">
      <c r="B3456" s="187">
        <v>27444</v>
      </c>
      <c r="C3456" s="188">
        <v>7.26</v>
      </c>
      <c r="D3456" s="104">
        <f t="shared" si="53"/>
        <v>7.2599999999999998E-2</v>
      </c>
      <c r="F3456" s="5"/>
    </row>
    <row r="3457" spans="2:6" ht="13.8" hidden="1" outlineLevel="1">
      <c r="B3457" s="187">
        <v>27445</v>
      </c>
      <c r="C3457" s="188">
        <v>7.3</v>
      </c>
      <c r="D3457" s="104">
        <f t="shared" si="53"/>
        <v>7.2999999999999995E-2</v>
      </c>
      <c r="F3457" s="5"/>
    </row>
    <row r="3458" spans="2:6" ht="13.8" hidden="1" outlineLevel="1">
      <c r="B3458" s="187">
        <v>27446</v>
      </c>
      <c r="C3458" s="188">
        <v>7.22</v>
      </c>
      <c r="D3458" s="104">
        <f t="shared" si="53"/>
        <v>7.22E-2</v>
      </c>
      <c r="F3458" s="5"/>
    </row>
    <row r="3459" spans="2:6" ht="13.8" hidden="1" outlineLevel="1">
      <c r="B3459" s="187">
        <v>27449</v>
      </c>
      <c r="C3459" s="188">
        <v>7.36</v>
      </c>
      <c r="D3459" s="104">
        <f t="shared" si="53"/>
        <v>7.3599999999999999E-2</v>
      </c>
      <c r="F3459" s="5"/>
    </row>
    <row r="3460" spans="2:6" ht="13.8" hidden="1" outlineLevel="1">
      <c r="B3460" s="187">
        <v>27450</v>
      </c>
      <c r="C3460" s="188">
        <v>7.43</v>
      </c>
      <c r="D3460" s="104">
        <f t="shared" si="53"/>
        <v>7.4299999999999991E-2</v>
      </c>
      <c r="F3460" s="5"/>
    </row>
    <row r="3461" spans="2:6" ht="13.8" hidden="1" outlineLevel="1">
      <c r="B3461" s="187">
        <v>27451</v>
      </c>
      <c r="C3461" s="188">
        <v>7.5</v>
      </c>
      <c r="D3461" s="104">
        <f t="shared" si="53"/>
        <v>7.4999999999999997E-2</v>
      </c>
      <c r="F3461" s="5"/>
    </row>
    <row r="3462" spans="2:6" ht="13.8" hidden="1" outlineLevel="1">
      <c r="B3462" s="187">
        <v>27452</v>
      </c>
      <c r="C3462" s="188">
        <v>7.47</v>
      </c>
      <c r="D3462" s="104">
        <f t="shared" si="53"/>
        <v>7.4700000000000003E-2</v>
      </c>
      <c r="F3462" s="5"/>
    </row>
    <row r="3463" spans="2:6" ht="13.8" hidden="1" outlineLevel="1">
      <c r="B3463" s="187">
        <v>27453</v>
      </c>
      <c r="C3463" s="188">
        <v>7.46</v>
      </c>
      <c r="D3463" s="104">
        <f t="shared" si="53"/>
        <v>7.46E-2</v>
      </c>
      <c r="F3463" s="5"/>
    </row>
    <row r="3464" spans="2:6" ht="13.8" hidden="1" outlineLevel="1">
      <c r="B3464" s="187">
        <v>27456</v>
      </c>
      <c r="C3464" s="188">
        <v>7.5</v>
      </c>
      <c r="D3464" s="104">
        <f t="shared" si="53"/>
        <v>7.4999999999999997E-2</v>
      </c>
      <c r="F3464" s="5"/>
    </row>
    <row r="3465" spans="2:6" ht="13.8" hidden="1" outlineLevel="1">
      <c r="B3465" s="187">
        <v>27457</v>
      </c>
      <c r="C3465" s="188">
        <v>7.53</v>
      </c>
      <c r="D3465" s="104">
        <f t="shared" si="53"/>
        <v>7.5300000000000006E-2</v>
      </c>
      <c r="F3465" s="5"/>
    </row>
    <row r="3466" spans="2:6" ht="13.8" hidden="1" outlineLevel="1">
      <c r="B3466" s="187">
        <v>27458</v>
      </c>
      <c r="C3466" s="188">
        <v>7.48</v>
      </c>
      <c r="D3466" s="104">
        <f t="shared" si="53"/>
        <v>7.4800000000000005E-2</v>
      </c>
      <c r="F3466" s="5"/>
    </row>
    <row r="3467" spans="2:6" ht="13.8" hidden="1" outlineLevel="1">
      <c r="B3467" s="187">
        <v>27459</v>
      </c>
      <c r="C3467" s="188">
        <v>7.49</v>
      </c>
      <c r="D3467" s="104">
        <f t="shared" si="53"/>
        <v>7.4900000000000008E-2</v>
      </c>
      <c r="F3467" s="5"/>
    </row>
    <row r="3468" spans="2:6" ht="13.8" hidden="1" outlineLevel="1">
      <c r="B3468" s="187">
        <v>27460</v>
      </c>
      <c r="C3468" s="188">
        <v>7.52</v>
      </c>
      <c r="D3468" s="104">
        <f t="shared" si="53"/>
        <v>7.5199999999999989E-2</v>
      </c>
      <c r="F3468" s="5"/>
    </row>
    <row r="3469" spans="2:6" ht="13.8" hidden="1" outlineLevel="1">
      <c r="B3469" s="187">
        <v>27463</v>
      </c>
      <c r="C3469" s="188">
        <v>7.56</v>
      </c>
      <c r="D3469" s="104">
        <f t="shared" si="53"/>
        <v>7.5600000000000001E-2</v>
      </c>
      <c r="F3469" s="5"/>
    </row>
    <row r="3470" spans="2:6" ht="13.8" hidden="1" outlineLevel="1">
      <c r="B3470" s="187">
        <v>27464</v>
      </c>
      <c r="C3470" s="188">
        <v>7.58</v>
      </c>
      <c r="D3470" s="104">
        <f t="shared" si="53"/>
        <v>7.5800000000000006E-2</v>
      </c>
      <c r="F3470" s="5"/>
    </row>
    <row r="3471" spans="2:6" ht="13.8" hidden="1" outlineLevel="1">
      <c r="B3471" s="187">
        <v>27465</v>
      </c>
      <c r="C3471" s="188">
        <v>7.58</v>
      </c>
      <c r="D3471" s="104">
        <f t="shared" si="53"/>
        <v>7.5800000000000006E-2</v>
      </c>
      <c r="F3471" s="5"/>
    </row>
    <row r="3472" spans="2:6" ht="13.8" hidden="1" outlineLevel="1">
      <c r="B3472" s="187">
        <v>27466</v>
      </c>
      <c r="C3472" s="188">
        <v>7.56</v>
      </c>
      <c r="D3472" s="104">
        <f t="shared" si="53"/>
        <v>7.5600000000000001E-2</v>
      </c>
      <c r="F3472" s="5"/>
    </row>
    <row r="3473" spans="2:6" ht="13.8" hidden="1" outlineLevel="1">
      <c r="B3473" s="187">
        <v>27467</v>
      </c>
      <c r="C3473" s="188">
        <v>7.58</v>
      </c>
      <c r="D3473" s="104">
        <f t="shared" si="53"/>
        <v>7.5800000000000006E-2</v>
      </c>
      <c r="F3473" s="5"/>
    </row>
    <row r="3474" spans="2:6" ht="13.8" hidden="1" outlineLevel="1">
      <c r="B3474" s="187">
        <v>27470</v>
      </c>
      <c r="C3474" s="188">
        <v>7.7</v>
      </c>
      <c r="D3474" s="104">
        <f t="shared" si="53"/>
        <v>7.6999999999999999E-2</v>
      </c>
      <c r="F3474" s="5"/>
    </row>
    <row r="3475" spans="2:6" ht="13.8" hidden="1" outlineLevel="1">
      <c r="B3475" s="187">
        <v>27471</v>
      </c>
      <c r="C3475" s="188">
        <v>7.7</v>
      </c>
      <c r="D3475" s="104">
        <f t="shared" si="53"/>
        <v>7.6999999999999999E-2</v>
      </c>
      <c r="F3475" s="5"/>
    </row>
    <row r="3476" spans="2:6" ht="13.8" hidden="1" outlineLevel="1">
      <c r="B3476" s="187">
        <v>27472</v>
      </c>
      <c r="C3476" s="188">
        <v>7.8</v>
      </c>
      <c r="D3476" s="104">
        <f t="shared" si="53"/>
        <v>7.8E-2</v>
      </c>
      <c r="F3476" s="5"/>
    </row>
    <row r="3477" spans="2:6" ht="13.8" hidden="1" outlineLevel="1">
      <c r="B3477" s="187">
        <v>27473</v>
      </c>
      <c r="C3477" s="188">
        <v>7.95</v>
      </c>
      <c r="D3477" s="104">
        <f t="shared" si="53"/>
        <v>7.9500000000000001E-2</v>
      </c>
      <c r="F3477" s="5"/>
    </row>
    <row r="3478" spans="2:6" ht="13.8" hidden="1" outlineLevel="1">
      <c r="B3478" s="187">
        <v>27474</v>
      </c>
      <c r="C3478" s="188">
        <v>7.84</v>
      </c>
      <c r="D3478" s="104">
        <f t="shared" si="53"/>
        <v>7.8399999999999997E-2</v>
      </c>
      <c r="F3478" s="5"/>
    </row>
    <row r="3479" spans="2:6" ht="13.8" hidden="1" outlineLevel="1">
      <c r="B3479" s="187">
        <v>27477</v>
      </c>
      <c r="C3479" s="188">
        <v>8.0500000000000007</v>
      </c>
      <c r="D3479" s="104">
        <f t="shared" si="53"/>
        <v>8.0500000000000002E-2</v>
      </c>
      <c r="F3479" s="5"/>
    </row>
    <row r="3480" spans="2:6" ht="13.8" hidden="1" outlineLevel="1">
      <c r="B3480" s="187">
        <v>27478</v>
      </c>
      <c r="C3480" s="188">
        <v>8.0299999999999994</v>
      </c>
      <c r="D3480" s="104">
        <f t="shared" si="53"/>
        <v>8.0299999999999996E-2</v>
      </c>
      <c r="F3480" s="5"/>
    </row>
    <row r="3481" spans="2:6" ht="13.8" hidden="1" outlineLevel="1">
      <c r="B3481" s="187">
        <v>27479</v>
      </c>
      <c r="C3481" s="188">
        <v>8.02</v>
      </c>
      <c r="D3481" s="104">
        <f t="shared" si="53"/>
        <v>8.0199999999999994E-2</v>
      </c>
      <c r="F3481" s="5"/>
    </row>
    <row r="3482" spans="2:6" ht="13.8" hidden="1" outlineLevel="1">
      <c r="B3482" s="187">
        <v>27480</v>
      </c>
      <c r="C3482" s="188">
        <v>8.08</v>
      </c>
      <c r="D3482" s="104">
        <f t="shared" si="53"/>
        <v>8.0799999999999997E-2</v>
      </c>
      <c r="F3482" s="5"/>
    </row>
    <row r="3483" spans="2:6" ht="13.8" hidden="1" outlineLevel="1">
      <c r="B3483" s="187">
        <v>27481</v>
      </c>
      <c r="C3483" s="188" t="s">
        <v>380</v>
      </c>
      <c r="D3483" s="104">
        <f t="shared" si="53"/>
        <v>8.0799999999999997E-2</v>
      </c>
      <c r="F3483" s="5"/>
    </row>
    <row r="3484" spans="2:6" ht="13.8" hidden="1" outlineLevel="1">
      <c r="B3484" s="187">
        <v>27484</v>
      </c>
      <c r="C3484" s="188">
        <v>8.01</v>
      </c>
      <c r="D3484" s="104">
        <f t="shared" si="53"/>
        <v>8.0100000000000005E-2</v>
      </c>
      <c r="F3484" s="5"/>
    </row>
    <row r="3485" spans="2:6" ht="13.8" hidden="1" outlineLevel="1">
      <c r="B3485" s="187">
        <v>27485</v>
      </c>
      <c r="C3485" s="188">
        <v>8.08</v>
      </c>
      <c r="D3485" s="104">
        <f t="shared" si="53"/>
        <v>8.0799999999999997E-2</v>
      </c>
      <c r="F3485" s="5"/>
    </row>
    <row r="3486" spans="2:6" ht="13.8" hidden="1" outlineLevel="1">
      <c r="B3486" s="187">
        <v>27486</v>
      </c>
      <c r="C3486" s="188">
        <v>8.2200000000000006</v>
      </c>
      <c r="D3486" s="104">
        <f t="shared" ref="D3486:D3549" si="54">IF( LEN( C3486 ) = 0, #N/A, IF( C3486 = "ND", D3485, C3486 / 100 ) )</f>
        <v>8.2200000000000009E-2</v>
      </c>
      <c r="F3486" s="5"/>
    </row>
    <row r="3487" spans="2:6" ht="13.8" hidden="1" outlineLevel="1">
      <c r="B3487" s="187">
        <v>27487</v>
      </c>
      <c r="C3487" s="188">
        <v>8.1300000000000008</v>
      </c>
      <c r="D3487" s="104">
        <f t="shared" si="54"/>
        <v>8.1300000000000011E-2</v>
      </c>
      <c r="F3487" s="5"/>
    </row>
    <row r="3488" spans="2:6" ht="13.8" hidden="1" outlineLevel="1">
      <c r="B3488" s="187">
        <v>27488</v>
      </c>
      <c r="C3488" s="188">
        <v>8.15</v>
      </c>
      <c r="D3488" s="104">
        <f t="shared" si="54"/>
        <v>8.1500000000000003E-2</v>
      </c>
      <c r="F3488" s="5"/>
    </row>
    <row r="3489" spans="2:6" ht="13.8" hidden="1" outlineLevel="1">
      <c r="B3489" s="187">
        <v>27491</v>
      </c>
      <c r="C3489" s="188">
        <v>8.26</v>
      </c>
      <c r="D3489" s="104">
        <f t="shared" si="54"/>
        <v>8.2599999999999993E-2</v>
      </c>
      <c r="F3489" s="5"/>
    </row>
    <row r="3490" spans="2:6" ht="13.8" hidden="1" outlineLevel="1">
      <c r="B3490" s="187">
        <v>27492</v>
      </c>
      <c r="C3490" s="188">
        <v>8.2100000000000009</v>
      </c>
      <c r="D3490" s="104">
        <f t="shared" si="54"/>
        <v>8.2100000000000006E-2</v>
      </c>
      <c r="F3490" s="5"/>
    </row>
    <row r="3491" spans="2:6" ht="13.8" hidden="1" outlineLevel="1">
      <c r="B3491" s="187">
        <v>27493</v>
      </c>
      <c r="C3491" s="188">
        <v>8.17</v>
      </c>
      <c r="D3491" s="104">
        <f t="shared" si="54"/>
        <v>8.1699999999999995E-2</v>
      </c>
      <c r="F3491" s="5"/>
    </row>
    <row r="3492" spans="2:6" ht="13.8" hidden="1" outlineLevel="1">
      <c r="B3492" s="187">
        <v>27494</v>
      </c>
      <c r="C3492" s="188">
        <v>8.19</v>
      </c>
      <c r="D3492" s="104">
        <f t="shared" si="54"/>
        <v>8.1900000000000001E-2</v>
      </c>
      <c r="F3492" s="5"/>
    </row>
    <row r="3493" spans="2:6" ht="13.8" hidden="1" outlineLevel="1">
      <c r="B3493" s="187">
        <v>27495</v>
      </c>
      <c r="C3493" s="188">
        <v>8.2200000000000006</v>
      </c>
      <c r="D3493" s="104">
        <f t="shared" si="54"/>
        <v>8.2200000000000009E-2</v>
      </c>
      <c r="F3493" s="5"/>
    </row>
    <row r="3494" spans="2:6" ht="13.8" hidden="1" outlineLevel="1">
      <c r="B3494" s="187">
        <v>27498</v>
      </c>
      <c r="C3494" s="188">
        <v>8.16</v>
      </c>
      <c r="D3494" s="104">
        <f t="shared" si="54"/>
        <v>8.1600000000000006E-2</v>
      </c>
      <c r="F3494" s="5"/>
    </row>
    <row r="3495" spans="2:6" ht="13.8" hidden="1" outlineLevel="1">
      <c r="B3495" s="187">
        <v>27499</v>
      </c>
      <c r="C3495" s="188">
        <v>8.16</v>
      </c>
      <c r="D3495" s="104">
        <f t="shared" si="54"/>
        <v>8.1600000000000006E-2</v>
      </c>
      <c r="F3495" s="5"/>
    </row>
    <row r="3496" spans="2:6" ht="13.8" hidden="1" outlineLevel="1">
      <c r="B3496" s="187">
        <v>27500</v>
      </c>
      <c r="C3496" s="188">
        <v>8.15</v>
      </c>
      <c r="D3496" s="104">
        <f t="shared" si="54"/>
        <v>8.1500000000000003E-2</v>
      </c>
      <c r="F3496" s="5"/>
    </row>
    <row r="3497" spans="2:6" ht="13.8" hidden="1" outlineLevel="1">
      <c r="B3497" s="187">
        <v>27501</v>
      </c>
      <c r="C3497" s="188">
        <v>8.2100000000000009</v>
      </c>
      <c r="D3497" s="104">
        <f t="shared" si="54"/>
        <v>8.2100000000000006E-2</v>
      </c>
      <c r="F3497" s="5"/>
    </row>
    <row r="3498" spans="2:6" ht="13.8" hidden="1" outlineLevel="1">
      <c r="B3498" s="187">
        <v>27502</v>
      </c>
      <c r="C3498" s="188">
        <v>8.27</v>
      </c>
      <c r="D3498" s="104">
        <f t="shared" si="54"/>
        <v>8.2699999999999996E-2</v>
      </c>
      <c r="F3498" s="5"/>
    </row>
    <row r="3499" spans="2:6" ht="13.8" hidden="1" outlineLevel="1">
      <c r="B3499" s="187">
        <v>27505</v>
      </c>
      <c r="C3499" s="188">
        <v>8.32</v>
      </c>
      <c r="D3499" s="104">
        <f t="shared" si="54"/>
        <v>8.3199999999999996E-2</v>
      </c>
      <c r="F3499" s="5"/>
    </row>
    <row r="3500" spans="2:6" ht="13.8" hidden="1" outlineLevel="1">
      <c r="B3500" s="187">
        <v>27506</v>
      </c>
      <c r="C3500" s="188">
        <v>8.32</v>
      </c>
      <c r="D3500" s="104">
        <f t="shared" si="54"/>
        <v>8.3199999999999996E-2</v>
      </c>
      <c r="F3500" s="5"/>
    </row>
    <row r="3501" spans="2:6" ht="13.8" hidden="1" outlineLevel="1">
      <c r="B3501" s="187">
        <v>27507</v>
      </c>
      <c r="C3501" s="188">
        <v>8.27</v>
      </c>
      <c r="D3501" s="104">
        <f t="shared" si="54"/>
        <v>8.2699999999999996E-2</v>
      </c>
      <c r="F3501" s="5"/>
    </row>
    <row r="3502" spans="2:6" ht="13.8" hidden="1" outlineLevel="1">
      <c r="B3502" s="187">
        <v>27508</v>
      </c>
      <c r="C3502" s="188">
        <v>8.25</v>
      </c>
      <c r="D3502" s="104">
        <f t="shared" si="54"/>
        <v>8.2500000000000004E-2</v>
      </c>
      <c r="F3502" s="5"/>
    </row>
    <row r="3503" spans="2:6" ht="13.8" hidden="1" outlineLevel="1">
      <c r="B3503" s="187">
        <v>27509</v>
      </c>
      <c r="C3503" s="188">
        <v>8.25</v>
      </c>
      <c r="D3503" s="104">
        <f t="shared" si="54"/>
        <v>8.2500000000000004E-2</v>
      </c>
      <c r="F3503" s="5"/>
    </row>
    <row r="3504" spans="2:6" ht="13.8" hidden="1" outlineLevel="1">
      <c r="B3504" s="187">
        <v>27512</v>
      </c>
      <c r="C3504" s="188">
        <v>8.35</v>
      </c>
      <c r="D3504" s="104">
        <f t="shared" si="54"/>
        <v>8.3499999999999991E-2</v>
      </c>
      <c r="F3504" s="5"/>
    </row>
    <row r="3505" spans="2:6" ht="13.8" hidden="1" outlineLevel="1">
      <c r="B3505" s="187">
        <v>27513</v>
      </c>
      <c r="C3505" s="188">
        <v>8.34</v>
      </c>
      <c r="D3505" s="104">
        <f t="shared" si="54"/>
        <v>8.3400000000000002E-2</v>
      </c>
      <c r="F3505" s="5"/>
    </row>
    <row r="3506" spans="2:6" ht="13.8" hidden="1" outlineLevel="1">
      <c r="B3506" s="187">
        <v>27514</v>
      </c>
      <c r="C3506" s="188">
        <v>8.31</v>
      </c>
      <c r="D3506" s="104">
        <f t="shared" si="54"/>
        <v>8.3100000000000007E-2</v>
      </c>
      <c r="F3506" s="5"/>
    </row>
    <row r="3507" spans="2:6" ht="13.8" hidden="1" outlineLevel="1">
      <c r="B3507" s="187">
        <v>27515</v>
      </c>
      <c r="C3507" s="188">
        <v>8.31</v>
      </c>
      <c r="D3507" s="104">
        <f t="shared" si="54"/>
        <v>8.3100000000000007E-2</v>
      </c>
      <c r="F3507" s="5"/>
    </row>
    <row r="3508" spans="2:6" ht="13.8" hidden="1" outlineLevel="1">
      <c r="B3508" s="187">
        <v>27516</v>
      </c>
      <c r="C3508" s="188">
        <v>8.11</v>
      </c>
      <c r="D3508" s="104">
        <f t="shared" si="54"/>
        <v>8.1099999999999992E-2</v>
      </c>
      <c r="F3508" s="5"/>
    </row>
    <row r="3509" spans="2:6" ht="13.8" hidden="1" outlineLevel="1">
      <c r="B3509" s="187">
        <v>27519</v>
      </c>
      <c r="C3509" s="188">
        <v>8.08</v>
      </c>
      <c r="D3509" s="104">
        <f t="shared" si="54"/>
        <v>8.0799999999999997E-2</v>
      </c>
      <c r="F3509" s="5"/>
    </row>
    <row r="3510" spans="2:6" ht="13.8" hidden="1" outlineLevel="1">
      <c r="B3510" s="187">
        <v>27520</v>
      </c>
      <c r="C3510" s="188">
        <v>8.11</v>
      </c>
      <c r="D3510" s="104">
        <f t="shared" si="54"/>
        <v>8.1099999999999992E-2</v>
      </c>
      <c r="F3510" s="5"/>
    </row>
    <row r="3511" spans="2:6" ht="13.8" hidden="1" outlineLevel="1">
      <c r="B3511" s="187">
        <v>27521</v>
      </c>
      <c r="C3511" s="188">
        <v>8.07</v>
      </c>
      <c r="D3511" s="104">
        <f t="shared" si="54"/>
        <v>8.0700000000000008E-2</v>
      </c>
      <c r="F3511" s="5"/>
    </row>
    <row r="3512" spans="2:6" ht="13.8" hidden="1" outlineLevel="1">
      <c r="B3512" s="187">
        <v>27522</v>
      </c>
      <c r="C3512" s="188">
        <v>8.09</v>
      </c>
      <c r="D3512" s="104">
        <f t="shared" si="54"/>
        <v>8.09E-2</v>
      </c>
      <c r="F3512" s="5"/>
    </row>
    <row r="3513" spans="2:6" ht="13.8" hidden="1" outlineLevel="1">
      <c r="B3513" s="187">
        <v>27523</v>
      </c>
      <c r="C3513" s="188">
        <v>8.08</v>
      </c>
      <c r="D3513" s="104">
        <f t="shared" si="54"/>
        <v>8.0799999999999997E-2</v>
      </c>
      <c r="F3513" s="5"/>
    </row>
    <row r="3514" spans="2:6" ht="13.8" hidden="1" outlineLevel="1">
      <c r="B3514" s="187">
        <v>27526</v>
      </c>
      <c r="C3514" s="188">
        <v>8.07</v>
      </c>
      <c r="D3514" s="104">
        <f t="shared" si="54"/>
        <v>8.0700000000000008E-2</v>
      </c>
      <c r="F3514" s="5"/>
    </row>
    <row r="3515" spans="2:6" ht="13.8" hidden="1" outlineLevel="1">
      <c r="B3515" s="187">
        <v>27527</v>
      </c>
      <c r="C3515" s="188">
        <v>8.06</v>
      </c>
      <c r="D3515" s="104">
        <f t="shared" si="54"/>
        <v>8.0600000000000005E-2</v>
      </c>
      <c r="F3515" s="5"/>
    </row>
    <row r="3516" spans="2:6" ht="13.8" hidden="1" outlineLevel="1">
      <c r="B3516" s="187">
        <v>27528</v>
      </c>
      <c r="C3516" s="188">
        <v>8.02</v>
      </c>
      <c r="D3516" s="104">
        <f t="shared" si="54"/>
        <v>8.0199999999999994E-2</v>
      </c>
      <c r="F3516" s="5"/>
    </row>
    <row r="3517" spans="2:6" ht="13.8" hidden="1" outlineLevel="1">
      <c r="B3517" s="187">
        <v>27529</v>
      </c>
      <c r="C3517" s="188">
        <v>8.02</v>
      </c>
      <c r="D3517" s="104">
        <f t="shared" si="54"/>
        <v>8.0199999999999994E-2</v>
      </c>
      <c r="F3517" s="5"/>
    </row>
    <row r="3518" spans="2:6" ht="13.8" hidden="1" outlineLevel="1">
      <c r="B3518" s="187">
        <v>27530</v>
      </c>
      <c r="C3518" s="188">
        <v>8.01</v>
      </c>
      <c r="D3518" s="104">
        <f t="shared" si="54"/>
        <v>8.0100000000000005E-2</v>
      </c>
      <c r="F3518" s="5"/>
    </row>
    <row r="3519" spans="2:6" ht="13.8" hidden="1" outlineLevel="1">
      <c r="B3519" s="187">
        <v>27533</v>
      </c>
      <c r="C3519" s="188">
        <v>8</v>
      </c>
      <c r="D3519" s="104">
        <f t="shared" si="54"/>
        <v>0.08</v>
      </c>
      <c r="F3519" s="5"/>
    </row>
    <row r="3520" spans="2:6" ht="13.8" hidden="1" outlineLevel="1">
      <c r="B3520" s="187">
        <v>27534</v>
      </c>
      <c r="C3520" s="188">
        <v>7.98</v>
      </c>
      <c r="D3520" s="104">
        <f t="shared" si="54"/>
        <v>7.980000000000001E-2</v>
      </c>
      <c r="F3520" s="5"/>
    </row>
    <row r="3521" spans="2:6" ht="13.8" hidden="1" outlineLevel="1">
      <c r="B3521" s="187">
        <v>27535</v>
      </c>
      <c r="C3521" s="188">
        <v>7.98</v>
      </c>
      <c r="D3521" s="104">
        <f t="shared" si="54"/>
        <v>7.980000000000001E-2</v>
      </c>
      <c r="F3521" s="5"/>
    </row>
    <row r="3522" spans="2:6" ht="13.8" hidden="1" outlineLevel="1">
      <c r="B3522" s="187">
        <v>27536</v>
      </c>
      <c r="C3522" s="188">
        <v>8.02</v>
      </c>
      <c r="D3522" s="104">
        <f t="shared" si="54"/>
        <v>8.0199999999999994E-2</v>
      </c>
      <c r="F3522" s="5"/>
    </row>
    <row r="3523" spans="2:6" ht="13.8" hidden="1" outlineLevel="1">
      <c r="B3523" s="187">
        <v>27537</v>
      </c>
      <c r="C3523" s="188">
        <v>8.02</v>
      </c>
      <c r="D3523" s="104">
        <f t="shared" si="54"/>
        <v>8.0199999999999994E-2</v>
      </c>
      <c r="F3523" s="5"/>
    </row>
    <row r="3524" spans="2:6" ht="13.8" hidden="1" outlineLevel="1">
      <c r="B3524" s="187">
        <v>27540</v>
      </c>
      <c r="C3524" s="188" t="s">
        <v>380</v>
      </c>
      <c r="D3524" s="104">
        <f t="shared" si="54"/>
        <v>8.0199999999999994E-2</v>
      </c>
      <c r="F3524" s="5"/>
    </row>
    <row r="3525" spans="2:6" ht="13.8" hidden="1" outlineLevel="1">
      <c r="B3525" s="187">
        <v>27541</v>
      </c>
      <c r="C3525" s="188">
        <v>7.98</v>
      </c>
      <c r="D3525" s="104">
        <f t="shared" si="54"/>
        <v>7.980000000000001E-2</v>
      </c>
      <c r="F3525" s="5"/>
    </row>
    <row r="3526" spans="2:6" ht="13.8" hidden="1" outlineLevel="1">
      <c r="B3526" s="187">
        <v>27542</v>
      </c>
      <c r="C3526" s="188">
        <v>8.02</v>
      </c>
      <c r="D3526" s="104">
        <f t="shared" si="54"/>
        <v>8.0199999999999994E-2</v>
      </c>
      <c r="F3526" s="5"/>
    </row>
    <row r="3527" spans="2:6" ht="13.8" hidden="1" outlineLevel="1">
      <c r="B3527" s="187">
        <v>27543</v>
      </c>
      <c r="C3527" s="188">
        <v>8.18</v>
      </c>
      <c r="D3527" s="104">
        <f t="shared" si="54"/>
        <v>8.1799999999999998E-2</v>
      </c>
      <c r="F3527" s="5"/>
    </row>
    <row r="3528" spans="2:6" ht="13.8" hidden="1" outlineLevel="1">
      <c r="B3528" s="187">
        <v>27544</v>
      </c>
      <c r="C3528" s="188">
        <v>8.0399999999999991</v>
      </c>
      <c r="D3528" s="104">
        <f t="shared" si="54"/>
        <v>8.0399999999999985E-2</v>
      </c>
      <c r="F3528" s="5"/>
    </row>
    <row r="3529" spans="2:6" ht="13.8" hidden="1" outlineLevel="1">
      <c r="B3529" s="187">
        <v>27547</v>
      </c>
      <c r="C3529" s="188">
        <v>8.02</v>
      </c>
      <c r="D3529" s="104">
        <f t="shared" si="54"/>
        <v>8.0199999999999994E-2</v>
      </c>
      <c r="F3529" s="5"/>
    </row>
    <row r="3530" spans="2:6" ht="13.8" hidden="1" outlineLevel="1">
      <c r="B3530" s="187">
        <v>27548</v>
      </c>
      <c r="C3530" s="188">
        <v>8</v>
      </c>
      <c r="D3530" s="104">
        <f t="shared" si="54"/>
        <v>0.08</v>
      </c>
      <c r="F3530" s="5"/>
    </row>
    <row r="3531" spans="2:6" ht="13.8" hidden="1" outlineLevel="1">
      <c r="B3531" s="187">
        <v>27549</v>
      </c>
      <c r="C3531" s="188">
        <v>7.99</v>
      </c>
      <c r="D3531" s="104">
        <f t="shared" si="54"/>
        <v>7.9899999999999999E-2</v>
      </c>
      <c r="F3531" s="5"/>
    </row>
    <row r="3532" spans="2:6" ht="13.8" hidden="1" outlineLevel="1">
      <c r="B3532" s="187">
        <v>27550</v>
      </c>
      <c r="C3532" s="188">
        <v>7.97</v>
      </c>
      <c r="D3532" s="104">
        <f t="shared" si="54"/>
        <v>7.9699999999999993E-2</v>
      </c>
      <c r="F3532" s="5"/>
    </row>
    <row r="3533" spans="2:6" ht="13.8" hidden="1" outlineLevel="1">
      <c r="B3533" s="187">
        <v>27551</v>
      </c>
      <c r="C3533" s="188">
        <v>7.88</v>
      </c>
      <c r="D3533" s="104">
        <f t="shared" si="54"/>
        <v>7.8799999999999995E-2</v>
      </c>
      <c r="F3533" s="5"/>
    </row>
    <row r="3534" spans="2:6" ht="13.8" hidden="1" outlineLevel="1">
      <c r="B3534" s="187">
        <v>27554</v>
      </c>
      <c r="C3534" s="188">
        <v>7.78</v>
      </c>
      <c r="D3534" s="104">
        <f t="shared" si="54"/>
        <v>7.7800000000000008E-2</v>
      </c>
      <c r="F3534" s="5"/>
    </row>
    <row r="3535" spans="2:6" ht="13.8" hidden="1" outlineLevel="1">
      <c r="B3535" s="187">
        <v>27555</v>
      </c>
      <c r="C3535" s="188">
        <v>7.77</v>
      </c>
      <c r="D3535" s="104">
        <f t="shared" si="54"/>
        <v>7.7699999999999991E-2</v>
      </c>
      <c r="F3535" s="5"/>
    </row>
    <row r="3536" spans="2:6" ht="13.8" hidden="1" outlineLevel="1">
      <c r="B3536" s="187">
        <v>27556</v>
      </c>
      <c r="C3536" s="188">
        <v>7.65</v>
      </c>
      <c r="D3536" s="104">
        <f t="shared" si="54"/>
        <v>7.6499999999999999E-2</v>
      </c>
      <c r="F3536" s="5"/>
    </row>
    <row r="3537" spans="2:6" ht="13.8" hidden="1" outlineLevel="1">
      <c r="B3537" s="187">
        <v>27557</v>
      </c>
      <c r="C3537" s="188">
        <v>7.67</v>
      </c>
      <c r="D3537" s="104">
        <f t="shared" si="54"/>
        <v>7.6700000000000004E-2</v>
      </c>
      <c r="F3537" s="5"/>
    </row>
    <row r="3538" spans="2:6" ht="13.8" hidden="1" outlineLevel="1">
      <c r="B3538" s="187">
        <v>27558</v>
      </c>
      <c r="C3538" s="188">
        <v>7.69</v>
      </c>
      <c r="D3538" s="104">
        <f t="shared" si="54"/>
        <v>7.690000000000001E-2</v>
      </c>
      <c r="F3538" s="5"/>
    </row>
    <row r="3539" spans="2:6" ht="13.8" hidden="1" outlineLevel="1">
      <c r="B3539" s="187">
        <v>27561</v>
      </c>
      <c r="C3539" s="188">
        <v>7.66</v>
      </c>
      <c r="D3539" s="104">
        <f t="shared" si="54"/>
        <v>7.6600000000000001E-2</v>
      </c>
      <c r="F3539" s="5"/>
    </row>
    <row r="3540" spans="2:6" ht="13.8" hidden="1" outlineLevel="1">
      <c r="B3540" s="187">
        <v>27562</v>
      </c>
      <c r="C3540" s="188">
        <v>7.72</v>
      </c>
      <c r="D3540" s="104">
        <f t="shared" si="54"/>
        <v>7.7199999999999991E-2</v>
      </c>
      <c r="F3540" s="5"/>
    </row>
    <row r="3541" spans="2:6" ht="13.8" hidden="1" outlineLevel="1">
      <c r="B3541" s="187">
        <v>27563</v>
      </c>
      <c r="C3541" s="188">
        <v>7.83</v>
      </c>
      <c r="D3541" s="104">
        <f t="shared" si="54"/>
        <v>7.8299999999999995E-2</v>
      </c>
      <c r="F3541" s="5"/>
    </row>
    <row r="3542" spans="2:6" ht="13.8" hidden="1" outlineLevel="1">
      <c r="B3542" s="187">
        <v>27564</v>
      </c>
      <c r="C3542" s="188">
        <v>7.8</v>
      </c>
      <c r="D3542" s="104">
        <f t="shared" si="54"/>
        <v>7.8E-2</v>
      </c>
      <c r="F3542" s="5"/>
    </row>
    <row r="3543" spans="2:6" ht="13.8" hidden="1" outlineLevel="1">
      <c r="B3543" s="187">
        <v>27565</v>
      </c>
      <c r="C3543" s="188">
        <v>7.94</v>
      </c>
      <c r="D3543" s="104">
        <f t="shared" si="54"/>
        <v>7.9399999999999998E-2</v>
      </c>
      <c r="F3543" s="5"/>
    </row>
    <row r="3544" spans="2:6" ht="13.8" hidden="1" outlineLevel="1">
      <c r="B3544" s="187">
        <v>27568</v>
      </c>
      <c r="C3544" s="188">
        <v>7.9</v>
      </c>
      <c r="D3544" s="104">
        <f t="shared" si="54"/>
        <v>7.9000000000000001E-2</v>
      </c>
      <c r="F3544" s="5"/>
    </row>
    <row r="3545" spans="2:6" ht="13.8" hidden="1" outlineLevel="1">
      <c r="B3545" s="187">
        <v>27569</v>
      </c>
      <c r="C3545" s="188">
        <v>7.9</v>
      </c>
      <c r="D3545" s="104">
        <f t="shared" si="54"/>
        <v>7.9000000000000001E-2</v>
      </c>
      <c r="F3545" s="5"/>
    </row>
    <row r="3546" spans="2:6" ht="13.8" hidden="1" outlineLevel="1">
      <c r="B3546" s="187">
        <v>27570</v>
      </c>
      <c r="C3546" s="188">
        <v>8.02</v>
      </c>
      <c r="D3546" s="104">
        <f t="shared" si="54"/>
        <v>8.0199999999999994E-2</v>
      </c>
      <c r="F3546" s="5"/>
    </row>
    <row r="3547" spans="2:6" ht="13.8" hidden="1" outlineLevel="1">
      <c r="B3547" s="187">
        <v>27571</v>
      </c>
      <c r="C3547" s="188">
        <v>7.98</v>
      </c>
      <c r="D3547" s="104">
        <f t="shared" si="54"/>
        <v>7.980000000000001E-2</v>
      </c>
      <c r="F3547" s="5"/>
    </row>
    <row r="3548" spans="2:6" ht="13.8" hidden="1" outlineLevel="1">
      <c r="B3548" s="187">
        <v>27572</v>
      </c>
      <c r="C3548" s="188">
        <v>7.95</v>
      </c>
      <c r="D3548" s="104">
        <f t="shared" si="54"/>
        <v>7.9500000000000001E-2</v>
      </c>
      <c r="F3548" s="5"/>
    </row>
    <row r="3549" spans="2:6" ht="13.8" hidden="1" outlineLevel="1">
      <c r="B3549" s="187">
        <v>27575</v>
      </c>
      <c r="C3549" s="188">
        <v>7.96</v>
      </c>
      <c r="D3549" s="104">
        <f t="shared" si="54"/>
        <v>7.9600000000000004E-2</v>
      </c>
      <c r="F3549" s="5"/>
    </row>
    <row r="3550" spans="2:6" ht="13.8" hidden="1" outlineLevel="1">
      <c r="B3550" s="187">
        <v>27576</v>
      </c>
      <c r="C3550" s="188">
        <v>7.97</v>
      </c>
      <c r="D3550" s="104">
        <f t="shared" ref="D3550:D3613" si="55">IF( LEN( C3550 ) = 0, #N/A, IF( C3550 = "ND", D3549, C3550 / 100 ) )</f>
        <v>7.9699999999999993E-2</v>
      </c>
      <c r="F3550" s="5"/>
    </row>
    <row r="3551" spans="2:6" ht="13.8" hidden="1" outlineLevel="1">
      <c r="B3551" s="187">
        <v>27577</v>
      </c>
      <c r="C3551" s="188">
        <v>8.0500000000000007</v>
      </c>
      <c r="D3551" s="104">
        <f t="shared" si="55"/>
        <v>8.0500000000000002E-2</v>
      </c>
      <c r="F3551" s="5"/>
    </row>
    <row r="3552" spans="2:6" ht="13.8" hidden="1" outlineLevel="1">
      <c r="B3552" s="187">
        <v>27578</v>
      </c>
      <c r="C3552" s="188">
        <v>8.0500000000000007</v>
      </c>
      <c r="D3552" s="104">
        <f t="shared" si="55"/>
        <v>8.0500000000000002E-2</v>
      </c>
      <c r="F3552" s="5"/>
    </row>
    <row r="3553" spans="2:6" ht="13.8" hidden="1" outlineLevel="1">
      <c r="B3553" s="187">
        <v>27579</v>
      </c>
      <c r="C3553" s="188" t="s">
        <v>380</v>
      </c>
      <c r="D3553" s="104">
        <f t="shared" si="55"/>
        <v>8.0500000000000002E-2</v>
      </c>
      <c r="F3553" s="5"/>
    </row>
    <row r="3554" spans="2:6" ht="13.8" hidden="1" outlineLevel="1">
      <c r="B3554" s="187">
        <v>27582</v>
      </c>
      <c r="C3554" s="188">
        <v>8.06</v>
      </c>
      <c r="D3554" s="104">
        <f t="shared" si="55"/>
        <v>8.0600000000000005E-2</v>
      </c>
      <c r="F3554" s="5"/>
    </row>
    <row r="3555" spans="2:6" ht="13.8" hidden="1" outlineLevel="1">
      <c r="B3555" s="187">
        <v>27583</v>
      </c>
      <c r="C3555" s="188">
        <v>8.01</v>
      </c>
      <c r="D3555" s="104">
        <f t="shared" si="55"/>
        <v>8.0100000000000005E-2</v>
      </c>
      <c r="F3555" s="5"/>
    </row>
    <row r="3556" spans="2:6" ht="13.8" hidden="1" outlineLevel="1">
      <c r="B3556" s="187">
        <v>27584</v>
      </c>
      <c r="C3556" s="188">
        <v>8.02</v>
      </c>
      <c r="D3556" s="104">
        <f t="shared" si="55"/>
        <v>8.0199999999999994E-2</v>
      </c>
      <c r="F3556" s="5"/>
    </row>
    <row r="3557" spans="2:6" ht="13.8" hidden="1" outlineLevel="1">
      <c r="B3557" s="187">
        <v>27585</v>
      </c>
      <c r="C3557" s="188">
        <v>8.02</v>
      </c>
      <c r="D3557" s="104">
        <f t="shared" si="55"/>
        <v>8.0199999999999994E-2</v>
      </c>
      <c r="F3557" s="5"/>
    </row>
    <row r="3558" spans="2:6" ht="13.8" hidden="1" outlineLevel="1">
      <c r="B3558" s="187">
        <v>27586</v>
      </c>
      <c r="C3558" s="188">
        <v>7.99</v>
      </c>
      <c r="D3558" s="104">
        <f t="shared" si="55"/>
        <v>7.9899999999999999E-2</v>
      </c>
      <c r="F3558" s="5"/>
    </row>
    <row r="3559" spans="2:6" ht="13.8" hidden="1" outlineLevel="1">
      <c r="B3559" s="187">
        <v>27589</v>
      </c>
      <c r="C3559" s="188">
        <v>7.99</v>
      </c>
      <c r="D3559" s="104">
        <f t="shared" si="55"/>
        <v>7.9899999999999999E-2</v>
      </c>
      <c r="F3559" s="5"/>
    </row>
    <row r="3560" spans="2:6" ht="13.8" hidden="1" outlineLevel="1">
      <c r="B3560" s="187">
        <v>27590</v>
      </c>
      <c r="C3560" s="188">
        <v>7.98</v>
      </c>
      <c r="D3560" s="104">
        <f t="shared" si="55"/>
        <v>7.980000000000001E-2</v>
      </c>
      <c r="F3560" s="5"/>
    </row>
    <row r="3561" spans="2:6" ht="13.8" hidden="1" outlineLevel="1">
      <c r="B3561" s="187">
        <v>27591</v>
      </c>
      <c r="C3561" s="188">
        <v>8.0299999999999994</v>
      </c>
      <c r="D3561" s="104">
        <f t="shared" si="55"/>
        <v>8.0299999999999996E-2</v>
      </c>
      <c r="F3561" s="5"/>
    </row>
    <row r="3562" spans="2:6" ht="13.8" hidden="1" outlineLevel="1">
      <c r="B3562" s="187">
        <v>27592</v>
      </c>
      <c r="C3562" s="188">
        <v>8.0399999999999991</v>
      </c>
      <c r="D3562" s="104">
        <f t="shared" si="55"/>
        <v>8.0399999999999985E-2</v>
      </c>
      <c r="F3562" s="5"/>
    </row>
    <row r="3563" spans="2:6" ht="13.8" hidden="1" outlineLevel="1">
      <c r="B3563" s="187">
        <v>27593</v>
      </c>
      <c r="C3563" s="188">
        <v>8.06</v>
      </c>
      <c r="D3563" s="104">
        <f t="shared" si="55"/>
        <v>8.0600000000000005E-2</v>
      </c>
      <c r="F3563" s="5"/>
    </row>
    <row r="3564" spans="2:6" ht="13.8" hidden="1" outlineLevel="1">
      <c r="B3564" s="187">
        <v>27596</v>
      </c>
      <c r="C3564" s="188">
        <v>8.07</v>
      </c>
      <c r="D3564" s="104">
        <f t="shared" si="55"/>
        <v>8.0700000000000008E-2</v>
      </c>
      <c r="F3564" s="5"/>
    </row>
    <row r="3565" spans="2:6" ht="13.8" hidden="1" outlineLevel="1">
      <c r="B3565" s="187">
        <v>27597</v>
      </c>
      <c r="C3565" s="188">
        <v>8.1</v>
      </c>
      <c r="D3565" s="104">
        <f t="shared" si="55"/>
        <v>8.1000000000000003E-2</v>
      </c>
      <c r="F3565" s="5"/>
    </row>
    <row r="3566" spans="2:6" ht="13.8" hidden="1" outlineLevel="1">
      <c r="B3566" s="187">
        <v>27598</v>
      </c>
      <c r="C3566" s="188">
        <v>8.09</v>
      </c>
      <c r="D3566" s="104">
        <f t="shared" si="55"/>
        <v>8.09E-2</v>
      </c>
      <c r="F3566" s="5"/>
    </row>
    <row r="3567" spans="2:6" ht="13.8" hidden="1" outlineLevel="1">
      <c r="B3567" s="187">
        <v>27599</v>
      </c>
      <c r="C3567" s="188">
        <v>8.09</v>
      </c>
      <c r="D3567" s="104">
        <f t="shared" si="55"/>
        <v>8.09E-2</v>
      </c>
      <c r="F3567" s="5"/>
    </row>
    <row r="3568" spans="2:6" ht="13.8" hidden="1" outlineLevel="1">
      <c r="B3568" s="187">
        <v>27600</v>
      </c>
      <c r="C3568" s="188">
        <v>8.1199999999999992</v>
      </c>
      <c r="D3568" s="104">
        <f t="shared" si="55"/>
        <v>8.1199999999999994E-2</v>
      </c>
      <c r="F3568" s="5"/>
    </row>
    <row r="3569" spans="2:6" ht="13.8" hidden="1" outlineLevel="1">
      <c r="B3569" s="187">
        <v>27603</v>
      </c>
      <c r="C3569" s="188">
        <v>8.1199999999999992</v>
      </c>
      <c r="D3569" s="104">
        <f t="shared" si="55"/>
        <v>8.1199999999999994E-2</v>
      </c>
      <c r="F3569" s="5"/>
    </row>
    <row r="3570" spans="2:6" ht="13.8" hidden="1" outlineLevel="1">
      <c r="B3570" s="187">
        <v>27604</v>
      </c>
      <c r="C3570" s="188">
        <v>8.1300000000000008</v>
      </c>
      <c r="D3570" s="104">
        <f t="shared" si="55"/>
        <v>8.1300000000000011E-2</v>
      </c>
      <c r="F3570" s="5"/>
    </row>
    <row r="3571" spans="2:6" ht="13.8" hidden="1" outlineLevel="1">
      <c r="B3571" s="187">
        <v>27605</v>
      </c>
      <c r="C3571" s="188">
        <v>8.16</v>
      </c>
      <c r="D3571" s="104">
        <f t="shared" si="55"/>
        <v>8.1600000000000006E-2</v>
      </c>
      <c r="F3571" s="5"/>
    </row>
    <row r="3572" spans="2:6" ht="13.8" hidden="1" outlineLevel="1">
      <c r="B3572" s="187">
        <v>27606</v>
      </c>
      <c r="C3572" s="188">
        <v>8.1999999999999993</v>
      </c>
      <c r="D3572" s="104">
        <f t="shared" si="55"/>
        <v>8.199999999999999E-2</v>
      </c>
      <c r="F3572" s="5"/>
    </row>
    <row r="3573" spans="2:6" ht="13.8" hidden="1" outlineLevel="1">
      <c r="B3573" s="187">
        <v>27607</v>
      </c>
      <c r="C3573" s="188">
        <v>8.26</v>
      </c>
      <c r="D3573" s="104">
        <f t="shared" si="55"/>
        <v>8.2599999999999993E-2</v>
      </c>
      <c r="F3573" s="5"/>
    </row>
    <row r="3574" spans="2:6" ht="13.8" hidden="1" outlineLevel="1">
      <c r="B3574" s="187">
        <v>27610</v>
      </c>
      <c r="C3574" s="188">
        <v>8.3699999999999992</v>
      </c>
      <c r="D3574" s="104">
        <f t="shared" si="55"/>
        <v>8.3699999999999997E-2</v>
      </c>
      <c r="F3574" s="5"/>
    </row>
    <row r="3575" spans="2:6" ht="13.8" hidden="1" outlineLevel="1">
      <c r="B3575" s="187">
        <v>27611</v>
      </c>
      <c r="C3575" s="188">
        <v>8.3699999999999992</v>
      </c>
      <c r="D3575" s="104">
        <f t="shared" si="55"/>
        <v>8.3699999999999997E-2</v>
      </c>
      <c r="F3575" s="5"/>
    </row>
    <row r="3576" spans="2:6" ht="13.8" hidden="1" outlineLevel="1">
      <c r="B3576" s="187">
        <v>27612</v>
      </c>
      <c r="C3576" s="188">
        <v>8.4</v>
      </c>
      <c r="D3576" s="104">
        <f t="shared" si="55"/>
        <v>8.4000000000000005E-2</v>
      </c>
      <c r="F3576" s="5"/>
    </row>
    <row r="3577" spans="2:6" ht="13.8" hidden="1" outlineLevel="1">
      <c r="B3577" s="187">
        <v>27613</v>
      </c>
      <c r="C3577" s="188">
        <v>8.48</v>
      </c>
      <c r="D3577" s="104">
        <f t="shared" si="55"/>
        <v>8.48E-2</v>
      </c>
      <c r="F3577" s="5"/>
    </row>
    <row r="3578" spans="2:6" ht="13.8" hidden="1" outlineLevel="1">
      <c r="B3578" s="187">
        <v>27614</v>
      </c>
      <c r="C3578" s="188">
        <v>8.4</v>
      </c>
      <c r="D3578" s="104">
        <f t="shared" si="55"/>
        <v>8.4000000000000005E-2</v>
      </c>
      <c r="F3578" s="5"/>
    </row>
    <row r="3579" spans="2:6" ht="13.8" hidden="1" outlineLevel="1">
      <c r="B3579" s="187">
        <v>27617</v>
      </c>
      <c r="C3579" s="188">
        <v>8.3800000000000008</v>
      </c>
      <c r="D3579" s="104">
        <f t="shared" si="55"/>
        <v>8.3800000000000013E-2</v>
      </c>
      <c r="F3579" s="5"/>
    </row>
    <row r="3580" spans="2:6" ht="13.8" hidden="1" outlineLevel="1">
      <c r="B3580" s="187">
        <v>27618</v>
      </c>
      <c r="C3580" s="188">
        <v>8.4</v>
      </c>
      <c r="D3580" s="104">
        <f t="shared" si="55"/>
        <v>8.4000000000000005E-2</v>
      </c>
      <c r="F3580" s="5"/>
    </row>
    <row r="3581" spans="2:6" ht="13.8" hidden="1" outlineLevel="1">
      <c r="B3581" s="187">
        <v>27619</v>
      </c>
      <c r="C3581" s="188">
        <v>8.39</v>
      </c>
      <c r="D3581" s="104">
        <f t="shared" si="55"/>
        <v>8.3900000000000002E-2</v>
      </c>
      <c r="F3581" s="5"/>
    </row>
    <row r="3582" spans="2:6" ht="13.8" hidden="1" outlineLevel="1">
      <c r="B3582" s="187">
        <v>27620</v>
      </c>
      <c r="C3582" s="188">
        <v>8.4499999999999993</v>
      </c>
      <c r="D3582" s="104">
        <f t="shared" si="55"/>
        <v>8.4499999999999992E-2</v>
      </c>
      <c r="F3582" s="5"/>
    </row>
    <row r="3583" spans="2:6" ht="13.8" hidden="1" outlineLevel="1">
      <c r="B3583" s="187">
        <v>27621</v>
      </c>
      <c r="C3583" s="188">
        <v>8.48</v>
      </c>
      <c r="D3583" s="104">
        <f t="shared" si="55"/>
        <v>8.48E-2</v>
      </c>
      <c r="F3583" s="5"/>
    </row>
    <row r="3584" spans="2:6" ht="13.8" hidden="1" outlineLevel="1">
      <c r="B3584" s="187">
        <v>27624</v>
      </c>
      <c r="C3584" s="188">
        <v>8.4600000000000009</v>
      </c>
      <c r="D3584" s="104">
        <f t="shared" si="55"/>
        <v>8.4600000000000009E-2</v>
      </c>
      <c r="F3584" s="5"/>
    </row>
    <row r="3585" spans="2:6" ht="13.8" hidden="1" outlineLevel="1">
      <c r="B3585" s="187">
        <v>27625</v>
      </c>
      <c r="C3585" s="188">
        <v>8.42</v>
      </c>
      <c r="D3585" s="104">
        <f t="shared" si="55"/>
        <v>8.4199999999999997E-2</v>
      </c>
      <c r="F3585" s="5"/>
    </row>
    <row r="3586" spans="2:6" ht="13.8" hidden="1" outlineLevel="1">
      <c r="B3586" s="187">
        <v>27626</v>
      </c>
      <c r="C3586" s="188">
        <v>8.42</v>
      </c>
      <c r="D3586" s="104">
        <f t="shared" si="55"/>
        <v>8.4199999999999997E-2</v>
      </c>
      <c r="F3586" s="5"/>
    </row>
    <row r="3587" spans="2:6" ht="13.8" hidden="1" outlineLevel="1">
      <c r="B3587" s="187">
        <v>27627</v>
      </c>
      <c r="C3587" s="188">
        <v>8.48</v>
      </c>
      <c r="D3587" s="104">
        <f t="shared" si="55"/>
        <v>8.48E-2</v>
      </c>
      <c r="F3587" s="5"/>
    </row>
    <row r="3588" spans="2:6" ht="13.8" hidden="1" outlineLevel="1">
      <c r="B3588" s="187">
        <v>27628</v>
      </c>
      <c r="C3588" s="188">
        <v>8.4600000000000009</v>
      </c>
      <c r="D3588" s="104">
        <f t="shared" si="55"/>
        <v>8.4600000000000009E-2</v>
      </c>
      <c r="F3588" s="5"/>
    </row>
    <row r="3589" spans="2:6" ht="13.8" hidden="1" outlineLevel="1">
      <c r="B3589" s="187">
        <v>27631</v>
      </c>
      <c r="C3589" s="188">
        <v>8.4600000000000009</v>
      </c>
      <c r="D3589" s="104">
        <f t="shared" si="55"/>
        <v>8.4600000000000009E-2</v>
      </c>
      <c r="F3589" s="5"/>
    </row>
    <row r="3590" spans="2:6" ht="13.8" hidden="1" outlineLevel="1">
      <c r="B3590" s="187">
        <v>27632</v>
      </c>
      <c r="C3590" s="188">
        <v>8.4</v>
      </c>
      <c r="D3590" s="104">
        <f t="shared" si="55"/>
        <v>8.4000000000000005E-2</v>
      </c>
      <c r="F3590" s="5"/>
    </row>
    <row r="3591" spans="2:6" ht="13.8" hidden="1" outlineLevel="1">
      <c r="B3591" s="187">
        <v>27633</v>
      </c>
      <c r="C3591" s="188">
        <v>8.3699999999999992</v>
      </c>
      <c r="D3591" s="104">
        <f t="shared" si="55"/>
        <v>8.3699999999999997E-2</v>
      </c>
      <c r="F3591" s="5"/>
    </row>
    <row r="3592" spans="2:6" ht="13.8" hidden="1" outlineLevel="1">
      <c r="B3592" s="187">
        <v>27634</v>
      </c>
      <c r="C3592" s="188">
        <v>8.2799999999999994</v>
      </c>
      <c r="D3592" s="104">
        <f t="shared" si="55"/>
        <v>8.2799999999999999E-2</v>
      </c>
      <c r="F3592" s="5"/>
    </row>
    <row r="3593" spans="2:6" ht="13.8" hidden="1" outlineLevel="1">
      <c r="B3593" s="187">
        <v>27635</v>
      </c>
      <c r="C3593" s="188">
        <v>8.2200000000000006</v>
      </c>
      <c r="D3593" s="104">
        <f t="shared" si="55"/>
        <v>8.2200000000000009E-2</v>
      </c>
      <c r="F3593" s="5"/>
    </row>
    <row r="3594" spans="2:6" ht="13.8" hidden="1" outlineLevel="1">
      <c r="B3594" s="187">
        <v>27638</v>
      </c>
      <c r="C3594" s="188" t="s">
        <v>380</v>
      </c>
      <c r="D3594" s="104">
        <f t="shared" si="55"/>
        <v>8.2200000000000009E-2</v>
      </c>
      <c r="F3594" s="5"/>
    </row>
    <row r="3595" spans="2:6" ht="13.8" hidden="1" outlineLevel="1">
      <c r="B3595" s="187">
        <v>27639</v>
      </c>
      <c r="C3595" s="188">
        <v>8.26</v>
      </c>
      <c r="D3595" s="104">
        <f t="shared" si="55"/>
        <v>8.2599999999999993E-2</v>
      </c>
      <c r="F3595" s="5"/>
    </row>
    <row r="3596" spans="2:6" ht="13.8" hidden="1" outlineLevel="1">
      <c r="B3596" s="187">
        <v>27640</v>
      </c>
      <c r="C3596" s="188">
        <v>8.2899999999999991</v>
      </c>
      <c r="D3596" s="104">
        <f t="shared" si="55"/>
        <v>8.2899999999999988E-2</v>
      </c>
      <c r="F3596" s="5"/>
    </row>
    <row r="3597" spans="2:6" ht="13.8" hidden="1" outlineLevel="1">
      <c r="B3597" s="187">
        <v>27641</v>
      </c>
      <c r="C3597" s="188">
        <v>8.2899999999999991</v>
      </c>
      <c r="D3597" s="104">
        <f t="shared" si="55"/>
        <v>8.2899999999999988E-2</v>
      </c>
      <c r="F3597" s="5"/>
    </row>
    <row r="3598" spans="2:6" ht="13.8" hidden="1" outlineLevel="1">
      <c r="B3598" s="187">
        <v>27642</v>
      </c>
      <c r="C3598" s="188">
        <v>8.35</v>
      </c>
      <c r="D3598" s="104">
        <f t="shared" si="55"/>
        <v>8.3499999999999991E-2</v>
      </c>
      <c r="F3598" s="5"/>
    </row>
    <row r="3599" spans="2:6" ht="13.8" hidden="1" outlineLevel="1">
      <c r="B3599" s="187">
        <v>27645</v>
      </c>
      <c r="C3599" s="188">
        <v>8.36</v>
      </c>
      <c r="D3599" s="104">
        <f t="shared" si="55"/>
        <v>8.3599999999999994E-2</v>
      </c>
      <c r="F3599" s="5"/>
    </row>
    <row r="3600" spans="2:6" ht="13.8" hidden="1" outlineLevel="1">
      <c r="B3600" s="187">
        <v>27646</v>
      </c>
      <c r="C3600" s="188">
        <v>8.4</v>
      </c>
      <c r="D3600" s="104">
        <f t="shared" si="55"/>
        <v>8.4000000000000005E-2</v>
      </c>
      <c r="F3600" s="5"/>
    </row>
    <row r="3601" spans="2:6" ht="13.8" hidden="1" outlineLevel="1">
      <c r="B3601" s="187">
        <v>27647</v>
      </c>
      <c r="C3601" s="188">
        <v>8.4600000000000009</v>
      </c>
      <c r="D3601" s="104">
        <f t="shared" si="55"/>
        <v>8.4600000000000009E-2</v>
      </c>
      <c r="F3601" s="5"/>
    </row>
    <row r="3602" spans="2:6" ht="13.8" hidden="1" outlineLevel="1">
      <c r="B3602" s="187">
        <v>27648</v>
      </c>
      <c r="C3602" s="188">
        <v>8.5500000000000007</v>
      </c>
      <c r="D3602" s="104">
        <f t="shared" si="55"/>
        <v>8.5500000000000007E-2</v>
      </c>
      <c r="F3602" s="5"/>
    </row>
    <row r="3603" spans="2:6" ht="13.8" hidden="1" outlineLevel="1">
      <c r="B3603" s="187">
        <v>27649</v>
      </c>
      <c r="C3603" s="188">
        <v>8.57</v>
      </c>
      <c r="D3603" s="104">
        <f t="shared" si="55"/>
        <v>8.5699999999999998E-2</v>
      </c>
      <c r="F3603" s="5"/>
    </row>
    <row r="3604" spans="2:6" ht="13.8" hidden="1" outlineLevel="1">
      <c r="B3604" s="187">
        <v>27652</v>
      </c>
      <c r="C3604" s="188">
        <v>8.58</v>
      </c>
      <c r="D3604" s="104">
        <f t="shared" si="55"/>
        <v>8.5800000000000001E-2</v>
      </c>
      <c r="F3604" s="5"/>
    </row>
    <row r="3605" spans="2:6" ht="13.8" hidden="1" outlineLevel="1">
      <c r="B3605" s="187">
        <v>27653</v>
      </c>
      <c r="C3605" s="188">
        <v>8.59</v>
      </c>
      <c r="D3605" s="104">
        <f t="shared" si="55"/>
        <v>8.5900000000000004E-2</v>
      </c>
      <c r="F3605" s="5"/>
    </row>
    <row r="3606" spans="2:6" ht="13.8" hidden="1" outlineLevel="1">
      <c r="B3606" s="187">
        <v>27654</v>
      </c>
      <c r="C3606" s="188">
        <v>8.5299999999999994</v>
      </c>
      <c r="D3606" s="104">
        <f t="shared" si="55"/>
        <v>8.5299999999999987E-2</v>
      </c>
      <c r="F3606" s="5"/>
    </row>
    <row r="3607" spans="2:6" ht="13.8" hidden="1" outlineLevel="1">
      <c r="B3607" s="187">
        <v>27655</v>
      </c>
      <c r="C3607" s="188">
        <v>8.5</v>
      </c>
      <c r="D3607" s="104">
        <f t="shared" si="55"/>
        <v>8.5000000000000006E-2</v>
      </c>
      <c r="F3607" s="5"/>
    </row>
    <row r="3608" spans="2:6" ht="13.8" hidden="1" outlineLevel="1">
      <c r="B3608" s="187">
        <v>27656</v>
      </c>
      <c r="C3608" s="188">
        <v>8.42</v>
      </c>
      <c r="D3608" s="104">
        <f t="shared" si="55"/>
        <v>8.4199999999999997E-2</v>
      </c>
      <c r="F3608" s="5"/>
    </row>
    <row r="3609" spans="2:6" ht="13.8" hidden="1" outlineLevel="1">
      <c r="B3609" s="187">
        <v>27659</v>
      </c>
      <c r="C3609" s="188">
        <v>8.3800000000000008</v>
      </c>
      <c r="D3609" s="104">
        <f t="shared" si="55"/>
        <v>8.3800000000000013E-2</v>
      </c>
      <c r="F3609" s="5"/>
    </row>
    <row r="3610" spans="2:6" ht="13.8" hidden="1" outlineLevel="1">
      <c r="B3610" s="187">
        <v>27660</v>
      </c>
      <c r="C3610" s="188">
        <v>8.35</v>
      </c>
      <c r="D3610" s="104">
        <f t="shared" si="55"/>
        <v>8.3499999999999991E-2</v>
      </c>
      <c r="F3610" s="5"/>
    </row>
    <row r="3611" spans="2:6" ht="13.8" hidden="1" outlineLevel="1">
      <c r="B3611" s="187">
        <v>27661</v>
      </c>
      <c r="C3611" s="188">
        <v>8.31</v>
      </c>
      <c r="D3611" s="104">
        <f t="shared" si="55"/>
        <v>8.3100000000000007E-2</v>
      </c>
      <c r="F3611" s="5"/>
    </row>
    <row r="3612" spans="2:6" ht="13.8" hidden="1" outlineLevel="1">
      <c r="B3612" s="187">
        <v>27662</v>
      </c>
      <c r="C3612" s="188">
        <v>8.3800000000000008</v>
      </c>
      <c r="D3612" s="104">
        <f t="shared" si="55"/>
        <v>8.3800000000000013E-2</v>
      </c>
      <c r="F3612" s="5"/>
    </row>
    <row r="3613" spans="2:6" ht="13.8" hidden="1" outlineLevel="1">
      <c r="B3613" s="187">
        <v>27663</v>
      </c>
      <c r="C3613" s="188">
        <v>8.4499999999999993</v>
      </c>
      <c r="D3613" s="104">
        <f t="shared" si="55"/>
        <v>8.4499999999999992E-2</v>
      </c>
      <c r="F3613" s="5"/>
    </row>
    <row r="3614" spans="2:6" ht="13.8" hidden="1" outlineLevel="1">
      <c r="B3614" s="187">
        <v>27666</v>
      </c>
      <c r="C3614" s="188">
        <v>8.4600000000000009</v>
      </c>
      <c r="D3614" s="104">
        <f t="shared" ref="D3614:D3677" si="56">IF( LEN( C3614 ) = 0, #N/A, IF( C3614 = "ND", D3613, C3614 / 100 ) )</f>
        <v>8.4600000000000009E-2</v>
      </c>
      <c r="F3614" s="5"/>
    </row>
    <row r="3615" spans="2:6" ht="13.8" hidden="1" outlineLevel="1">
      <c r="B3615" s="187">
        <v>27667</v>
      </c>
      <c r="C3615" s="188">
        <v>8.48</v>
      </c>
      <c r="D3615" s="104">
        <f t="shared" si="56"/>
        <v>8.48E-2</v>
      </c>
      <c r="F3615" s="5"/>
    </row>
    <row r="3616" spans="2:6" ht="13.8" hidden="1" outlineLevel="1">
      <c r="B3616" s="187">
        <v>27668</v>
      </c>
      <c r="C3616" s="188">
        <v>8.4700000000000006</v>
      </c>
      <c r="D3616" s="104">
        <f t="shared" si="56"/>
        <v>8.4700000000000011E-2</v>
      </c>
      <c r="F3616" s="5"/>
    </row>
    <row r="3617" spans="2:6" ht="13.8" hidden="1" outlineLevel="1">
      <c r="B3617" s="187">
        <v>27669</v>
      </c>
      <c r="C3617" s="188">
        <v>8.44</v>
      </c>
      <c r="D3617" s="104">
        <f t="shared" si="56"/>
        <v>8.4399999999999989E-2</v>
      </c>
      <c r="F3617" s="5"/>
    </row>
    <row r="3618" spans="2:6" ht="13.8" hidden="1" outlineLevel="1">
      <c r="B3618" s="187">
        <v>27670</v>
      </c>
      <c r="C3618" s="188">
        <v>8.33</v>
      </c>
      <c r="D3618" s="104">
        <f t="shared" si="56"/>
        <v>8.3299999999999999E-2</v>
      </c>
      <c r="F3618" s="5"/>
    </row>
    <row r="3619" spans="2:6" ht="13.8" hidden="1" outlineLevel="1">
      <c r="B3619" s="187">
        <v>27673</v>
      </c>
      <c r="C3619" s="188">
        <v>8.3000000000000007</v>
      </c>
      <c r="D3619" s="104">
        <f t="shared" si="56"/>
        <v>8.3000000000000004E-2</v>
      </c>
      <c r="F3619" s="5"/>
    </row>
    <row r="3620" spans="2:6" ht="13.8" hidden="1" outlineLevel="1">
      <c r="B3620" s="187">
        <v>27674</v>
      </c>
      <c r="C3620" s="188">
        <v>8.33</v>
      </c>
      <c r="D3620" s="104">
        <f t="shared" si="56"/>
        <v>8.3299999999999999E-2</v>
      </c>
      <c r="F3620" s="5"/>
    </row>
    <row r="3621" spans="2:6" ht="13.8" hidden="1" outlineLevel="1">
      <c r="B3621" s="187">
        <v>27675</v>
      </c>
      <c r="C3621" s="188">
        <v>8.3000000000000007</v>
      </c>
      <c r="D3621" s="104">
        <f t="shared" si="56"/>
        <v>8.3000000000000004E-2</v>
      </c>
      <c r="F3621" s="5"/>
    </row>
    <row r="3622" spans="2:6" ht="13.8" hidden="1" outlineLevel="1">
      <c r="B3622" s="187">
        <v>27676</v>
      </c>
      <c r="C3622" s="188">
        <v>8.23</v>
      </c>
      <c r="D3622" s="104">
        <f t="shared" si="56"/>
        <v>8.2299999999999998E-2</v>
      </c>
      <c r="F3622" s="5"/>
    </row>
    <row r="3623" spans="2:6" ht="13.8" hidden="1" outlineLevel="1">
      <c r="B3623" s="187">
        <v>27677</v>
      </c>
      <c r="C3623" s="188">
        <v>8.15</v>
      </c>
      <c r="D3623" s="104">
        <f t="shared" si="56"/>
        <v>8.1500000000000003E-2</v>
      </c>
      <c r="F3623" s="5"/>
    </row>
    <row r="3624" spans="2:6" ht="13.8" hidden="1" outlineLevel="1">
      <c r="B3624" s="187">
        <v>27680</v>
      </c>
      <c r="C3624" s="188" t="s">
        <v>380</v>
      </c>
      <c r="D3624" s="104">
        <f t="shared" si="56"/>
        <v>8.1500000000000003E-2</v>
      </c>
      <c r="F3624" s="5"/>
    </row>
    <row r="3625" spans="2:6" ht="13.8" hidden="1" outlineLevel="1">
      <c r="B3625" s="187">
        <v>27681</v>
      </c>
      <c r="C3625" s="188">
        <v>8.19</v>
      </c>
      <c r="D3625" s="104">
        <f t="shared" si="56"/>
        <v>8.1900000000000001E-2</v>
      </c>
      <c r="F3625" s="5"/>
    </row>
    <row r="3626" spans="2:6" ht="13.8" hidden="1" outlineLevel="1">
      <c r="B3626" s="187">
        <v>27682</v>
      </c>
      <c r="C3626" s="188">
        <v>8.19</v>
      </c>
      <c r="D3626" s="104">
        <f t="shared" si="56"/>
        <v>8.1900000000000001E-2</v>
      </c>
      <c r="F3626" s="5"/>
    </row>
    <row r="3627" spans="2:6" ht="13.8" hidden="1" outlineLevel="1">
      <c r="B3627" s="187">
        <v>27683</v>
      </c>
      <c r="C3627" s="188">
        <v>8.07</v>
      </c>
      <c r="D3627" s="104">
        <f t="shared" si="56"/>
        <v>8.0700000000000008E-2</v>
      </c>
      <c r="F3627" s="5"/>
    </row>
    <row r="3628" spans="2:6" ht="13.8" hidden="1" outlineLevel="1">
      <c r="B3628" s="187">
        <v>27684</v>
      </c>
      <c r="C3628" s="188">
        <v>8.07</v>
      </c>
      <c r="D3628" s="104">
        <f t="shared" si="56"/>
        <v>8.0700000000000008E-2</v>
      </c>
      <c r="F3628" s="5"/>
    </row>
    <row r="3629" spans="2:6" ht="13.8" hidden="1" outlineLevel="1">
      <c r="B3629" s="187">
        <v>27687</v>
      </c>
      <c r="C3629" s="188">
        <v>8.07</v>
      </c>
      <c r="D3629" s="104">
        <f t="shared" si="56"/>
        <v>8.0700000000000008E-2</v>
      </c>
      <c r="F3629" s="5"/>
    </row>
    <row r="3630" spans="2:6" ht="13.8" hidden="1" outlineLevel="1">
      <c r="B3630" s="187">
        <v>27688</v>
      </c>
      <c r="C3630" s="188">
        <v>8.0500000000000007</v>
      </c>
      <c r="D3630" s="104">
        <f t="shared" si="56"/>
        <v>8.0500000000000002E-2</v>
      </c>
      <c r="F3630" s="5"/>
    </row>
    <row r="3631" spans="2:6" ht="13.8" hidden="1" outlineLevel="1">
      <c r="B3631" s="187">
        <v>27689</v>
      </c>
      <c r="C3631" s="188">
        <v>8.0500000000000007</v>
      </c>
      <c r="D3631" s="104">
        <f t="shared" si="56"/>
        <v>8.0500000000000002E-2</v>
      </c>
      <c r="F3631" s="5"/>
    </row>
    <row r="3632" spans="2:6" ht="13.8" hidden="1" outlineLevel="1">
      <c r="B3632" s="187">
        <v>27690</v>
      </c>
      <c r="C3632" s="188">
        <v>7.99</v>
      </c>
      <c r="D3632" s="104">
        <f t="shared" si="56"/>
        <v>7.9899999999999999E-2</v>
      </c>
      <c r="F3632" s="5"/>
    </row>
    <row r="3633" spans="2:6" ht="13.8" hidden="1" outlineLevel="1">
      <c r="B3633" s="187">
        <v>27691</v>
      </c>
      <c r="C3633" s="188">
        <v>8</v>
      </c>
      <c r="D3633" s="104">
        <f t="shared" si="56"/>
        <v>0.08</v>
      </c>
      <c r="F3633" s="5"/>
    </row>
    <row r="3634" spans="2:6" ht="13.8" hidden="1" outlineLevel="1">
      <c r="B3634" s="187">
        <v>27694</v>
      </c>
      <c r="C3634" s="188">
        <v>8</v>
      </c>
      <c r="D3634" s="104">
        <f t="shared" si="56"/>
        <v>0.08</v>
      </c>
      <c r="F3634" s="5"/>
    </row>
    <row r="3635" spans="2:6" ht="13.8" hidden="1" outlineLevel="1">
      <c r="B3635" s="187">
        <v>27695</v>
      </c>
      <c r="C3635" s="188">
        <v>7.99</v>
      </c>
      <c r="D3635" s="104">
        <f t="shared" si="56"/>
        <v>7.9899999999999999E-2</v>
      </c>
      <c r="F3635" s="5"/>
    </row>
    <row r="3636" spans="2:6" ht="13.8" hidden="1" outlineLevel="1">
      <c r="B3636" s="187">
        <v>27696</v>
      </c>
      <c r="C3636" s="188">
        <v>7.98</v>
      </c>
      <c r="D3636" s="104">
        <f t="shared" si="56"/>
        <v>7.980000000000001E-2</v>
      </c>
      <c r="F3636" s="5"/>
    </row>
    <row r="3637" spans="2:6" ht="13.8" hidden="1" outlineLevel="1">
      <c r="B3637" s="187">
        <v>27697</v>
      </c>
      <c r="C3637" s="188">
        <v>7.92</v>
      </c>
      <c r="D3637" s="104">
        <f t="shared" si="56"/>
        <v>7.9199999999999993E-2</v>
      </c>
      <c r="F3637" s="5"/>
    </row>
    <row r="3638" spans="2:6" ht="13.8" hidden="1" outlineLevel="1">
      <c r="B3638" s="187">
        <v>27698</v>
      </c>
      <c r="C3638" s="188">
        <v>7.91</v>
      </c>
      <c r="D3638" s="104">
        <f t="shared" si="56"/>
        <v>7.9100000000000004E-2</v>
      </c>
      <c r="F3638" s="5"/>
    </row>
    <row r="3639" spans="2:6" ht="13.8" hidden="1" outlineLevel="1">
      <c r="B3639" s="187">
        <v>27701</v>
      </c>
      <c r="C3639" s="188">
        <v>7.97</v>
      </c>
      <c r="D3639" s="104">
        <f t="shared" si="56"/>
        <v>7.9699999999999993E-2</v>
      </c>
      <c r="F3639" s="5"/>
    </row>
    <row r="3640" spans="2:6" ht="13.8" hidden="1" outlineLevel="1">
      <c r="B3640" s="187">
        <v>27702</v>
      </c>
      <c r="C3640" s="188" t="s">
        <v>380</v>
      </c>
      <c r="D3640" s="104">
        <f t="shared" si="56"/>
        <v>7.9699999999999993E-2</v>
      </c>
      <c r="F3640" s="5"/>
    </row>
    <row r="3641" spans="2:6" ht="13.8" hidden="1" outlineLevel="1">
      <c r="B3641" s="187">
        <v>27703</v>
      </c>
      <c r="C3641" s="188">
        <v>7.91</v>
      </c>
      <c r="D3641" s="104">
        <f t="shared" si="56"/>
        <v>7.9100000000000004E-2</v>
      </c>
      <c r="F3641" s="5"/>
    </row>
    <row r="3642" spans="2:6" ht="13.8" hidden="1" outlineLevel="1">
      <c r="B3642" s="187">
        <v>27704</v>
      </c>
      <c r="C3642" s="188">
        <v>7.94</v>
      </c>
      <c r="D3642" s="104">
        <f t="shared" si="56"/>
        <v>7.9399999999999998E-2</v>
      </c>
      <c r="F3642" s="5"/>
    </row>
    <row r="3643" spans="2:6" ht="13.8" hidden="1" outlineLevel="1">
      <c r="B3643" s="187">
        <v>27705</v>
      </c>
      <c r="C3643" s="188">
        <v>7.91</v>
      </c>
      <c r="D3643" s="104">
        <f t="shared" si="56"/>
        <v>7.9100000000000004E-2</v>
      </c>
      <c r="F3643" s="5"/>
    </row>
    <row r="3644" spans="2:6" ht="13.8" hidden="1" outlineLevel="1">
      <c r="B3644" s="187">
        <v>27708</v>
      </c>
      <c r="C3644" s="188">
        <v>7.9</v>
      </c>
      <c r="D3644" s="104">
        <f t="shared" si="56"/>
        <v>7.9000000000000001E-2</v>
      </c>
      <c r="F3644" s="5"/>
    </row>
    <row r="3645" spans="2:6" ht="13.8" hidden="1" outlineLevel="1">
      <c r="B3645" s="187">
        <v>27709</v>
      </c>
      <c r="C3645" s="188" t="s">
        <v>380</v>
      </c>
      <c r="D3645" s="104">
        <f t="shared" si="56"/>
        <v>7.9000000000000001E-2</v>
      </c>
      <c r="F3645" s="5"/>
    </row>
    <row r="3646" spans="2:6" ht="13.8" hidden="1" outlineLevel="1">
      <c r="B3646" s="187">
        <v>27710</v>
      </c>
      <c r="C3646" s="188">
        <v>7.95</v>
      </c>
      <c r="D3646" s="104">
        <f t="shared" si="56"/>
        <v>7.9500000000000001E-2</v>
      </c>
      <c r="F3646" s="5"/>
    </row>
    <row r="3647" spans="2:6" ht="13.8" hidden="1" outlineLevel="1">
      <c r="B3647" s="187">
        <v>27711</v>
      </c>
      <c r="C3647" s="188">
        <v>7.97</v>
      </c>
      <c r="D3647" s="104">
        <f t="shared" si="56"/>
        <v>7.9699999999999993E-2</v>
      </c>
      <c r="F3647" s="5"/>
    </row>
    <row r="3648" spans="2:6" ht="13.8" hidden="1" outlineLevel="1">
      <c r="B3648" s="187">
        <v>27712</v>
      </c>
      <c r="C3648" s="188">
        <v>8.06</v>
      </c>
      <c r="D3648" s="104">
        <f t="shared" si="56"/>
        <v>8.0600000000000005E-2</v>
      </c>
      <c r="F3648" s="5"/>
    </row>
    <row r="3649" spans="2:6" ht="13.8" hidden="1" outlineLevel="1">
      <c r="B3649" s="187">
        <v>27715</v>
      </c>
      <c r="C3649" s="188">
        <v>8.08</v>
      </c>
      <c r="D3649" s="104">
        <f t="shared" si="56"/>
        <v>8.0799999999999997E-2</v>
      </c>
      <c r="F3649" s="5"/>
    </row>
    <row r="3650" spans="2:6" ht="13.8" hidden="1" outlineLevel="1">
      <c r="B3650" s="187">
        <v>27716</v>
      </c>
      <c r="C3650" s="188">
        <v>8.1300000000000008</v>
      </c>
      <c r="D3650" s="104">
        <f t="shared" si="56"/>
        <v>8.1300000000000011E-2</v>
      </c>
      <c r="F3650" s="5"/>
    </row>
    <row r="3651" spans="2:6" ht="13.8" hidden="1" outlineLevel="1">
      <c r="B3651" s="187">
        <v>27717</v>
      </c>
      <c r="C3651" s="188">
        <v>8.14</v>
      </c>
      <c r="D3651" s="104">
        <f t="shared" si="56"/>
        <v>8.14E-2</v>
      </c>
      <c r="F3651" s="5"/>
    </row>
    <row r="3652" spans="2:6" ht="13.8" hidden="1" outlineLevel="1">
      <c r="B3652" s="187">
        <v>27718</v>
      </c>
      <c r="C3652" s="188">
        <v>8.1199999999999992</v>
      </c>
      <c r="D3652" s="104">
        <f t="shared" si="56"/>
        <v>8.1199999999999994E-2</v>
      </c>
      <c r="F3652" s="5"/>
    </row>
    <row r="3653" spans="2:6" ht="13.8" hidden="1" outlineLevel="1">
      <c r="B3653" s="187">
        <v>27719</v>
      </c>
      <c r="C3653" s="188">
        <v>8.2100000000000009</v>
      </c>
      <c r="D3653" s="104">
        <f t="shared" si="56"/>
        <v>8.2100000000000006E-2</v>
      </c>
      <c r="F3653" s="5"/>
    </row>
    <row r="3654" spans="2:6" ht="13.8" hidden="1" outlineLevel="1">
      <c r="B3654" s="187">
        <v>27722</v>
      </c>
      <c r="C3654" s="188">
        <v>8.16</v>
      </c>
      <c r="D3654" s="104">
        <f t="shared" si="56"/>
        <v>8.1600000000000006E-2</v>
      </c>
      <c r="F3654" s="5"/>
    </row>
    <row r="3655" spans="2:6" ht="13.8" hidden="1" outlineLevel="1">
      <c r="B3655" s="187">
        <v>27723</v>
      </c>
      <c r="C3655" s="188">
        <v>8.16</v>
      </c>
      <c r="D3655" s="104">
        <f t="shared" si="56"/>
        <v>8.1600000000000006E-2</v>
      </c>
      <c r="F3655" s="5"/>
    </row>
    <row r="3656" spans="2:6" ht="13.8" hidden="1" outlineLevel="1">
      <c r="B3656" s="187">
        <v>27724</v>
      </c>
      <c r="C3656" s="188">
        <v>8.15</v>
      </c>
      <c r="D3656" s="104">
        <f t="shared" si="56"/>
        <v>8.1500000000000003E-2</v>
      </c>
      <c r="F3656" s="5"/>
    </row>
    <row r="3657" spans="2:6" ht="13.8" hidden="1" outlineLevel="1">
      <c r="B3657" s="187">
        <v>27725</v>
      </c>
      <c r="C3657" s="188" t="s">
        <v>380</v>
      </c>
      <c r="D3657" s="104">
        <f t="shared" si="56"/>
        <v>8.1500000000000003E-2</v>
      </c>
      <c r="F3657" s="5"/>
    </row>
    <row r="3658" spans="2:6" ht="13.8" hidden="1" outlineLevel="1">
      <c r="B3658" s="187">
        <v>27726</v>
      </c>
      <c r="C3658" s="188">
        <v>8.14</v>
      </c>
      <c r="D3658" s="104">
        <f t="shared" si="56"/>
        <v>8.14E-2</v>
      </c>
      <c r="F3658" s="5"/>
    </row>
    <row r="3659" spans="2:6" ht="13.8" hidden="1" outlineLevel="1">
      <c r="B3659" s="187">
        <v>27729</v>
      </c>
      <c r="C3659" s="188">
        <v>8.1199999999999992</v>
      </c>
      <c r="D3659" s="104">
        <f t="shared" si="56"/>
        <v>8.1199999999999994E-2</v>
      </c>
      <c r="F3659" s="5"/>
    </row>
    <row r="3660" spans="2:6" ht="13.8" hidden="1" outlineLevel="1">
      <c r="B3660" s="187">
        <v>27730</v>
      </c>
      <c r="C3660" s="188">
        <v>8.1</v>
      </c>
      <c r="D3660" s="104">
        <f t="shared" si="56"/>
        <v>8.1000000000000003E-2</v>
      </c>
      <c r="F3660" s="5"/>
    </row>
    <row r="3661" spans="2:6" ht="13.8" hidden="1" outlineLevel="1">
      <c r="B3661" s="187">
        <v>27731</v>
      </c>
      <c r="C3661" s="188">
        <v>8.1</v>
      </c>
      <c r="D3661" s="104">
        <f t="shared" si="56"/>
        <v>8.1000000000000003E-2</v>
      </c>
      <c r="F3661" s="5"/>
    </row>
    <row r="3662" spans="2:6" ht="13.8" hidden="1" outlineLevel="1">
      <c r="B3662" s="187">
        <v>27732</v>
      </c>
      <c r="C3662" s="188">
        <v>8.15</v>
      </c>
      <c r="D3662" s="104">
        <f t="shared" si="56"/>
        <v>8.1500000000000003E-2</v>
      </c>
      <c r="F3662" s="5"/>
    </row>
    <row r="3663" spans="2:6" ht="13.8" hidden="1" outlineLevel="1">
      <c r="B3663" s="187">
        <v>27733</v>
      </c>
      <c r="C3663" s="188">
        <v>8.1300000000000008</v>
      </c>
      <c r="D3663" s="104">
        <f t="shared" si="56"/>
        <v>8.1300000000000011E-2</v>
      </c>
      <c r="F3663" s="5"/>
    </row>
    <row r="3664" spans="2:6" ht="13.8" hidden="1" outlineLevel="1">
      <c r="B3664" s="187">
        <v>27736</v>
      </c>
      <c r="C3664" s="188">
        <v>8.19</v>
      </c>
      <c r="D3664" s="104">
        <f t="shared" si="56"/>
        <v>8.1900000000000001E-2</v>
      </c>
      <c r="F3664" s="5"/>
    </row>
    <row r="3665" spans="2:6" ht="13.8" hidden="1" outlineLevel="1">
      <c r="B3665" s="187">
        <v>27737</v>
      </c>
      <c r="C3665" s="188">
        <v>8.23</v>
      </c>
      <c r="D3665" s="104">
        <f t="shared" si="56"/>
        <v>8.2299999999999998E-2</v>
      </c>
      <c r="F3665" s="5"/>
    </row>
    <row r="3666" spans="2:6" ht="13.8" hidden="1" outlineLevel="1">
      <c r="B3666" s="187">
        <v>27738</v>
      </c>
      <c r="C3666" s="188">
        <v>8.23</v>
      </c>
      <c r="D3666" s="104">
        <f t="shared" si="56"/>
        <v>8.2299999999999998E-2</v>
      </c>
      <c r="F3666" s="5"/>
    </row>
    <row r="3667" spans="2:6" ht="13.8" hidden="1" outlineLevel="1">
      <c r="B3667" s="187">
        <v>27739</v>
      </c>
      <c r="C3667" s="188">
        <v>8.16</v>
      </c>
      <c r="D3667" s="104">
        <f t="shared" si="56"/>
        <v>8.1600000000000006E-2</v>
      </c>
      <c r="F3667" s="5"/>
    </row>
    <row r="3668" spans="2:6" ht="13.8" hidden="1" outlineLevel="1">
      <c r="B3668" s="187">
        <v>27740</v>
      </c>
      <c r="C3668" s="188">
        <v>8.1199999999999992</v>
      </c>
      <c r="D3668" s="104">
        <f t="shared" si="56"/>
        <v>8.1199999999999994E-2</v>
      </c>
      <c r="F3668" s="5"/>
    </row>
    <row r="3669" spans="2:6" ht="13.8" hidden="1" outlineLevel="1">
      <c r="B3669" s="187">
        <v>27743</v>
      </c>
      <c r="C3669" s="188">
        <v>8.06</v>
      </c>
      <c r="D3669" s="104">
        <f t="shared" si="56"/>
        <v>8.0600000000000005E-2</v>
      </c>
      <c r="F3669" s="5"/>
    </row>
    <row r="3670" spans="2:6" ht="13.8" hidden="1" outlineLevel="1">
      <c r="B3670" s="187">
        <v>27744</v>
      </c>
      <c r="C3670" s="188">
        <v>8</v>
      </c>
      <c r="D3670" s="104">
        <f t="shared" si="56"/>
        <v>0.08</v>
      </c>
      <c r="F3670" s="5"/>
    </row>
    <row r="3671" spans="2:6" ht="13.8" hidden="1" outlineLevel="1">
      <c r="B3671" s="187">
        <v>27745</v>
      </c>
      <c r="C3671" s="188">
        <v>7.95</v>
      </c>
      <c r="D3671" s="104">
        <f t="shared" si="56"/>
        <v>7.9500000000000001E-2</v>
      </c>
      <c r="F3671" s="5"/>
    </row>
    <row r="3672" spans="2:6" ht="13.8" hidden="1" outlineLevel="1">
      <c r="B3672" s="187">
        <v>27746</v>
      </c>
      <c r="C3672" s="188">
        <v>7.96</v>
      </c>
      <c r="D3672" s="104">
        <f t="shared" si="56"/>
        <v>7.9600000000000004E-2</v>
      </c>
      <c r="F3672" s="5"/>
    </row>
    <row r="3673" spans="2:6" ht="13.8" hidden="1" outlineLevel="1">
      <c r="B3673" s="187">
        <v>27747</v>
      </c>
      <c r="C3673" s="188">
        <v>7.88</v>
      </c>
      <c r="D3673" s="104">
        <f t="shared" si="56"/>
        <v>7.8799999999999995E-2</v>
      </c>
      <c r="F3673" s="5"/>
    </row>
    <row r="3674" spans="2:6" ht="13.8" hidden="1" outlineLevel="1">
      <c r="B3674" s="187">
        <v>27750</v>
      </c>
      <c r="C3674" s="188">
        <v>7.87</v>
      </c>
      <c r="D3674" s="104">
        <f t="shared" si="56"/>
        <v>7.8700000000000006E-2</v>
      </c>
      <c r="F3674" s="5"/>
    </row>
    <row r="3675" spans="2:6" ht="13.8" hidden="1" outlineLevel="1">
      <c r="B3675" s="187">
        <v>27751</v>
      </c>
      <c r="C3675" s="188">
        <v>7.87</v>
      </c>
      <c r="D3675" s="104">
        <f t="shared" si="56"/>
        <v>7.8700000000000006E-2</v>
      </c>
      <c r="F3675" s="5"/>
    </row>
    <row r="3676" spans="2:6" ht="13.8" hidden="1" outlineLevel="1">
      <c r="B3676" s="187">
        <v>27752</v>
      </c>
      <c r="C3676" s="188">
        <v>7.82</v>
      </c>
      <c r="D3676" s="104">
        <f t="shared" si="56"/>
        <v>7.8200000000000006E-2</v>
      </c>
      <c r="F3676" s="5"/>
    </row>
    <row r="3677" spans="2:6" ht="13.8" hidden="1" outlineLevel="1">
      <c r="B3677" s="187">
        <v>27753</v>
      </c>
      <c r="C3677" s="188" t="s">
        <v>380</v>
      </c>
      <c r="D3677" s="104">
        <f t="shared" si="56"/>
        <v>7.8200000000000006E-2</v>
      </c>
      <c r="F3677" s="5"/>
    </row>
    <row r="3678" spans="2:6" ht="13.8" hidden="1" outlineLevel="1">
      <c r="B3678" s="187">
        <v>27754</v>
      </c>
      <c r="C3678" s="188">
        <v>7.75</v>
      </c>
      <c r="D3678" s="104">
        <f t="shared" ref="D3678:D3741" si="57">IF( LEN( C3678 ) = 0, #N/A, IF( C3678 = "ND", D3677, C3678 / 100 ) )</f>
        <v>7.7499999999999999E-2</v>
      </c>
      <c r="F3678" s="5"/>
    </row>
    <row r="3679" spans="2:6" ht="13.8" hidden="1" outlineLevel="1">
      <c r="B3679" s="187">
        <v>27757</v>
      </c>
      <c r="C3679" s="188">
        <v>7.75</v>
      </c>
      <c r="D3679" s="104">
        <f t="shared" si="57"/>
        <v>7.7499999999999999E-2</v>
      </c>
      <c r="F3679" s="5"/>
    </row>
    <row r="3680" spans="2:6" ht="13.8" hidden="1" outlineLevel="1">
      <c r="B3680" s="187">
        <v>27758</v>
      </c>
      <c r="C3680" s="188">
        <v>7.73</v>
      </c>
      <c r="D3680" s="104">
        <f t="shared" si="57"/>
        <v>7.7300000000000008E-2</v>
      </c>
      <c r="F3680" s="5"/>
    </row>
    <row r="3681" spans="2:6" ht="13.8" hidden="1" outlineLevel="1">
      <c r="B3681" s="187">
        <v>27759</v>
      </c>
      <c r="C3681" s="188">
        <v>7.76</v>
      </c>
      <c r="D3681" s="104">
        <f t="shared" si="57"/>
        <v>7.7600000000000002E-2</v>
      </c>
      <c r="F3681" s="5"/>
    </row>
    <row r="3682" spans="2:6" ht="13.8" hidden="1" outlineLevel="1">
      <c r="B3682" s="187">
        <v>27760</v>
      </c>
      <c r="C3682" s="188" t="s">
        <v>380</v>
      </c>
      <c r="D3682" s="104">
        <f t="shared" si="57"/>
        <v>7.7600000000000002E-2</v>
      </c>
      <c r="F3682" s="5"/>
    </row>
    <row r="3683" spans="2:6" ht="13.8" hidden="1" outlineLevel="1">
      <c r="B3683" s="187">
        <v>27761</v>
      </c>
      <c r="C3683" s="188">
        <v>7.77</v>
      </c>
      <c r="D3683" s="104">
        <f t="shared" si="57"/>
        <v>7.7699999999999991E-2</v>
      </c>
      <c r="F3683" s="5"/>
    </row>
    <row r="3684" spans="2:6" ht="13.8" hidden="1" outlineLevel="1">
      <c r="B3684" s="187">
        <v>27764</v>
      </c>
      <c r="C3684" s="188">
        <v>7.74</v>
      </c>
      <c r="D3684" s="104">
        <f t="shared" si="57"/>
        <v>7.7399999999999997E-2</v>
      </c>
      <c r="F3684" s="5"/>
    </row>
    <row r="3685" spans="2:6" ht="13.8" hidden="1" outlineLevel="1">
      <c r="B3685" s="187">
        <v>27765</v>
      </c>
      <c r="C3685" s="188">
        <v>7.64</v>
      </c>
      <c r="D3685" s="104">
        <f t="shared" si="57"/>
        <v>7.6399999999999996E-2</v>
      </c>
      <c r="F3685" s="5"/>
    </row>
    <row r="3686" spans="2:6" ht="13.8" hidden="1" outlineLevel="1">
      <c r="B3686" s="187">
        <v>27766</v>
      </c>
      <c r="C3686" s="188">
        <v>7.69</v>
      </c>
      <c r="D3686" s="104">
        <f t="shared" si="57"/>
        <v>7.690000000000001E-2</v>
      </c>
      <c r="F3686" s="5"/>
    </row>
    <row r="3687" spans="2:6" ht="13.8" hidden="1" outlineLevel="1">
      <c r="B3687" s="187">
        <v>27767</v>
      </c>
      <c r="C3687" s="188">
        <v>7.74</v>
      </c>
      <c r="D3687" s="104">
        <f t="shared" si="57"/>
        <v>7.7399999999999997E-2</v>
      </c>
      <c r="F3687" s="5"/>
    </row>
    <row r="3688" spans="2:6" ht="13.8" hidden="1" outlineLevel="1">
      <c r="B3688" s="187">
        <v>27768</v>
      </c>
      <c r="C3688" s="188">
        <v>7.64</v>
      </c>
      <c r="D3688" s="104">
        <f t="shared" si="57"/>
        <v>7.6399999999999996E-2</v>
      </c>
      <c r="F3688" s="5"/>
    </row>
    <row r="3689" spans="2:6" ht="13.8" hidden="1" outlineLevel="1">
      <c r="B3689" s="187">
        <v>27771</v>
      </c>
      <c r="C3689" s="188">
        <v>7.63</v>
      </c>
      <c r="D3689" s="104">
        <f t="shared" si="57"/>
        <v>7.6299999999999993E-2</v>
      </c>
      <c r="F3689" s="5"/>
    </row>
    <row r="3690" spans="2:6" ht="13.8" hidden="1" outlineLevel="1">
      <c r="B3690" s="187">
        <v>27772</v>
      </c>
      <c r="C3690" s="188">
        <v>7.64</v>
      </c>
      <c r="D3690" s="104">
        <f t="shared" si="57"/>
        <v>7.6399999999999996E-2</v>
      </c>
      <c r="F3690" s="5"/>
    </row>
    <row r="3691" spans="2:6" ht="13.8" hidden="1" outlineLevel="1">
      <c r="B3691" s="187">
        <v>27773</v>
      </c>
      <c r="C3691" s="188">
        <v>7.71</v>
      </c>
      <c r="D3691" s="104">
        <f t="shared" si="57"/>
        <v>7.7100000000000002E-2</v>
      </c>
      <c r="F3691" s="5"/>
    </row>
    <row r="3692" spans="2:6" ht="13.8" hidden="1" outlineLevel="1">
      <c r="B3692" s="187">
        <v>27774</v>
      </c>
      <c r="C3692" s="188">
        <v>7.73</v>
      </c>
      <c r="D3692" s="104">
        <f t="shared" si="57"/>
        <v>7.7300000000000008E-2</v>
      </c>
      <c r="F3692" s="5"/>
    </row>
    <row r="3693" spans="2:6" ht="13.8" hidden="1" outlineLevel="1">
      <c r="B3693" s="187">
        <v>27775</v>
      </c>
      <c r="C3693" s="188">
        <v>7.79</v>
      </c>
      <c r="D3693" s="104">
        <f t="shared" si="57"/>
        <v>7.7899999999999997E-2</v>
      </c>
      <c r="F3693" s="5"/>
    </row>
    <row r="3694" spans="2:6" ht="13.8" hidden="1" outlineLevel="1">
      <c r="B3694" s="187">
        <v>27778</v>
      </c>
      <c r="C3694" s="188">
        <v>7.76</v>
      </c>
      <c r="D3694" s="104">
        <f t="shared" si="57"/>
        <v>7.7600000000000002E-2</v>
      </c>
      <c r="F3694" s="5"/>
    </row>
    <row r="3695" spans="2:6" ht="13.8" hidden="1" outlineLevel="1">
      <c r="B3695" s="187">
        <v>27779</v>
      </c>
      <c r="C3695" s="188">
        <v>7.71</v>
      </c>
      <c r="D3695" s="104">
        <f t="shared" si="57"/>
        <v>7.7100000000000002E-2</v>
      </c>
      <c r="F3695" s="5"/>
    </row>
    <row r="3696" spans="2:6" ht="13.8" hidden="1" outlineLevel="1">
      <c r="B3696" s="187">
        <v>27780</v>
      </c>
      <c r="C3696" s="188">
        <v>7.78</v>
      </c>
      <c r="D3696" s="104">
        <f t="shared" si="57"/>
        <v>7.7800000000000008E-2</v>
      </c>
      <c r="F3696" s="5"/>
    </row>
    <row r="3697" spans="2:6" ht="13.8" hidden="1" outlineLevel="1">
      <c r="B3697" s="187">
        <v>27781</v>
      </c>
      <c r="C3697" s="188">
        <v>7.8</v>
      </c>
      <c r="D3697" s="104">
        <f t="shared" si="57"/>
        <v>7.8E-2</v>
      </c>
      <c r="F3697" s="5"/>
    </row>
    <row r="3698" spans="2:6" ht="13.8" hidden="1" outlineLevel="1">
      <c r="B3698" s="187">
        <v>27782</v>
      </c>
      <c r="C3698" s="188">
        <v>7.78</v>
      </c>
      <c r="D3698" s="104">
        <f t="shared" si="57"/>
        <v>7.7800000000000008E-2</v>
      </c>
      <c r="F3698" s="5"/>
    </row>
    <row r="3699" spans="2:6" ht="13.8" hidden="1" outlineLevel="1">
      <c r="B3699" s="187">
        <v>27785</v>
      </c>
      <c r="C3699" s="188">
        <v>7.79</v>
      </c>
      <c r="D3699" s="104">
        <f t="shared" si="57"/>
        <v>7.7899999999999997E-2</v>
      </c>
      <c r="F3699" s="5"/>
    </row>
    <row r="3700" spans="2:6" ht="13.8" hidden="1" outlineLevel="1">
      <c r="B3700" s="187">
        <v>27786</v>
      </c>
      <c r="C3700" s="188">
        <v>7.8</v>
      </c>
      <c r="D3700" s="104">
        <f t="shared" si="57"/>
        <v>7.8E-2</v>
      </c>
      <c r="F3700" s="5"/>
    </row>
    <row r="3701" spans="2:6" ht="13.8" hidden="1" outlineLevel="1">
      <c r="B3701" s="187">
        <v>27787</v>
      </c>
      <c r="C3701" s="188">
        <v>7.83</v>
      </c>
      <c r="D3701" s="104">
        <f t="shared" si="57"/>
        <v>7.8299999999999995E-2</v>
      </c>
      <c r="F3701" s="5"/>
    </row>
    <row r="3702" spans="2:6" ht="13.8" hidden="1" outlineLevel="1">
      <c r="B3702" s="187">
        <v>27788</v>
      </c>
      <c r="C3702" s="188">
        <v>7.82</v>
      </c>
      <c r="D3702" s="104">
        <f t="shared" si="57"/>
        <v>7.8200000000000006E-2</v>
      </c>
      <c r="F3702" s="5"/>
    </row>
    <row r="3703" spans="2:6" ht="13.8" hidden="1" outlineLevel="1">
      <c r="B3703" s="187">
        <v>27789</v>
      </c>
      <c r="C3703" s="188">
        <v>7.8</v>
      </c>
      <c r="D3703" s="104">
        <f t="shared" si="57"/>
        <v>7.8E-2</v>
      </c>
      <c r="F3703" s="5"/>
    </row>
    <row r="3704" spans="2:6" ht="13.8" hidden="1" outlineLevel="1">
      <c r="B3704" s="187">
        <v>27792</v>
      </c>
      <c r="C3704" s="188">
        <v>7.8</v>
      </c>
      <c r="D3704" s="104">
        <f t="shared" si="57"/>
        <v>7.8E-2</v>
      </c>
      <c r="F3704" s="5"/>
    </row>
    <row r="3705" spans="2:6" ht="13.8" hidden="1" outlineLevel="1">
      <c r="B3705" s="187">
        <v>27793</v>
      </c>
      <c r="C3705" s="188">
        <v>7.82</v>
      </c>
      <c r="D3705" s="104">
        <f t="shared" si="57"/>
        <v>7.8200000000000006E-2</v>
      </c>
      <c r="F3705" s="5"/>
    </row>
    <row r="3706" spans="2:6" ht="13.8" hidden="1" outlineLevel="1">
      <c r="B3706" s="187">
        <v>27794</v>
      </c>
      <c r="C3706" s="188">
        <v>7.85</v>
      </c>
      <c r="D3706" s="104">
        <f t="shared" si="57"/>
        <v>7.85E-2</v>
      </c>
      <c r="F3706" s="5"/>
    </row>
    <row r="3707" spans="2:6" ht="13.8" hidden="1" outlineLevel="1">
      <c r="B3707" s="187">
        <v>27795</v>
      </c>
      <c r="C3707" s="188">
        <v>7.83</v>
      </c>
      <c r="D3707" s="104">
        <f t="shared" si="57"/>
        <v>7.8299999999999995E-2</v>
      </c>
      <c r="F3707" s="5"/>
    </row>
    <row r="3708" spans="2:6" ht="13.8" hidden="1" outlineLevel="1">
      <c r="B3708" s="187">
        <v>27796</v>
      </c>
      <c r="C3708" s="188">
        <v>7.88</v>
      </c>
      <c r="D3708" s="104">
        <f t="shared" si="57"/>
        <v>7.8799999999999995E-2</v>
      </c>
      <c r="F3708" s="5"/>
    </row>
    <row r="3709" spans="2:6" ht="13.8" hidden="1" outlineLevel="1">
      <c r="B3709" s="187">
        <v>27799</v>
      </c>
      <c r="C3709" s="188">
        <v>7.86</v>
      </c>
      <c r="D3709" s="104">
        <f t="shared" si="57"/>
        <v>7.8600000000000003E-2</v>
      </c>
      <c r="F3709" s="5"/>
    </row>
    <row r="3710" spans="2:6" ht="13.8" hidden="1" outlineLevel="1">
      <c r="B3710" s="187">
        <v>27800</v>
      </c>
      <c r="C3710" s="188">
        <v>7.88</v>
      </c>
      <c r="D3710" s="104">
        <f t="shared" si="57"/>
        <v>7.8799999999999995E-2</v>
      </c>
      <c r="F3710" s="5"/>
    </row>
    <row r="3711" spans="2:6" ht="13.8" hidden="1" outlineLevel="1">
      <c r="B3711" s="187">
        <v>27801</v>
      </c>
      <c r="C3711" s="188">
        <v>7.85</v>
      </c>
      <c r="D3711" s="104">
        <f t="shared" si="57"/>
        <v>7.85E-2</v>
      </c>
      <c r="F3711" s="5"/>
    </row>
    <row r="3712" spans="2:6" ht="13.8" hidden="1" outlineLevel="1">
      <c r="B3712" s="187">
        <v>27802</v>
      </c>
      <c r="C3712" s="188" t="s">
        <v>380</v>
      </c>
      <c r="D3712" s="104">
        <f t="shared" si="57"/>
        <v>7.85E-2</v>
      </c>
      <c r="F3712" s="5"/>
    </row>
    <row r="3713" spans="2:6" ht="13.8" hidden="1" outlineLevel="1">
      <c r="B3713" s="187">
        <v>27803</v>
      </c>
      <c r="C3713" s="188">
        <v>7.82</v>
      </c>
      <c r="D3713" s="104">
        <f t="shared" si="57"/>
        <v>7.8200000000000006E-2</v>
      </c>
      <c r="F3713" s="5"/>
    </row>
    <row r="3714" spans="2:6" ht="13.8" hidden="1" outlineLevel="1">
      <c r="B3714" s="187">
        <v>27806</v>
      </c>
      <c r="C3714" s="188" t="s">
        <v>380</v>
      </c>
      <c r="D3714" s="104">
        <f t="shared" si="57"/>
        <v>7.8200000000000006E-2</v>
      </c>
      <c r="F3714" s="5"/>
    </row>
    <row r="3715" spans="2:6" ht="13.8" hidden="1" outlineLevel="1">
      <c r="B3715" s="187">
        <v>27807</v>
      </c>
      <c r="C3715" s="188">
        <v>7.78</v>
      </c>
      <c r="D3715" s="104">
        <f t="shared" si="57"/>
        <v>7.7800000000000008E-2</v>
      </c>
      <c r="F3715" s="5"/>
    </row>
    <row r="3716" spans="2:6" ht="13.8" hidden="1" outlineLevel="1">
      <c r="B3716" s="187">
        <v>27808</v>
      </c>
      <c r="C3716" s="188">
        <v>7.79</v>
      </c>
      <c r="D3716" s="104">
        <f t="shared" si="57"/>
        <v>7.7899999999999997E-2</v>
      </c>
      <c r="F3716" s="5"/>
    </row>
    <row r="3717" spans="2:6" ht="13.8" hidden="1" outlineLevel="1">
      <c r="B3717" s="187">
        <v>27809</v>
      </c>
      <c r="C3717" s="188">
        <v>7.8</v>
      </c>
      <c r="D3717" s="104">
        <f t="shared" si="57"/>
        <v>7.8E-2</v>
      </c>
      <c r="F3717" s="5"/>
    </row>
    <row r="3718" spans="2:6" ht="13.8" hidden="1" outlineLevel="1">
      <c r="B3718" s="187">
        <v>27810</v>
      </c>
      <c r="C3718" s="188">
        <v>7.77</v>
      </c>
      <c r="D3718" s="104">
        <f t="shared" si="57"/>
        <v>7.7699999999999991E-2</v>
      </c>
      <c r="F3718" s="5"/>
    </row>
    <row r="3719" spans="2:6" ht="13.8" hidden="1" outlineLevel="1">
      <c r="B3719" s="187">
        <v>27813</v>
      </c>
      <c r="C3719" s="188">
        <v>7.72</v>
      </c>
      <c r="D3719" s="104">
        <f t="shared" si="57"/>
        <v>7.7199999999999991E-2</v>
      </c>
      <c r="F3719" s="5"/>
    </row>
    <row r="3720" spans="2:6" ht="13.8" hidden="1" outlineLevel="1">
      <c r="B3720" s="187">
        <v>27814</v>
      </c>
      <c r="C3720" s="188">
        <v>7.69</v>
      </c>
      <c r="D3720" s="104">
        <f t="shared" si="57"/>
        <v>7.690000000000001E-2</v>
      </c>
      <c r="F3720" s="5"/>
    </row>
    <row r="3721" spans="2:6" ht="13.8" hidden="1" outlineLevel="1">
      <c r="B3721" s="187">
        <v>27815</v>
      </c>
      <c r="C3721" s="188">
        <v>7.68</v>
      </c>
      <c r="D3721" s="104">
        <f t="shared" si="57"/>
        <v>7.6799999999999993E-2</v>
      </c>
      <c r="F3721" s="5"/>
    </row>
    <row r="3722" spans="2:6" ht="13.8" hidden="1" outlineLevel="1">
      <c r="B3722" s="187">
        <v>27816</v>
      </c>
      <c r="C3722" s="188">
        <v>7.68</v>
      </c>
      <c r="D3722" s="104">
        <f t="shared" si="57"/>
        <v>7.6799999999999993E-2</v>
      </c>
      <c r="F3722" s="5"/>
    </row>
    <row r="3723" spans="2:6" ht="13.8" hidden="1" outlineLevel="1">
      <c r="B3723" s="187">
        <v>27817</v>
      </c>
      <c r="C3723" s="188">
        <v>7.77</v>
      </c>
      <c r="D3723" s="104">
        <f t="shared" si="57"/>
        <v>7.7699999999999991E-2</v>
      </c>
      <c r="F3723" s="5"/>
    </row>
    <row r="3724" spans="2:6" ht="13.8" hidden="1" outlineLevel="1">
      <c r="B3724" s="187">
        <v>27820</v>
      </c>
      <c r="C3724" s="188">
        <v>7.86</v>
      </c>
      <c r="D3724" s="104">
        <f t="shared" si="57"/>
        <v>7.8600000000000003E-2</v>
      </c>
      <c r="F3724" s="5"/>
    </row>
    <row r="3725" spans="2:6" ht="13.8" hidden="1" outlineLevel="1">
      <c r="B3725" s="187">
        <v>27821</v>
      </c>
      <c r="C3725" s="188">
        <v>7.82</v>
      </c>
      <c r="D3725" s="104">
        <f t="shared" si="57"/>
        <v>7.8200000000000006E-2</v>
      </c>
      <c r="F3725" s="5"/>
    </row>
    <row r="3726" spans="2:6" ht="13.8" hidden="1" outlineLevel="1">
      <c r="B3726" s="187">
        <v>27822</v>
      </c>
      <c r="C3726" s="188">
        <v>7.82</v>
      </c>
      <c r="D3726" s="104">
        <f t="shared" si="57"/>
        <v>7.8200000000000006E-2</v>
      </c>
      <c r="F3726" s="5"/>
    </row>
    <row r="3727" spans="2:6" ht="13.8" hidden="1" outlineLevel="1">
      <c r="B3727" s="187">
        <v>27823</v>
      </c>
      <c r="C3727" s="188">
        <v>7.85</v>
      </c>
      <c r="D3727" s="104">
        <f t="shared" si="57"/>
        <v>7.85E-2</v>
      </c>
      <c r="F3727" s="5"/>
    </row>
    <row r="3728" spans="2:6" ht="13.8" hidden="1" outlineLevel="1">
      <c r="B3728" s="187">
        <v>27824</v>
      </c>
      <c r="C3728" s="188">
        <v>7.8</v>
      </c>
      <c r="D3728" s="104">
        <f t="shared" si="57"/>
        <v>7.8E-2</v>
      </c>
      <c r="F3728" s="5"/>
    </row>
    <row r="3729" spans="2:6" ht="13.8" hidden="1" outlineLevel="1">
      <c r="B3729" s="187">
        <v>27827</v>
      </c>
      <c r="C3729" s="188">
        <v>7.76</v>
      </c>
      <c r="D3729" s="104">
        <f t="shared" si="57"/>
        <v>7.7600000000000002E-2</v>
      </c>
      <c r="F3729" s="5"/>
    </row>
    <row r="3730" spans="2:6" ht="13.8" hidden="1" outlineLevel="1">
      <c r="B3730" s="187">
        <v>27828</v>
      </c>
      <c r="C3730" s="188">
        <v>7.78</v>
      </c>
      <c r="D3730" s="104">
        <f t="shared" si="57"/>
        <v>7.7800000000000008E-2</v>
      </c>
      <c r="F3730" s="5"/>
    </row>
    <row r="3731" spans="2:6" ht="13.8" hidden="1" outlineLevel="1">
      <c r="B3731" s="187">
        <v>27829</v>
      </c>
      <c r="C3731" s="188">
        <v>7.76</v>
      </c>
      <c r="D3731" s="104">
        <f t="shared" si="57"/>
        <v>7.7600000000000002E-2</v>
      </c>
      <c r="F3731" s="5"/>
    </row>
    <row r="3732" spans="2:6" ht="13.8" hidden="1" outlineLevel="1">
      <c r="B3732" s="187">
        <v>27830</v>
      </c>
      <c r="C3732" s="188">
        <v>7.77</v>
      </c>
      <c r="D3732" s="104">
        <f t="shared" si="57"/>
        <v>7.7699999999999991E-2</v>
      </c>
      <c r="F3732" s="5"/>
    </row>
    <row r="3733" spans="2:6" ht="13.8" hidden="1" outlineLevel="1">
      <c r="B3733" s="187">
        <v>27831</v>
      </c>
      <c r="C3733" s="188">
        <v>7.71</v>
      </c>
      <c r="D3733" s="104">
        <f t="shared" si="57"/>
        <v>7.7100000000000002E-2</v>
      </c>
      <c r="F3733" s="5"/>
    </row>
    <row r="3734" spans="2:6" ht="13.8" hidden="1" outlineLevel="1">
      <c r="B3734" s="187">
        <v>27834</v>
      </c>
      <c r="C3734" s="188">
        <v>7.74</v>
      </c>
      <c r="D3734" s="104">
        <f t="shared" si="57"/>
        <v>7.7399999999999997E-2</v>
      </c>
      <c r="F3734" s="5"/>
    </row>
    <row r="3735" spans="2:6" ht="13.8" hidden="1" outlineLevel="1">
      <c r="B3735" s="187">
        <v>27835</v>
      </c>
      <c r="C3735" s="188">
        <v>7.76</v>
      </c>
      <c r="D3735" s="104">
        <f t="shared" si="57"/>
        <v>7.7600000000000002E-2</v>
      </c>
      <c r="F3735" s="5"/>
    </row>
    <row r="3736" spans="2:6" ht="13.8" hidden="1" outlineLevel="1">
      <c r="B3736" s="187">
        <v>27836</v>
      </c>
      <c r="C3736" s="188">
        <v>7.76</v>
      </c>
      <c r="D3736" s="104">
        <f t="shared" si="57"/>
        <v>7.7600000000000002E-2</v>
      </c>
      <c r="F3736" s="5"/>
    </row>
    <row r="3737" spans="2:6" ht="13.8" hidden="1" outlineLevel="1">
      <c r="B3737" s="187">
        <v>27837</v>
      </c>
      <c r="C3737" s="188">
        <v>7.73</v>
      </c>
      <c r="D3737" s="104">
        <f t="shared" si="57"/>
        <v>7.7300000000000008E-2</v>
      </c>
      <c r="F3737" s="5"/>
    </row>
    <row r="3738" spans="2:6" ht="13.8" hidden="1" outlineLevel="1">
      <c r="B3738" s="187">
        <v>27838</v>
      </c>
      <c r="C3738" s="188">
        <v>7.74</v>
      </c>
      <c r="D3738" s="104">
        <f t="shared" si="57"/>
        <v>7.7399999999999997E-2</v>
      </c>
      <c r="F3738" s="5"/>
    </row>
    <row r="3739" spans="2:6" ht="13.8" hidden="1" outlineLevel="1">
      <c r="B3739" s="187">
        <v>27841</v>
      </c>
      <c r="C3739" s="188">
        <v>7.68</v>
      </c>
      <c r="D3739" s="104">
        <f t="shared" si="57"/>
        <v>7.6799999999999993E-2</v>
      </c>
      <c r="F3739" s="5"/>
    </row>
    <row r="3740" spans="2:6" ht="13.8" hidden="1" outlineLevel="1">
      <c r="B3740" s="187">
        <v>27842</v>
      </c>
      <c r="C3740" s="188">
        <v>7.67</v>
      </c>
      <c r="D3740" s="104">
        <f t="shared" si="57"/>
        <v>7.6700000000000004E-2</v>
      </c>
      <c r="F3740" s="5"/>
    </row>
    <row r="3741" spans="2:6" ht="13.8" hidden="1" outlineLevel="1">
      <c r="B3741" s="187">
        <v>27843</v>
      </c>
      <c r="C3741" s="188">
        <v>7.65</v>
      </c>
      <c r="D3741" s="104">
        <f t="shared" si="57"/>
        <v>7.6499999999999999E-2</v>
      </c>
      <c r="F3741" s="5"/>
    </row>
    <row r="3742" spans="2:6" ht="13.8" hidden="1" outlineLevel="1">
      <c r="B3742" s="187">
        <v>27844</v>
      </c>
      <c r="C3742" s="188">
        <v>7.64</v>
      </c>
      <c r="D3742" s="104">
        <f t="shared" ref="D3742:D3805" si="58">IF( LEN( C3742 ) = 0, #N/A, IF( C3742 = "ND", D3741, C3742 / 100 ) )</f>
        <v>7.6399999999999996E-2</v>
      </c>
      <c r="F3742" s="5"/>
    </row>
    <row r="3743" spans="2:6" ht="13.8" hidden="1" outlineLevel="1">
      <c r="B3743" s="187">
        <v>27845</v>
      </c>
      <c r="C3743" s="188">
        <v>7.64</v>
      </c>
      <c r="D3743" s="104">
        <f t="shared" si="58"/>
        <v>7.6399999999999996E-2</v>
      </c>
      <c r="F3743" s="5"/>
    </row>
    <row r="3744" spans="2:6" ht="13.8" hidden="1" outlineLevel="1">
      <c r="B3744" s="187">
        <v>27848</v>
      </c>
      <c r="C3744" s="188">
        <v>7.64</v>
      </c>
      <c r="D3744" s="104">
        <f t="shared" si="58"/>
        <v>7.6399999999999996E-2</v>
      </c>
      <c r="F3744" s="5"/>
    </row>
    <row r="3745" spans="2:6" ht="13.8" hidden="1" outlineLevel="1">
      <c r="B3745" s="187">
        <v>27849</v>
      </c>
      <c r="C3745" s="188">
        <v>7.65</v>
      </c>
      <c r="D3745" s="104">
        <f t="shared" si="58"/>
        <v>7.6499999999999999E-2</v>
      </c>
      <c r="F3745" s="5"/>
    </row>
    <row r="3746" spans="2:6" ht="13.8" hidden="1" outlineLevel="1">
      <c r="B3746" s="187">
        <v>27850</v>
      </c>
      <c r="C3746" s="188">
        <v>7.66</v>
      </c>
      <c r="D3746" s="104">
        <f t="shared" si="58"/>
        <v>7.6600000000000001E-2</v>
      </c>
      <c r="F3746" s="5"/>
    </row>
    <row r="3747" spans="2:6" ht="13.8" hidden="1" outlineLevel="1">
      <c r="B3747" s="187">
        <v>27851</v>
      </c>
      <c r="C3747" s="188">
        <v>7.68</v>
      </c>
      <c r="D3747" s="104">
        <f t="shared" si="58"/>
        <v>7.6799999999999993E-2</v>
      </c>
      <c r="F3747" s="5"/>
    </row>
    <row r="3748" spans="2:6" ht="13.8" hidden="1" outlineLevel="1">
      <c r="B3748" s="187">
        <v>27852</v>
      </c>
      <c r="C3748" s="188">
        <v>7.67</v>
      </c>
      <c r="D3748" s="104">
        <f t="shared" si="58"/>
        <v>7.6700000000000004E-2</v>
      </c>
      <c r="F3748" s="5"/>
    </row>
    <row r="3749" spans="2:6" ht="13.8" hidden="1" outlineLevel="1">
      <c r="B3749" s="187">
        <v>27855</v>
      </c>
      <c r="C3749" s="188">
        <v>7.62</v>
      </c>
      <c r="D3749" s="104">
        <f t="shared" si="58"/>
        <v>7.6200000000000004E-2</v>
      </c>
      <c r="F3749" s="5"/>
    </row>
    <row r="3750" spans="2:6" ht="13.8" hidden="1" outlineLevel="1">
      <c r="B3750" s="187">
        <v>27856</v>
      </c>
      <c r="C3750" s="188">
        <v>7.59</v>
      </c>
      <c r="D3750" s="104">
        <f t="shared" si="58"/>
        <v>7.5899999999999995E-2</v>
      </c>
      <c r="F3750" s="5"/>
    </row>
    <row r="3751" spans="2:6" ht="13.8" hidden="1" outlineLevel="1">
      <c r="B3751" s="187">
        <v>27857</v>
      </c>
      <c r="C3751" s="188">
        <v>7.56</v>
      </c>
      <c r="D3751" s="104">
        <f t="shared" si="58"/>
        <v>7.5600000000000001E-2</v>
      </c>
      <c r="F3751" s="5"/>
    </row>
    <row r="3752" spans="2:6" ht="13.8" hidden="1" outlineLevel="1">
      <c r="B3752" s="187">
        <v>27858</v>
      </c>
      <c r="C3752" s="188">
        <v>7.55</v>
      </c>
      <c r="D3752" s="104">
        <f t="shared" si="58"/>
        <v>7.5499999999999998E-2</v>
      </c>
      <c r="F3752" s="5"/>
    </row>
    <row r="3753" spans="2:6" ht="13.8" hidden="1" outlineLevel="1">
      <c r="B3753" s="187">
        <v>27859</v>
      </c>
      <c r="C3753" s="188">
        <v>7.52</v>
      </c>
      <c r="D3753" s="104">
        <f t="shared" si="58"/>
        <v>7.5199999999999989E-2</v>
      </c>
      <c r="F3753" s="5"/>
    </row>
    <row r="3754" spans="2:6" ht="13.8" hidden="1" outlineLevel="1">
      <c r="B3754" s="187">
        <v>27862</v>
      </c>
      <c r="C3754" s="188">
        <v>7.52</v>
      </c>
      <c r="D3754" s="104">
        <f t="shared" si="58"/>
        <v>7.5199999999999989E-2</v>
      </c>
      <c r="F3754" s="5"/>
    </row>
    <row r="3755" spans="2:6" ht="13.8" hidden="1" outlineLevel="1">
      <c r="B3755" s="187">
        <v>27863</v>
      </c>
      <c r="C3755" s="188">
        <v>7.5</v>
      </c>
      <c r="D3755" s="104">
        <f t="shared" si="58"/>
        <v>7.4999999999999997E-2</v>
      </c>
      <c r="F3755" s="5"/>
    </row>
    <row r="3756" spans="2:6" ht="13.8" hidden="1" outlineLevel="1">
      <c r="B3756" s="187">
        <v>27864</v>
      </c>
      <c r="C3756" s="188">
        <v>7.47</v>
      </c>
      <c r="D3756" s="104">
        <f t="shared" si="58"/>
        <v>7.4700000000000003E-2</v>
      </c>
      <c r="F3756" s="5"/>
    </row>
    <row r="3757" spans="2:6" ht="13.8" hidden="1" outlineLevel="1">
      <c r="B3757" s="187">
        <v>27865</v>
      </c>
      <c r="C3757" s="188">
        <v>7.47</v>
      </c>
      <c r="D3757" s="104">
        <f t="shared" si="58"/>
        <v>7.4700000000000003E-2</v>
      </c>
      <c r="F3757" s="5"/>
    </row>
    <row r="3758" spans="2:6" ht="13.8" hidden="1" outlineLevel="1">
      <c r="B3758" s="187">
        <v>27866</v>
      </c>
      <c r="C3758" s="188" t="s">
        <v>380</v>
      </c>
      <c r="D3758" s="104">
        <f t="shared" si="58"/>
        <v>7.4700000000000003E-2</v>
      </c>
      <c r="F3758" s="5"/>
    </row>
    <row r="3759" spans="2:6" ht="13.8" hidden="1" outlineLevel="1">
      <c r="B3759" s="187">
        <v>27869</v>
      </c>
      <c r="C3759" s="188">
        <v>7.51</v>
      </c>
      <c r="D3759" s="104">
        <f t="shared" si="58"/>
        <v>7.51E-2</v>
      </c>
      <c r="F3759" s="5"/>
    </row>
    <row r="3760" spans="2:6" ht="13.8" hidden="1" outlineLevel="1">
      <c r="B3760" s="187">
        <v>27870</v>
      </c>
      <c r="C3760" s="188">
        <v>7.5</v>
      </c>
      <c r="D3760" s="104">
        <f t="shared" si="58"/>
        <v>7.4999999999999997E-2</v>
      </c>
      <c r="F3760" s="5"/>
    </row>
    <row r="3761" spans="2:6" ht="13.8" hidden="1" outlineLevel="1">
      <c r="B3761" s="187">
        <v>27871</v>
      </c>
      <c r="C3761" s="188">
        <v>7.47</v>
      </c>
      <c r="D3761" s="104">
        <f t="shared" si="58"/>
        <v>7.4700000000000003E-2</v>
      </c>
      <c r="F3761" s="5"/>
    </row>
    <row r="3762" spans="2:6" ht="13.8" hidden="1" outlineLevel="1">
      <c r="B3762" s="187">
        <v>27872</v>
      </c>
      <c r="C3762" s="188">
        <v>7.52</v>
      </c>
      <c r="D3762" s="104">
        <f t="shared" si="58"/>
        <v>7.5199999999999989E-2</v>
      </c>
      <c r="F3762" s="5"/>
    </row>
    <row r="3763" spans="2:6" ht="13.8" hidden="1" outlineLevel="1">
      <c r="B3763" s="187">
        <v>27873</v>
      </c>
      <c r="C3763" s="188">
        <v>7.59</v>
      </c>
      <c r="D3763" s="104">
        <f t="shared" si="58"/>
        <v>7.5899999999999995E-2</v>
      </c>
      <c r="F3763" s="5"/>
    </row>
    <row r="3764" spans="2:6" ht="13.8" hidden="1" outlineLevel="1">
      <c r="B3764" s="187">
        <v>27876</v>
      </c>
      <c r="C3764" s="188">
        <v>7.61</v>
      </c>
      <c r="D3764" s="104">
        <f t="shared" si="58"/>
        <v>7.6100000000000001E-2</v>
      </c>
      <c r="F3764" s="5"/>
    </row>
    <row r="3765" spans="2:6" ht="13.8" hidden="1" outlineLevel="1">
      <c r="B3765" s="187">
        <v>27877</v>
      </c>
      <c r="C3765" s="188">
        <v>7.62</v>
      </c>
      <c r="D3765" s="104">
        <f t="shared" si="58"/>
        <v>7.6200000000000004E-2</v>
      </c>
      <c r="F3765" s="5"/>
    </row>
    <row r="3766" spans="2:6" ht="13.8" hidden="1" outlineLevel="1">
      <c r="B3766" s="187">
        <v>27878</v>
      </c>
      <c r="C3766" s="188">
        <v>7.6</v>
      </c>
      <c r="D3766" s="104">
        <f t="shared" si="58"/>
        <v>7.5999999999999998E-2</v>
      </c>
      <c r="F3766" s="5"/>
    </row>
    <row r="3767" spans="2:6" ht="13.8" hidden="1" outlineLevel="1">
      <c r="B3767" s="187">
        <v>27879</v>
      </c>
      <c r="C3767" s="188">
        <v>7.61</v>
      </c>
      <c r="D3767" s="104">
        <f t="shared" si="58"/>
        <v>7.6100000000000001E-2</v>
      </c>
      <c r="F3767" s="5"/>
    </row>
    <row r="3768" spans="2:6" ht="13.8" hidden="1" outlineLevel="1">
      <c r="B3768" s="187">
        <v>27880</v>
      </c>
      <c r="C3768" s="188">
        <v>7.67</v>
      </c>
      <c r="D3768" s="104">
        <f t="shared" si="58"/>
        <v>7.6700000000000004E-2</v>
      </c>
      <c r="F3768" s="5"/>
    </row>
    <row r="3769" spans="2:6" ht="13.8" hidden="1" outlineLevel="1">
      <c r="B3769" s="187">
        <v>27883</v>
      </c>
      <c r="C3769" s="188">
        <v>7.69</v>
      </c>
      <c r="D3769" s="104">
        <f t="shared" si="58"/>
        <v>7.690000000000001E-2</v>
      </c>
      <c r="F3769" s="5"/>
    </row>
    <row r="3770" spans="2:6" ht="13.8" hidden="1" outlineLevel="1">
      <c r="B3770" s="187">
        <v>27884</v>
      </c>
      <c r="C3770" s="188">
        <v>7.66</v>
      </c>
      <c r="D3770" s="104">
        <f t="shared" si="58"/>
        <v>7.6600000000000001E-2</v>
      </c>
      <c r="F3770" s="5"/>
    </row>
    <row r="3771" spans="2:6" ht="13.8" hidden="1" outlineLevel="1">
      <c r="B3771" s="187">
        <v>27885</v>
      </c>
      <c r="C3771" s="188">
        <v>7.68</v>
      </c>
      <c r="D3771" s="104">
        <f t="shared" si="58"/>
        <v>7.6799999999999993E-2</v>
      </c>
      <c r="F3771" s="5"/>
    </row>
    <row r="3772" spans="2:6" ht="13.8" hidden="1" outlineLevel="1">
      <c r="B3772" s="187">
        <v>27886</v>
      </c>
      <c r="C3772" s="188">
        <v>7.78</v>
      </c>
      <c r="D3772" s="104">
        <f t="shared" si="58"/>
        <v>7.7800000000000008E-2</v>
      </c>
      <c r="F3772" s="5"/>
    </row>
    <row r="3773" spans="2:6" ht="13.8" hidden="1" outlineLevel="1">
      <c r="B3773" s="187">
        <v>27887</v>
      </c>
      <c r="C3773" s="188">
        <v>7.87</v>
      </c>
      <c r="D3773" s="104">
        <f t="shared" si="58"/>
        <v>7.8700000000000006E-2</v>
      </c>
      <c r="F3773" s="5"/>
    </row>
    <row r="3774" spans="2:6" ht="13.8" hidden="1" outlineLevel="1">
      <c r="B3774" s="187">
        <v>27890</v>
      </c>
      <c r="C3774" s="188">
        <v>7.92</v>
      </c>
      <c r="D3774" s="104">
        <f t="shared" si="58"/>
        <v>7.9199999999999993E-2</v>
      </c>
      <c r="F3774" s="5"/>
    </row>
    <row r="3775" spans="2:6" ht="13.8" hidden="1" outlineLevel="1">
      <c r="B3775" s="187">
        <v>27891</v>
      </c>
      <c r="C3775" s="188">
        <v>7.92</v>
      </c>
      <c r="D3775" s="104">
        <f t="shared" si="58"/>
        <v>7.9199999999999993E-2</v>
      </c>
      <c r="F3775" s="5"/>
    </row>
    <row r="3776" spans="2:6" ht="13.8" hidden="1" outlineLevel="1">
      <c r="B3776" s="187">
        <v>27892</v>
      </c>
      <c r="C3776" s="188">
        <v>7.94</v>
      </c>
      <c r="D3776" s="104">
        <f t="shared" si="58"/>
        <v>7.9399999999999998E-2</v>
      </c>
      <c r="F3776" s="5"/>
    </row>
    <row r="3777" spans="2:6" ht="13.8" hidden="1" outlineLevel="1">
      <c r="B3777" s="187">
        <v>27893</v>
      </c>
      <c r="C3777" s="188">
        <v>7.92</v>
      </c>
      <c r="D3777" s="104">
        <f t="shared" si="58"/>
        <v>7.9199999999999993E-2</v>
      </c>
      <c r="F3777" s="5"/>
    </row>
    <row r="3778" spans="2:6" ht="13.8" hidden="1" outlineLevel="1">
      <c r="B3778" s="187">
        <v>27894</v>
      </c>
      <c r="C3778" s="188">
        <v>7.93</v>
      </c>
      <c r="D3778" s="104">
        <f t="shared" si="58"/>
        <v>7.9299999999999995E-2</v>
      </c>
      <c r="F3778" s="5"/>
    </row>
    <row r="3779" spans="2:6" ht="13.8" hidden="1" outlineLevel="1">
      <c r="B3779" s="187">
        <v>27897</v>
      </c>
      <c r="C3779" s="188">
        <v>7.94</v>
      </c>
      <c r="D3779" s="104">
        <f t="shared" si="58"/>
        <v>7.9399999999999998E-2</v>
      </c>
      <c r="F3779" s="5"/>
    </row>
    <row r="3780" spans="2:6" ht="13.8" hidden="1" outlineLevel="1">
      <c r="B3780" s="187">
        <v>27898</v>
      </c>
      <c r="C3780" s="188">
        <v>7.94</v>
      </c>
      <c r="D3780" s="104">
        <f t="shared" si="58"/>
        <v>7.9399999999999998E-2</v>
      </c>
      <c r="F3780" s="5"/>
    </row>
    <row r="3781" spans="2:6" ht="13.8" hidden="1" outlineLevel="1">
      <c r="B3781" s="187">
        <v>27899</v>
      </c>
      <c r="C3781" s="188">
        <v>7.94</v>
      </c>
      <c r="D3781" s="104">
        <f t="shared" si="58"/>
        <v>7.9399999999999998E-2</v>
      </c>
      <c r="F3781" s="5"/>
    </row>
    <row r="3782" spans="2:6" ht="13.8" hidden="1" outlineLevel="1">
      <c r="B3782" s="187">
        <v>27900</v>
      </c>
      <c r="C3782" s="188">
        <v>7.95</v>
      </c>
      <c r="D3782" s="104">
        <f t="shared" si="58"/>
        <v>7.9500000000000001E-2</v>
      </c>
      <c r="F3782" s="5"/>
    </row>
    <row r="3783" spans="2:6" ht="13.8" hidden="1" outlineLevel="1">
      <c r="B3783" s="187">
        <v>27901</v>
      </c>
      <c r="C3783" s="188">
        <v>8</v>
      </c>
      <c r="D3783" s="104">
        <f t="shared" si="58"/>
        <v>0.08</v>
      </c>
      <c r="F3783" s="5"/>
    </row>
    <row r="3784" spans="2:6" ht="13.8" hidden="1" outlineLevel="1">
      <c r="B3784" s="187">
        <v>27904</v>
      </c>
      <c r="C3784" s="188">
        <v>7.98</v>
      </c>
      <c r="D3784" s="104">
        <f t="shared" si="58"/>
        <v>7.980000000000001E-2</v>
      </c>
      <c r="F3784" s="5"/>
    </row>
    <row r="3785" spans="2:6" ht="13.8" hidden="1" outlineLevel="1">
      <c r="B3785" s="187">
        <v>27905</v>
      </c>
      <c r="C3785" s="188">
        <v>7.94</v>
      </c>
      <c r="D3785" s="104">
        <f t="shared" si="58"/>
        <v>7.9399999999999998E-2</v>
      </c>
      <c r="F3785" s="5"/>
    </row>
    <row r="3786" spans="2:6" ht="13.8" hidden="1" outlineLevel="1">
      <c r="B3786" s="187">
        <v>27906</v>
      </c>
      <c r="C3786" s="188">
        <v>7.95</v>
      </c>
      <c r="D3786" s="104">
        <f t="shared" si="58"/>
        <v>7.9500000000000001E-2</v>
      </c>
      <c r="F3786" s="5"/>
    </row>
    <row r="3787" spans="2:6" ht="13.8" hidden="1" outlineLevel="1">
      <c r="B3787" s="187">
        <v>27907</v>
      </c>
      <c r="C3787" s="188">
        <v>7.99</v>
      </c>
      <c r="D3787" s="104">
        <f t="shared" si="58"/>
        <v>7.9899999999999999E-2</v>
      </c>
      <c r="F3787" s="5"/>
    </row>
    <row r="3788" spans="2:6" ht="13.8" hidden="1" outlineLevel="1">
      <c r="B3788" s="187">
        <v>27908</v>
      </c>
      <c r="C3788" s="188">
        <v>7.96</v>
      </c>
      <c r="D3788" s="104">
        <f t="shared" si="58"/>
        <v>7.9600000000000004E-2</v>
      </c>
      <c r="F3788" s="5"/>
    </row>
    <row r="3789" spans="2:6" ht="13.8" hidden="1" outlineLevel="1">
      <c r="B3789" s="187">
        <v>27911</v>
      </c>
      <c r="C3789" s="188" t="s">
        <v>380</v>
      </c>
      <c r="D3789" s="104">
        <f t="shared" si="58"/>
        <v>7.9600000000000004E-2</v>
      </c>
      <c r="F3789" s="5"/>
    </row>
    <row r="3790" spans="2:6" ht="13.8" hidden="1" outlineLevel="1">
      <c r="B3790" s="187">
        <v>27912</v>
      </c>
      <c r="C3790" s="188">
        <v>7.94</v>
      </c>
      <c r="D3790" s="104">
        <f t="shared" si="58"/>
        <v>7.9399999999999998E-2</v>
      </c>
      <c r="F3790" s="5"/>
    </row>
    <row r="3791" spans="2:6" ht="13.8" hidden="1" outlineLevel="1">
      <c r="B3791" s="187">
        <v>27913</v>
      </c>
      <c r="C3791" s="188">
        <v>7.94</v>
      </c>
      <c r="D3791" s="104">
        <f t="shared" si="58"/>
        <v>7.9399999999999998E-2</v>
      </c>
      <c r="F3791" s="5"/>
    </row>
    <row r="3792" spans="2:6" ht="13.8" hidden="1" outlineLevel="1">
      <c r="B3792" s="187">
        <v>27914</v>
      </c>
      <c r="C3792" s="188">
        <v>7.92</v>
      </c>
      <c r="D3792" s="104">
        <f t="shared" si="58"/>
        <v>7.9199999999999993E-2</v>
      </c>
      <c r="F3792" s="5"/>
    </row>
    <row r="3793" spans="2:6" ht="13.8" hidden="1" outlineLevel="1">
      <c r="B3793" s="187">
        <v>27915</v>
      </c>
      <c r="C3793" s="188">
        <v>7.89</v>
      </c>
      <c r="D3793" s="104">
        <f t="shared" si="58"/>
        <v>7.8899999999999998E-2</v>
      </c>
      <c r="F3793" s="5"/>
    </row>
    <row r="3794" spans="2:6" ht="13.8" hidden="1" outlineLevel="1">
      <c r="B3794" s="187">
        <v>27918</v>
      </c>
      <c r="C3794" s="188">
        <v>7.88</v>
      </c>
      <c r="D3794" s="104">
        <f t="shared" si="58"/>
        <v>7.8799999999999995E-2</v>
      </c>
      <c r="F3794" s="5"/>
    </row>
    <row r="3795" spans="2:6" ht="13.8" hidden="1" outlineLevel="1">
      <c r="B3795" s="187">
        <v>27919</v>
      </c>
      <c r="C3795" s="188">
        <v>7.9</v>
      </c>
      <c r="D3795" s="104">
        <f t="shared" si="58"/>
        <v>7.9000000000000001E-2</v>
      </c>
      <c r="F3795" s="5"/>
    </row>
    <row r="3796" spans="2:6" ht="13.8" hidden="1" outlineLevel="1">
      <c r="B3796" s="187">
        <v>27920</v>
      </c>
      <c r="C3796" s="188">
        <v>7.9</v>
      </c>
      <c r="D3796" s="104">
        <f t="shared" si="58"/>
        <v>7.9000000000000001E-2</v>
      </c>
      <c r="F3796" s="5"/>
    </row>
    <row r="3797" spans="2:6" ht="13.8" hidden="1" outlineLevel="1">
      <c r="B3797" s="187">
        <v>27921</v>
      </c>
      <c r="C3797" s="188">
        <v>7.86</v>
      </c>
      <c r="D3797" s="104">
        <f t="shared" si="58"/>
        <v>7.8600000000000003E-2</v>
      </c>
      <c r="F3797" s="5"/>
    </row>
    <row r="3798" spans="2:6" ht="13.8" hidden="1" outlineLevel="1">
      <c r="B3798" s="187">
        <v>27922</v>
      </c>
      <c r="C3798" s="188">
        <v>7.86</v>
      </c>
      <c r="D3798" s="104">
        <f t="shared" si="58"/>
        <v>7.8600000000000003E-2</v>
      </c>
      <c r="F3798" s="5"/>
    </row>
    <row r="3799" spans="2:6" ht="13.8" hidden="1" outlineLevel="1">
      <c r="B3799" s="187">
        <v>27925</v>
      </c>
      <c r="C3799" s="188">
        <v>7.84</v>
      </c>
      <c r="D3799" s="104">
        <f t="shared" si="58"/>
        <v>7.8399999999999997E-2</v>
      </c>
      <c r="F3799" s="5"/>
    </row>
    <row r="3800" spans="2:6" ht="13.8" hidden="1" outlineLevel="1">
      <c r="B3800" s="187">
        <v>27926</v>
      </c>
      <c r="C3800" s="188">
        <v>7.85</v>
      </c>
      <c r="D3800" s="104">
        <f t="shared" si="58"/>
        <v>7.85E-2</v>
      </c>
      <c r="F3800" s="5"/>
    </row>
    <row r="3801" spans="2:6" ht="13.8" hidden="1" outlineLevel="1">
      <c r="B3801" s="187">
        <v>27927</v>
      </c>
      <c r="C3801" s="188">
        <v>7.87</v>
      </c>
      <c r="D3801" s="104">
        <f t="shared" si="58"/>
        <v>7.8700000000000006E-2</v>
      </c>
      <c r="F3801" s="5"/>
    </row>
    <row r="3802" spans="2:6" ht="13.8" hidden="1" outlineLevel="1">
      <c r="B3802" s="187">
        <v>27928</v>
      </c>
      <c r="C3802" s="188">
        <v>7.85</v>
      </c>
      <c r="D3802" s="104">
        <f t="shared" si="58"/>
        <v>7.85E-2</v>
      </c>
      <c r="F3802" s="5"/>
    </row>
    <row r="3803" spans="2:6" ht="13.8" hidden="1" outlineLevel="1">
      <c r="B3803" s="187">
        <v>27929</v>
      </c>
      <c r="C3803" s="188">
        <v>7.81</v>
      </c>
      <c r="D3803" s="104">
        <f t="shared" si="58"/>
        <v>7.8100000000000003E-2</v>
      </c>
      <c r="F3803" s="5"/>
    </row>
    <row r="3804" spans="2:6" ht="13.8" hidden="1" outlineLevel="1">
      <c r="B3804" s="187">
        <v>27932</v>
      </c>
      <c r="C3804" s="188">
        <v>7.8</v>
      </c>
      <c r="D3804" s="104">
        <f t="shared" si="58"/>
        <v>7.8E-2</v>
      </c>
      <c r="F3804" s="5"/>
    </row>
    <row r="3805" spans="2:6" ht="13.8" hidden="1" outlineLevel="1">
      <c r="B3805" s="187">
        <v>27933</v>
      </c>
      <c r="C3805" s="188">
        <v>7.81</v>
      </c>
      <c r="D3805" s="104">
        <f t="shared" si="58"/>
        <v>7.8100000000000003E-2</v>
      </c>
      <c r="F3805" s="5"/>
    </row>
    <row r="3806" spans="2:6" ht="13.8" hidden="1" outlineLevel="1">
      <c r="B3806" s="187">
        <v>27934</v>
      </c>
      <c r="C3806" s="188">
        <v>7.81</v>
      </c>
      <c r="D3806" s="104">
        <f t="shared" ref="D3806:D3869" si="59">IF( LEN( C3806 ) = 0, #N/A, IF( C3806 = "ND", D3805, C3806 / 100 ) )</f>
        <v>7.8100000000000003E-2</v>
      </c>
      <c r="F3806" s="5"/>
    </row>
    <row r="3807" spans="2:6" ht="13.8" hidden="1" outlineLevel="1">
      <c r="B3807" s="187">
        <v>27935</v>
      </c>
      <c r="C3807" s="188">
        <v>7.81</v>
      </c>
      <c r="D3807" s="104">
        <f t="shared" si="59"/>
        <v>7.8100000000000003E-2</v>
      </c>
      <c r="F3807" s="5"/>
    </row>
    <row r="3808" spans="2:6" ht="13.8" hidden="1" outlineLevel="1">
      <c r="B3808" s="187">
        <v>27936</v>
      </c>
      <c r="C3808" s="188">
        <v>7.83</v>
      </c>
      <c r="D3808" s="104">
        <f t="shared" si="59"/>
        <v>7.8299999999999995E-2</v>
      </c>
      <c r="F3808" s="5"/>
    </row>
    <row r="3809" spans="2:6" ht="13.8" hidden="1" outlineLevel="1">
      <c r="B3809" s="187">
        <v>27939</v>
      </c>
      <c r="C3809" s="188">
        <v>7.86</v>
      </c>
      <c r="D3809" s="104">
        <f t="shared" si="59"/>
        <v>7.8600000000000003E-2</v>
      </c>
      <c r="F3809" s="5"/>
    </row>
    <row r="3810" spans="2:6" ht="13.8" hidden="1" outlineLevel="1">
      <c r="B3810" s="187">
        <v>27940</v>
      </c>
      <c r="C3810" s="188">
        <v>7.86</v>
      </c>
      <c r="D3810" s="104">
        <f t="shared" si="59"/>
        <v>7.8600000000000003E-2</v>
      </c>
      <c r="F3810" s="5"/>
    </row>
    <row r="3811" spans="2:6" ht="13.8" hidden="1" outlineLevel="1">
      <c r="B3811" s="187">
        <v>27941</v>
      </c>
      <c r="C3811" s="188">
        <v>7.86</v>
      </c>
      <c r="D3811" s="104">
        <f t="shared" si="59"/>
        <v>7.8600000000000003E-2</v>
      </c>
      <c r="F3811" s="5"/>
    </row>
    <row r="3812" spans="2:6" ht="13.8" hidden="1" outlineLevel="1">
      <c r="B3812" s="187">
        <v>27942</v>
      </c>
      <c r="C3812" s="188">
        <v>7.88</v>
      </c>
      <c r="D3812" s="104">
        <f t="shared" si="59"/>
        <v>7.8799999999999995E-2</v>
      </c>
      <c r="F3812" s="5"/>
    </row>
    <row r="3813" spans="2:6" ht="13.8" hidden="1" outlineLevel="1">
      <c r="B3813" s="187">
        <v>27943</v>
      </c>
      <c r="C3813" s="188">
        <v>7.84</v>
      </c>
      <c r="D3813" s="104">
        <f t="shared" si="59"/>
        <v>7.8399999999999997E-2</v>
      </c>
      <c r="F3813" s="5"/>
    </row>
    <row r="3814" spans="2:6" ht="13.8" hidden="1" outlineLevel="1">
      <c r="B3814" s="187">
        <v>27946</v>
      </c>
      <c r="C3814" s="188" t="s">
        <v>380</v>
      </c>
      <c r="D3814" s="104">
        <f t="shared" si="59"/>
        <v>7.8399999999999997E-2</v>
      </c>
      <c r="F3814" s="5"/>
    </row>
    <row r="3815" spans="2:6" ht="13.8" hidden="1" outlineLevel="1">
      <c r="B3815" s="187">
        <v>27947</v>
      </c>
      <c r="C3815" s="188">
        <v>7.82</v>
      </c>
      <c r="D3815" s="104">
        <f t="shared" si="59"/>
        <v>7.8200000000000006E-2</v>
      </c>
      <c r="F3815" s="5"/>
    </row>
    <row r="3816" spans="2:6" ht="13.8" hidden="1" outlineLevel="1">
      <c r="B3816" s="187">
        <v>27948</v>
      </c>
      <c r="C3816" s="188">
        <v>7.84</v>
      </c>
      <c r="D3816" s="104">
        <f t="shared" si="59"/>
        <v>7.8399999999999997E-2</v>
      </c>
      <c r="F3816" s="5"/>
    </row>
    <row r="3817" spans="2:6" ht="13.8" hidden="1" outlineLevel="1">
      <c r="B3817" s="187">
        <v>27949</v>
      </c>
      <c r="C3817" s="188">
        <v>7.82</v>
      </c>
      <c r="D3817" s="104">
        <f t="shared" si="59"/>
        <v>7.8200000000000006E-2</v>
      </c>
      <c r="F3817" s="5"/>
    </row>
    <row r="3818" spans="2:6" ht="13.8" hidden="1" outlineLevel="1">
      <c r="B3818" s="187">
        <v>27950</v>
      </c>
      <c r="C3818" s="188">
        <v>7.78</v>
      </c>
      <c r="D3818" s="104">
        <f t="shared" si="59"/>
        <v>7.7800000000000008E-2</v>
      </c>
      <c r="F3818" s="5"/>
    </row>
    <row r="3819" spans="2:6" ht="13.8" hidden="1" outlineLevel="1">
      <c r="B3819" s="187">
        <v>27953</v>
      </c>
      <c r="C3819" s="188">
        <v>7.76</v>
      </c>
      <c r="D3819" s="104">
        <f t="shared" si="59"/>
        <v>7.7600000000000002E-2</v>
      </c>
      <c r="F3819" s="5"/>
    </row>
    <row r="3820" spans="2:6" ht="13.8" hidden="1" outlineLevel="1">
      <c r="B3820" s="187">
        <v>27954</v>
      </c>
      <c r="C3820" s="188">
        <v>7.77</v>
      </c>
      <c r="D3820" s="104">
        <f t="shared" si="59"/>
        <v>7.7699999999999991E-2</v>
      </c>
      <c r="F3820" s="5"/>
    </row>
    <row r="3821" spans="2:6" ht="13.8" hidden="1" outlineLevel="1">
      <c r="B3821" s="187">
        <v>27955</v>
      </c>
      <c r="C3821" s="188">
        <v>7.79</v>
      </c>
      <c r="D3821" s="104">
        <f t="shared" si="59"/>
        <v>7.7899999999999997E-2</v>
      </c>
      <c r="F3821" s="5"/>
    </row>
    <row r="3822" spans="2:6" ht="13.8" hidden="1" outlineLevel="1">
      <c r="B3822" s="187">
        <v>27956</v>
      </c>
      <c r="C3822" s="188">
        <v>7.77</v>
      </c>
      <c r="D3822" s="104">
        <f t="shared" si="59"/>
        <v>7.7699999999999991E-2</v>
      </c>
      <c r="F3822" s="5"/>
    </row>
    <row r="3823" spans="2:6" ht="13.8" hidden="1" outlineLevel="1">
      <c r="B3823" s="187">
        <v>27957</v>
      </c>
      <c r="C3823" s="188">
        <v>7.83</v>
      </c>
      <c r="D3823" s="104">
        <f t="shared" si="59"/>
        <v>7.8299999999999995E-2</v>
      </c>
      <c r="F3823" s="5"/>
    </row>
    <row r="3824" spans="2:6" ht="13.8" hidden="1" outlineLevel="1">
      <c r="B3824" s="187">
        <v>27960</v>
      </c>
      <c r="C3824" s="188">
        <v>7.86</v>
      </c>
      <c r="D3824" s="104">
        <f t="shared" si="59"/>
        <v>7.8600000000000003E-2</v>
      </c>
      <c r="F3824" s="5"/>
    </row>
    <row r="3825" spans="2:6" ht="13.8" hidden="1" outlineLevel="1">
      <c r="B3825" s="187">
        <v>27961</v>
      </c>
      <c r="C3825" s="188">
        <v>7.87</v>
      </c>
      <c r="D3825" s="104">
        <f t="shared" si="59"/>
        <v>7.8700000000000006E-2</v>
      </c>
      <c r="F3825" s="5"/>
    </row>
    <row r="3826" spans="2:6" ht="13.8" hidden="1" outlineLevel="1">
      <c r="B3826" s="187">
        <v>27962</v>
      </c>
      <c r="C3826" s="188">
        <v>7.86</v>
      </c>
      <c r="D3826" s="104">
        <f t="shared" si="59"/>
        <v>7.8600000000000003E-2</v>
      </c>
      <c r="F3826" s="5"/>
    </row>
    <row r="3827" spans="2:6" ht="13.8" hidden="1" outlineLevel="1">
      <c r="B3827" s="187">
        <v>27963</v>
      </c>
      <c r="C3827" s="188">
        <v>7.86</v>
      </c>
      <c r="D3827" s="104">
        <f t="shared" si="59"/>
        <v>7.8600000000000003E-2</v>
      </c>
      <c r="F3827" s="5"/>
    </row>
    <row r="3828" spans="2:6" ht="13.8" hidden="1" outlineLevel="1">
      <c r="B3828" s="187">
        <v>27964</v>
      </c>
      <c r="C3828" s="188">
        <v>7.84</v>
      </c>
      <c r="D3828" s="104">
        <f t="shared" si="59"/>
        <v>7.8399999999999997E-2</v>
      </c>
      <c r="F3828" s="5"/>
    </row>
    <row r="3829" spans="2:6" ht="13.8" hidden="1" outlineLevel="1">
      <c r="B3829" s="187">
        <v>27967</v>
      </c>
      <c r="C3829" s="188">
        <v>7.87</v>
      </c>
      <c r="D3829" s="104">
        <f t="shared" si="59"/>
        <v>7.8700000000000006E-2</v>
      </c>
      <c r="F3829" s="5"/>
    </row>
    <row r="3830" spans="2:6" ht="13.8" hidden="1" outlineLevel="1">
      <c r="B3830" s="187">
        <v>27968</v>
      </c>
      <c r="C3830" s="188">
        <v>7.85</v>
      </c>
      <c r="D3830" s="104">
        <f t="shared" si="59"/>
        <v>7.85E-2</v>
      </c>
      <c r="F3830" s="5"/>
    </row>
    <row r="3831" spans="2:6" ht="13.8" hidden="1" outlineLevel="1">
      <c r="B3831" s="187">
        <v>27969</v>
      </c>
      <c r="C3831" s="188">
        <v>7.85</v>
      </c>
      <c r="D3831" s="104">
        <f t="shared" si="59"/>
        <v>7.85E-2</v>
      </c>
      <c r="F3831" s="5"/>
    </row>
    <row r="3832" spans="2:6" ht="13.8" hidden="1" outlineLevel="1">
      <c r="B3832" s="187">
        <v>27970</v>
      </c>
      <c r="C3832" s="188">
        <v>7.85</v>
      </c>
      <c r="D3832" s="104">
        <f t="shared" si="59"/>
        <v>7.85E-2</v>
      </c>
      <c r="F3832" s="5"/>
    </row>
    <row r="3833" spans="2:6" ht="13.8" hidden="1" outlineLevel="1">
      <c r="B3833" s="187">
        <v>27971</v>
      </c>
      <c r="C3833" s="188">
        <v>7.86</v>
      </c>
      <c r="D3833" s="104">
        <f t="shared" si="59"/>
        <v>7.8600000000000003E-2</v>
      </c>
      <c r="F3833" s="5"/>
    </row>
    <row r="3834" spans="2:6" ht="13.8" hidden="1" outlineLevel="1">
      <c r="B3834" s="187">
        <v>27974</v>
      </c>
      <c r="C3834" s="188">
        <v>7.85</v>
      </c>
      <c r="D3834" s="104">
        <f t="shared" si="59"/>
        <v>7.85E-2</v>
      </c>
      <c r="F3834" s="5"/>
    </row>
    <row r="3835" spans="2:6" ht="13.8" hidden="1" outlineLevel="1">
      <c r="B3835" s="187">
        <v>27975</v>
      </c>
      <c r="C3835" s="188">
        <v>7.82</v>
      </c>
      <c r="D3835" s="104">
        <f t="shared" si="59"/>
        <v>7.8200000000000006E-2</v>
      </c>
      <c r="F3835" s="5"/>
    </row>
    <row r="3836" spans="2:6" ht="13.8" hidden="1" outlineLevel="1">
      <c r="B3836" s="187">
        <v>27976</v>
      </c>
      <c r="C3836" s="188">
        <v>7.81</v>
      </c>
      <c r="D3836" s="104">
        <f t="shared" si="59"/>
        <v>7.8100000000000003E-2</v>
      </c>
      <c r="F3836" s="5"/>
    </row>
    <row r="3837" spans="2:6" ht="13.8" hidden="1" outlineLevel="1">
      <c r="B3837" s="187">
        <v>27977</v>
      </c>
      <c r="C3837" s="188">
        <v>7.82</v>
      </c>
      <c r="D3837" s="104">
        <f t="shared" si="59"/>
        <v>7.8200000000000006E-2</v>
      </c>
      <c r="F3837" s="5"/>
    </row>
    <row r="3838" spans="2:6" ht="13.8" hidden="1" outlineLevel="1">
      <c r="B3838" s="187">
        <v>27978</v>
      </c>
      <c r="C3838" s="188">
        <v>7.84</v>
      </c>
      <c r="D3838" s="104">
        <f t="shared" si="59"/>
        <v>7.8399999999999997E-2</v>
      </c>
      <c r="F3838" s="5"/>
    </row>
    <row r="3839" spans="2:6" ht="13.8" hidden="1" outlineLevel="1">
      <c r="B3839" s="187">
        <v>27981</v>
      </c>
      <c r="C3839" s="188">
        <v>7.84</v>
      </c>
      <c r="D3839" s="104">
        <f t="shared" si="59"/>
        <v>7.8399999999999997E-2</v>
      </c>
      <c r="F3839" s="5"/>
    </row>
    <row r="3840" spans="2:6" ht="13.8" hidden="1" outlineLevel="1">
      <c r="B3840" s="187">
        <v>27982</v>
      </c>
      <c r="C3840" s="188">
        <v>7.84</v>
      </c>
      <c r="D3840" s="104">
        <f t="shared" si="59"/>
        <v>7.8399999999999997E-2</v>
      </c>
      <c r="F3840" s="5"/>
    </row>
    <row r="3841" spans="2:6" ht="13.8" hidden="1" outlineLevel="1">
      <c r="B3841" s="187">
        <v>27983</v>
      </c>
      <c r="C3841" s="188">
        <v>7.82</v>
      </c>
      <c r="D3841" s="104">
        <f t="shared" si="59"/>
        <v>7.8200000000000006E-2</v>
      </c>
      <c r="F3841" s="5"/>
    </row>
    <row r="3842" spans="2:6" ht="13.8" hidden="1" outlineLevel="1">
      <c r="B3842" s="187">
        <v>27984</v>
      </c>
      <c r="C3842" s="188">
        <v>7.81</v>
      </c>
      <c r="D3842" s="104">
        <f t="shared" si="59"/>
        <v>7.8100000000000003E-2</v>
      </c>
      <c r="F3842" s="5"/>
    </row>
    <row r="3843" spans="2:6" ht="13.8" hidden="1" outlineLevel="1">
      <c r="B3843" s="187">
        <v>27985</v>
      </c>
      <c r="C3843" s="188">
        <v>7.78</v>
      </c>
      <c r="D3843" s="104">
        <f t="shared" si="59"/>
        <v>7.7800000000000008E-2</v>
      </c>
      <c r="F3843" s="5"/>
    </row>
    <row r="3844" spans="2:6" ht="13.8" hidden="1" outlineLevel="1">
      <c r="B3844" s="187">
        <v>27988</v>
      </c>
      <c r="C3844" s="188">
        <v>7.74</v>
      </c>
      <c r="D3844" s="104">
        <f t="shared" si="59"/>
        <v>7.7399999999999997E-2</v>
      </c>
      <c r="F3844" s="5"/>
    </row>
    <row r="3845" spans="2:6" ht="13.8" hidden="1" outlineLevel="1">
      <c r="B3845" s="187">
        <v>27989</v>
      </c>
      <c r="C3845" s="188">
        <v>7.75</v>
      </c>
      <c r="D3845" s="104">
        <f t="shared" si="59"/>
        <v>7.7499999999999999E-2</v>
      </c>
      <c r="F3845" s="5"/>
    </row>
    <row r="3846" spans="2:6" ht="13.8" hidden="1" outlineLevel="1">
      <c r="B3846" s="187">
        <v>27990</v>
      </c>
      <c r="C3846" s="188">
        <v>7.76</v>
      </c>
      <c r="D3846" s="104">
        <f t="shared" si="59"/>
        <v>7.7600000000000002E-2</v>
      </c>
      <c r="F3846" s="5"/>
    </row>
    <row r="3847" spans="2:6" ht="13.8" hidden="1" outlineLevel="1">
      <c r="B3847" s="187">
        <v>27991</v>
      </c>
      <c r="C3847" s="188">
        <v>7.76</v>
      </c>
      <c r="D3847" s="104">
        <f t="shared" si="59"/>
        <v>7.7600000000000002E-2</v>
      </c>
      <c r="F3847" s="5"/>
    </row>
    <row r="3848" spans="2:6" ht="13.8" hidden="1" outlineLevel="1">
      <c r="B3848" s="187">
        <v>27992</v>
      </c>
      <c r="C3848" s="188">
        <v>7.76</v>
      </c>
      <c r="D3848" s="104">
        <f t="shared" si="59"/>
        <v>7.7600000000000002E-2</v>
      </c>
      <c r="F3848" s="5"/>
    </row>
    <row r="3849" spans="2:6" ht="13.8" hidden="1" outlineLevel="1">
      <c r="B3849" s="187">
        <v>27995</v>
      </c>
      <c r="C3849" s="188">
        <v>7.73</v>
      </c>
      <c r="D3849" s="104">
        <f t="shared" si="59"/>
        <v>7.7300000000000008E-2</v>
      </c>
      <c r="F3849" s="5"/>
    </row>
    <row r="3850" spans="2:6" ht="13.8" hidden="1" outlineLevel="1">
      <c r="B3850" s="187">
        <v>27996</v>
      </c>
      <c r="C3850" s="188">
        <v>7.72</v>
      </c>
      <c r="D3850" s="104">
        <f t="shared" si="59"/>
        <v>7.7199999999999991E-2</v>
      </c>
      <c r="F3850" s="5"/>
    </row>
    <row r="3851" spans="2:6" ht="13.8" hidden="1" outlineLevel="1">
      <c r="B3851" s="187">
        <v>27997</v>
      </c>
      <c r="C3851" s="188">
        <v>7.69</v>
      </c>
      <c r="D3851" s="104">
        <f t="shared" si="59"/>
        <v>7.690000000000001E-2</v>
      </c>
      <c r="F3851" s="5"/>
    </row>
    <row r="3852" spans="2:6" ht="13.8" hidden="1" outlineLevel="1">
      <c r="B3852" s="187">
        <v>27998</v>
      </c>
      <c r="C3852" s="188">
        <v>7.68</v>
      </c>
      <c r="D3852" s="104">
        <f t="shared" si="59"/>
        <v>7.6799999999999993E-2</v>
      </c>
      <c r="F3852" s="5"/>
    </row>
    <row r="3853" spans="2:6" ht="13.8" hidden="1" outlineLevel="1">
      <c r="B3853" s="187">
        <v>27999</v>
      </c>
      <c r="C3853" s="188">
        <v>7.72</v>
      </c>
      <c r="D3853" s="104">
        <f t="shared" si="59"/>
        <v>7.7199999999999991E-2</v>
      </c>
      <c r="F3853" s="5"/>
    </row>
    <row r="3854" spans="2:6" ht="13.8" hidden="1" outlineLevel="1">
      <c r="B3854" s="187">
        <v>28002</v>
      </c>
      <c r="C3854" s="188">
        <v>7.71</v>
      </c>
      <c r="D3854" s="104">
        <f t="shared" si="59"/>
        <v>7.7100000000000002E-2</v>
      </c>
      <c r="F3854" s="5"/>
    </row>
    <row r="3855" spans="2:6" ht="13.8" hidden="1" outlineLevel="1">
      <c r="B3855" s="187">
        <v>28003</v>
      </c>
      <c r="C3855" s="188">
        <v>7.66</v>
      </c>
      <c r="D3855" s="104">
        <f t="shared" si="59"/>
        <v>7.6600000000000001E-2</v>
      </c>
      <c r="F3855" s="5"/>
    </row>
    <row r="3856" spans="2:6" ht="13.8" hidden="1" outlineLevel="1">
      <c r="B3856" s="187">
        <v>28004</v>
      </c>
      <c r="C3856" s="188">
        <v>7.64</v>
      </c>
      <c r="D3856" s="104">
        <f t="shared" si="59"/>
        <v>7.6399999999999996E-2</v>
      </c>
      <c r="F3856" s="5"/>
    </row>
    <row r="3857" spans="2:6" ht="13.8" hidden="1" outlineLevel="1">
      <c r="B3857" s="187">
        <v>28005</v>
      </c>
      <c r="C3857" s="188">
        <v>7.67</v>
      </c>
      <c r="D3857" s="104">
        <f t="shared" si="59"/>
        <v>7.6700000000000004E-2</v>
      </c>
      <c r="F3857" s="5"/>
    </row>
    <row r="3858" spans="2:6" ht="13.8" hidden="1" outlineLevel="1">
      <c r="B3858" s="187">
        <v>28006</v>
      </c>
      <c r="C3858" s="188">
        <v>7.65</v>
      </c>
      <c r="D3858" s="104">
        <f t="shared" si="59"/>
        <v>7.6499999999999999E-2</v>
      </c>
      <c r="F3858" s="5"/>
    </row>
    <row r="3859" spans="2:6" ht="13.8" hidden="1" outlineLevel="1">
      <c r="B3859" s="187">
        <v>28009</v>
      </c>
      <c r="C3859" s="188" t="s">
        <v>380</v>
      </c>
      <c r="D3859" s="104">
        <f t="shared" si="59"/>
        <v>7.6499999999999999E-2</v>
      </c>
      <c r="F3859" s="5"/>
    </row>
    <row r="3860" spans="2:6" ht="13.8" hidden="1" outlineLevel="1">
      <c r="B3860" s="187">
        <v>28010</v>
      </c>
      <c r="C3860" s="188">
        <v>7.64</v>
      </c>
      <c r="D3860" s="104">
        <f t="shared" si="59"/>
        <v>7.6399999999999996E-2</v>
      </c>
      <c r="F3860" s="5"/>
    </row>
    <row r="3861" spans="2:6" ht="13.8" hidden="1" outlineLevel="1">
      <c r="B3861" s="187">
        <v>28011</v>
      </c>
      <c r="C3861" s="188">
        <v>7.64</v>
      </c>
      <c r="D3861" s="104">
        <f t="shared" si="59"/>
        <v>7.6399999999999996E-2</v>
      </c>
      <c r="F3861" s="5"/>
    </row>
    <row r="3862" spans="2:6" ht="13.8" hidden="1" outlineLevel="1">
      <c r="B3862" s="187">
        <v>28012</v>
      </c>
      <c r="C3862" s="188">
        <v>7.66</v>
      </c>
      <c r="D3862" s="104">
        <f t="shared" si="59"/>
        <v>7.6600000000000001E-2</v>
      </c>
      <c r="F3862" s="5"/>
    </row>
    <row r="3863" spans="2:6" ht="13.8" hidden="1" outlineLevel="1">
      <c r="B3863" s="187">
        <v>28013</v>
      </c>
      <c r="C3863" s="188">
        <v>7.64</v>
      </c>
      <c r="D3863" s="104">
        <f t="shared" si="59"/>
        <v>7.6399999999999996E-2</v>
      </c>
      <c r="F3863" s="5"/>
    </row>
    <row r="3864" spans="2:6" ht="13.8" hidden="1" outlineLevel="1">
      <c r="B3864" s="187">
        <v>28016</v>
      </c>
      <c r="C3864" s="188">
        <v>7.64</v>
      </c>
      <c r="D3864" s="104">
        <f t="shared" si="59"/>
        <v>7.6399999999999996E-2</v>
      </c>
      <c r="F3864" s="5"/>
    </row>
    <row r="3865" spans="2:6" ht="13.8" hidden="1" outlineLevel="1">
      <c r="B3865" s="187">
        <v>28017</v>
      </c>
      <c r="C3865" s="188">
        <v>7.64</v>
      </c>
      <c r="D3865" s="104">
        <f t="shared" si="59"/>
        <v>7.6399999999999996E-2</v>
      </c>
      <c r="F3865" s="5"/>
    </row>
    <row r="3866" spans="2:6" ht="13.8" hidden="1" outlineLevel="1">
      <c r="B3866" s="187">
        <v>28018</v>
      </c>
      <c r="C3866" s="188">
        <v>7.62</v>
      </c>
      <c r="D3866" s="104">
        <f t="shared" si="59"/>
        <v>7.6200000000000004E-2</v>
      </c>
      <c r="F3866" s="5"/>
    </row>
    <row r="3867" spans="2:6" ht="13.8" hidden="1" outlineLevel="1">
      <c r="B3867" s="187">
        <v>28019</v>
      </c>
      <c r="C3867" s="188">
        <v>7.6</v>
      </c>
      <c r="D3867" s="104">
        <f t="shared" si="59"/>
        <v>7.5999999999999998E-2</v>
      </c>
      <c r="F3867" s="5"/>
    </row>
    <row r="3868" spans="2:6" ht="13.8" hidden="1" outlineLevel="1">
      <c r="B3868" s="187">
        <v>28020</v>
      </c>
      <c r="C3868" s="188">
        <v>7.49</v>
      </c>
      <c r="D3868" s="104">
        <f t="shared" si="59"/>
        <v>7.4900000000000008E-2</v>
      </c>
      <c r="F3868" s="5"/>
    </row>
    <row r="3869" spans="2:6" ht="13.8" hidden="1" outlineLevel="1">
      <c r="B3869" s="187">
        <v>28023</v>
      </c>
      <c r="C3869" s="188">
        <v>7.52</v>
      </c>
      <c r="D3869" s="104">
        <f t="shared" si="59"/>
        <v>7.5199999999999989E-2</v>
      </c>
      <c r="F3869" s="5"/>
    </row>
    <row r="3870" spans="2:6" ht="13.8" hidden="1" outlineLevel="1">
      <c r="B3870" s="187">
        <v>28024</v>
      </c>
      <c r="C3870" s="188">
        <v>7.51</v>
      </c>
      <c r="D3870" s="104">
        <f t="shared" ref="D3870:D3933" si="60">IF( LEN( C3870 ) = 0, #N/A, IF( C3870 = "ND", D3869, C3870 / 100 ) )</f>
        <v>7.51E-2</v>
      </c>
      <c r="F3870" s="5"/>
    </row>
    <row r="3871" spans="2:6" ht="13.8" hidden="1" outlineLevel="1">
      <c r="B3871" s="187">
        <v>28025</v>
      </c>
      <c r="C3871" s="188">
        <v>7.53</v>
      </c>
      <c r="D3871" s="104">
        <f t="shared" si="60"/>
        <v>7.5300000000000006E-2</v>
      </c>
      <c r="F3871" s="5"/>
    </row>
    <row r="3872" spans="2:6" ht="13.8" hidden="1" outlineLevel="1">
      <c r="B3872" s="187">
        <v>28026</v>
      </c>
      <c r="C3872" s="188">
        <v>7.54</v>
      </c>
      <c r="D3872" s="104">
        <f t="shared" si="60"/>
        <v>7.5399999999999995E-2</v>
      </c>
      <c r="F3872" s="5"/>
    </row>
    <row r="3873" spans="2:6" ht="13.8" hidden="1" outlineLevel="1">
      <c r="B3873" s="187">
        <v>28027</v>
      </c>
      <c r="C3873" s="188">
        <v>7.58</v>
      </c>
      <c r="D3873" s="104">
        <f t="shared" si="60"/>
        <v>7.5800000000000006E-2</v>
      </c>
      <c r="F3873" s="5"/>
    </row>
    <row r="3874" spans="2:6" ht="13.8" hidden="1" outlineLevel="1">
      <c r="B3874" s="187">
        <v>28030</v>
      </c>
      <c r="C3874" s="188">
        <v>7.6</v>
      </c>
      <c r="D3874" s="104">
        <f t="shared" si="60"/>
        <v>7.5999999999999998E-2</v>
      </c>
      <c r="F3874" s="5"/>
    </row>
    <row r="3875" spans="2:6" ht="13.8" hidden="1" outlineLevel="1">
      <c r="B3875" s="187">
        <v>28031</v>
      </c>
      <c r="C3875" s="188">
        <v>7.56</v>
      </c>
      <c r="D3875" s="104">
        <f t="shared" si="60"/>
        <v>7.5600000000000001E-2</v>
      </c>
      <c r="F3875" s="5"/>
    </row>
    <row r="3876" spans="2:6" ht="13.8" hidden="1" outlineLevel="1">
      <c r="B3876" s="187">
        <v>28032</v>
      </c>
      <c r="C3876" s="188">
        <v>7.56</v>
      </c>
      <c r="D3876" s="104">
        <f t="shared" si="60"/>
        <v>7.5600000000000001E-2</v>
      </c>
      <c r="F3876" s="5"/>
    </row>
    <row r="3877" spans="2:6" ht="13.8" hidden="1" outlineLevel="1">
      <c r="B3877" s="187">
        <v>28033</v>
      </c>
      <c r="C3877" s="188">
        <v>7.55</v>
      </c>
      <c r="D3877" s="104">
        <f t="shared" si="60"/>
        <v>7.5499999999999998E-2</v>
      </c>
      <c r="F3877" s="5"/>
    </row>
    <row r="3878" spans="2:6" ht="13.8" hidden="1" outlineLevel="1">
      <c r="B3878" s="187">
        <v>28034</v>
      </c>
      <c r="C3878" s="188">
        <v>7.49</v>
      </c>
      <c r="D3878" s="104">
        <f t="shared" si="60"/>
        <v>7.4900000000000008E-2</v>
      </c>
      <c r="F3878" s="5"/>
    </row>
    <row r="3879" spans="2:6" ht="13.8" hidden="1" outlineLevel="1">
      <c r="B3879" s="187">
        <v>28037</v>
      </c>
      <c r="C3879" s="188">
        <v>7.46</v>
      </c>
      <c r="D3879" s="104">
        <f t="shared" si="60"/>
        <v>7.46E-2</v>
      </c>
      <c r="F3879" s="5"/>
    </row>
    <row r="3880" spans="2:6" ht="13.8" hidden="1" outlineLevel="1">
      <c r="B3880" s="187">
        <v>28038</v>
      </c>
      <c r="C3880" s="188">
        <v>7.47</v>
      </c>
      <c r="D3880" s="104">
        <f t="shared" si="60"/>
        <v>7.4700000000000003E-2</v>
      </c>
      <c r="F3880" s="5"/>
    </row>
    <row r="3881" spans="2:6" ht="13.8" hidden="1" outlineLevel="1">
      <c r="B3881" s="187">
        <v>28039</v>
      </c>
      <c r="C3881" s="188">
        <v>7.44</v>
      </c>
      <c r="D3881" s="104">
        <f t="shared" si="60"/>
        <v>7.4400000000000008E-2</v>
      </c>
      <c r="F3881" s="5"/>
    </row>
    <row r="3882" spans="2:6" ht="13.8" hidden="1" outlineLevel="1">
      <c r="B3882" s="187">
        <v>28040</v>
      </c>
      <c r="C3882" s="188">
        <v>7.43</v>
      </c>
      <c r="D3882" s="104">
        <f t="shared" si="60"/>
        <v>7.4299999999999991E-2</v>
      </c>
      <c r="F3882" s="5"/>
    </row>
    <row r="3883" spans="2:6" ht="13.8" hidden="1" outlineLevel="1">
      <c r="B3883" s="187">
        <v>28041</v>
      </c>
      <c r="C3883" s="188">
        <v>7.38</v>
      </c>
      <c r="D3883" s="104">
        <f t="shared" si="60"/>
        <v>7.3800000000000004E-2</v>
      </c>
      <c r="F3883" s="5"/>
    </row>
    <row r="3884" spans="2:6" ht="13.8" hidden="1" outlineLevel="1">
      <c r="B3884" s="187">
        <v>28044</v>
      </c>
      <c r="C3884" s="188" t="s">
        <v>380</v>
      </c>
      <c r="D3884" s="104">
        <f t="shared" si="60"/>
        <v>7.3800000000000004E-2</v>
      </c>
      <c r="F3884" s="5"/>
    </row>
    <row r="3885" spans="2:6" ht="13.8" hidden="1" outlineLevel="1">
      <c r="B3885" s="187">
        <v>28045</v>
      </c>
      <c r="C3885" s="188">
        <v>7.35</v>
      </c>
      <c r="D3885" s="104">
        <f t="shared" si="60"/>
        <v>7.3499999999999996E-2</v>
      </c>
      <c r="F3885" s="5"/>
    </row>
    <row r="3886" spans="2:6" ht="13.8" hidden="1" outlineLevel="1">
      <c r="B3886" s="187">
        <v>28046</v>
      </c>
      <c r="C3886" s="188">
        <v>7.35</v>
      </c>
      <c r="D3886" s="104">
        <f t="shared" si="60"/>
        <v>7.3499999999999996E-2</v>
      </c>
      <c r="F3886" s="5"/>
    </row>
    <row r="3887" spans="2:6" ht="13.8" hidden="1" outlineLevel="1">
      <c r="B3887" s="187">
        <v>28047</v>
      </c>
      <c r="C3887" s="188">
        <v>7.34</v>
      </c>
      <c r="D3887" s="104">
        <f t="shared" si="60"/>
        <v>7.3399999999999993E-2</v>
      </c>
      <c r="F3887" s="5"/>
    </row>
    <row r="3888" spans="2:6" ht="13.8" hidden="1" outlineLevel="1">
      <c r="B3888" s="187">
        <v>28048</v>
      </c>
      <c r="C3888" s="188">
        <v>7.31</v>
      </c>
      <c r="D3888" s="104">
        <f t="shared" si="60"/>
        <v>7.3099999999999998E-2</v>
      </c>
      <c r="F3888" s="5"/>
    </row>
    <row r="3889" spans="2:6" ht="13.8" hidden="1" outlineLevel="1">
      <c r="B3889" s="187">
        <v>28051</v>
      </c>
      <c r="C3889" s="188">
        <v>7.31</v>
      </c>
      <c r="D3889" s="104">
        <f t="shared" si="60"/>
        <v>7.3099999999999998E-2</v>
      </c>
      <c r="F3889" s="5"/>
    </row>
    <row r="3890" spans="2:6" ht="13.8" hidden="1" outlineLevel="1">
      <c r="B3890" s="187">
        <v>28052</v>
      </c>
      <c r="C3890" s="188">
        <v>7.35</v>
      </c>
      <c r="D3890" s="104">
        <f t="shared" si="60"/>
        <v>7.3499999999999996E-2</v>
      </c>
      <c r="F3890" s="5"/>
    </row>
    <row r="3891" spans="2:6" ht="13.8" hidden="1" outlineLevel="1">
      <c r="B3891" s="187">
        <v>28053</v>
      </c>
      <c r="C3891" s="188">
        <v>7.38</v>
      </c>
      <c r="D3891" s="104">
        <f t="shared" si="60"/>
        <v>7.3800000000000004E-2</v>
      </c>
      <c r="F3891" s="5"/>
    </row>
    <row r="3892" spans="2:6" ht="13.8" hidden="1" outlineLevel="1">
      <c r="B3892" s="187">
        <v>28054</v>
      </c>
      <c r="C3892" s="188">
        <v>7.39</v>
      </c>
      <c r="D3892" s="104">
        <f t="shared" si="60"/>
        <v>7.3899999999999993E-2</v>
      </c>
      <c r="F3892" s="5"/>
    </row>
    <row r="3893" spans="2:6" ht="13.8" hidden="1" outlineLevel="1">
      <c r="B3893" s="187">
        <v>28055</v>
      </c>
      <c r="C3893" s="188">
        <v>7.48</v>
      </c>
      <c r="D3893" s="104">
        <f t="shared" si="60"/>
        <v>7.4800000000000005E-2</v>
      </c>
      <c r="F3893" s="5"/>
    </row>
    <row r="3894" spans="2:6" ht="13.8" hidden="1" outlineLevel="1">
      <c r="B3894" s="187">
        <v>28058</v>
      </c>
      <c r="C3894" s="188">
        <v>7.53</v>
      </c>
      <c r="D3894" s="104">
        <f t="shared" si="60"/>
        <v>7.5300000000000006E-2</v>
      </c>
      <c r="F3894" s="5"/>
    </row>
    <row r="3895" spans="2:6" ht="13.8" hidden="1" outlineLevel="1">
      <c r="B3895" s="187">
        <v>28059</v>
      </c>
      <c r="C3895" s="188">
        <v>7.48</v>
      </c>
      <c r="D3895" s="104">
        <f t="shared" si="60"/>
        <v>7.4800000000000005E-2</v>
      </c>
      <c r="F3895" s="5"/>
    </row>
    <row r="3896" spans="2:6" ht="13.8" hidden="1" outlineLevel="1">
      <c r="B3896" s="187">
        <v>28060</v>
      </c>
      <c r="C3896" s="188">
        <v>7.45</v>
      </c>
      <c r="D3896" s="104">
        <f t="shared" si="60"/>
        <v>7.4499999999999997E-2</v>
      </c>
      <c r="F3896" s="5"/>
    </row>
    <row r="3897" spans="2:6" ht="13.8" hidden="1" outlineLevel="1">
      <c r="B3897" s="187">
        <v>28061</v>
      </c>
      <c r="C3897" s="188">
        <v>7.41</v>
      </c>
      <c r="D3897" s="104">
        <f t="shared" si="60"/>
        <v>7.4099999999999999E-2</v>
      </c>
      <c r="F3897" s="5"/>
    </row>
    <row r="3898" spans="2:6" ht="13.8" hidden="1" outlineLevel="1">
      <c r="B3898" s="187">
        <v>28062</v>
      </c>
      <c r="C3898" s="188">
        <v>7.42</v>
      </c>
      <c r="D3898" s="104">
        <f t="shared" si="60"/>
        <v>7.4200000000000002E-2</v>
      </c>
      <c r="F3898" s="5"/>
    </row>
    <row r="3899" spans="2:6" ht="13.8" hidden="1" outlineLevel="1">
      <c r="B3899" s="187">
        <v>28065</v>
      </c>
      <c r="C3899" s="188">
        <v>7.38</v>
      </c>
      <c r="D3899" s="104">
        <f t="shared" si="60"/>
        <v>7.3800000000000004E-2</v>
      </c>
      <c r="F3899" s="5"/>
    </row>
    <row r="3900" spans="2:6" ht="13.8" hidden="1" outlineLevel="1">
      <c r="B3900" s="187">
        <v>28066</v>
      </c>
      <c r="C3900" s="188" t="s">
        <v>380</v>
      </c>
      <c r="D3900" s="104">
        <f t="shared" si="60"/>
        <v>7.3800000000000004E-2</v>
      </c>
      <c r="F3900" s="5"/>
    </row>
    <row r="3901" spans="2:6" ht="13.8" hidden="1" outlineLevel="1">
      <c r="B3901" s="187">
        <v>28067</v>
      </c>
      <c r="C3901" s="188">
        <v>7.44</v>
      </c>
      <c r="D3901" s="104">
        <f t="shared" si="60"/>
        <v>7.4400000000000008E-2</v>
      </c>
      <c r="F3901" s="5"/>
    </row>
    <row r="3902" spans="2:6" ht="13.8" hidden="1" outlineLevel="1">
      <c r="B3902" s="187">
        <v>28068</v>
      </c>
      <c r="C3902" s="188">
        <v>7.38</v>
      </c>
      <c r="D3902" s="104">
        <f t="shared" si="60"/>
        <v>7.3800000000000004E-2</v>
      </c>
      <c r="F3902" s="5"/>
    </row>
    <row r="3903" spans="2:6" ht="13.8" hidden="1" outlineLevel="1">
      <c r="B3903" s="187">
        <v>28069</v>
      </c>
      <c r="C3903" s="188">
        <v>7.41</v>
      </c>
      <c r="D3903" s="104">
        <f t="shared" si="60"/>
        <v>7.4099999999999999E-2</v>
      </c>
      <c r="F3903" s="5"/>
    </row>
    <row r="3904" spans="2:6" ht="13.8" hidden="1" outlineLevel="1">
      <c r="B3904" s="187">
        <v>28072</v>
      </c>
      <c r="C3904" s="188">
        <v>7.46</v>
      </c>
      <c r="D3904" s="104">
        <f t="shared" si="60"/>
        <v>7.46E-2</v>
      </c>
      <c r="F3904" s="5"/>
    </row>
    <row r="3905" spans="2:6" ht="13.8" hidden="1" outlineLevel="1">
      <c r="B3905" s="187">
        <v>28073</v>
      </c>
      <c r="C3905" s="188">
        <v>7.46</v>
      </c>
      <c r="D3905" s="104">
        <f t="shared" si="60"/>
        <v>7.46E-2</v>
      </c>
      <c r="F3905" s="5"/>
    </row>
    <row r="3906" spans="2:6" ht="13.8" hidden="1" outlineLevel="1">
      <c r="B3906" s="187">
        <v>28074</v>
      </c>
      <c r="C3906" s="188">
        <v>7.45</v>
      </c>
      <c r="D3906" s="104">
        <f t="shared" si="60"/>
        <v>7.4499999999999997E-2</v>
      </c>
      <c r="F3906" s="5"/>
    </row>
    <row r="3907" spans="2:6" ht="13.8" hidden="1" outlineLevel="1">
      <c r="B3907" s="187">
        <v>28075</v>
      </c>
      <c r="C3907" s="188" t="s">
        <v>380</v>
      </c>
      <c r="D3907" s="104">
        <f t="shared" si="60"/>
        <v>7.4499999999999997E-2</v>
      </c>
      <c r="F3907" s="5"/>
    </row>
    <row r="3908" spans="2:6" ht="13.8" hidden="1" outlineLevel="1">
      <c r="B3908" s="187">
        <v>28076</v>
      </c>
      <c r="C3908" s="188">
        <v>7.43</v>
      </c>
      <c r="D3908" s="104">
        <f t="shared" si="60"/>
        <v>7.4299999999999991E-2</v>
      </c>
      <c r="F3908" s="5"/>
    </row>
    <row r="3909" spans="2:6" ht="13.8" hidden="1" outlineLevel="1">
      <c r="B3909" s="187">
        <v>28079</v>
      </c>
      <c r="C3909" s="188">
        <v>7.41</v>
      </c>
      <c r="D3909" s="104">
        <f t="shared" si="60"/>
        <v>7.4099999999999999E-2</v>
      </c>
      <c r="F3909" s="5"/>
    </row>
    <row r="3910" spans="2:6" ht="13.8" hidden="1" outlineLevel="1">
      <c r="B3910" s="187">
        <v>28080</v>
      </c>
      <c r="C3910" s="188">
        <v>7.33</v>
      </c>
      <c r="D3910" s="104">
        <f t="shared" si="60"/>
        <v>7.3300000000000004E-2</v>
      </c>
      <c r="F3910" s="5"/>
    </row>
    <row r="3911" spans="2:6" ht="13.8" hidden="1" outlineLevel="1">
      <c r="B3911" s="187">
        <v>28081</v>
      </c>
      <c r="C3911" s="188">
        <v>7.32</v>
      </c>
      <c r="D3911" s="104">
        <f t="shared" si="60"/>
        <v>7.3200000000000001E-2</v>
      </c>
      <c r="F3911" s="5"/>
    </row>
    <row r="3912" spans="2:6" ht="13.8" hidden="1" outlineLevel="1">
      <c r="B3912" s="187">
        <v>28082</v>
      </c>
      <c r="C3912" s="188">
        <v>7.33</v>
      </c>
      <c r="D3912" s="104">
        <f t="shared" si="60"/>
        <v>7.3300000000000004E-2</v>
      </c>
      <c r="F3912" s="5"/>
    </row>
    <row r="3913" spans="2:6" ht="13.8" hidden="1" outlineLevel="1">
      <c r="B3913" s="187">
        <v>28083</v>
      </c>
      <c r="C3913" s="188">
        <v>7.24</v>
      </c>
      <c r="D3913" s="104">
        <f t="shared" si="60"/>
        <v>7.2400000000000006E-2</v>
      </c>
      <c r="F3913" s="5"/>
    </row>
    <row r="3914" spans="2:6" ht="13.8" hidden="1" outlineLevel="1">
      <c r="B3914" s="187">
        <v>28086</v>
      </c>
      <c r="C3914" s="188">
        <v>7.17</v>
      </c>
      <c r="D3914" s="104">
        <f t="shared" si="60"/>
        <v>7.17E-2</v>
      </c>
      <c r="F3914" s="5"/>
    </row>
    <row r="3915" spans="2:6" ht="13.8" hidden="1" outlineLevel="1">
      <c r="B3915" s="187">
        <v>28087</v>
      </c>
      <c r="C3915" s="188">
        <v>7.16</v>
      </c>
      <c r="D3915" s="104">
        <f t="shared" si="60"/>
        <v>7.1599999999999997E-2</v>
      </c>
      <c r="F3915" s="5"/>
    </row>
    <row r="3916" spans="2:6" ht="13.8" hidden="1" outlineLevel="1">
      <c r="B3916" s="187">
        <v>28088</v>
      </c>
      <c r="C3916" s="188">
        <v>7.14</v>
      </c>
      <c r="D3916" s="104">
        <f t="shared" si="60"/>
        <v>7.1399999999999991E-2</v>
      </c>
      <c r="F3916" s="5"/>
    </row>
    <row r="3917" spans="2:6" ht="13.8" hidden="1" outlineLevel="1">
      <c r="B3917" s="187">
        <v>28089</v>
      </c>
      <c r="C3917" s="188" t="s">
        <v>380</v>
      </c>
      <c r="D3917" s="104">
        <f t="shared" si="60"/>
        <v>7.1399999999999991E-2</v>
      </c>
      <c r="F3917" s="5"/>
    </row>
    <row r="3918" spans="2:6" ht="13.8" hidden="1" outlineLevel="1">
      <c r="B3918" s="187">
        <v>28090</v>
      </c>
      <c r="C3918" s="188">
        <v>6.99</v>
      </c>
      <c r="D3918" s="104">
        <f t="shared" si="60"/>
        <v>6.9900000000000004E-2</v>
      </c>
      <c r="F3918" s="5"/>
    </row>
    <row r="3919" spans="2:6" ht="13.8" hidden="1" outlineLevel="1">
      <c r="B3919" s="187">
        <v>28093</v>
      </c>
      <c r="C3919" s="188">
        <v>7.02</v>
      </c>
      <c r="D3919" s="104">
        <f t="shared" si="60"/>
        <v>7.0199999999999999E-2</v>
      </c>
      <c r="F3919" s="5"/>
    </row>
    <row r="3920" spans="2:6" ht="13.8" hidden="1" outlineLevel="1">
      <c r="B3920" s="187">
        <v>28094</v>
      </c>
      <c r="C3920" s="188">
        <v>7.01</v>
      </c>
      <c r="D3920" s="104">
        <f t="shared" si="60"/>
        <v>7.0099999999999996E-2</v>
      </c>
      <c r="F3920" s="5"/>
    </row>
    <row r="3921" spans="2:6" ht="13.8" hidden="1" outlineLevel="1">
      <c r="B3921" s="187">
        <v>28095</v>
      </c>
      <c r="C3921" s="188">
        <v>6.97</v>
      </c>
      <c r="D3921" s="104">
        <f t="shared" si="60"/>
        <v>6.9699999999999998E-2</v>
      </c>
      <c r="F3921" s="5"/>
    </row>
    <row r="3922" spans="2:6" ht="13.8" hidden="1" outlineLevel="1">
      <c r="B3922" s="187">
        <v>28096</v>
      </c>
      <c r="C3922" s="188">
        <v>6.92</v>
      </c>
      <c r="D3922" s="104">
        <f t="shared" si="60"/>
        <v>6.9199999999999998E-2</v>
      </c>
      <c r="F3922" s="5"/>
    </row>
    <row r="3923" spans="2:6" ht="13.8" hidden="1" outlineLevel="1">
      <c r="B3923" s="187">
        <v>28097</v>
      </c>
      <c r="C3923" s="188">
        <v>6.86</v>
      </c>
      <c r="D3923" s="104">
        <f t="shared" si="60"/>
        <v>6.8600000000000008E-2</v>
      </c>
      <c r="F3923" s="5"/>
    </row>
    <row r="3924" spans="2:6" ht="13.8" hidden="1" outlineLevel="1">
      <c r="B3924" s="187">
        <v>28100</v>
      </c>
      <c r="C3924" s="188">
        <v>6.87</v>
      </c>
      <c r="D3924" s="104">
        <f t="shared" si="60"/>
        <v>6.8699999999999997E-2</v>
      </c>
      <c r="F3924" s="5"/>
    </row>
    <row r="3925" spans="2:6" ht="13.8" hidden="1" outlineLevel="1">
      <c r="B3925" s="187">
        <v>28101</v>
      </c>
      <c r="C3925" s="188">
        <v>6.88</v>
      </c>
      <c r="D3925" s="104">
        <f t="shared" si="60"/>
        <v>6.88E-2</v>
      </c>
      <c r="F3925" s="5"/>
    </row>
    <row r="3926" spans="2:6" ht="13.8" hidden="1" outlineLevel="1">
      <c r="B3926" s="187">
        <v>28102</v>
      </c>
      <c r="C3926" s="188">
        <v>6.91</v>
      </c>
      <c r="D3926" s="104">
        <f t="shared" si="60"/>
        <v>6.9099999999999995E-2</v>
      </c>
      <c r="F3926" s="5"/>
    </row>
    <row r="3927" spans="2:6" ht="13.8" hidden="1" outlineLevel="1">
      <c r="B3927" s="187">
        <v>28103</v>
      </c>
      <c r="C3927" s="188">
        <v>6.92</v>
      </c>
      <c r="D3927" s="104">
        <f t="shared" si="60"/>
        <v>6.9199999999999998E-2</v>
      </c>
      <c r="F3927" s="5"/>
    </row>
    <row r="3928" spans="2:6" ht="13.8" hidden="1" outlineLevel="1">
      <c r="B3928" s="187">
        <v>28104</v>
      </c>
      <c r="C3928" s="188">
        <v>6.82</v>
      </c>
      <c r="D3928" s="104">
        <f t="shared" si="60"/>
        <v>6.8199999999999997E-2</v>
      </c>
      <c r="F3928" s="5"/>
    </row>
    <row r="3929" spans="2:6" ht="13.8" hidden="1" outlineLevel="1">
      <c r="B3929" s="187">
        <v>28107</v>
      </c>
      <c r="C3929" s="188">
        <v>6.9</v>
      </c>
      <c r="D3929" s="104">
        <f t="shared" si="60"/>
        <v>6.9000000000000006E-2</v>
      </c>
      <c r="F3929" s="5"/>
    </row>
    <row r="3930" spans="2:6" ht="13.8" hidden="1" outlineLevel="1">
      <c r="B3930" s="187">
        <v>28108</v>
      </c>
      <c r="C3930" s="188">
        <v>6.89</v>
      </c>
      <c r="D3930" s="104">
        <f t="shared" si="60"/>
        <v>6.8900000000000003E-2</v>
      </c>
      <c r="F3930" s="5"/>
    </row>
    <row r="3931" spans="2:6" ht="13.8" hidden="1" outlineLevel="1">
      <c r="B3931" s="187">
        <v>28109</v>
      </c>
      <c r="C3931" s="188">
        <v>6.88</v>
      </c>
      <c r="D3931" s="104">
        <f t="shared" si="60"/>
        <v>6.88E-2</v>
      </c>
      <c r="F3931" s="5"/>
    </row>
    <row r="3932" spans="2:6" ht="13.8" hidden="1" outlineLevel="1">
      <c r="B3932" s="187">
        <v>28110</v>
      </c>
      <c r="C3932" s="188">
        <v>6.88</v>
      </c>
      <c r="D3932" s="104">
        <f t="shared" si="60"/>
        <v>6.88E-2</v>
      </c>
      <c r="F3932" s="5"/>
    </row>
    <row r="3933" spans="2:6" ht="13.8" hidden="1" outlineLevel="1">
      <c r="B3933" s="187">
        <v>28111</v>
      </c>
      <c r="C3933" s="188">
        <v>6.88</v>
      </c>
      <c r="D3933" s="104">
        <f t="shared" si="60"/>
        <v>6.88E-2</v>
      </c>
      <c r="F3933" s="5"/>
    </row>
    <row r="3934" spans="2:6" ht="13.8" hidden="1" outlineLevel="1">
      <c r="B3934" s="187">
        <v>28114</v>
      </c>
      <c r="C3934" s="188">
        <v>6.84</v>
      </c>
      <c r="D3934" s="104">
        <f t="shared" ref="D3934:D3997" si="61">IF( LEN( C3934 ) = 0, #N/A, IF( C3934 = "ND", D3933, C3934 / 100 ) )</f>
        <v>6.8400000000000002E-2</v>
      </c>
      <c r="F3934" s="5"/>
    </row>
    <row r="3935" spans="2:6" ht="13.8" hidden="1" outlineLevel="1">
      <c r="B3935" s="187">
        <v>28115</v>
      </c>
      <c r="C3935" s="188">
        <v>6.85</v>
      </c>
      <c r="D3935" s="104">
        <f t="shared" si="61"/>
        <v>6.8499999999999991E-2</v>
      </c>
      <c r="F3935" s="5"/>
    </row>
    <row r="3936" spans="2:6" ht="13.8" hidden="1" outlineLevel="1">
      <c r="B3936" s="187">
        <v>28116</v>
      </c>
      <c r="C3936" s="188">
        <v>6.86</v>
      </c>
      <c r="D3936" s="104">
        <f t="shared" si="61"/>
        <v>6.8600000000000008E-2</v>
      </c>
      <c r="F3936" s="5"/>
    </row>
    <row r="3937" spans="2:6" ht="13.8" hidden="1" outlineLevel="1">
      <c r="B3937" s="187">
        <v>28117</v>
      </c>
      <c r="C3937" s="188">
        <v>6.84</v>
      </c>
      <c r="D3937" s="104">
        <f t="shared" si="61"/>
        <v>6.8400000000000002E-2</v>
      </c>
      <c r="F3937" s="5"/>
    </row>
    <row r="3938" spans="2:6" ht="13.8" hidden="1" outlineLevel="1">
      <c r="B3938" s="187">
        <v>28118</v>
      </c>
      <c r="C3938" s="188" t="s">
        <v>380</v>
      </c>
      <c r="D3938" s="104">
        <f t="shared" si="61"/>
        <v>6.8400000000000002E-2</v>
      </c>
      <c r="F3938" s="5"/>
    </row>
    <row r="3939" spans="2:6" ht="13.8" hidden="1" outlineLevel="1">
      <c r="B3939" s="187">
        <v>28121</v>
      </c>
      <c r="C3939" s="188">
        <v>6.84</v>
      </c>
      <c r="D3939" s="104">
        <f t="shared" si="61"/>
        <v>6.8400000000000002E-2</v>
      </c>
      <c r="F3939" s="5"/>
    </row>
    <row r="3940" spans="2:6" ht="13.8" hidden="1" outlineLevel="1">
      <c r="B3940" s="187">
        <v>28122</v>
      </c>
      <c r="C3940" s="188">
        <v>6.86</v>
      </c>
      <c r="D3940" s="104">
        <f t="shared" si="61"/>
        <v>6.8600000000000008E-2</v>
      </c>
      <c r="F3940" s="5"/>
    </row>
    <row r="3941" spans="2:6" ht="13.8" hidden="1" outlineLevel="1">
      <c r="B3941" s="187">
        <v>28123</v>
      </c>
      <c r="C3941" s="188">
        <v>6.84</v>
      </c>
      <c r="D3941" s="104">
        <f t="shared" si="61"/>
        <v>6.8400000000000002E-2</v>
      </c>
      <c r="F3941" s="5"/>
    </row>
    <row r="3942" spans="2:6" ht="13.8" hidden="1" outlineLevel="1">
      <c r="B3942" s="187">
        <v>28124</v>
      </c>
      <c r="C3942" s="188">
        <v>6.8</v>
      </c>
      <c r="D3942" s="104">
        <f t="shared" si="61"/>
        <v>6.8000000000000005E-2</v>
      </c>
      <c r="F3942" s="5"/>
    </row>
    <row r="3943" spans="2:6" ht="13.8" hidden="1" outlineLevel="1">
      <c r="B3943" s="187">
        <v>28125</v>
      </c>
      <c r="C3943" s="188">
        <v>6.81</v>
      </c>
      <c r="D3943" s="104">
        <f t="shared" si="61"/>
        <v>6.8099999999999994E-2</v>
      </c>
      <c r="F3943" s="5"/>
    </row>
    <row r="3944" spans="2:6" ht="13.8" hidden="1" outlineLevel="1">
      <c r="B3944" s="187">
        <v>28128</v>
      </c>
      <c r="C3944" s="188">
        <v>6.84</v>
      </c>
      <c r="D3944" s="104">
        <f t="shared" si="61"/>
        <v>6.8400000000000002E-2</v>
      </c>
      <c r="F3944" s="5"/>
    </row>
    <row r="3945" spans="2:6" ht="13.8" hidden="1" outlineLevel="1">
      <c r="B3945" s="187">
        <v>28129</v>
      </c>
      <c r="C3945" s="188">
        <v>6.9</v>
      </c>
      <c r="D3945" s="104">
        <f t="shared" si="61"/>
        <v>6.9000000000000006E-2</v>
      </c>
      <c r="F3945" s="5"/>
    </row>
    <row r="3946" spans="2:6" ht="13.8" hidden="1" outlineLevel="1">
      <c r="B3946" s="187">
        <v>28130</v>
      </c>
      <c r="C3946" s="188">
        <v>6.88</v>
      </c>
      <c r="D3946" s="104">
        <f t="shared" si="61"/>
        <v>6.88E-2</v>
      </c>
      <c r="F3946" s="5"/>
    </row>
    <row r="3947" spans="2:6" ht="13.8" hidden="1" outlineLevel="1">
      <c r="B3947" s="187">
        <v>28131</v>
      </c>
      <c r="C3947" s="188">
        <v>6.93</v>
      </c>
      <c r="D3947" s="104">
        <f t="shared" si="61"/>
        <v>6.93E-2</v>
      </c>
      <c r="F3947" s="5"/>
    </row>
    <row r="3948" spans="2:6" ht="13.8" hidden="1" outlineLevel="1">
      <c r="B3948" s="187">
        <v>28132</v>
      </c>
      <c r="C3948" s="188">
        <v>7.07</v>
      </c>
      <c r="D3948" s="104">
        <f t="shared" si="61"/>
        <v>7.0699999999999999E-2</v>
      </c>
      <c r="F3948" s="5"/>
    </row>
    <row r="3949" spans="2:6" ht="13.8" hidden="1" outlineLevel="1">
      <c r="B3949" s="187">
        <v>28135</v>
      </c>
      <c r="C3949" s="188">
        <v>7.2</v>
      </c>
      <c r="D3949" s="104">
        <f t="shared" si="61"/>
        <v>7.2000000000000008E-2</v>
      </c>
      <c r="F3949" s="5"/>
    </row>
    <row r="3950" spans="2:6" ht="13.8" hidden="1" outlineLevel="1">
      <c r="B3950" s="187">
        <v>28136</v>
      </c>
      <c r="C3950" s="188">
        <v>7.28</v>
      </c>
      <c r="D3950" s="104">
        <f t="shared" si="61"/>
        <v>7.2800000000000004E-2</v>
      </c>
      <c r="F3950" s="5"/>
    </row>
    <row r="3951" spans="2:6" ht="13.8" hidden="1" outlineLevel="1">
      <c r="B3951" s="187">
        <v>28137</v>
      </c>
      <c r="C3951" s="188">
        <v>7.26</v>
      </c>
      <c r="D3951" s="104">
        <f t="shared" si="61"/>
        <v>7.2599999999999998E-2</v>
      </c>
      <c r="F3951" s="5"/>
    </row>
    <row r="3952" spans="2:6" ht="13.8" hidden="1" outlineLevel="1">
      <c r="B3952" s="187">
        <v>28138</v>
      </c>
      <c r="C3952" s="188">
        <v>7.18</v>
      </c>
      <c r="D3952" s="104">
        <f t="shared" si="61"/>
        <v>7.1800000000000003E-2</v>
      </c>
      <c r="F3952" s="5"/>
    </row>
    <row r="3953" spans="2:6" ht="13.8" hidden="1" outlineLevel="1">
      <c r="B3953" s="187">
        <v>28139</v>
      </c>
      <c r="C3953" s="188">
        <v>7.28</v>
      </c>
      <c r="D3953" s="104">
        <f t="shared" si="61"/>
        <v>7.2800000000000004E-2</v>
      </c>
      <c r="F3953" s="5"/>
    </row>
    <row r="3954" spans="2:6" ht="13.8" hidden="1" outlineLevel="1">
      <c r="B3954" s="187">
        <v>28142</v>
      </c>
      <c r="C3954" s="188">
        <v>7.28</v>
      </c>
      <c r="D3954" s="104">
        <f t="shared" si="61"/>
        <v>7.2800000000000004E-2</v>
      </c>
      <c r="F3954" s="5"/>
    </row>
    <row r="3955" spans="2:6" ht="13.8" hidden="1" outlineLevel="1">
      <c r="B3955" s="187">
        <v>28143</v>
      </c>
      <c r="C3955" s="188">
        <v>7.34</v>
      </c>
      <c r="D3955" s="104">
        <f t="shared" si="61"/>
        <v>7.3399999999999993E-2</v>
      </c>
      <c r="F3955" s="5"/>
    </row>
    <row r="3956" spans="2:6" ht="13.8" hidden="1" outlineLevel="1">
      <c r="B3956" s="187">
        <v>28144</v>
      </c>
      <c r="C3956" s="188">
        <v>7.28</v>
      </c>
      <c r="D3956" s="104">
        <f t="shared" si="61"/>
        <v>7.2800000000000004E-2</v>
      </c>
      <c r="F3956" s="5"/>
    </row>
    <row r="3957" spans="2:6" ht="13.8" hidden="1" outlineLevel="1">
      <c r="B3957" s="187">
        <v>28145</v>
      </c>
      <c r="C3957" s="188">
        <v>7.26</v>
      </c>
      <c r="D3957" s="104">
        <f t="shared" si="61"/>
        <v>7.2599999999999998E-2</v>
      </c>
      <c r="F3957" s="5"/>
    </row>
    <row r="3958" spans="2:6" ht="13.8" hidden="1" outlineLevel="1">
      <c r="B3958" s="187">
        <v>28146</v>
      </c>
      <c r="C3958" s="188">
        <v>7.28</v>
      </c>
      <c r="D3958" s="104">
        <f t="shared" si="61"/>
        <v>7.2800000000000004E-2</v>
      </c>
      <c r="F3958" s="5"/>
    </row>
    <row r="3959" spans="2:6" ht="13.8" hidden="1" outlineLevel="1">
      <c r="B3959" s="187">
        <v>28149</v>
      </c>
      <c r="C3959" s="188">
        <v>7.34</v>
      </c>
      <c r="D3959" s="104">
        <f t="shared" si="61"/>
        <v>7.3399999999999993E-2</v>
      </c>
      <c r="F3959" s="5"/>
    </row>
    <row r="3960" spans="2:6" ht="13.8" hidden="1" outlineLevel="1">
      <c r="B3960" s="187">
        <v>28150</v>
      </c>
      <c r="C3960" s="188">
        <v>7.32</v>
      </c>
      <c r="D3960" s="104">
        <f t="shared" si="61"/>
        <v>7.3200000000000001E-2</v>
      </c>
      <c r="F3960" s="5"/>
    </row>
    <row r="3961" spans="2:6" ht="13.8" hidden="1" outlineLevel="1">
      <c r="B3961" s="187">
        <v>28151</v>
      </c>
      <c r="C3961" s="188">
        <v>7.33</v>
      </c>
      <c r="D3961" s="104">
        <f t="shared" si="61"/>
        <v>7.3300000000000004E-2</v>
      </c>
      <c r="F3961" s="5"/>
    </row>
    <row r="3962" spans="2:6" ht="13.8" hidden="1" outlineLevel="1">
      <c r="B3962" s="187">
        <v>28152</v>
      </c>
      <c r="C3962" s="188">
        <v>7.43</v>
      </c>
      <c r="D3962" s="104">
        <f t="shared" si="61"/>
        <v>7.4299999999999991E-2</v>
      </c>
      <c r="F3962" s="5"/>
    </row>
    <row r="3963" spans="2:6" ht="13.8" hidden="1" outlineLevel="1">
      <c r="B3963" s="187">
        <v>28153</v>
      </c>
      <c r="C3963" s="188">
        <v>7.4</v>
      </c>
      <c r="D3963" s="104">
        <f t="shared" si="61"/>
        <v>7.400000000000001E-2</v>
      </c>
      <c r="F3963" s="5"/>
    </row>
    <row r="3964" spans="2:6" ht="13.8" hidden="1" outlineLevel="1">
      <c r="B3964" s="187">
        <v>28156</v>
      </c>
      <c r="C3964" s="188">
        <v>7.4</v>
      </c>
      <c r="D3964" s="104">
        <f t="shared" si="61"/>
        <v>7.400000000000001E-2</v>
      </c>
      <c r="F3964" s="5"/>
    </row>
    <row r="3965" spans="2:6" ht="13.8" hidden="1" outlineLevel="1">
      <c r="B3965" s="187">
        <v>28157</v>
      </c>
      <c r="C3965" s="188">
        <v>7.41</v>
      </c>
      <c r="D3965" s="104">
        <f t="shared" si="61"/>
        <v>7.4099999999999999E-2</v>
      </c>
      <c r="F3965" s="5"/>
    </row>
    <row r="3966" spans="2:6" ht="13.8" hidden="1" outlineLevel="1">
      <c r="B3966" s="187">
        <v>28158</v>
      </c>
      <c r="C3966" s="188">
        <v>7.47</v>
      </c>
      <c r="D3966" s="104">
        <f t="shared" si="61"/>
        <v>7.4700000000000003E-2</v>
      </c>
      <c r="F3966" s="5"/>
    </row>
    <row r="3967" spans="2:6" ht="13.8" hidden="1" outlineLevel="1">
      <c r="B3967" s="187">
        <v>28159</v>
      </c>
      <c r="C3967" s="188">
        <v>7.46</v>
      </c>
      <c r="D3967" s="104">
        <f t="shared" si="61"/>
        <v>7.46E-2</v>
      </c>
      <c r="F3967" s="5"/>
    </row>
    <row r="3968" spans="2:6" ht="13.8" hidden="1" outlineLevel="1">
      <c r="B3968" s="187">
        <v>28160</v>
      </c>
      <c r="C3968" s="188">
        <v>7.28</v>
      </c>
      <c r="D3968" s="104">
        <f t="shared" si="61"/>
        <v>7.2800000000000004E-2</v>
      </c>
      <c r="F3968" s="5"/>
    </row>
    <row r="3969" spans="2:6" ht="13.8" hidden="1" outlineLevel="1">
      <c r="B3969" s="187">
        <v>28163</v>
      </c>
      <c r="C3969" s="188">
        <v>7.34</v>
      </c>
      <c r="D3969" s="104">
        <f t="shared" si="61"/>
        <v>7.3399999999999993E-2</v>
      </c>
      <c r="F3969" s="5"/>
    </row>
    <row r="3970" spans="2:6" ht="13.8" hidden="1" outlineLevel="1">
      <c r="B3970" s="187">
        <v>28164</v>
      </c>
      <c r="C3970" s="188">
        <v>7.35</v>
      </c>
      <c r="D3970" s="104">
        <f t="shared" si="61"/>
        <v>7.3499999999999996E-2</v>
      </c>
      <c r="F3970" s="5"/>
    </row>
    <row r="3971" spans="2:6" ht="13.8" hidden="1" outlineLevel="1">
      <c r="B3971" s="187">
        <v>28165</v>
      </c>
      <c r="C3971" s="188">
        <v>7.34</v>
      </c>
      <c r="D3971" s="104">
        <f t="shared" si="61"/>
        <v>7.3399999999999993E-2</v>
      </c>
      <c r="F3971" s="5"/>
    </row>
    <row r="3972" spans="2:6" ht="13.8" hidden="1" outlineLevel="1">
      <c r="B3972" s="187">
        <v>28166</v>
      </c>
      <c r="C3972" s="188">
        <v>7.34</v>
      </c>
      <c r="D3972" s="104">
        <f t="shared" si="61"/>
        <v>7.3399999999999993E-2</v>
      </c>
      <c r="F3972" s="5"/>
    </row>
    <row r="3973" spans="2:6" ht="13.8" hidden="1" outlineLevel="1">
      <c r="B3973" s="187">
        <v>28167</v>
      </c>
      <c r="C3973" s="188">
        <v>7.36</v>
      </c>
      <c r="D3973" s="104">
        <f t="shared" si="61"/>
        <v>7.3599999999999999E-2</v>
      </c>
      <c r="F3973" s="5"/>
    </row>
    <row r="3974" spans="2:6" ht="13.8" hidden="1" outlineLevel="1">
      <c r="B3974" s="187">
        <v>28170</v>
      </c>
      <c r="C3974" s="188">
        <v>7.38</v>
      </c>
      <c r="D3974" s="104">
        <f t="shared" si="61"/>
        <v>7.3800000000000004E-2</v>
      </c>
      <c r="F3974" s="5"/>
    </row>
    <row r="3975" spans="2:6" ht="13.8" hidden="1" outlineLevel="1">
      <c r="B3975" s="187">
        <v>28171</v>
      </c>
      <c r="C3975" s="188">
        <v>7.36</v>
      </c>
      <c r="D3975" s="104">
        <f t="shared" si="61"/>
        <v>7.3599999999999999E-2</v>
      </c>
      <c r="F3975" s="5"/>
    </row>
    <row r="3976" spans="2:6" ht="13.8" hidden="1" outlineLevel="1">
      <c r="B3976" s="187">
        <v>28172</v>
      </c>
      <c r="C3976" s="188">
        <v>7.34</v>
      </c>
      <c r="D3976" s="104">
        <f t="shared" si="61"/>
        <v>7.3399999999999993E-2</v>
      </c>
      <c r="F3976" s="5"/>
    </row>
    <row r="3977" spans="2:6" ht="13.8" hidden="1" outlineLevel="1">
      <c r="B3977" s="187">
        <v>28173</v>
      </c>
      <c r="C3977" s="188">
        <v>7.26</v>
      </c>
      <c r="D3977" s="104">
        <f t="shared" si="61"/>
        <v>7.2599999999999998E-2</v>
      </c>
      <c r="F3977" s="5"/>
    </row>
    <row r="3978" spans="2:6" ht="13.8" hidden="1" outlineLevel="1">
      <c r="B3978" s="187">
        <v>28174</v>
      </c>
      <c r="C3978" s="188">
        <v>7.41</v>
      </c>
      <c r="D3978" s="104">
        <f t="shared" si="61"/>
        <v>7.4099999999999999E-2</v>
      </c>
      <c r="F3978" s="5"/>
    </row>
    <row r="3979" spans="2:6" ht="13.8" hidden="1" outlineLevel="1">
      <c r="B3979" s="187">
        <v>28177</v>
      </c>
      <c r="C3979" s="188" t="s">
        <v>380</v>
      </c>
      <c r="D3979" s="104">
        <f t="shared" si="61"/>
        <v>7.4099999999999999E-2</v>
      </c>
      <c r="F3979" s="5"/>
    </row>
    <row r="3980" spans="2:6" ht="13.8" hidden="1" outlineLevel="1">
      <c r="B3980" s="187">
        <v>28178</v>
      </c>
      <c r="C3980" s="188">
        <v>7.42</v>
      </c>
      <c r="D3980" s="104">
        <f t="shared" si="61"/>
        <v>7.4200000000000002E-2</v>
      </c>
      <c r="F3980" s="5"/>
    </row>
    <row r="3981" spans="2:6" ht="13.8" hidden="1" outlineLevel="1">
      <c r="B3981" s="187">
        <v>28179</v>
      </c>
      <c r="C3981" s="188">
        <v>7.48</v>
      </c>
      <c r="D3981" s="104">
        <f t="shared" si="61"/>
        <v>7.4800000000000005E-2</v>
      </c>
      <c r="F3981" s="5"/>
    </row>
    <row r="3982" spans="2:6" ht="13.8" hidden="1" outlineLevel="1">
      <c r="B3982" s="187">
        <v>28180</v>
      </c>
      <c r="C3982" s="188">
        <v>7.5</v>
      </c>
      <c r="D3982" s="104">
        <f t="shared" si="61"/>
        <v>7.4999999999999997E-2</v>
      </c>
      <c r="F3982" s="5"/>
    </row>
    <row r="3983" spans="2:6" ht="13.8" hidden="1" outlineLevel="1">
      <c r="B3983" s="187">
        <v>28181</v>
      </c>
      <c r="C3983" s="188">
        <v>7.48</v>
      </c>
      <c r="D3983" s="104">
        <f t="shared" si="61"/>
        <v>7.4800000000000005E-2</v>
      </c>
      <c r="F3983" s="5"/>
    </row>
    <row r="3984" spans="2:6" ht="13.8" hidden="1" outlineLevel="1">
      <c r="B3984" s="187">
        <v>28184</v>
      </c>
      <c r="C3984" s="188">
        <v>7.45</v>
      </c>
      <c r="D3984" s="104">
        <f t="shared" si="61"/>
        <v>7.4499999999999997E-2</v>
      </c>
      <c r="F3984" s="5"/>
    </row>
    <row r="3985" spans="2:6" ht="13.8" hidden="1" outlineLevel="1">
      <c r="B3985" s="187">
        <v>28185</v>
      </c>
      <c r="C3985" s="188">
        <v>7.49</v>
      </c>
      <c r="D3985" s="104">
        <f t="shared" si="61"/>
        <v>7.4900000000000008E-2</v>
      </c>
      <c r="F3985" s="5"/>
    </row>
    <row r="3986" spans="2:6" ht="13.8" hidden="1" outlineLevel="1">
      <c r="B3986" s="187">
        <v>28186</v>
      </c>
      <c r="C3986" s="188">
        <v>7.45</v>
      </c>
      <c r="D3986" s="104">
        <f t="shared" si="61"/>
        <v>7.4499999999999997E-2</v>
      </c>
      <c r="F3986" s="5"/>
    </row>
    <row r="3987" spans="2:6" ht="13.8" hidden="1" outlineLevel="1">
      <c r="B3987" s="187">
        <v>28187</v>
      </c>
      <c r="C3987" s="188">
        <v>7.43</v>
      </c>
      <c r="D3987" s="104">
        <f t="shared" si="61"/>
        <v>7.4299999999999991E-2</v>
      </c>
      <c r="F3987" s="5"/>
    </row>
    <row r="3988" spans="2:6" ht="13.8" hidden="1" outlineLevel="1">
      <c r="B3988" s="187">
        <v>28188</v>
      </c>
      <c r="C3988" s="188">
        <v>7.48</v>
      </c>
      <c r="D3988" s="104">
        <f t="shared" si="61"/>
        <v>7.4800000000000005E-2</v>
      </c>
      <c r="F3988" s="5"/>
    </row>
    <row r="3989" spans="2:6" ht="13.8" hidden="1" outlineLevel="1">
      <c r="B3989" s="187">
        <v>28191</v>
      </c>
      <c r="C3989" s="188">
        <v>7.5</v>
      </c>
      <c r="D3989" s="104">
        <f t="shared" si="61"/>
        <v>7.4999999999999997E-2</v>
      </c>
      <c r="F3989" s="5"/>
    </row>
    <row r="3990" spans="2:6" ht="13.8" hidden="1" outlineLevel="1">
      <c r="B3990" s="187">
        <v>28192</v>
      </c>
      <c r="C3990" s="188">
        <v>7.52</v>
      </c>
      <c r="D3990" s="104">
        <f t="shared" si="61"/>
        <v>7.5199999999999989E-2</v>
      </c>
      <c r="F3990" s="5"/>
    </row>
    <row r="3991" spans="2:6" ht="13.8" hidden="1" outlineLevel="1">
      <c r="B3991" s="187">
        <v>28193</v>
      </c>
      <c r="C3991" s="188">
        <v>7.5</v>
      </c>
      <c r="D3991" s="104">
        <f t="shared" si="61"/>
        <v>7.4999999999999997E-2</v>
      </c>
      <c r="F3991" s="5"/>
    </row>
    <row r="3992" spans="2:6" ht="13.8" hidden="1" outlineLevel="1">
      <c r="B3992" s="187">
        <v>28194</v>
      </c>
      <c r="C3992" s="188">
        <v>7.49</v>
      </c>
      <c r="D3992" s="104">
        <f t="shared" si="61"/>
        <v>7.4900000000000008E-2</v>
      </c>
      <c r="F3992" s="5"/>
    </row>
    <row r="3993" spans="2:6" ht="13.8" hidden="1" outlineLevel="1">
      <c r="B3993" s="187">
        <v>28195</v>
      </c>
      <c r="C3993" s="188">
        <v>7.44</v>
      </c>
      <c r="D3993" s="104">
        <f t="shared" si="61"/>
        <v>7.4400000000000008E-2</v>
      </c>
      <c r="F3993" s="5"/>
    </row>
    <row r="3994" spans="2:6" ht="13.8" hidden="1" outlineLevel="1">
      <c r="B3994" s="187">
        <v>28198</v>
      </c>
      <c r="C3994" s="188">
        <v>7.45</v>
      </c>
      <c r="D3994" s="104">
        <f t="shared" si="61"/>
        <v>7.4499999999999997E-2</v>
      </c>
      <c r="F3994" s="5"/>
    </row>
    <row r="3995" spans="2:6" ht="13.8" hidden="1" outlineLevel="1">
      <c r="B3995" s="187">
        <v>28199</v>
      </c>
      <c r="C3995" s="188">
        <v>7.44</v>
      </c>
      <c r="D3995" s="104">
        <f t="shared" si="61"/>
        <v>7.4400000000000008E-2</v>
      </c>
      <c r="F3995" s="5"/>
    </row>
    <row r="3996" spans="2:6" ht="13.8" hidden="1" outlineLevel="1">
      <c r="B3996" s="187">
        <v>28200</v>
      </c>
      <c r="C3996" s="188">
        <v>7.44</v>
      </c>
      <c r="D3996" s="104">
        <f t="shared" si="61"/>
        <v>7.4400000000000008E-2</v>
      </c>
      <c r="F3996" s="5"/>
    </row>
    <row r="3997" spans="2:6" ht="13.8" hidden="1" outlineLevel="1">
      <c r="B3997" s="187">
        <v>28201</v>
      </c>
      <c r="C3997" s="188">
        <v>7.47</v>
      </c>
      <c r="D3997" s="104">
        <f t="shared" si="61"/>
        <v>7.4700000000000003E-2</v>
      </c>
      <c r="F3997" s="5"/>
    </row>
    <row r="3998" spans="2:6" ht="13.8" hidden="1" outlineLevel="1">
      <c r="B3998" s="187">
        <v>28202</v>
      </c>
      <c r="C3998" s="188">
        <v>7.44</v>
      </c>
      <c r="D3998" s="104">
        <f t="shared" ref="D3998:D4061" si="62">IF( LEN( C3998 ) = 0, #N/A, IF( C3998 = "ND", D3997, C3998 / 100 ) )</f>
        <v>7.4400000000000008E-2</v>
      </c>
      <c r="F3998" s="5"/>
    </row>
    <row r="3999" spans="2:6" ht="13.8" hidden="1" outlineLevel="1">
      <c r="B3999" s="187">
        <v>28205</v>
      </c>
      <c r="C3999" s="188">
        <v>7.43</v>
      </c>
      <c r="D3999" s="104">
        <f t="shared" si="62"/>
        <v>7.4299999999999991E-2</v>
      </c>
      <c r="F3999" s="5"/>
    </row>
    <row r="4000" spans="2:6" ht="13.8" hidden="1" outlineLevel="1">
      <c r="B4000" s="187">
        <v>28206</v>
      </c>
      <c r="C4000" s="188">
        <v>7.43</v>
      </c>
      <c r="D4000" s="104">
        <f t="shared" si="62"/>
        <v>7.4299999999999991E-2</v>
      </c>
      <c r="F4000" s="5"/>
    </row>
    <row r="4001" spans="2:6" ht="13.8" hidden="1" outlineLevel="1">
      <c r="B4001" s="187">
        <v>28207</v>
      </c>
      <c r="C4001" s="188">
        <v>7.44</v>
      </c>
      <c r="D4001" s="104">
        <f t="shared" si="62"/>
        <v>7.4400000000000008E-2</v>
      </c>
      <c r="F4001" s="5"/>
    </row>
    <row r="4002" spans="2:6" ht="13.8" hidden="1" outlineLevel="1">
      <c r="B4002" s="187">
        <v>28208</v>
      </c>
      <c r="C4002" s="188">
        <v>7.46</v>
      </c>
      <c r="D4002" s="104">
        <f t="shared" si="62"/>
        <v>7.46E-2</v>
      </c>
      <c r="F4002" s="5"/>
    </row>
    <row r="4003" spans="2:6" ht="13.8" hidden="1" outlineLevel="1">
      <c r="B4003" s="187">
        <v>28209</v>
      </c>
      <c r="C4003" s="188">
        <v>7.48</v>
      </c>
      <c r="D4003" s="104">
        <f t="shared" si="62"/>
        <v>7.4800000000000005E-2</v>
      </c>
      <c r="F4003" s="5"/>
    </row>
    <row r="4004" spans="2:6" ht="13.8" hidden="1" outlineLevel="1">
      <c r="B4004" s="187">
        <v>28212</v>
      </c>
      <c r="C4004" s="188">
        <v>7.47</v>
      </c>
      <c r="D4004" s="104">
        <f t="shared" si="62"/>
        <v>7.4700000000000003E-2</v>
      </c>
      <c r="F4004" s="5"/>
    </row>
    <row r="4005" spans="2:6" ht="13.8" hidden="1" outlineLevel="1">
      <c r="B4005" s="187">
        <v>28213</v>
      </c>
      <c r="C4005" s="188">
        <v>7.47</v>
      </c>
      <c r="D4005" s="104">
        <f t="shared" si="62"/>
        <v>7.4700000000000003E-2</v>
      </c>
      <c r="F4005" s="5"/>
    </row>
    <row r="4006" spans="2:6" ht="13.8" hidden="1" outlineLevel="1">
      <c r="B4006" s="187">
        <v>28214</v>
      </c>
      <c r="C4006" s="188">
        <v>7.44</v>
      </c>
      <c r="D4006" s="104">
        <f t="shared" si="62"/>
        <v>7.4400000000000008E-2</v>
      </c>
      <c r="F4006" s="5"/>
    </row>
    <row r="4007" spans="2:6" ht="13.8" hidden="1" outlineLevel="1">
      <c r="B4007" s="187">
        <v>28215</v>
      </c>
      <c r="C4007" s="188">
        <v>7.42</v>
      </c>
      <c r="D4007" s="104">
        <f t="shared" si="62"/>
        <v>7.4200000000000002E-2</v>
      </c>
      <c r="F4007" s="5"/>
    </row>
    <row r="4008" spans="2:6" ht="13.8" hidden="1" outlineLevel="1">
      <c r="B4008" s="187">
        <v>28216</v>
      </c>
      <c r="C4008" s="188">
        <v>7.43</v>
      </c>
      <c r="D4008" s="104">
        <f t="shared" si="62"/>
        <v>7.4299999999999991E-2</v>
      </c>
      <c r="F4008" s="5"/>
    </row>
    <row r="4009" spans="2:6" ht="13.8" hidden="1" outlineLevel="1">
      <c r="B4009" s="187">
        <v>28219</v>
      </c>
      <c r="C4009" s="188">
        <v>7.44</v>
      </c>
      <c r="D4009" s="104">
        <f t="shared" si="62"/>
        <v>7.4400000000000008E-2</v>
      </c>
      <c r="F4009" s="5"/>
    </row>
    <row r="4010" spans="2:6" ht="13.8" hidden="1" outlineLevel="1">
      <c r="B4010" s="187">
        <v>28220</v>
      </c>
      <c r="C4010" s="188">
        <v>7.47</v>
      </c>
      <c r="D4010" s="104">
        <f t="shared" si="62"/>
        <v>7.4700000000000003E-2</v>
      </c>
      <c r="F4010" s="5"/>
    </row>
    <row r="4011" spans="2:6" ht="13.8" hidden="1" outlineLevel="1">
      <c r="B4011" s="187">
        <v>28221</v>
      </c>
      <c r="C4011" s="188">
        <v>7.46</v>
      </c>
      <c r="D4011" s="104">
        <f t="shared" si="62"/>
        <v>7.46E-2</v>
      </c>
      <c r="F4011" s="5"/>
    </row>
    <row r="4012" spans="2:6" ht="13.8" hidden="1" outlineLevel="1">
      <c r="B4012" s="187">
        <v>28222</v>
      </c>
      <c r="C4012" s="188">
        <v>7.43</v>
      </c>
      <c r="D4012" s="104">
        <f t="shared" si="62"/>
        <v>7.4299999999999991E-2</v>
      </c>
      <c r="F4012" s="5"/>
    </row>
    <row r="4013" spans="2:6" ht="13.8" hidden="1" outlineLevel="1">
      <c r="B4013" s="187">
        <v>28223</v>
      </c>
      <c r="C4013" s="188" t="s">
        <v>380</v>
      </c>
      <c r="D4013" s="104">
        <f t="shared" si="62"/>
        <v>7.4299999999999991E-2</v>
      </c>
      <c r="F4013" s="5"/>
    </row>
    <row r="4014" spans="2:6" ht="13.8" hidden="1" outlineLevel="1">
      <c r="B4014" s="187">
        <v>28226</v>
      </c>
      <c r="C4014" s="188">
        <v>7.39</v>
      </c>
      <c r="D4014" s="104">
        <f t="shared" si="62"/>
        <v>7.3899999999999993E-2</v>
      </c>
      <c r="F4014" s="5"/>
    </row>
    <row r="4015" spans="2:6" ht="13.8" hidden="1" outlineLevel="1">
      <c r="B4015" s="187">
        <v>28227</v>
      </c>
      <c r="C4015" s="188">
        <v>7.39</v>
      </c>
      <c r="D4015" s="104">
        <f t="shared" si="62"/>
        <v>7.3899999999999993E-2</v>
      </c>
      <c r="F4015" s="5"/>
    </row>
    <row r="4016" spans="2:6" ht="13.8" hidden="1" outlineLevel="1">
      <c r="B4016" s="187">
        <v>28228</v>
      </c>
      <c r="C4016" s="188">
        <v>7.36</v>
      </c>
      <c r="D4016" s="104">
        <f t="shared" si="62"/>
        <v>7.3599999999999999E-2</v>
      </c>
      <c r="F4016" s="5"/>
    </row>
    <row r="4017" spans="2:6" ht="13.8" hidden="1" outlineLevel="1">
      <c r="B4017" s="187">
        <v>28229</v>
      </c>
      <c r="C4017" s="188">
        <v>7.22</v>
      </c>
      <c r="D4017" s="104">
        <f t="shared" si="62"/>
        <v>7.22E-2</v>
      </c>
      <c r="F4017" s="5"/>
    </row>
    <row r="4018" spans="2:6" ht="13.8" hidden="1" outlineLevel="1">
      <c r="B4018" s="187">
        <v>28230</v>
      </c>
      <c r="C4018" s="188">
        <v>7.25</v>
      </c>
      <c r="D4018" s="104">
        <f t="shared" si="62"/>
        <v>7.2499999999999995E-2</v>
      </c>
      <c r="F4018" s="5"/>
    </row>
    <row r="4019" spans="2:6" ht="13.8" hidden="1" outlineLevel="1">
      <c r="B4019" s="187">
        <v>28233</v>
      </c>
      <c r="C4019" s="188">
        <v>7.25</v>
      </c>
      <c r="D4019" s="104">
        <f t="shared" si="62"/>
        <v>7.2499999999999995E-2</v>
      </c>
      <c r="F4019" s="5"/>
    </row>
    <row r="4020" spans="2:6" ht="13.8" hidden="1" outlineLevel="1">
      <c r="B4020" s="187">
        <v>28234</v>
      </c>
      <c r="C4020" s="188">
        <v>7.3</v>
      </c>
      <c r="D4020" s="104">
        <f t="shared" si="62"/>
        <v>7.2999999999999995E-2</v>
      </c>
      <c r="F4020" s="5"/>
    </row>
    <row r="4021" spans="2:6" ht="13.8" hidden="1" outlineLevel="1">
      <c r="B4021" s="187">
        <v>28235</v>
      </c>
      <c r="C4021" s="188">
        <v>7.32</v>
      </c>
      <c r="D4021" s="104">
        <f t="shared" si="62"/>
        <v>7.3200000000000001E-2</v>
      </c>
      <c r="F4021" s="5"/>
    </row>
    <row r="4022" spans="2:6" ht="13.8" hidden="1" outlineLevel="1">
      <c r="B4022" s="187">
        <v>28236</v>
      </c>
      <c r="C4022" s="188">
        <v>7.33</v>
      </c>
      <c r="D4022" s="104">
        <f t="shared" si="62"/>
        <v>7.3300000000000004E-2</v>
      </c>
      <c r="F4022" s="5"/>
    </row>
    <row r="4023" spans="2:6" ht="13.8" hidden="1" outlineLevel="1">
      <c r="B4023" s="187">
        <v>28237</v>
      </c>
      <c r="C4023" s="188">
        <v>7.36</v>
      </c>
      <c r="D4023" s="104">
        <f t="shared" si="62"/>
        <v>7.3599999999999999E-2</v>
      </c>
      <c r="F4023" s="5"/>
    </row>
    <row r="4024" spans="2:6" ht="13.8" hidden="1" outlineLevel="1">
      <c r="B4024" s="187">
        <v>28240</v>
      </c>
      <c r="C4024" s="188">
        <v>7.4</v>
      </c>
      <c r="D4024" s="104">
        <f t="shared" si="62"/>
        <v>7.400000000000001E-2</v>
      </c>
      <c r="F4024" s="5"/>
    </row>
    <row r="4025" spans="2:6" ht="13.8" hidden="1" outlineLevel="1">
      <c r="B4025" s="187">
        <v>28241</v>
      </c>
      <c r="C4025" s="188">
        <v>7.38</v>
      </c>
      <c r="D4025" s="104">
        <f t="shared" si="62"/>
        <v>7.3800000000000004E-2</v>
      </c>
      <c r="F4025" s="5"/>
    </row>
    <row r="4026" spans="2:6" ht="13.8" hidden="1" outlineLevel="1">
      <c r="B4026" s="187">
        <v>28242</v>
      </c>
      <c r="C4026" s="188">
        <v>7.38</v>
      </c>
      <c r="D4026" s="104">
        <f t="shared" si="62"/>
        <v>7.3800000000000004E-2</v>
      </c>
      <c r="F4026" s="5"/>
    </row>
    <row r="4027" spans="2:6" ht="13.8" hidden="1" outlineLevel="1">
      <c r="B4027" s="187">
        <v>28243</v>
      </c>
      <c r="C4027" s="188">
        <v>7.4</v>
      </c>
      <c r="D4027" s="104">
        <f t="shared" si="62"/>
        <v>7.400000000000001E-2</v>
      </c>
      <c r="F4027" s="5"/>
    </row>
    <row r="4028" spans="2:6" ht="13.8" hidden="1" outlineLevel="1">
      <c r="B4028" s="187">
        <v>28244</v>
      </c>
      <c r="C4028" s="188">
        <v>7.45</v>
      </c>
      <c r="D4028" s="104">
        <f t="shared" si="62"/>
        <v>7.4499999999999997E-2</v>
      </c>
      <c r="F4028" s="5"/>
    </row>
    <row r="4029" spans="2:6" ht="13.8" hidden="1" outlineLevel="1">
      <c r="B4029" s="187">
        <v>28247</v>
      </c>
      <c r="C4029" s="188">
        <v>7.45</v>
      </c>
      <c r="D4029" s="104">
        <f t="shared" si="62"/>
        <v>7.4499999999999997E-2</v>
      </c>
      <c r="F4029" s="5"/>
    </row>
    <row r="4030" spans="2:6" ht="13.8" hidden="1" outlineLevel="1">
      <c r="B4030" s="187">
        <v>28248</v>
      </c>
      <c r="C4030" s="188">
        <v>7.44</v>
      </c>
      <c r="D4030" s="104">
        <f t="shared" si="62"/>
        <v>7.4400000000000008E-2</v>
      </c>
      <c r="F4030" s="5"/>
    </row>
    <row r="4031" spans="2:6" ht="13.8" hidden="1" outlineLevel="1">
      <c r="B4031" s="187">
        <v>28249</v>
      </c>
      <c r="C4031" s="188">
        <v>7.45</v>
      </c>
      <c r="D4031" s="104">
        <f t="shared" si="62"/>
        <v>7.4499999999999997E-2</v>
      </c>
      <c r="F4031" s="5"/>
    </row>
    <row r="4032" spans="2:6" ht="13.8" hidden="1" outlineLevel="1">
      <c r="B4032" s="187">
        <v>28250</v>
      </c>
      <c r="C4032" s="188">
        <v>7.47</v>
      </c>
      <c r="D4032" s="104">
        <f t="shared" si="62"/>
        <v>7.4700000000000003E-2</v>
      </c>
      <c r="F4032" s="5"/>
    </row>
    <row r="4033" spans="2:6" ht="13.8" hidden="1" outlineLevel="1">
      <c r="B4033" s="187">
        <v>28251</v>
      </c>
      <c r="C4033" s="188">
        <v>7.5</v>
      </c>
      <c r="D4033" s="104">
        <f t="shared" si="62"/>
        <v>7.4999999999999997E-2</v>
      </c>
      <c r="F4033" s="5"/>
    </row>
    <row r="4034" spans="2:6" ht="13.8" hidden="1" outlineLevel="1">
      <c r="B4034" s="187">
        <v>28254</v>
      </c>
      <c r="C4034" s="188">
        <v>7.5</v>
      </c>
      <c r="D4034" s="104">
        <f t="shared" si="62"/>
        <v>7.4999999999999997E-2</v>
      </c>
      <c r="F4034" s="5"/>
    </row>
    <row r="4035" spans="2:6" ht="13.8" hidden="1" outlineLevel="1">
      <c r="B4035" s="187">
        <v>28255</v>
      </c>
      <c r="C4035" s="188">
        <v>7.52</v>
      </c>
      <c r="D4035" s="104">
        <f t="shared" si="62"/>
        <v>7.5199999999999989E-2</v>
      </c>
      <c r="F4035" s="5"/>
    </row>
    <row r="4036" spans="2:6" ht="13.8" hidden="1" outlineLevel="1">
      <c r="B4036" s="187">
        <v>28256</v>
      </c>
      <c r="C4036" s="188">
        <v>7.52</v>
      </c>
      <c r="D4036" s="104">
        <f t="shared" si="62"/>
        <v>7.5199999999999989E-2</v>
      </c>
      <c r="F4036" s="5"/>
    </row>
    <row r="4037" spans="2:6" ht="13.8" hidden="1" outlineLevel="1">
      <c r="B4037" s="187">
        <v>28257</v>
      </c>
      <c r="C4037" s="188">
        <v>7.5</v>
      </c>
      <c r="D4037" s="104">
        <f t="shared" si="62"/>
        <v>7.4999999999999997E-2</v>
      </c>
      <c r="F4037" s="5"/>
    </row>
    <row r="4038" spans="2:6" ht="13.8" hidden="1" outlineLevel="1">
      <c r="B4038" s="187">
        <v>28258</v>
      </c>
      <c r="C4038" s="188">
        <v>7.48</v>
      </c>
      <c r="D4038" s="104">
        <f t="shared" si="62"/>
        <v>7.4800000000000005E-2</v>
      </c>
      <c r="F4038" s="5"/>
    </row>
    <row r="4039" spans="2:6" ht="13.8" hidden="1" outlineLevel="1">
      <c r="B4039" s="187">
        <v>28261</v>
      </c>
      <c r="C4039" s="188">
        <v>7.46</v>
      </c>
      <c r="D4039" s="104">
        <f t="shared" si="62"/>
        <v>7.46E-2</v>
      </c>
      <c r="F4039" s="5"/>
    </row>
    <row r="4040" spans="2:6" ht="13.8" hidden="1" outlineLevel="1">
      <c r="B4040" s="187">
        <v>28262</v>
      </c>
      <c r="C4040" s="188">
        <v>7.45</v>
      </c>
      <c r="D4040" s="104">
        <f t="shared" si="62"/>
        <v>7.4499999999999997E-2</v>
      </c>
      <c r="F4040" s="5"/>
    </row>
    <row r="4041" spans="2:6" ht="13.8" hidden="1" outlineLevel="1">
      <c r="B4041" s="187">
        <v>28263</v>
      </c>
      <c r="C4041" s="188">
        <v>7.43</v>
      </c>
      <c r="D4041" s="104">
        <f t="shared" si="62"/>
        <v>7.4299999999999991E-2</v>
      </c>
      <c r="F4041" s="5"/>
    </row>
    <row r="4042" spans="2:6" ht="13.8" hidden="1" outlineLevel="1">
      <c r="B4042" s="187">
        <v>28264</v>
      </c>
      <c r="C4042" s="188">
        <v>7.49</v>
      </c>
      <c r="D4042" s="104">
        <f t="shared" si="62"/>
        <v>7.4900000000000008E-2</v>
      </c>
      <c r="F4042" s="5"/>
    </row>
    <row r="4043" spans="2:6" ht="13.8" hidden="1" outlineLevel="1">
      <c r="B4043" s="187">
        <v>28265</v>
      </c>
      <c r="C4043" s="188">
        <v>7.49</v>
      </c>
      <c r="D4043" s="104">
        <f t="shared" si="62"/>
        <v>7.4900000000000008E-2</v>
      </c>
      <c r="F4043" s="5"/>
    </row>
    <row r="4044" spans="2:6" ht="13.8" hidden="1" outlineLevel="1">
      <c r="B4044" s="187">
        <v>28268</v>
      </c>
      <c r="C4044" s="188">
        <v>7.46</v>
      </c>
      <c r="D4044" s="104">
        <f t="shared" si="62"/>
        <v>7.46E-2</v>
      </c>
      <c r="F4044" s="5"/>
    </row>
    <row r="4045" spans="2:6" ht="13.8" hidden="1" outlineLevel="1">
      <c r="B4045" s="187">
        <v>28269</v>
      </c>
      <c r="C4045" s="188">
        <v>7.41</v>
      </c>
      <c r="D4045" s="104">
        <f t="shared" si="62"/>
        <v>7.4099999999999999E-2</v>
      </c>
      <c r="F4045" s="5"/>
    </row>
    <row r="4046" spans="2:6" ht="13.8" hidden="1" outlineLevel="1">
      <c r="B4046" s="187">
        <v>28270</v>
      </c>
      <c r="C4046" s="188">
        <v>7.39</v>
      </c>
      <c r="D4046" s="104">
        <f t="shared" si="62"/>
        <v>7.3899999999999993E-2</v>
      </c>
      <c r="F4046" s="5"/>
    </row>
    <row r="4047" spans="2:6" ht="13.8" hidden="1" outlineLevel="1">
      <c r="B4047" s="187">
        <v>28271</v>
      </c>
      <c r="C4047" s="188">
        <v>7.42</v>
      </c>
      <c r="D4047" s="104">
        <f t="shared" si="62"/>
        <v>7.4200000000000002E-2</v>
      </c>
      <c r="F4047" s="5"/>
    </row>
    <row r="4048" spans="2:6" ht="13.8" hidden="1" outlineLevel="1">
      <c r="B4048" s="187">
        <v>28272</v>
      </c>
      <c r="C4048" s="188">
        <v>7.38</v>
      </c>
      <c r="D4048" s="104">
        <f t="shared" si="62"/>
        <v>7.3800000000000004E-2</v>
      </c>
      <c r="F4048" s="5"/>
    </row>
    <row r="4049" spans="2:6" ht="13.8" hidden="1" outlineLevel="1">
      <c r="B4049" s="187">
        <v>28275</v>
      </c>
      <c r="C4049" s="188" t="s">
        <v>380</v>
      </c>
      <c r="D4049" s="104">
        <f t="shared" si="62"/>
        <v>7.3800000000000004E-2</v>
      </c>
      <c r="F4049" s="5"/>
    </row>
    <row r="4050" spans="2:6" ht="13.8" hidden="1" outlineLevel="1">
      <c r="B4050" s="187">
        <v>28276</v>
      </c>
      <c r="C4050" s="188">
        <v>7.38</v>
      </c>
      <c r="D4050" s="104">
        <f t="shared" si="62"/>
        <v>7.3800000000000004E-2</v>
      </c>
      <c r="F4050" s="5"/>
    </row>
    <row r="4051" spans="2:6" ht="13.8" hidden="1" outlineLevel="1">
      <c r="B4051" s="187">
        <v>28277</v>
      </c>
      <c r="C4051" s="188">
        <v>7.38</v>
      </c>
      <c r="D4051" s="104">
        <f t="shared" si="62"/>
        <v>7.3800000000000004E-2</v>
      </c>
      <c r="F4051" s="5"/>
    </row>
    <row r="4052" spans="2:6" ht="13.8" hidden="1" outlineLevel="1">
      <c r="B4052" s="187">
        <v>28278</v>
      </c>
      <c r="C4052" s="188">
        <v>7.39</v>
      </c>
      <c r="D4052" s="104">
        <f t="shared" si="62"/>
        <v>7.3899999999999993E-2</v>
      </c>
      <c r="F4052" s="5"/>
    </row>
    <row r="4053" spans="2:6" ht="13.8" hidden="1" outlineLevel="1">
      <c r="B4053" s="187">
        <v>28279</v>
      </c>
      <c r="C4053" s="188">
        <v>7.36</v>
      </c>
      <c r="D4053" s="104">
        <f t="shared" si="62"/>
        <v>7.3599999999999999E-2</v>
      </c>
      <c r="F4053" s="5"/>
    </row>
    <row r="4054" spans="2:6" ht="13.8" hidden="1" outlineLevel="1">
      <c r="B4054" s="187">
        <v>28282</v>
      </c>
      <c r="C4054" s="188">
        <v>7.37</v>
      </c>
      <c r="D4054" s="104">
        <f t="shared" si="62"/>
        <v>7.3700000000000002E-2</v>
      </c>
      <c r="F4054" s="5"/>
    </row>
    <row r="4055" spans="2:6" ht="13.8" hidden="1" outlineLevel="1">
      <c r="B4055" s="187">
        <v>28283</v>
      </c>
      <c r="C4055" s="188">
        <v>7.36</v>
      </c>
      <c r="D4055" s="104">
        <f t="shared" si="62"/>
        <v>7.3599999999999999E-2</v>
      </c>
      <c r="F4055" s="5"/>
    </row>
    <row r="4056" spans="2:6" ht="13.8" hidden="1" outlineLevel="1">
      <c r="B4056" s="187">
        <v>28284</v>
      </c>
      <c r="C4056" s="188">
        <v>7.36</v>
      </c>
      <c r="D4056" s="104">
        <f t="shared" si="62"/>
        <v>7.3599999999999999E-2</v>
      </c>
      <c r="F4056" s="5"/>
    </row>
    <row r="4057" spans="2:6" ht="13.8" hidden="1" outlineLevel="1">
      <c r="B4057" s="187">
        <v>28285</v>
      </c>
      <c r="C4057" s="188">
        <v>7.35</v>
      </c>
      <c r="D4057" s="104">
        <f t="shared" si="62"/>
        <v>7.3499999999999996E-2</v>
      </c>
      <c r="F4057" s="5"/>
    </row>
    <row r="4058" spans="2:6" ht="13.8" hidden="1" outlineLevel="1">
      <c r="B4058" s="187">
        <v>28286</v>
      </c>
      <c r="C4058" s="188">
        <v>7.3</v>
      </c>
      <c r="D4058" s="104">
        <f t="shared" si="62"/>
        <v>7.2999999999999995E-2</v>
      </c>
      <c r="F4058" s="5"/>
    </row>
    <row r="4059" spans="2:6" ht="13.8" hidden="1" outlineLevel="1">
      <c r="B4059" s="187">
        <v>28289</v>
      </c>
      <c r="C4059" s="188">
        <v>7.27</v>
      </c>
      <c r="D4059" s="104">
        <f t="shared" si="62"/>
        <v>7.2700000000000001E-2</v>
      </c>
      <c r="F4059" s="5"/>
    </row>
    <row r="4060" spans="2:6" ht="13.8" hidden="1" outlineLevel="1">
      <c r="B4060" s="187">
        <v>28290</v>
      </c>
      <c r="C4060" s="188">
        <v>7.22</v>
      </c>
      <c r="D4060" s="104">
        <f t="shared" si="62"/>
        <v>7.22E-2</v>
      </c>
      <c r="F4060" s="5"/>
    </row>
    <row r="4061" spans="2:6" ht="13.8" hidden="1" outlineLevel="1">
      <c r="B4061" s="187">
        <v>28291</v>
      </c>
      <c r="C4061" s="188">
        <v>7.23</v>
      </c>
      <c r="D4061" s="104">
        <f t="shared" si="62"/>
        <v>7.2300000000000003E-2</v>
      </c>
      <c r="F4061" s="5"/>
    </row>
    <row r="4062" spans="2:6" ht="13.8" hidden="1" outlineLevel="1">
      <c r="B4062" s="187">
        <v>28292</v>
      </c>
      <c r="C4062" s="188">
        <v>7.24</v>
      </c>
      <c r="D4062" s="104">
        <f t="shared" ref="D4062:D4125" si="63">IF( LEN( C4062 ) = 0, #N/A, IF( C4062 = "ND", D4061, C4062 / 100 ) )</f>
        <v>7.2400000000000006E-2</v>
      </c>
      <c r="F4062" s="5"/>
    </row>
    <row r="4063" spans="2:6" ht="13.8" hidden="1" outlineLevel="1">
      <c r="B4063" s="187">
        <v>28293</v>
      </c>
      <c r="C4063" s="188">
        <v>7.24</v>
      </c>
      <c r="D4063" s="104">
        <f t="shared" si="63"/>
        <v>7.2400000000000006E-2</v>
      </c>
      <c r="F4063" s="5"/>
    </row>
    <row r="4064" spans="2:6" ht="13.8" hidden="1" outlineLevel="1">
      <c r="B4064" s="187">
        <v>28296</v>
      </c>
      <c r="C4064" s="188">
        <v>7.27</v>
      </c>
      <c r="D4064" s="104">
        <f t="shared" si="63"/>
        <v>7.2700000000000001E-2</v>
      </c>
      <c r="F4064" s="5"/>
    </row>
    <row r="4065" spans="2:6" ht="13.8" hidden="1" outlineLevel="1">
      <c r="B4065" s="187">
        <v>28297</v>
      </c>
      <c r="C4065" s="188">
        <v>7.26</v>
      </c>
      <c r="D4065" s="104">
        <f t="shared" si="63"/>
        <v>7.2599999999999998E-2</v>
      </c>
      <c r="F4065" s="5"/>
    </row>
    <row r="4066" spans="2:6" ht="13.8" hidden="1" outlineLevel="1">
      <c r="B4066" s="187">
        <v>28298</v>
      </c>
      <c r="C4066" s="188">
        <v>7.25</v>
      </c>
      <c r="D4066" s="104">
        <f t="shared" si="63"/>
        <v>7.2499999999999995E-2</v>
      </c>
      <c r="F4066" s="5"/>
    </row>
    <row r="4067" spans="2:6" ht="13.8" hidden="1" outlineLevel="1">
      <c r="B4067" s="187">
        <v>28299</v>
      </c>
      <c r="C4067" s="188">
        <v>7.26</v>
      </c>
      <c r="D4067" s="104">
        <f t="shared" si="63"/>
        <v>7.2599999999999998E-2</v>
      </c>
      <c r="F4067" s="5"/>
    </row>
    <row r="4068" spans="2:6" ht="13.8" hidden="1" outlineLevel="1">
      <c r="B4068" s="187">
        <v>28300</v>
      </c>
      <c r="C4068" s="188">
        <v>7.2</v>
      </c>
      <c r="D4068" s="104">
        <f t="shared" si="63"/>
        <v>7.2000000000000008E-2</v>
      </c>
      <c r="F4068" s="5"/>
    </row>
    <row r="4069" spans="2:6" ht="13.8" hidden="1" outlineLevel="1">
      <c r="B4069" s="187">
        <v>28303</v>
      </c>
      <c r="C4069" s="188">
        <v>7.2</v>
      </c>
      <c r="D4069" s="104">
        <f t="shared" si="63"/>
        <v>7.2000000000000008E-2</v>
      </c>
      <c r="F4069" s="5"/>
    </row>
    <row r="4070" spans="2:6" ht="13.8" hidden="1" outlineLevel="1">
      <c r="B4070" s="187">
        <v>28304</v>
      </c>
      <c r="C4070" s="188">
        <v>7.16</v>
      </c>
      <c r="D4070" s="104">
        <f t="shared" si="63"/>
        <v>7.1599999999999997E-2</v>
      </c>
      <c r="F4070" s="5"/>
    </row>
    <row r="4071" spans="2:6" ht="13.8" hidden="1" outlineLevel="1">
      <c r="B4071" s="187">
        <v>28305</v>
      </c>
      <c r="C4071" s="188">
        <v>7.19</v>
      </c>
      <c r="D4071" s="104">
        <f t="shared" si="63"/>
        <v>7.1900000000000006E-2</v>
      </c>
      <c r="F4071" s="5"/>
    </row>
    <row r="4072" spans="2:6" ht="13.8" hidden="1" outlineLevel="1">
      <c r="B4072" s="187">
        <v>28306</v>
      </c>
      <c r="C4072" s="188">
        <v>7.2</v>
      </c>
      <c r="D4072" s="104">
        <f t="shared" si="63"/>
        <v>7.2000000000000008E-2</v>
      </c>
      <c r="F4072" s="5"/>
    </row>
    <row r="4073" spans="2:6" ht="13.8" hidden="1" outlineLevel="1">
      <c r="B4073" s="187">
        <v>28307</v>
      </c>
      <c r="C4073" s="188">
        <v>7.34</v>
      </c>
      <c r="D4073" s="104">
        <f t="shared" si="63"/>
        <v>7.3399999999999993E-2</v>
      </c>
      <c r="F4073" s="5"/>
    </row>
    <row r="4074" spans="2:6" ht="13.8" hidden="1" outlineLevel="1">
      <c r="B4074" s="187">
        <v>28310</v>
      </c>
      <c r="C4074" s="188" t="s">
        <v>380</v>
      </c>
      <c r="D4074" s="104">
        <f t="shared" si="63"/>
        <v>7.3399999999999993E-2</v>
      </c>
      <c r="F4074" s="5"/>
    </row>
    <row r="4075" spans="2:6" ht="13.8" hidden="1" outlineLevel="1">
      <c r="B4075" s="187">
        <v>28311</v>
      </c>
      <c r="C4075" s="188">
        <v>7.35</v>
      </c>
      <c r="D4075" s="104">
        <f t="shared" si="63"/>
        <v>7.3499999999999996E-2</v>
      </c>
      <c r="F4075" s="5"/>
    </row>
    <row r="4076" spans="2:6" ht="13.8" hidden="1" outlineLevel="1">
      <c r="B4076" s="187">
        <v>28312</v>
      </c>
      <c r="C4076" s="188">
        <v>7.37</v>
      </c>
      <c r="D4076" s="104">
        <f t="shared" si="63"/>
        <v>7.3700000000000002E-2</v>
      </c>
      <c r="F4076" s="5"/>
    </row>
    <row r="4077" spans="2:6" ht="13.8" hidden="1" outlineLevel="1">
      <c r="B4077" s="187">
        <v>28313</v>
      </c>
      <c r="C4077" s="188">
        <v>7.29</v>
      </c>
      <c r="D4077" s="104">
        <f t="shared" si="63"/>
        <v>7.2900000000000006E-2</v>
      </c>
      <c r="F4077" s="5"/>
    </row>
    <row r="4078" spans="2:6" ht="13.8" hidden="1" outlineLevel="1">
      <c r="B4078" s="187">
        <v>28314</v>
      </c>
      <c r="C4078" s="188">
        <v>7.31</v>
      </c>
      <c r="D4078" s="104">
        <f t="shared" si="63"/>
        <v>7.3099999999999998E-2</v>
      </c>
      <c r="F4078" s="5"/>
    </row>
    <row r="4079" spans="2:6" ht="13.8" hidden="1" outlineLevel="1">
      <c r="B4079" s="187">
        <v>28317</v>
      </c>
      <c r="C4079" s="188">
        <v>7.33</v>
      </c>
      <c r="D4079" s="104">
        <f t="shared" si="63"/>
        <v>7.3300000000000004E-2</v>
      </c>
      <c r="F4079" s="5"/>
    </row>
    <row r="4080" spans="2:6" ht="13.8" hidden="1" outlineLevel="1">
      <c r="B4080" s="187">
        <v>28318</v>
      </c>
      <c r="C4080" s="188">
        <v>7.32</v>
      </c>
      <c r="D4080" s="104">
        <f t="shared" si="63"/>
        <v>7.3200000000000001E-2</v>
      </c>
      <c r="F4080" s="5"/>
    </row>
    <row r="4081" spans="2:6" ht="13.8" hidden="1" outlineLevel="1">
      <c r="B4081" s="187">
        <v>28319</v>
      </c>
      <c r="C4081" s="188">
        <v>7.28</v>
      </c>
      <c r="D4081" s="104">
        <f t="shared" si="63"/>
        <v>7.2800000000000004E-2</v>
      </c>
      <c r="F4081" s="5"/>
    </row>
    <row r="4082" spans="2:6" ht="13.8" hidden="1" outlineLevel="1">
      <c r="B4082" s="187">
        <v>28320</v>
      </c>
      <c r="C4082" s="188" t="s">
        <v>380</v>
      </c>
      <c r="D4082" s="104">
        <f t="shared" si="63"/>
        <v>7.2800000000000004E-2</v>
      </c>
      <c r="F4082" s="5"/>
    </row>
    <row r="4083" spans="2:6" ht="13.8" hidden="1" outlineLevel="1">
      <c r="B4083" s="187">
        <v>28321</v>
      </c>
      <c r="C4083" s="188">
        <v>7.31</v>
      </c>
      <c r="D4083" s="104">
        <f t="shared" si="63"/>
        <v>7.3099999999999998E-2</v>
      </c>
      <c r="F4083" s="5"/>
    </row>
    <row r="4084" spans="2:6" ht="13.8" hidden="1" outlineLevel="1">
      <c r="B4084" s="187">
        <v>28324</v>
      </c>
      <c r="C4084" s="188">
        <v>7.34</v>
      </c>
      <c r="D4084" s="104">
        <f t="shared" si="63"/>
        <v>7.3399999999999993E-2</v>
      </c>
      <c r="F4084" s="5"/>
    </row>
    <row r="4085" spans="2:6" ht="13.8" hidden="1" outlineLevel="1">
      <c r="B4085" s="187">
        <v>28325</v>
      </c>
      <c r="C4085" s="188">
        <v>7.33</v>
      </c>
      <c r="D4085" s="104">
        <f t="shared" si="63"/>
        <v>7.3300000000000004E-2</v>
      </c>
      <c r="F4085" s="5"/>
    </row>
    <row r="4086" spans="2:6" ht="13.8" hidden="1" outlineLevel="1">
      <c r="B4086" s="187">
        <v>28326</v>
      </c>
      <c r="C4086" s="188">
        <v>7.32</v>
      </c>
      <c r="D4086" s="104">
        <f t="shared" si="63"/>
        <v>7.3200000000000001E-2</v>
      </c>
      <c r="F4086" s="5"/>
    </row>
    <row r="4087" spans="2:6" ht="13.8" hidden="1" outlineLevel="1">
      <c r="B4087" s="187">
        <v>28327</v>
      </c>
      <c r="C4087" s="188">
        <v>7.32</v>
      </c>
      <c r="D4087" s="104">
        <f t="shared" si="63"/>
        <v>7.3200000000000001E-2</v>
      </c>
      <c r="F4087" s="5"/>
    </row>
    <row r="4088" spans="2:6" ht="13.8" hidden="1" outlineLevel="1">
      <c r="B4088" s="187">
        <v>28328</v>
      </c>
      <c r="C4088" s="188">
        <v>7.31</v>
      </c>
      <c r="D4088" s="104">
        <f t="shared" si="63"/>
        <v>7.3099999999999998E-2</v>
      </c>
      <c r="F4088" s="5"/>
    </row>
    <row r="4089" spans="2:6" ht="13.8" hidden="1" outlineLevel="1">
      <c r="B4089" s="187">
        <v>28331</v>
      </c>
      <c r="C4089" s="188">
        <v>7.28</v>
      </c>
      <c r="D4089" s="104">
        <f t="shared" si="63"/>
        <v>7.2800000000000004E-2</v>
      </c>
      <c r="F4089" s="5"/>
    </row>
    <row r="4090" spans="2:6" ht="13.8" hidden="1" outlineLevel="1">
      <c r="B4090" s="187">
        <v>28332</v>
      </c>
      <c r="C4090" s="188">
        <v>7.28</v>
      </c>
      <c r="D4090" s="104">
        <f t="shared" si="63"/>
        <v>7.2800000000000004E-2</v>
      </c>
      <c r="F4090" s="5"/>
    </row>
    <row r="4091" spans="2:6" ht="13.8" hidden="1" outlineLevel="1">
      <c r="B4091" s="187">
        <v>28333</v>
      </c>
      <c r="C4091" s="188">
        <v>7.36</v>
      </c>
      <c r="D4091" s="104">
        <f t="shared" si="63"/>
        <v>7.3599999999999999E-2</v>
      </c>
      <c r="F4091" s="5"/>
    </row>
    <row r="4092" spans="2:6" ht="13.8" hidden="1" outlineLevel="1">
      <c r="B4092" s="187">
        <v>28334</v>
      </c>
      <c r="C4092" s="188">
        <v>7.41</v>
      </c>
      <c r="D4092" s="104">
        <f t="shared" si="63"/>
        <v>7.4099999999999999E-2</v>
      </c>
      <c r="F4092" s="5"/>
    </row>
    <row r="4093" spans="2:6" ht="13.8" hidden="1" outlineLevel="1">
      <c r="B4093" s="187">
        <v>28335</v>
      </c>
      <c r="C4093" s="188">
        <v>7.42</v>
      </c>
      <c r="D4093" s="104">
        <f t="shared" si="63"/>
        <v>7.4200000000000002E-2</v>
      </c>
      <c r="F4093" s="5"/>
    </row>
    <row r="4094" spans="2:6" ht="13.8" hidden="1" outlineLevel="1">
      <c r="B4094" s="187">
        <v>28338</v>
      </c>
      <c r="C4094" s="188">
        <v>7.43</v>
      </c>
      <c r="D4094" s="104">
        <f t="shared" si="63"/>
        <v>7.4299999999999991E-2</v>
      </c>
      <c r="F4094" s="5"/>
    </row>
    <row r="4095" spans="2:6" ht="13.8" hidden="1" outlineLevel="1">
      <c r="B4095" s="187">
        <v>28339</v>
      </c>
      <c r="C4095" s="188">
        <v>7.44</v>
      </c>
      <c r="D4095" s="104">
        <f t="shared" si="63"/>
        <v>7.4400000000000008E-2</v>
      </c>
      <c r="F4095" s="5"/>
    </row>
    <row r="4096" spans="2:6" ht="13.8" hidden="1" outlineLevel="1">
      <c r="B4096" s="187">
        <v>28340</v>
      </c>
      <c r="C4096" s="188">
        <v>7.42</v>
      </c>
      <c r="D4096" s="104">
        <f t="shared" si="63"/>
        <v>7.4200000000000002E-2</v>
      </c>
      <c r="F4096" s="5"/>
    </row>
    <row r="4097" spans="2:6" ht="13.8" hidden="1" outlineLevel="1">
      <c r="B4097" s="187">
        <v>28341</v>
      </c>
      <c r="C4097" s="188">
        <v>7.43</v>
      </c>
      <c r="D4097" s="104">
        <f t="shared" si="63"/>
        <v>7.4299999999999991E-2</v>
      </c>
      <c r="F4097" s="5"/>
    </row>
    <row r="4098" spans="2:6" ht="13.8" hidden="1" outlineLevel="1">
      <c r="B4098" s="187">
        <v>28342</v>
      </c>
      <c r="C4098" s="188">
        <v>7.42</v>
      </c>
      <c r="D4098" s="104">
        <f t="shared" si="63"/>
        <v>7.4200000000000002E-2</v>
      </c>
      <c r="F4098" s="5"/>
    </row>
    <row r="4099" spans="2:6" ht="13.8" hidden="1" outlineLevel="1">
      <c r="B4099" s="187">
        <v>28345</v>
      </c>
      <c r="C4099" s="188">
        <v>7.41</v>
      </c>
      <c r="D4099" s="104">
        <f t="shared" si="63"/>
        <v>7.4099999999999999E-2</v>
      </c>
      <c r="F4099" s="5"/>
    </row>
    <row r="4100" spans="2:6" ht="13.8" hidden="1" outlineLevel="1">
      <c r="B4100" s="187">
        <v>28346</v>
      </c>
      <c r="C4100" s="188">
        <v>7.45</v>
      </c>
      <c r="D4100" s="104">
        <f t="shared" si="63"/>
        <v>7.4499999999999997E-2</v>
      </c>
      <c r="F4100" s="5"/>
    </row>
    <row r="4101" spans="2:6" ht="13.8" hidden="1" outlineLevel="1">
      <c r="B4101" s="187">
        <v>28347</v>
      </c>
      <c r="C4101" s="188">
        <v>7.46</v>
      </c>
      <c r="D4101" s="104">
        <f t="shared" si="63"/>
        <v>7.46E-2</v>
      </c>
      <c r="F4101" s="5"/>
    </row>
    <row r="4102" spans="2:6" ht="13.8" hidden="1" outlineLevel="1">
      <c r="B4102" s="187">
        <v>28348</v>
      </c>
      <c r="C4102" s="188">
        <v>7.47</v>
      </c>
      <c r="D4102" s="104">
        <f t="shared" si="63"/>
        <v>7.4700000000000003E-2</v>
      </c>
      <c r="F4102" s="5"/>
    </row>
    <row r="4103" spans="2:6" ht="13.8" hidden="1" outlineLevel="1">
      <c r="B4103" s="187">
        <v>28349</v>
      </c>
      <c r="C4103" s="188">
        <v>7.48</v>
      </c>
      <c r="D4103" s="104">
        <f t="shared" si="63"/>
        <v>7.4800000000000005E-2</v>
      </c>
      <c r="F4103" s="5"/>
    </row>
    <row r="4104" spans="2:6" ht="13.8" hidden="1" outlineLevel="1">
      <c r="B4104" s="187">
        <v>28352</v>
      </c>
      <c r="C4104" s="188">
        <v>7.48</v>
      </c>
      <c r="D4104" s="104">
        <f t="shared" si="63"/>
        <v>7.4800000000000005E-2</v>
      </c>
      <c r="F4104" s="5"/>
    </row>
    <row r="4105" spans="2:6" ht="13.8" hidden="1" outlineLevel="1">
      <c r="B4105" s="187">
        <v>28353</v>
      </c>
      <c r="C4105" s="188">
        <v>7.48</v>
      </c>
      <c r="D4105" s="104">
        <f t="shared" si="63"/>
        <v>7.4800000000000005E-2</v>
      </c>
      <c r="F4105" s="5"/>
    </row>
    <row r="4106" spans="2:6" ht="13.8" hidden="1" outlineLevel="1">
      <c r="B4106" s="187">
        <v>28354</v>
      </c>
      <c r="C4106" s="188">
        <v>7.44</v>
      </c>
      <c r="D4106" s="104">
        <f t="shared" si="63"/>
        <v>7.4400000000000008E-2</v>
      </c>
      <c r="F4106" s="5"/>
    </row>
    <row r="4107" spans="2:6" ht="13.8" hidden="1" outlineLevel="1">
      <c r="B4107" s="187">
        <v>28355</v>
      </c>
      <c r="C4107" s="188">
        <v>7.42</v>
      </c>
      <c r="D4107" s="104">
        <f t="shared" si="63"/>
        <v>7.4200000000000002E-2</v>
      </c>
      <c r="F4107" s="5"/>
    </row>
    <row r="4108" spans="2:6" ht="13.8" hidden="1" outlineLevel="1">
      <c r="B4108" s="187">
        <v>28356</v>
      </c>
      <c r="C4108" s="188">
        <v>7.4</v>
      </c>
      <c r="D4108" s="104">
        <f t="shared" si="63"/>
        <v>7.400000000000001E-2</v>
      </c>
      <c r="F4108" s="5"/>
    </row>
    <row r="4109" spans="2:6" ht="13.8" hidden="1" outlineLevel="1">
      <c r="B4109" s="187">
        <v>28359</v>
      </c>
      <c r="C4109" s="188">
        <v>7.39</v>
      </c>
      <c r="D4109" s="104">
        <f t="shared" si="63"/>
        <v>7.3899999999999993E-2</v>
      </c>
      <c r="F4109" s="5"/>
    </row>
    <row r="4110" spans="2:6" ht="13.8" hidden="1" outlineLevel="1">
      <c r="B4110" s="187">
        <v>28360</v>
      </c>
      <c r="C4110" s="188">
        <v>7.36</v>
      </c>
      <c r="D4110" s="104">
        <f t="shared" si="63"/>
        <v>7.3599999999999999E-2</v>
      </c>
      <c r="F4110" s="5"/>
    </row>
    <row r="4111" spans="2:6" ht="13.8" hidden="1" outlineLevel="1">
      <c r="B4111" s="187">
        <v>28361</v>
      </c>
      <c r="C4111" s="188">
        <v>7.35</v>
      </c>
      <c r="D4111" s="104">
        <f t="shared" si="63"/>
        <v>7.3499999999999996E-2</v>
      </c>
      <c r="F4111" s="5"/>
    </row>
    <row r="4112" spans="2:6" ht="13.8" hidden="1" outlineLevel="1">
      <c r="B4112" s="187">
        <v>28362</v>
      </c>
      <c r="C4112" s="188">
        <v>7.32</v>
      </c>
      <c r="D4112" s="104">
        <f t="shared" si="63"/>
        <v>7.3200000000000001E-2</v>
      </c>
      <c r="F4112" s="5"/>
    </row>
    <row r="4113" spans="2:6" ht="13.8" hidden="1" outlineLevel="1">
      <c r="B4113" s="187">
        <v>28363</v>
      </c>
      <c r="C4113" s="188">
        <v>7.27</v>
      </c>
      <c r="D4113" s="104">
        <f t="shared" si="63"/>
        <v>7.2700000000000001E-2</v>
      </c>
      <c r="F4113" s="5"/>
    </row>
    <row r="4114" spans="2:6" ht="13.8" hidden="1" outlineLevel="1">
      <c r="B4114" s="187">
        <v>28366</v>
      </c>
      <c r="C4114" s="188">
        <v>7.25</v>
      </c>
      <c r="D4114" s="104">
        <f t="shared" si="63"/>
        <v>7.2499999999999995E-2</v>
      </c>
      <c r="F4114" s="5"/>
    </row>
    <row r="4115" spans="2:6" ht="13.8" hidden="1" outlineLevel="1">
      <c r="B4115" s="187">
        <v>28367</v>
      </c>
      <c r="C4115" s="188">
        <v>7.27</v>
      </c>
      <c r="D4115" s="104">
        <f t="shared" si="63"/>
        <v>7.2700000000000001E-2</v>
      </c>
      <c r="F4115" s="5"/>
    </row>
    <row r="4116" spans="2:6" ht="13.8" hidden="1" outlineLevel="1">
      <c r="B4116" s="187">
        <v>28368</v>
      </c>
      <c r="C4116" s="188">
        <v>7.28</v>
      </c>
      <c r="D4116" s="104">
        <f t="shared" si="63"/>
        <v>7.2800000000000004E-2</v>
      </c>
      <c r="F4116" s="5"/>
    </row>
    <row r="4117" spans="2:6" ht="13.8" hidden="1" outlineLevel="1">
      <c r="B4117" s="187">
        <v>28369</v>
      </c>
      <c r="C4117" s="188">
        <v>7.3</v>
      </c>
      <c r="D4117" s="104">
        <f t="shared" si="63"/>
        <v>7.2999999999999995E-2</v>
      </c>
      <c r="F4117" s="5"/>
    </row>
    <row r="4118" spans="2:6" ht="13.8" hidden="1" outlineLevel="1">
      <c r="B4118" s="187">
        <v>28370</v>
      </c>
      <c r="C4118" s="188">
        <v>7.24</v>
      </c>
      <c r="D4118" s="104">
        <f t="shared" si="63"/>
        <v>7.2400000000000006E-2</v>
      </c>
      <c r="F4118" s="5"/>
    </row>
    <row r="4119" spans="2:6" ht="13.8" hidden="1" outlineLevel="1">
      <c r="B4119" s="187">
        <v>28373</v>
      </c>
      <c r="C4119" s="188" t="s">
        <v>380</v>
      </c>
      <c r="D4119" s="104">
        <f t="shared" si="63"/>
        <v>7.2400000000000006E-2</v>
      </c>
      <c r="F4119" s="5"/>
    </row>
    <row r="4120" spans="2:6" ht="13.8" hidden="1" outlineLevel="1">
      <c r="B4120" s="187">
        <v>28374</v>
      </c>
      <c r="C4120" s="188">
        <v>7.24</v>
      </c>
      <c r="D4120" s="104">
        <f t="shared" si="63"/>
        <v>7.2400000000000006E-2</v>
      </c>
      <c r="F4120" s="5"/>
    </row>
    <row r="4121" spans="2:6" ht="13.8" hidden="1" outlineLevel="1">
      <c r="B4121" s="187">
        <v>28375</v>
      </c>
      <c r="C4121" s="188">
        <v>7.26</v>
      </c>
      <c r="D4121" s="104">
        <f t="shared" si="63"/>
        <v>7.2599999999999998E-2</v>
      </c>
      <c r="F4121" s="5"/>
    </row>
    <row r="4122" spans="2:6" ht="13.8" hidden="1" outlineLevel="1">
      <c r="B4122" s="187">
        <v>28376</v>
      </c>
      <c r="C4122" s="188">
        <v>7.28</v>
      </c>
      <c r="D4122" s="104">
        <f t="shared" si="63"/>
        <v>7.2800000000000004E-2</v>
      </c>
      <c r="F4122" s="5"/>
    </row>
    <row r="4123" spans="2:6" ht="13.8" hidden="1" outlineLevel="1">
      <c r="B4123" s="187">
        <v>28377</v>
      </c>
      <c r="C4123" s="188">
        <v>7.36</v>
      </c>
      <c r="D4123" s="104">
        <f t="shared" si="63"/>
        <v>7.3599999999999999E-2</v>
      </c>
      <c r="F4123" s="5"/>
    </row>
    <row r="4124" spans="2:6" ht="13.8" hidden="1" outlineLevel="1">
      <c r="B4124" s="187">
        <v>28380</v>
      </c>
      <c r="C4124" s="188">
        <v>7.38</v>
      </c>
      <c r="D4124" s="104">
        <f t="shared" si="63"/>
        <v>7.3800000000000004E-2</v>
      </c>
      <c r="F4124" s="5"/>
    </row>
    <row r="4125" spans="2:6" ht="13.8" hidden="1" outlineLevel="1">
      <c r="B4125" s="187">
        <v>28381</v>
      </c>
      <c r="C4125" s="188">
        <v>7.37</v>
      </c>
      <c r="D4125" s="104">
        <f t="shared" si="63"/>
        <v>7.3700000000000002E-2</v>
      </c>
      <c r="F4125" s="5"/>
    </row>
    <row r="4126" spans="2:6" ht="13.8" hidden="1" outlineLevel="1">
      <c r="B4126" s="187">
        <v>28382</v>
      </c>
      <c r="C4126" s="188">
        <v>7.34</v>
      </c>
      <c r="D4126" s="104">
        <f t="shared" ref="D4126:D4189" si="64">IF( LEN( C4126 ) = 0, #N/A, IF( C4126 = "ND", D4125, C4126 / 100 ) )</f>
        <v>7.3399999999999993E-2</v>
      </c>
      <c r="F4126" s="5"/>
    </row>
    <row r="4127" spans="2:6" ht="13.8" hidden="1" outlineLevel="1">
      <c r="B4127" s="187">
        <v>28383</v>
      </c>
      <c r="C4127" s="188">
        <v>7.33</v>
      </c>
      <c r="D4127" s="104">
        <f t="shared" si="64"/>
        <v>7.3300000000000004E-2</v>
      </c>
      <c r="F4127" s="5"/>
    </row>
    <row r="4128" spans="2:6" ht="13.8" hidden="1" outlineLevel="1">
      <c r="B4128" s="187">
        <v>28384</v>
      </c>
      <c r="C4128" s="188">
        <v>7.32</v>
      </c>
      <c r="D4128" s="104">
        <f t="shared" si="64"/>
        <v>7.3200000000000001E-2</v>
      </c>
      <c r="F4128" s="5"/>
    </row>
    <row r="4129" spans="2:6" ht="13.8" hidden="1" outlineLevel="1">
      <c r="B4129" s="187">
        <v>28387</v>
      </c>
      <c r="C4129" s="188">
        <v>7.32</v>
      </c>
      <c r="D4129" s="104">
        <f t="shared" si="64"/>
        <v>7.3200000000000001E-2</v>
      </c>
      <c r="F4129" s="5"/>
    </row>
    <row r="4130" spans="2:6" ht="13.8" hidden="1" outlineLevel="1">
      <c r="B4130" s="187">
        <v>28388</v>
      </c>
      <c r="C4130" s="188">
        <v>7.36</v>
      </c>
      <c r="D4130" s="104">
        <f t="shared" si="64"/>
        <v>7.3599999999999999E-2</v>
      </c>
      <c r="F4130" s="5"/>
    </row>
    <row r="4131" spans="2:6" ht="13.8" hidden="1" outlineLevel="1">
      <c r="B4131" s="187">
        <v>28389</v>
      </c>
      <c r="C4131" s="188">
        <v>7.36</v>
      </c>
      <c r="D4131" s="104">
        <f t="shared" si="64"/>
        <v>7.3599999999999999E-2</v>
      </c>
      <c r="F4131" s="5"/>
    </row>
    <row r="4132" spans="2:6" ht="13.8" hidden="1" outlineLevel="1">
      <c r="B4132" s="187">
        <v>28390</v>
      </c>
      <c r="C4132" s="188">
        <v>7.39</v>
      </c>
      <c r="D4132" s="104">
        <f t="shared" si="64"/>
        <v>7.3899999999999993E-2</v>
      </c>
      <c r="F4132" s="5"/>
    </row>
    <row r="4133" spans="2:6" ht="13.8" hidden="1" outlineLevel="1">
      <c r="B4133" s="187">
        <v>28391</v>
      </c>
      <c r="C4133" s="188">
        <v>7.39</v>
      </c>
      <c r="D4133" s="104">
        <f t="shared" si="64"/>
        <v>7.3899999999999993E-2</v>
      </c>
      <c r="F4133" s="5"/>
    </row>
    <row r="4134" spans="2:6" ht="13.8" hidden="1" outlineLevel="1">
      <c r="B4134" s="187">
        <v>28394</v>
      </c>
      <c r="C4134" s="188">
        <v>7.42</v>
      </c>
      <c r="D4134" s="104">
        <f t="shared" si="64"/>
        <v>7.4200000000000002E-2</v>
      </c>
      <c r="F4134" s="5"/>
    </row>
    <row r="4135" spans="2:6" ht="13.8" hidden="1" outlineLevel="1">
      <c r="B4135" s="187">
        <v>28395</v>
      </c>
      <c r="C4135" s="188">
        <v>7.38</v>
      </c>
      <c r="D4135" s="104">
        <f t="shared" si="64"/>
        <v>7.3800000000000004E-2</v>
      </c>
      <c r="F4135" s="5"/>
    </row>
    <row r="4136" spans="2:6" ht="13.8" hidden="1" outlineLevel="1">
      <c r="B4136" s="187">
        <v>28396</v>
      </c>
      <c r="C4136" s="188">
        <v>7.38</v>
      </c>
      <c r="D4136" s="104">
        <f t="shared" si="64"/>
        <v>7.3800000000000004E-2</v>
      </c>
      <c r="F4136" s="5"/>
    </row>
    <row r="4137" spans="2:6" ht="13.8" hidden="1" outlineLevel="1">
      <c r="B4137" s="187">
        <v>28397</v>
      </c>
      <c r="C4137" s="188">
        <v>7.39</v>
      </c>
      <c r="D4137" s="104">
        <f t="shared" si="64"/>
        <v>7.3899999999999993E-2</v>
      </c>
      <c r="F4137" s="5"/>
    </row>
    <row r="4138" spans="2:6" ht="13.8" hidden="1" outlineLevel="1">
      <c r="B4138" s="187">
        <v>28398</v>
      </c>
      <c r="C4138" s="188">
        <v>7.41</v>
      </c>
      <c r="D4138" s="104">
        <f t="shared" si="64"/>
        <v>7.4099999999999999E-2</v>
      </c>
      <c r="F4138" s="5"/>
    </row>
    <row r="4139" spans="2:6" ht="13.8" hidden="1" outlineLevel="1">
      <c r="B4139" s="187">
        <v>28401</v>
      </c>
      <c r="C4139" s="188">
        <v>7.41</v>
      </c>
      <c r="D4139" s="104">
        <f t="shared" si="64"/>
        <v>7.4099999999999999E-2</v>
      </c>
      <c r="F4139" s="5"/>
    </row>
    <row r="4140" spans="2:6" ht="13.8" hidden="1" outlineLevel="1">
      <c r="B4140" s="187">
        <v>28402</v>
      </c>
      <c r="C4140" s="188">
        <v>7.4</v>
      </c>
      <c r="D4140" s="104">
        <f t="shared" si="64"/>
        <v>7.400000000000001E-2</v>
      </c>
      <c r="F4140" s="5"/>
    </row>
    <row r="4141" spans="2:6" ht="13.8" hidden="1" outlineLevel="1">
      <c r="B4141" s="187">
        <v>28403</v>
      </c>
      <c r="C4141" s="188">
        <v>7.4</v>
      </c>
      <c r="D4141" s="104">
        <f t="shared" si="64"/>
        <v>7.400000000000001E-2</v>
      </c>
      <c r="F4141" s="5"/>
    </row>
    <row r="4142" spans="2:6" ht="13.8" hidden="1" outlineLevel="1">
      <c r="B4142" s="187">
        <v>28404</v>
      </c>
      <c r="C4142" s="188">
        <v>7.44</v>
      </c>
      <c r="D4142" s="104">
        <f t="shared" si="64"/>
        <v>7.4400000000000008E-2</v>
      </c>
      <c r="F4142" s="5"/>
    </row>
    <row r="4143" spans="2:6" ht="13.8" hidden="1" outlineLevel="1">
      <c r="B4143" s="187">
        <v>28405</v>
      </c>
      <c r="C4143" s="188">
        <v>7.48</v>
      </c>
      <c r="D4143" s="104">
        <f t="shared" si="64"/>
        <v>7.4800000000000005E-2</v>
      </c>
      <c r="F4143" s="5"/>
    </row>
    <row r="4144" spans="2:6" ht="13.8" hidden="1" outlineLevel="1">
      <c r="B4144" s="187">
        <v>28408</v>
      </c>
      <c r="C4144" s="188" t="s">
        <v>380</v>
      </c>
      <c r="D4144" s="104">
        <f t="shared" si="64"/>
        <v>7.4800000000000005E-2</v>
      </c>
      <c r="F4144" s="5"/>
    </row>
    <row r="4145" spans="2:6" ht="13.8" hidden="1" outlineLevel="1">
      <c r="B4145" s="187">
        <v>28409</v>
      </c>
      <c r="C4145" s="188">
        <v>7.54</v>
      </c>
      <c r="D4145" s="104">
        <f t="shared" si="64"/>
        <v>7.5399999999999995E-2</v>
      </c>
      <c r="F4145" s="5"/>
    </row>
    <row r="4146" spans="2:6" ht="13.8" hidden="1" outlineLevel="1">
      <c r="B4146" s="187">
        <v>28410</v>
      </c>
      <c r="C4146" s="188">
        <v>7.54</v>
      </c>
      <c r="D4146" s="104">
        <f t="shared" si="64"/>
        <v>7.5399999999999995E-2</v>
      </c>
      <c r="F4146" s="5"/>
    </row>
    <row r="4147" spans="2:6" ht="13.8" hidden="1" outlineLevel="1">
      <c r="B4147" s="187">
        <v>28411</v>
      </c>
      <c r="C4147" s="188">
        <v>7.54</v>
      </c>
      <c r="D4147" s="104">
        <f t="shared" si="64"/>
        <v>7.5399999999999995E-2</v>
      </c>
      <c r="F4147" s="5"/>
    </row>
    <row r="4148" spans="2:6" ht="13.8" hidden="1" outlineLevel="1">
      <c r="B4148" s="187">
        <v>28412</v>
      </c>
      <c r="C4148" s="188">
        <v>7.54</v>
      </c>
      <c r="D4148" s="104">
        <f t="shared" si="64"/>
        <v>7.5399999999999995E-2</v>
      </c>
      <c r="F4148" s="5"/>
    </row>
    <row r="4149" spans="2:6" ht="13.8" hidden="1" outlineLevel="1">
      <c r="B4149" s="187">
        <v>28415</v>
      </c>
      <c r="C4149" s="188">
        <v>7.55</v>
      </c>
      <c r="D4149" s="104">
        <f t="shared" si="64"/>
        <v>7.5499999999999998E-2</v>
      </c>
      <c r="F4149" s="5"/>
    </row>
    <row r="4150" spans="2:6" ht="13.8" hidden="1" outlineLevel="1">
      <c r="B4150" s="187">
        <v>28416</v>
      </c>
      <c r="C4150" s="188">
        <v>7.55</v>
      </c>
      <c r="D4150" s="104">
        <f t="shared" si="64"/>
        <v>7.5499999999999998E-2</v>
      </c>
      <c r="F4150" s="5"/>
    </row>
    <row r="4151" spans="2:6" ht="13.8" hidden="1" outlineLevel="1">
      <c r="B4151" s="187">
        <v>28417</v>
      </c>
      <c r="C4151" s="188">
        <v>7.54</v>
      </c>
      <c r="D4151" s="104">
        <f t="shared" si="64"/>
        <v>7.5399999999999995E-2</v>
      </c>
      <c r="F4151" s="5"/>
    </row>
    <row r="4152" spans="2:6" ht="13.8" hidden="1" outlineLevel="1">
      <c r="B4152" s="187">
        <v>28418</v>
      </c>
      <c r="C4152" s="188">
        <v>7.54</v>
      </c>
      <c r="D4152" s="104">
        <f t="shared" si="64"/>
        <v>7.5399999999999995E-2</v>
      </c>
      <c r="F4152" s="5"/>
    </row>
    <row r="4153" spans="2:6" ht="13.8" hidden="1" outlineLevel="1">
      <c r="B4153" s="187">
        <v>28419</v>
      </c>
      <c r="C4153" s="188">
        <v>7.55</v>
      </c>
      <c r="D4153" s="104">
        <f t="shared" si="64"/>
        <v>7.5499999999999998E-2</v>
      </c>
      <c r="F4153" s="5"/>
    </row>
    <row r="4154" spans="2:6" ht="13.8" hidden="1" outlineLevel="1">
      <c r="B4154" s="187">
        <v>28422</v>
      </c>
      <c r="C4154" s="188">
        <v>7.56</v>
      </c>
      <c r="D4154" s="104">
        <f t="shared" si="64"/>
        <v>7.5600000000000001E-2</v>
      </c>
      <c r="F4154" s="5"/>
    </row>
    <row r="4155" spans="2:6" ht="13.8" hidden="1" outlineLevel="1">
      <c r="B4155" s="187">
        <v>28423</v>
      </c>
      <c r="C4155" s="188">
        <v>7.58</v>
      </c>
      <c r="D4155" s="104">
        <f t="shared" si="64"/>
        <v>7.5800000000000006E-2</v>
      </c>
      <c r="F4155" s="5"/>
    </row>
    <row r="4156" spans="2:6" ht="13.8" hidden="1" outlineLevel="1">
      <c r="B4156" s="187">
        <v>28424</v>
      </c>
      <c r="C4156" s="188">
        <v>7.57</v>
      </c>
      <c r="D4156" s="104">
        <f t="shared" si="64"/>
        <v>7.5700000000000003E-2</v>
      </c>
      <c r="F4156" s="5"/>
    </row>
    <row r="4157" spans="2:6" ht="13.8" hidden="1" outlineLevel="1">
      <c r="B4157" s="187">
        <v>28425</v>
      </c>
      <c r="C4157" s="188">
        <v>7.56</v>
      </c>
      <c r="D4157" s="104">
        <f t="shared" si="64"/>
        <v>7.5600000000000001E-2</v>
      </c>
      <c r="F4157" s="5"/>
    </row>
    <row r="4158" spans="2:6" ht="13.8" hidden="1" outlineLevel="1">
      <c r="B4158" s="187">
        <v>28426</v>
      </c>
      <c r="C4158" s="188">
        <v>7.56</v>
      </c>
      <c r="D4158" s="104">
        <f t="shared" si="64"/>
        <v>7.5600000000000001E-2</v>
      </c>
      <c r="F4158" s="5"/>
    </row>
    <row r="4159" spans="2:6" ht="13.8" hidden="1" outlineLevel="1">
      <c r="B4159" s="187">
        <v>28429</v>
      </c>
      <c r="C4159" s="188">
        <v>7.62</v>
      </c>
      <c r="D4159" s="104">
        <f t="shared" si="64"/>
        <v>7.6200000000000004E-2</v>
      </c>
      <c r="F4159" s="5"/>
    </row>
    <row r="4160" spans="2:6" ht="13.8" hidden="1" outlineLevel="1">
      <c r="B4160" s="187">
        <v>28430</v>
      </c>
      <c r="C4160" s="188">
        <v>7.63</v>
      </c>
      <c r="D4160" s="104">
        <f t="shared" si="64"/>
        <v>7.6299999999999993E-2</v>
      </c>
      <c r="F4160" s="5"/>
    </row>
    <row r="4161" spans="2:6" ht="13.8" hidden="1" outlineLevel="1">
      <c r="B4161" s="187">
        <v>28431</v>
      </c>
      <c r="C4161" s="188">
        <v>7.69</v>
      </c>
      <c r="D4161" s="104">
        <f t="shared" si="64"/>
        <v>7.690000000000001E-2</v>
      </c>
      <c r="F4161" s="5"/>
    </row>
    <row r="4162" spans="2:6" ht="13.8" hidden="1" outlineLevel="1">
      <c r="B4162" s="187">
        <v>28432</v>
      </c>
      <c r="C4162" s="188">
        <v>7.68</v>
      </c>
      <c r="D4162" s="104">
        <f t="shared" si="64"/>
        <v>7.6799999999999993E-2</v>
      </c>
      <c r="F4162" s="5"/>
    </row>
    <row r="4163" spans="2:6" ht="13.8" hidden="1" outlineLevel="1">
      <c r="B4163" s="187">
        <v>28433</v>
      </c>
      <c r="C4163" s="188">
        <v>7.64</v>
      </c>
      <c r="D4163" s="104">
        <f t="shared" si="64"/>
        <v>7.6399999999999996E-2</v>
      </c>
      <c r="F4163" s="5"/>
    </row>
    <row r="4164" spans="2:6" ht="13.8" hidden="1" outlineLevel="1">
      <c r="B4164" s="187">
        <v>28436</v>
      </c>
      <c r="C4164" s="188">
        <v>7.62</v>
      </c>
      <c r="D4164" s="104">
        <f t="shared" si="64"/>
        <v>7.6200000000000004E-2</v>
      </c>
      <c r="F4164" s="5"/>
    </row>
    <row r="4165" spans="2:6" ht="13.8" hidden="1" outlineLevel="1">
      <c r="B4165" s="187">
        <v>28437</v>
      </c>
      <c r="C4165" s="188" t="s">
        <v>380</v>
      </c>
      <c r="D4165" s="104">
        <f t="shared" si="64"/>
        <v>7.6200000000000004E-2</v>
      </c>
      <c r="F4165" s="5"/>
    </row>
    <row r="4166" spans="2:6" ht="13.8" hidden="1" outlineLevel="1">
      <c r="B4166" s="187">
        <v>28438</v>
      </c>
      <c r="C4166" s="188">
        <v>7.6</v>
      </c>
      <c r="D4166" s="104">
        <f t="shared" si="64"/>
        <v>7.5999999999999998E-2</v>
      </c>
      <c r="F4166" s="5"/>
    </row>
    <row r="4167" spans="2:6" ht="13.8" hidden="1" outlineLevel="1">
      <c r="B4167" s="187">
        <v>28439</v>
      </c>
      <c r="C4167" s="188">
        <v>7.59</v>
      </c>
      <c r="D4167" s="104">
        <f t="shared" si="64"/>
        <v>7.5899999999999995E-2</v>
      </c>
      <c r="F4167" s="5"/>
    </row>
    <row r="4168" spans="2:6" ht="13.8" hidden="1" outlineLevel="1">
      <c r="B4168" s="187">
        <v>28440</v>
      </c>
      <c r="C4168" s="188" t="s">
        <v>380</v>
      </c>
      <c r="D4168" s="104">
        <f t="shared" si="64"/>
        <v>7.5899999999999995E-2</v>
      </c>
      <c r="F4168" s="5"/>
    </row>
    <row r="4169" spans="2:6" ht="13.8" hidden="1" outlineLevel="1">
      <c r="B4169" s="187">
        <v>28443</v>
      </c>
      <c r="C4169" s="188">
        <v>7.56</v>
      </c>
      <c r="D4169" s="104">
        <f t="shared" si="64"/>
        <v>7.5600000000000001E-2</v>
      </c>
      <c r="F4169" s="5"/>
    </row>
    <row r="4170" spans="2:6" ht="13.8" hidden="1" outlineLevel="1">
      <c r="B4170" s="187">
        <v>28444</v>
      </c>
      <c r="C4170" s="188">
        <v>7.56</v>
      </c>
      <c r="D4170" s="104">
        <f t="shared" si="64"/>
        <v>7.5600000000000001E-2</v>
      </c>
      <c r="F4170" s="5"/>
    </row>
    <row r="4171" spans="2:6" ht="13.8" hidden="1" outlineLevel="1">
      <c r="B4171" s="187">
        <v>28445</v>
      </c>
      <c r="C4171" s="188">
        <v>7.55</v>
      </c>
      <c r="D4171" s="104">
        <f t="shared" si="64"/>
        <v>7.5499999999999998E-2</v>
      </c>
      <c r="F4171" s="5"/>
    </row>
    <row r="4172" spans="2:6" ht="13.8" hidden="1" outlineLevel="1">
      <c r="B4172" s="187">
        <v>28446</v>
      </c>
      <c r="C4172" s="188">
        <v>7.54</v>
      </c>
      <c r="D4172" s="104">
        <f t="shared" si="64"/>
        <v>7.5399999999999995E-2</v>
      </c>
      <c r="F4172" s="5"/>
    </row>
    <row r="4173" spans="2:6" ht="13.8" hidden="1" outlineLevel="1">
      <c r="B4173" s="187">
        <v>28447</v>
      </c>
      <c r="C4173" s="188">
        <v>7.54</v>
      </c>
      <c r="D4173" s="104">
        <f t="shared" si="64"/>
        <v>7.5399999999999995E-2</v>
      </c>
      <c r="F4173" s="5"/>
    </row>
    <row r="4174" spans="2:6" ht="13.8" hidden="1" outlineLevel="1">
      <c r="B4174" s="187">
        <v>28450</v>
      </c>
      <c r="C4174" s="188">
        <v>7.56</v>
      </c>
      <c r="D4174" s="104">
        <f t="shared" si="64"/>
        <v>7.5600000000000001E-2</v>
      </c>
      <c r="F4174" s="5"/>
    </row>
    <row r="4175" spans="2:6" ht="13.8" hidden="1" outlineLevel="1">
      <c r="B4175" s="187">
        <v>28451</v>
      </c>
      <c r="C4175" s="188">
        <v>7.54</v>
      </c>
      <c r="D4175" s="104">
        <f t="shared" si="64"/>
        <v>7.5399999999999995E-2</v>
      </c>
      <c r="F4175" s="5"/>
    </row>
    <row r="4176" spans="2:6" ht="13.8" hidden="1" outlineLevel="1">
      <c r="B4176" s="187">
        <v>28452</v>
      </c>
      <c r="C4176" s="188">
        <v>7.52</v>
      </c>
      <c r="D4176" s="104">
        <f t="shared" si="64"/>
        <v>7.5199999999999989E-2</v>
      </c>
      <c r="F4176" s="5"/>
    </row>
    <row r="4177" spans="2:6" ht="13.8" hidden="1" outlineLevel="1">
      <c r="B4177" s="187">
        <v>28453</v>
      </c>
      <c r="C4177" s="188" t="s">
        <v>380</v>
      </c>
      <c r="D4177" s="104">
        <f t="shared" si="64"/>
        <v>7.5199999999999989E-2</v>
      </c>
      <c r="F4177" s="5"/>
    </row>
    <row r="4178" spans="2:6" ht="13.8" hidden="1" outlineLevel="1">
      <c r="B4178" s="187">
        <v>28454</v>
      </c>
      <c r="C4178" s="188">
        <v>7.52</v>
      </c>
      <c r="D4178" s="104">
        <f t="shared" si="64"/>
        <v>7.5199999999999989E-2</v>
      </c>
      <c r="F4178" s="5"/>
    </row>
    <row r="4179" spans="2:6" ht="13.8" hidden="1" outlineLevel="1">
      <c r="B4179" s="187">
        <v>28457</v>
      </c>
      <c r="C4179" s="188">
        <v>7.53</v>
      </c>
      <c r="D4179" s="104">
        <f t="shared" si="64"/>
        <v>7.5300000000000006E-2</v>
      </c>
      <c r="F4179" s="5"/>
    </row>
    <row r="4180" spans="2:6" ht="13.8" hidden="1" outlineLevel="1">
      <c r="B4180" s="187">
        <v>28458</v>
      </c>
      <c r="C4180" s="188">
        <v>7.55</v>
      </c>
      <c r="D4180" s="104">
        <f t="shared" si="64"/>
        <v>7.5499999999999998E-2</v>
      </c>
      <c r="F4180" s="5"/>
    </row>
    <row r="4181" spans="2:6" ht="13.8" hidden="1" outlineLevel="1">
      <c r="B4181" s="187">
        <v>28459</v>
      </c>
      <c r="C4181" s="188">
        <v>7.55</v>
      </c>
      <c r="D4181" s="104">
        <f t="shared" si="64"/>
        <v>7.5499999999999998E-2</v>
      </c>
      <c r="F4181" s="5"/>
    </row>
    <row r="4182" spans="2:6" ht="13.8" hidden="1" outlineLevel="1">
      <c r="B4182" s="187">
        <v>28460</v>
      </c>
      <c r="C4182" s="188">
        <v>7.58</v>
      </c>
      <c r="D4182" s="104">
        <f t="shared" si="64"/>
        <v>7.5800000000000006E-2</v>
      </c>
      <c r="F4182" s="5"/>
    </row>
    <row r="4183" spans="2:6" ht="13.8" hidden="1" outlineLevel="1">
      <c r="B4183" s="187">
        <v>28461</v>
      </c>
      <c r="C4183" s="188">
        <v>7.59</v>
      </c>
      <c r="D4183" s="104">
        <f t="shared" si="64"/>
        <v>7.5899999999999995E-2</v>
      </c>
      <c r="F4183" s="5"/>
    </row>
    <row r="4184" spans="2:6" ht="13.8" hidden="1" outlineLevel="1">
      <c r="B4184" s="187">
        <v>28464</v>
      </c>
      <c r="C4184" s="188">
        <v>7.6</v>
      </c>
      <c r="D4184" s="104">
        <f t="shared" si="64"/>
        <v>7.5999999999999998E-2</v>
      </c>
      <c r="F4184" s="5"/>
    </row>
    <row r="4185" spans="2:6" ht="13.8" hidden="1" outlineLevel="1">
      <c r="B4185" s="187">
        <v>28465</v>
      </c>
      <c r="C4185" s="188">
        <v>7.63</v>
      </c>
      <c r="D4185" s="104">
        <f t="shared" si="64"/>
        <v>7.6299999999999993E-2</v>
      </c>
      <c r="F4185" s="5"/>
    </row>
    <row r="4186" spans="2:6" ht="13.8" hidden="1" outlineLevel="1">
      <c r="B4186" s="187">
        <v>28466</v>
      </c>
      <c r="C4186" s="188">
        <v>7.63</v>
      </c>
      <c r="D4186" s="104">
        <f t="shared" si="64"/>
        <v>7.6299999999999993E-2</v>
      </c>
      <c r="F4186" s="5"/>
    </row>
    <row r="4187" spans="2:6" ht="13.8" hidden="1" outlineLevel="1">
      <c r="B4187" s="187">
        <v>28467</v>
      </c>
      <c r="C4187" s="188">
        <v>7.64</v>
      </c>
      <c r="D4187" s="104">
        <f t="shared" si="64"/>
        <v>7.6399999999999996E-2</v>
      </c>
      <c r="F4187" s="5"/>
    </row>
    <row r="4188" spans="2:6" ht="13.8" hidden="1" outlineLevel="1">
      <c r="B4188" s="187">
        <v>28468</v>
      </c>
      <c r="C4188" s="188">
        <v>7.63</v>
      </c>
      <c r="D4188" s="104">
        <f t="shared" si="64"/>
        <v>7.6299999999999993E-2</v>
      </c>
      <c r="F4188" s="5"/>
    </row>
    <row r="4189" spans="2:6" ht="13.8" hidden="1" outlineLevel="1">
      <c r="B4189" s="187">
        <v>28471</v>
      </c>
      <c r="C4189" s="188">
        <v>7.64</v>
      </c>
      <c r="D4189" s="104">
        <f t="shared" si="64"/>
        <v>7.6399999999999996E-2</v>
      </c>
      <c r="F4189" s="5"/>
    </row>
    <row r="4190" spans="2:6" ht="13.8" hidden="1" outlineLevel="1">
      <c r="B4190" s="187">
        <v>28472</v>
      </c>
      <c r="C4190" s="188">
        <v>7.65</v>
      </c>
      <c r="D4190" s="104">
        <f t="shared" ref="D4190:D4253" si="65">IF( LEN( C4190 ) = 0, #N/A, IF( C4190 = "ND", D4189, C4190 / 100 ) )</f>
        <v>7.6499999999999999E-2</v>
      </c>
      <c r="F4190" s="5"/>
    </row>
    <row r="4191" spans="2:6" ht="13.8" hidden="1" outlineLevel="1">
      <c r="B4191" s="187">
        <v>28473</v>
      </c>
      <c r="C4191" s="188">
        <v>7.66</v>
      </c>
      <c r="D4191" s="104">
        <f t="shared" si="65"/>
        <v>7.6600000000000001E-2</v>
      </c>
      <c r="F4191" s="5"/>
    </row>
    <row r="4192" spans="2:6" ht="13.8" hidden="1" outlineLevel="1">
      <c r="B4192" s="187">
        <v>28474</v>
      </c>
      <c r="C4192" s="188">
        <v>7.67</v>
      </c>
      <c r="D4192" s="104">
        <f t="shared" si="65"/>
        <v>7.6700000000000004E-2</v>
      </c>
      <c r="F4192" s="5"/>
    </row>
    <row r="4193" spans="2:6" ht="13.8" hidden="1" outlineLevel="1">
      <c r="B4193" s="187">
        <v>28475</v>
      </c>
      <c r="C4193" s="188">
        <v>7.67</v>
      </c>
      <c r="D4193" s="104">
        <f t="shared" si="65"/>
        <v>7.6700000000000004E-2</v>
      </c>
      <c r="F4193" s="5"/>
    </row>
    <row r="4194" spans="2:6" ht="13.8" hidden="1" outlineLevel="1">
      <c r="B4194" s="187">
        <v>28478</v>
      </c>
      <c r="C4194" s="188">
        <v>7.69</v>
      </c>
      <c r="D4194" s="104">
        <f t="shared" si="65"/>
        <v>7.690000000000001E-2</v>
      </c>
      <c r="F4194" s="5"/>
    </row>
    <row r="4195" spans="2:6" ht="13.8" hidden="1" outlineLevel="1">
      <c r="B4195" s="187">
        <v>28479</v>
      </c>
      <c r="C4195" s="188">
        <v>7.74</v>
      </c>
      <c r="D4195" s="104">
        <f t="shared" si="65"/>
        <v>7.7399999999999997E-2</v>
      </c>
      <c r="F4195" s="5"/>
    </row>
    <row r="4196" spans="2:6" ht="13.8" hidden="1" outlineLevel="1">
      <c r="B4196" s="187">
        <v>28480</v>
      </c>
      <c r="C4196" s="188">
        <v>7.72</v>
      </c>
      <c r="D4196" s="104">
        <f t="shared" si="65"/>
        <v>7.7199999999999991E-2</v>
      </c>
      <c r="F4196" s="5"/>
    </row>
    <row r="4197" spans="2:6" ht="13.8" hidden="1" outlineLevel="1">
      <c r="B4197" s="187">
        <v>28481</v>
      </c>
      <c r="C4197" s="188">
        <v>7.75</v>
      </c>
      <c r="D4197" s="104">
        <f t="shared" si="65"/>
        <v>7.7499999999999999E-2</v>
      </c>
      <c r="F4197" s="5"/>
    </row>
    <row r="4198" spans="2:6" ht="13.8" hidden="1" outlineLevel="1">
      <c r="B4198" s="187">
        <v>28482</v>
      </c>
      <c r="C4198" s="188">
        <v>7.75</v>
      </c>
      <c r="D4198" s="104">
        <f t="shared" si="65"/>
        <v>7.7499999999999999E-2</v>
      </c>
      <c r="F4198" s="5"/>
    </row>
    <row r="4199" spans="2:6" ht="13.8" hidden="1" outlineLevel="1">
      <c r="B4199" s="187">
        <v>28485</v>
      </c>
      <c r="C4199" s="188" t="s">
        <v>380</v>
      </c>
      <c r="D4199" s="104">
        <f t="shared" si="65"/>
        <v>7.7499999999999999E-2</v>
      </c>
      <c r="F4199" s="5"/>
    </row>
    <row r="4200" spans="2:6" ht="13.8" hidden="1" outlineLevel="1">
      <c r="B4200" s="187">
        <v>28486</v>
      </c>
      <c r="C4200" s="188">
        <v>7.77</v>
      </c>
      <c r="D4200" s="104">
        <f t="shared" si="65"/>
        <v>7.7699999999999991E-2</v>
      </c>
      <c r="F4200" s="5"/>
    </row>
    <row r="4201" spans="2:6" ht="13.8" hidden="1" outlineLevel="1">
      <c r="B4201" s="187">
        <v>28487</v>
      </c>
      <c r="C4201" s="188">
        <v>7.78</v>
      </c>
      <c r="D4201" s="104">
        <f t="shared" si="65"/>
        <v>7.7800000000000008E-2</v>
      </c>
      <c r="F4201" s="5"/>
    </row>
    <row r="4202" spans="2:6" ht="13.8" hidden="1" outlineLevel="1">
      <c r="B4202" s="187">
        <v>28488</v>
      </c>
      <c r="C4202" s="188">
        <v>7.82</v>
      </c>
      <c r="D4202" s="104">
        <f t="shared" si="65"/>
        <v>7.8200000000000006E-2</v>
      </c>
      <c r="F4202" s="5"/>
    </row>
    <row r="4203" spans="2:6" ht="13.8" hidden="1" outlineLevel="1">
      <c r="B4203" s="187">
        <v>28489</v>
      </c>
      <c r="C4203" s="188">
        <v>7.78</v>
      </c>
      <c r="D4203" s="104">
        <f t="shared" si="65"/>
        <v>7.7800000000000008E-2</v>
      </c>
      <c r="F4203" s="5"/>
    </row>
    <row r="4204" spans="2:6" ht="13.8" hidden="1" outlineLevel="1">
      <c r="B4204" s="187">
        <v>28492</v>
      </c>
      <c r="C4204" s="188" t="s">
        <v>380</v>
      </c>
      <c r="D4204" s="104">
        <f t="shared" si="65"/>
        <v>7.7800000000000008E-2</v>
      </c>
      <c r="F4204" s="5"/>
    </row>
    <row r="4205" spans="2:6" ht="13.8" hidden="1" outlineLevel="1">
      <c r="B4205" s="187">
        <v>28493</v>
      </c>
      <c r="C4205" s="188">
        <v>7.83</v>
      </c>
      <c r="D4205" s="104">
        <f t="shared" si="65"/>
        <v>7.8299999999999995E-2</v>
      </c>
      <c r="F4205" s="5"/>
    </row>
    <row r="4206" spans="2:6" ht="13.8" hidden="1" outlineLevel="1">
      <c r="B4206" s="187">
        <v>28494</v>
      </c>
      <c r="C4206" s="188">
        <v>7.82</v>
      </c>
      <c r="D4206" s="104">
        <f t="shared" si="65"/>
        <v>7.8200000000000006E-2</v>
      </c>
      <c r="F4206" s="5"/>
    </row>
    <row r="4207" spans="2:6" ht="13.8" hidden="1" outlineLevel="1">
      <c r="B4207" s="187">
        <v>28495</v>
      </c>
      <c r="C4207" s="188">
        <v>7.83</v>
      </c>
      <c r="D4207" s="104">
        <f t="shared" si="65"/>
        <v>7.8299999999999995E-2</v>
      </c>
      <c r="F4207" s="5"/>
    </row>
    <row r="4208" spans="2:6" ht="13.8" hidden="1" outlineLevel="1">
      <c r="B4208" s="187">
        <v>28496</v>
      </c>
      <c r="C4208" s="188">
        <v>7.85</v>
      </c>
      <c r="D4208" s="104">
        <f t="shared" si="65"/>
        <v>7.85E-2</v>
      </c>
      <c r="F4208" s="5"/>
    </row>
    <row r="4209" spans="2:6" ht="13.8" hidden="1" outlineLevel="1">
      <c r="B4209" s="187">
        <v>28499</v>
      </c>
      <c r="C4209" s="188">
        <v>8.01</v>
      </c>
      <c r="D4209" s="104">
        <f t="shared" si="65"/>
        <v>8.0100000000000005E-2</v>
      </c>
      <c r="F4209" s="5"/>
    </row>
    <row r="4210" spans="2:6" ht="13.8" hidden="1" outlineLevel="1">
      <c r="B4210" s="187">
        <v>28500</v>
      </c>
      <c r="C4210" s="188">
        <v>8.02</v>
      </c>
      <c r="D4210" s="104">
        <f t="shared" si="65"/>
        <v>8.0199999999999994E-2</v>
      </c>
      <c r="F4210" s="5"/>
    </row>
    <row r="4211" spans="2:6" ht="13.8" hidden="1" outlineLevel="1">
      <c r="B4211" s="187">
        <v>28501</v>
      </c>
      <c r="C4211" s="188">
        <v>8.0299999999999994</v>
      </c>
      <c r="D4211" s="104">
        <f t="shared" si="65"/>
        <v>8.0299999999999996E-2</v>
      </c>
      <c r="F4211" s="5"/>
    </row>
    <row r="4212" spans="2:6" ht="13.8" hidden="1" outlineLevel="1">
      <c r="B4212" s="187">
        <v>28502</v>
      </c>
      <c r="C4212" s="188">
        <v>8.02</v>
      </c>
      <c r="D4212" s="104">
        <f t="shared" si="65"/>
        <v>8.0199999999999994E-2</v>
      </c>
      <c r="F4212" s="5"/>
    </row>
    <row r="4213" spans="2:6" ht="13.8" hidden="1" outlineLevel="1">
      <c r="B4213" s="187">
        <v>28503</v>
      </c>
      <c r="C4213" s="188">
        <v>7.98</v>
      </c>
      <c r="D4213" s="104">
        <f t="shared" si="65"/>
        <v>7.980000000000001E-2</v>
      </c>
      <c r="F4213" s="5"/>
    </row>
    <row r="4214" spans="2:6" ht="13.8" hidden="1" outlineLevel="1">
      <c r="B4214" s="187">
        <v>28506</v>
      </c>
      <c r="C4214" s="188">
        <v>7.98</v>
      </c>
      <c r="D4214" s="104">
        <f t="shared" si="65"/>
        <v>7.980000000000001E-2</v>
      </c>
      <c r="F4214" s="5"/>
    </row>
    <row r="4215" spans="2:6" ht="13.8" hidden="1" outlineLevel="1">
      <c r="B4215" s="187">
        <v>28507</v>
      </c>
      <c r="C4215" s="188">
        <v>7.98</v>
      </c>
      <c r="D4215" s="104">
        <f t="shared" si="65"/>
        <v>7.980000000000001E-2</v>
      </c>
      <c r="F4215" s="5"/>
    </row>
    <row r="4216" spans="2:6" ht="13.8" hidden="1" outlineLevel="1">
      <c r="B4216" s="187">
        <v>28508</v>
      </c>
      <c r="C4216" s="188">
        <v>7.98</v>
      </c>
      <c r="D4216" s="104">
        <f t="shared" si="65"/>
        <v>7.980000000000001E-2</v>
      </c>
      <c r="F4216" s="5"/>
    </row>
    <row r="4217" spans="2:6" ht="13.8" hidden="1" outlineLevel="1">
      <c r="B4217" s="187">
        <v>28509</v>
      </c>
      <c r="C4217" s="188">
        <v>7.97</v>
      </c>
      <c r="D4217" s="104">
        <f t="shared" si="65"/>
        <v>7.9699999999999993E-2</v>
      </c>
      <c r="F4217" s="5"/>
    </row>
    <row r="4218" spans="2:6" ht="13.8" hidden="1" outlineLevel="1">
      <c r="B4218" s="187">
        <v>28510</v>
      </c>
      <c r="C4218" s="188">
        <v>7.97</v>
      </c>
      <c r="D4218" s="104">
        <f t="shared" si="65"/>
        <v>7.9699999999999993E-2</v>
      </c>
      <c r="F4218" s="5"/>
    </row>
    <row r="4219" spans="2:6" ht="13.8" hidden="1" outlineLevel="1">
      <c r="B4219" s="187">
        <v>28513</v>
      </c>
      <c r="C4219" s="188">
        <v>7.97</v>
      </c>
      <c r="D4219" s="104">
        <f t="shared" si="65"/>
        <v>7.9699999999999993E-2</v>
      </c>
      <c r="F4219" s="5"/>
    </row>
    <row r="4220" spans="2:6" ht="13.8" hidden="1" outlineLevel="1">
      <c r="B4220" s="187">
        <v>28514</v>
      </c>
      <c r="C4220" s="188">
        <v>7.99</v>
      </c>
      <c r="D4220" s="104">
        <f t="shared" si="65"/>
        <v>7.9899999999999999E-2</v>
      </c>
      <c r="F4220" s="5"/>
    </row>
    <row r="4221" spans="2:6" ht="13.8" hidden="1" outlineLevel="1">
      <c r="B4221" s="187">
        <v>28515</v>
      </c>
      <c r="C4221" s="188">
        <v>8</v>
      </c>
      <c r="D4221" s="104">
        <f t="shared" si="65"/>
        <v>0.08</v>
      </c>
      <c r="F4221" s="5"/>
    </row>
    <row r="4222" spans="2:6" ht="13.8" hidden="1" outlineLevel="1">
      <c r="B4222" s="187">
        <v>28516</v>
      </c>
      <c r="C4222" s="188">
        <v>7.98</v>
      </c>
      <c r="D4222" s="104">
        <f t="shared" si="65"/>
        <v>7.980000000000001E-2</v>
      </c>
      <c r="F4222" s="5"/>
    </row>
    <row r="4223" spans="2:6" ht="13.8" hidden="1" outlineLevel="1">
      <c r="B4223" s="187">
        <v>28517</v>
      </c>
      <c r="C4223" s="188">
        <v>7.97</v>
      </c>
      <c r="D4223" s="104">
        <f t="shared" si="65"/>
        <v>7.9699999999999993E-2</v>
      </c>
      <c r="F4223" s="5"/>
    </row>
    <row r="4224" spans="2:6" ht="13.8" hidden="1" outlineLevel="1">
      <c r="B4224" s="187">
        <v>28520</v>
      </c>
      <c r="C4224" s="188">
        <v>7.96</v>
      </c>
      <c r="D4224" s="104">
        <f t="shared" si="65"/>
        <v>7.9600000000000004E-2</v>
      </c>
      <c r="F4224" s="5"/>
    </row>
    <row r="4225" spans="2:6" ht="13.8" hidden="1" outlineLevel="1">
      <c r="B4225" s="187">
        <v>28521</v>
      </c>
      <c r="C4225" s="188">
        <v>7.94</v>
      </c>
      <c r="D4225" s="104">
        <f t="shared" si="65"/>
        <v>7.9399999999999998E-2</v>
      </c>
      <c r="F4225" s="5"/>
    </row>
    <row r="4226" spans="2:6" ht="13.8" hidden="1" outlineLevel="1">
      <c r="B4226" s="187">
        <v>28522</v>
      </c>
      <c r="C4226" s="188">
        <v>7.96</v>
      </c>
      <c r="D4226" s="104">
        <f t="shared" si="65"/>
        <v>7.9600000000000004E-2</v>
      </c>
      <c r="F4226" s="5"/>
    </row>
    <row r="4227" spans="2:6" ht="13.8" hidden="1" outlineLevel="1">
      <c r="B4227" s="187">
        <v>28523</v>
      </c>
      <c r="C4227" s="188">
        <v>7.96</v>
      </c>
      <c r="D4227" s="104">
        <f t="shared" si="65"/>
        <v>7.9600000000000004E-2</v>
      </c>
      <c r="F4227" s="5"/>
    </row>
    <row r="4228" spans="2:6" ht="13.8" hidden="1" outlineLevel="1">
      <c r="B4228" s="187">
        <v>28524</v>
      </c>
      <c r="C4228" s="188">
        <v>7.97</v>
      </c>
      <c r="D4228" s="104">
        <f t="shared" si="65"/>
        <v>7.9699999999999993E-2</v>
      </c>
      <c r="F4228" s="5"/>
    </row>
    <row r="4229" spans="2:6" ht="13.8" hidden="1" outlineLevel="1">
      <c r="B4229" s="187">
        <v>28527</v>
      </c>
      <c r="C4229" s="188">
        <v>7.99</v>
      </c>
      <c r="D4229" s="104">
        <f t="shared" si="65"/>
        <v>7.9899999999999999E-2</v>
      </c>
      <c r="F4229" s="5"/>
    </row>
    <row r="4230" spans="2:6" ht="13.8" hidden="1" outlineLevel="1">
      <c r="B4230" s="187">
        <v>28528</v>
      </c>
      <c r="C4230" s="188">
        <v>7.99</v>
      </c>
      <c r="D4230" s="104">
        <f t="shared" si="65"/>
        <v>7.9899999999999999E-2</v>
      </c>
      <c r="F4230" s="5"/>
    </row>
    <row r="4231" spans="2:6" ht="13.8" hidden="1" outlineLevel="1">
      <c r="B4231" s="187">
        <v>28529</v>
      </c>
      <c r="C4231" s="188">
        <v>8</v>
      </c>
      <c r="D4231" s="104">
        <f t="shared" si="65"/>
        <v>0.08</v>
      </c>
      <c r="F4231" s="5"/>
    </row>
    <row r="4232" spans="2:6" ht="13.8" hidden="1" outlineLevel="1">
      <c r="B4232" s="187">
        <v>28530</v>
      </c>
      <c r="C4232" s="188">
        <v>8.01</v>
      </c>
      <c r="D4232" s="104">
        <f t="shared" si="65"/>
        <v>8.0100000000000005E-2</v>
      </c>
      <c r="F4232" s="5"/>
    </row>
    <row r="4233" spans="2:6" ht="13.8" hidden="1" outlineLevel="1">
      <c r="B4233" s="187">
        <v>28531</v>
      </c>
      <c r="C4233" s="188">
        <v>8.02</v>
      </c>
      <c r="D4233" s="104">
        <f t="shared" si="65"/>
        <v>8.0199999999999994E-2</v>
      </c>
      <c r="F4233" s="5"/>
    </row>
    <row r="4234" spans="2:6" ht="13.8" hidden="1" outlineLevel="1">
      <c r="B4234" s="187">
        <v>28534</v>
      </c>
      <c r="C4234" s="188" t="s">
        <v>380</v>
      </c>
      <c r="D4234" s="104">
        <f t="shared" si="65"/>
        <v>8.0199999999999994E-2</v>
      </c>
      <c r="F4234" s="5"/>
    </row>
    <row r="4235" spans="2:6" ht="13.8" hidden="1" outlineLevel="1">
      <c r="B4235" s="187">
        <v>28535</v>
      </c>
      <c r="C4235" s="188">
        <v>8.0500000000000007</v>
      </c>
      <c r="D4235" s="104">
        <f t="shared" si="65"/>
        <v>8.0500000000000002E-2</v>
      </c>
      <c r="F4235" s="5"/>
    </row>
    <row r="4236" spans="2:6" ht="13.8" hidden="1" outlineLevel="1">
      <c r="B4236" s="187">
        <v>28536</v>
      </c>
      <c r="C4236" s="188">
        <v>8.08</v>
      </c>
      <c r="D4236" s="104">
        <f t="shared" si="65"/>
        <v>8.0799999999999997E-2</v>
      </c>
      <c r="F4236" s="5"/>
    </row>
    <row r="4237" spans="2:6" ht="13.8" hidden="1" outlineLevel="1">
      <c r="B4237" s="187">
        <v>28537</v>
      </c>
      <c r="C4237" s="188">
        <v>8.1</v>
      </c>
      <c r="D4237" s="104">
        <f t="shared" si="65"/>
        <v>8.1000000000000003E-2</v>
      </c>
      <c r="F4237" s="5"/>
    </row>
    <row r="4238" spans="2:6" ht="13.8" hidden="1" outlineLevel="1">
      <c r="B4238" s="187">
        <v>28538</v>
      </c>
      <c r="C4238" s="188">
        <v>8.09</v>
      </c>
      <c r="D4238" s="104">
        <f t="shared" si="65"/>
        <v>8.09E-2</v>
      </c>
      <c r="F4238" s="5"/>
    </row>
    <row r="4239" spans="2:6" ht="13.8" hidden="1" outlineLevel="1">
      <c r="B4239" s="187">
        <v>28541</v>
      </c>
      <c r="C4239" s="188" t="s">
        <v>380</v>
      </c>
      <c r="D4239" s="104">
        <f t="shared" si="65"/>
        <v>8.09E-2</v>
      </c>
      <c r="F4239" s="5"/>
    </row>
    <row r="4240" spans="2:6" ht="13.8" hidden="1" outlineLevel="1">
      <c r="B4240" s="187">
        <v>28542</v>
      </c>
      <c r="C4240" s="188">
        <v>8.1</v>
      </c>
      <c r="D4240" s="104">
        <f t="shared" si="65"/>
        <v>8.1000000000000003E-2</v>
      </c>
      <c r="F4240" s="5"/>
    </row>
    <row r="4241" spans="2:6" ht="13.8" hidden="1" outlineLevel="1">
      <c r="B4241" s="187">
        <v>28543</v>
      </c>
      <c r="C4241" s="188">
        <v>8.1</v>
      </c>
      <c r="D4241" s="104">
        <f t="shared" si="65"/>
        <v>8.1000000000000003E-2</v>
      </c>
      <c r="F4241" s="5"/>
    </row>
    <row r="4242" spans="2:6" ht="13.8" hidden="1" outlineLevel="1">
      <c r="B4242" s="187">
        <v>28544</v>
      </c>
      <c r="C4242" s="188">
        <v>8.08</v>
      </c>
      <c r="D4242" s="104">
        <f t="shared" si="65"/>
        <v>8.0799999999999997E-2</v>
      </c>
      <c r="F4242" s="5"/>
    </row>
    <row r="4243" spans="2:6" ht="13.8" hidden="1" outlineLevel="1">
      <c r="B4243" s="187">
        <v>28545</v>
      </c>
      <c r="C4243" s="188">
        <v>8.0399999999999991</v>
      </c>
      <c r="D4243" s="104">
        <f t="shared" si="65"/>
        <v>8.0399999999999985E-2</v>
      </c>
      <c r="F4243" s="5"/>
    </row>
    <row r="4244" spans="2:6" ht="13.8" hidden="1" outlineLevel="1">
      <c r="B4244" s="187">
        <v>28548</v>
      </c>
      <c r="C4244" s="188">
        <v>8.02</v>
      </c>
      <c r="D4244" s="104">
        <f t="shared" si="65"/>
        <v>8.0199999999999994E-2</v>
      </c>
      <c r="F4244" s="5"/>
    </row>
    <row r="4245" spans="2:6" ht="13.8" hidden="1" outlineLevel="1">
      <c r="B4245" s="187">
        <v>28549</v>
      </c>
      <c r="C4245" s="188">
        <v>8.0399999999999991</v>
      </c>
      <c r="D4245" s="104">
        <f t="shared" si="65"/>
        <v>8.0399999999999985E-2</v>
      </c>
      <c r="F4245" s="5"/>
    </row>
    <row r="4246" spans="2:6" ht="13.8" hidden="1" outlineLevel="1">
      <c r="B4246" s="187">
        <v>28550</v>
      </c>
      <c r="C4246" s="188">
        <v>8.0500000000000007</v>
      </c>
      <c r="D4246" s="104">
        <f t="shared" si="65"/>
        <v>8.0500000000000002E-2</v>
      </c>
      <c r="F4246" s="5"/>
    </row>
    <row r="4247" spans="2:6" ht="13.8" hidden="1" outlineLevel="1">
      <c r="B4247" s="187">
        <v>28551</v>
      </c>
      <c r="C4247" s="188">
        <v>8.0399999999999991</v>
      </c>
      <c r="D4247" s="104">
        <f t="shared" si="65"/>
        <v>8.0399999999999985E-2</v>
      </c>
      <c r="F4247" s="5"/>
    </row>
    <row r="4248" spans="2:6" ht="13.8" hidden="1" outlineLevel="1">
      <c r="B4248" s="187">
        <v>28552</v>
      </c>
      <c r="C4248" s="188">
        <v>8.0399999999999991</v>
      </c>
      <c r="D4248" s="104">
        <f t="shared" si="65"/>
        <v>8.0399999999999985E-2</v>
      </c>
      <c r="F4248" s="5"/>
    </row>
    <row r="4249" spans="2:6" ht="13.8" hidden="1" outlineLevel="1">
      <c r="B4249" s="187">
        <v>28555</v>
      </c>
      <c r="C4249" s="188">
        <v>8.0500000000000007</v>
      </c>
      <c r="D4249" s="104">
        <f t="shared" si="65"/>
        <v>8.0500000000000002E-2</v>
      </c>
      <c r="F4249" s="5"/>
    </row>
    <row r="4250" spans="2:6" ht="13.8" hidden="1" outlineLevel="1">
      <c r="B4250" s="187">
        <v>28556</v>
      </c>
      <c r="C4250" s="188">
        <v>8.0299999999999994</v>
      </c>
      <c r="D4250" s="104">
        <f t="shared" si="65"/>
        <v>8.0299999999999996E-2</v>
      </c>
      <c r="F4250" s="5"/>
    </row>
    <row r="4251" spans="2:6" ht="13.8" hidden="1" outlineLevel="1">
      <c r="B4251" s="187">
        <v>28557</v>
      </c>
      <c r="C4251" s="188">
        <v>8.0299999999999994</v>
      </c>
      <c r="D4251" s="104">
        <f t="shared" si="65"/>
        <v>8.0299999999999996E-2</v>
      </c>
      <c r="F4251" s="5"/>
    </row>
    <row r="4252" spans="2:6" ht="13.8" hidden="1" outlineLevel="1">
      <c r="B4252" s="187">
        <v>28558</v>
      </c>
      <c r="C4252" s="188">
        <v>8.02</v>
      </c>
      <c r="D4252" s="104">
        <f t="shared" si="65"/>
        <v>8.0199999999999994E-2</v>
      </c>
      <c r="F4252" s="5"/>
    </row>
    <row r="4253" spans="2:6" ht="13.8" hidden="1" outlineLevel="1">
      <c r="B4253" s="187">
        <v>28559</v>
      </c>
      <c r="C4253" s="188">
        <v>8</v>
      </c>
      <c r="D4253" s="104">
        <f t="shared" si="65"/>
        <v>0.08</v>
      </c>
      <c r="F4253" s="5"/>
    </row>
    <row r="4254" spans="2:6" ht="13.8" hidden="1" outlineLevel="1">
      <c r="B4254" s="187">
        <v>28562</v>
      </c>
      <c r="C4254" s="188">
        <v>7.99</v>
      </c>
      <c r="D4254" s="104">
        <f t="shared" ref="D4254:D4317" si="66">IF( LEN( C4254 ) = 0, #N/A, IF( C4254 = "ND", D4253, C4254 / 100 ) )</f>
        <v>7.9899999999999999E-2</v>
      </c>
      <c r="F4254" s="5"/>
    </row>
    <row r="4255" spans="2:6" ht="13.8" hidden="1" outlineLevel="1">
      <c r="B4255" s="187">
        <v>28563</v>
      </c>
      <c r="C4255" s="188">
        <v>7.99</v>
      </c>
      <c r="D4255" s="104">
        <f t="shared" si="66"/>
        <v>7.9899999999999999E-2</v>
      </c>
      <c r="F4255" s="5"/>
    </row>
    <row r="4256" spans="2:6" ht="13.8" hidden="1" outlineLevel="1">
      <c r="B4256" s="187">
        <v>28564</v>
      </c>
      <c r="C4256" s="188">
        <v>8</v>
      </c>
      <c r="D4256" s="104">
        <f t="shared" si="66"/>
        <v>0.08</v>
      </c>
      <c r="F4256" s="5"/>
    </row>
    <row r="4257" spans="2:6" ht="13.8" hidden="1" outlineLevel="1">
      <c r="B4257" s="187">
        <v>28565</v>
      </c>
      <c r="C4257" s="188">
        <v>8</v>
      </c>
      <c r="D4257" s="104">
        <f t="shared" si="66"/>
        <v>0.08</v>
      </c>
      <c r="F4257" s="5"/>
    </row>
    <row r="4258" spans="2:6" ht="13.8" hidden="1" outlineLevel="1">
      <c r="B4258" s="187">
        <v>28566</v>
      </c>
      <c r="C4258" s="188">
        <v>8</v>
      </c>
      <c r="D4258" s="104">
        <f t="shared" si="66"/>
        <v>0.08</v>
      </c>
      <c r="F4258" s="5"/>
    </row>
    <row r="4259" spans="2:6" ht="13.8" hidden="1" outlineLevel="1">
      <c r="B4259" s="187">
        <v>28569</v>
      </c>
      <c r="C4259" s="188">
        <v>7.97</v>
      </c>
      <c r="D4259" s="104">
        <f t="shared" si="66"/>
        <v>7.9699999999999993E-2</v>
      </c>
      <c r="F4259" s="5"/>
    </row>
    <row r="4260" spans="2:6" ht="13.8" hidden="1" outlineLevel="1">
      <c r="B4260" s="187">
        <v>28570</v>
      </c>
      <c r="C4260" s="188">
        <v>7.97</v>
      </c>
      <c r="D4260" s="104">
        <f t="shared" si="66"/>
        <v>7.9699999999999993E-2</v>
      </c>
      <c r="F4260" s="5"/>
    </row>
    <row r="4261" spans="2:6" ht="13.8" hidden="1" outlineLevel="1">
      <c r="B4261" s="187">
        <v>28571</v>
      </c>
      <c r="C4261" s="188">
        <v>7.98</v>
      </c>
      <c r="D4261" s="104">
        <f t="shared" si="66"/>
        <v>7.980000000000001E-2</v>
      </c>
      <c r="F4261" s="5"/>
    </row>
    <row r="4262" spans="2:6" ht="13.8" hidden="1" outlineLevel="1">
      <c r="B4262" s="187">
        <v>28572</v>
      </c>
      <c r="C4262" s="188">
        <v>8.01</v>
      </c>
      <c r="D4262" s="104">
        <f t="shared" si="66"/>
        <v>8.0100000000000005E-2</v>
      </c>
      <c r="F4262" s="5"/>
    </row>
    <row r="4263" spans="2:6" ht="13.8" hidden="1" outlineLevel="1">
      <c r="B4263" s="187">
        <v>28573</v>
      </c>
      <c r="C4263" s="188" t="s">
        <v>380</v>
      </c>
      <c r="D4263" s="104">
        <f t="shared" si="66"/>
        <v>8.0100000000000005E-2</v>
      </c>
      <c r="F4263" s="5"/>
    </row>
    <row r="4264" spans="2:6" ht="13.8" hidden="1" outlineLevel="1">
      <c r="B4264" s="187">
        <v>28576</v>
      </c>
      <c r="C4264" s="188">
        <v>8.1199999999999992</v>
      </c>
      <c r="D4264" s="104">
        <f t="shared" si="66"/>
        <v>8.1199999999999994E-2</v>
      </c>
      <c r="F4264" s="5"/>
    </row>
    <row r="4265" spans="2:6" ht="13.8" hidden="1" outlineLevel="1">
      <c r="B4265" s="187">
        <v>28577</v>
      </c>
      <c r="C4265" s="188">
        <v>8.1199999999999992</v>
      </c>
      <c r="D4265" s="104">
        <f t="shared" si="66"/>
        <v>8.1199999999999994E-2</v>
      </c>
      <c r="F4265" s="5"/>
    </row>
    <row r="4266" spans="2:6" ht="13.8" hidden="1" outlineLevel="1">
      <c r="B4266" s="187">
        <v>28578</v>
      </c>
      <c r="C4266" s="188">
        <v>8.11</v>
      </c>
      <c r="D4266" s="104">
        <f t="shared" si="66"/>
        <v>8.1099999999999992E-2</v>
      </c>
      <c r="F4266" s="5"/>
    </row>
    <row r="4267" spans="2:6" ht="13.8" hidden="1" outlineLevel="1">
      <c r="B4267" s="187">
        <v>28579</v>
      </c>
      <c r="C4267" s="188">
        <v>8.1199999999999992</v>
      </c>
      <c r="D4267" s="104">
        <f t="shared" si="66"/>
        <v>8.1199999999999994E-2</v>
      </c>
      <c r="F4267" s="5"/>
    </row>
    <row r="4268" spans="2:6" ht="13.8" hidden="1" outlineLevel="1">
      <c r="B4268" s="187">
        <v>28580</v>
      </c>
      <c r="C4268" s="188">
        <v>8.15</v>
      </c>
      <c r="D4268" s="104">
        <f t="shared" si="66"/>
        <v>8.1500000000000003E-2</v>
      </c>
      <c r="F4268" s="5"/>
    </row>
    <row r="4269" spans="2:6" ht="13.8" hidden="1" outlineLevel="1">
      <c r="B4269" s="187">
        <v>28583</v>
      </c>
      <c r="C4269" s="188">
        <v>8.1300000000000008</v>
      </c>
      <c r="D4269" s="104">
        <f t="shared" si="66"/>
        <v>8.1300000000000011E-2</v>
      </c>
      <c r="F4269" s="5"/>
    </row>
    <row r="4270" spans="2:6" ht="13.8" hidden="1" outlineLevel="1">
      <c r="B4270" s="187">
        <v>28584</v>
      </c>
      <c r="C4270" s="188">
        <v>8.1199999999999992</v>
      </c>
      <c r="D4270" s="104">
        <f t="shared" si="66"/>
        <v>8.1199999999999994E-2</v>
      </c>
      <c r="F4270" s="5"/>
    </row>
    <row r="4271" spans="2:6" ht="13.8" hidden="1" outlineLevel="1">
      <c r="B4271" s="187">
        <v>28585</v>
      </c>
      <c r="C4271" s="188">
        <v>8.14</v>
      </c>
      <c r="D4271" s="104">
        <f t="shared" si="66"/>
        <v>8.14E-2</v>
      </c>
      <c r="F4271" s="5"/>
    </row>
    <row r="4272" spans="2:6" ht="13.8" hidden="1" outlineLevel="1">
      <c r="B4272" s="187">
        <v>28586</v>
      </c>
      <c r="C4272" s="188">
        <v>8.16</v>
      </c>
      <c r="D4272" s="104">
        <f t="shared" si="66"/>
        <v>8.1600000000000006E-2</v>
      </c>
      <c r="F4272" s="5"/>
    </row>
    <row r="4273" spans="2:6" ht="13.8" hidden="1" outlineLevel="1">
      <c r="B4273" s="187">
        <v>28587</v>
      </c>
      <c r="C4273" s="188">
        <v>8.14</v>
      </c>
      <c r="D4273" s="104">
        <f t="shared" si="66"/>
        <v>8.14E-2</v>
      </c>
      <c r="F4273" s="5"/>
    </row>
    <row r="4274" spans="2:6" ht="13.8" hidden="1" outlineLevel="1">
      <c r="B4274" s="187">
        <v>28590</v>
      </c>
      <c r="C4274" s="188">
        <v>8.15</v>
      </c>
      <c r="D4274" s="104">
        <f t="shared" si="66"/>
        <v>8.1500000000000003E-2</v>
      </c>
      <c r="F4274" s="5"/>
    </row>
    <row r="4275" spans="2:6" ht="13.8" hidden="1" outlineLevel="1">
      <c r="B4275" s="187">
        <v>28591</v>
      </c>
      <c r="C4275" s="188">
        <v>8.16</v>
      </c>
      <c r="D4275" s="104">
        <f t="shared" si="66"/>
        <v>8.1600000000000006E-2</v>
      </c>
      <c r="F4275" s="5"/>
    </row>
    <row r="4276" spans="2:6" ht="13.8" hidden="1" outlineLevel="1">
      <c r="B4276" s="187">
        <v>28592</v>
      </c>
      <c r="C4276" s="188">
        <v>8.16</v>
      </c>
      <c r="D4276" s="104">
        <f t="shared" si="66"/>
        <v>8.1600000000000006E-2</v>
      </c>
      <c r="F4276" s="5"/>
    </row>
    <row r="4277" spans="2:6" ht="13.8" hidden="1" outlineLevel="1">
      <c r="B4277" s="187">
        <v>28593</v>
      </c>
      <c r="C4277" s="188">
        <v>8.15</v>
      </c>
      <c r="D4277" s="104">
        <f t="shared" si="66"/>
        <v>8.1500000000000003E-2</v>
      </c>
      <c r="F4277" s="5"/>
    </row>
    <row r="4278" spans="2:6" ht="13.8" hidden="1" outlineLevel="1">
      <c r="B4278" s="187">
        <v>28594</v>
      </c>
      <c r="C4278" s="188">
        <v>8.1199999999999992</v>
      </c>
      <c r="D4278" s="104">
        <f t="shared" si="66"/>
        <v>8.1199999999999994E-2</v>
      </c>
      <c r="F4278" s="5"/>
    </row>
    <row r="4279" spans="2:6" ht="13.8" hidden="1" outlineLevel="1">
      <c r="B4279" s="187">
        <v>28597</v>
      </c>
      <c r="C4279" s="188">
        <v>8.08</v>
      </c>
      <c r="D4279" s="104">
        <f t="shared" si="66"/>
        <v>8.0799999999999997E-2</v>
      </c>
      <c r="F4279" s="5"/>
    </row>
    <row r="4280" spans="2:6" ht="13.8" hidden="1" outlineLevel="1">
      <c r="B4280" s="187">
        <v>28598</v>
      </c>
      <c r="C4280" s="188">
        <v>8.08</v>
      </c>
      <c r="D4280" s="104">
        <f t="shared" si="66"/>
        <v>8.0799999999999997E-2</v>
      </c>
      <c r="F4280" s="5"/>
    </row>
    <row r="4281" spans="2:6" ht="13.8" hidden="1" outlineLevel="1">
      <c r="B4281" s="187">
        <v>28599</v>
      </c>
      <c r="C4281" s="188">
        <v>8.1300000000000008</v>
      </c>
      <c r="D4281" s="104">
        <f t="shared" si="66"/>
        <v>8.1300000000000011E-2</v>
      </c>
      <c r="F4281" s="5"/>
    </row>
    <row r="4282" spans="2:6" ht="13.8" hidden="1" outlineLevel="1">
      <c r="B4282" s="187">
        <v>28600</v>
      </c>
      <c r="C4282" s="188">
        <v>8.14</v>
      </c>
      <c r="D4282" s="104">
        <f t="shared" si="66"/>
        <v>8.14E-2</v>
      </c>
      <c r="F4282" s="5"/>
    </row>
    <row r="4283" spans="2:6" ht="13.8" hidden="1" outlineLevel="1">
      <c r="B4283" s="187">
        <v>28601</v>
      </c>
      <c r="C4283" s="188">
        <v>8.16</v>
      </c>
      <c r="D4283" s="104">
        <f t="shared" si="66"/>
        <v>8.1600000000000006E-2</v>
      </c>
      <c r="F4283" s="5"/>
    </row>
    <row r="4284" spans="2:6" ht="13.8" hidden="1" outlineLevel="1">
      <c r="B4284" s="187">
        <v>28604</v>
      </c>
      <c r="C4284" s="188">
        <v>8.18</v>
      </c>
      <c r="D4284" s="104">
        <f t="shared" si="66"/>
        <v>8.1799999999999998E-2</v>
      </c>
      <c r="F4284" s="5"/>
    </row>
    <row r="4285" spans="2:6" ht="13.8" hidden="1" outlineLevel="1">
      <c r="B4285" s="187">
        <v>28605</v>
      </c>
      <c r="C4285" s="188">
        <v>8.18</v>
      </c>
      <c r="D4285" s="104">
        <f t="shared" si="66"/>
        <v>8.1799999999999998E-2</v>
      </c>
      <c r="F4285" s="5"/>
    </row>
    <row r="4286" spans="2:6" ht="13.8" hidden="1" outlineLevel="1">
      <c r="B4286" s="187">
        <v>28606</v>
      </c>
      <c r="C4286" s="188">
        <v>8.2200000000000006</v>
      </c>
      <c r="D4286" s="104">
        <f t="shared" si="66"/>
        <v>8.2200000000000009E-2</v>
      </c>
      <c r="F4286" s="5"/>
    </row>
    <row r="4287" spans="2:6" ht="13.8" hidden="1" outlineLevel="1">
      <c r="B4287" s="187">
        <v>28607</v>
      </c>
      <c r="C4287" s="188">
        <v>8.24</v>
      </c>
      <c r="D4287" s="104">
        <f t="shared" si="66"/>
        <v>8.2400000000000001E-2</v>
      </c>
      <c r="F4287" s="5"/>
    </row>
    <row r="4288" spans="2:6" ht="13.8" hidden="1" outlineLevel="1">
      <c r="B4288" s="187">
        <v>28608</v>
      </c>
      <c r="C4288" s="188">
        <v>8.24</v>
      </c>
      <c r="D4288" s="104">
        <f t="shared" si="66"/>
        <v>8.2400000000000001E-2</v>
      </c>
      <c r="F4288" s="5"/>
    </row>
    <row r="4289" spans="2:6" ht="13.8" hidden="1" outlineLevel="1">
      <c r="B4289" s="187">
        <v>28611</v>
      </c>
      <c r="C4289" s="188">
        <v>8.24</v>
      </c>
      <c r="D4289" s="104">
        <f t="shared" si="66"/>
        <v>8.2400000000000001E-2</v>
      </c>
      <c r="F4289" s="5"/>
    </row>
    <row r="4290" spans="2:6" ht="13.8" hidden="1" outlineLevel="1">
      <c r="B4290" s="187">
        <v>28612</v>
      </c>
      <c r="C4290" s="188">
        <v>8.25</v>
      </c>
      <c r="D4290" s="104">
        <f t="shared" si="66"/>
        <v>8.2500000000000004E-2</v>
      </c>
      <c r="F4290" s="5"/>
    </row>
    <row r="4291" spans="2:6" ht="13.8" hidden="1" outlineLevel="1">
      <c r="B4291" s="187">
        <v>28613</v>
      </c>
      <c r="C4291" s="188">
        <v>8.2799999999999994</v>
      </c>
      <c r="D4291" s="104">
        <f t="shared" si="66"/>
        <v>8.2799999999999999E-2</v>
      </c>
      <c r="F4291" s="5"/>
    </row>
    <row r="4292" spans="2:6" ht="13.8" hidden="1" outlineLevel="1">
      <c r="B4292" s="187">
        <v>28614</v>
      </c>
      <c r="C4292" s="188">
        <v>8.27</v>
      </c>
      <c r="D4292" s="104">
        <f t="shared" si="66"/>
        <v>8.2699999999999996E-2</v>
      </c>
      <c r="F4292" s="5"/>
    </row>
    <row r="4293" spans="2:6" ht="13.8" hidden="1" outlineLevel="1">
      <c r="B4293" s="187">
        <v>28615</v>
      </c>
      <c r="C4293" s="188">
        <v>8.34</v>
      </c>
      <c r="D4293" s="104">
        <f t="shared" si="66"/>
        <v>8.3400000000000002E-2</v>
      </c>
      <c r="F4293" s="5"/>
    </row>
    <row r="4294" spans="2:6" ht="13.8" hidden="1" outlineLevel="1">
      <c r="B4294" s="187">
        <v>28618</v>
      </c>
      <c r="C4294" s="188">
        <v>8.35</v>
      </c>
      <c r="D4294" s="104">
        <f t="shared" si="66"/>
        <v>8.3499999999999991E-2</v>
      </c>
      <c r="F4294" s="5"/>
    </row>
    <row r="4295" spans="2:6" ht="13.8" hidden="1" outlineLevel="1">
      <c r="B4295" s="187">
        <v>28619</v>
      </c>
      <c r="C4295" s="188">
        <v>8.34</v>
      </c>
      <c r="D4295" s="104">
        <f t="shared" si="66"/>
        <v>8.3400000000000002E-2</v>
      </c>
      <c r="F4295" s="5"/>
    </row>
    <row r="4296" spans="2:6" ht="13.8" hidden="1" outlineLevel="1">
      <c r="B4296" s="187">
        <v>28620</v>
      </c>
      <c r="C4296" s="188">
        <v>8.34</v>
      </c>
      <c r="D4296" s="104">
        <f t="shared" si="66"/>
        <v>8.3400000000000002E-2</v>
      </c>
      <c r="F4296" s="5"/>
    </row>
    <row r="4297" spans="2:6" ht="13.8" hidden="1" outlineLevel="1">
      <c r="B4297" s="187">
        <v>28621</v>
      </c>
      <c r="C4297" s="188">
        <v>8.34</v>
      </c>
      <c r="D4297" s="104">
        <f t="shared" si="66"/>
        <v>8.3400000000000002E-2</v>
      </c>
      <c r="F4297" s="5"/>
    </row>
    <row r="4298" spans="2:6" ht="13.8" hidden="1" outlineLevel="1">
      <c r="B4298" s="187">
        <v>28622</v>
      </c>
      <c r="C4298" s="188">
        <v>8.36</v>
      </c>
      <c r="D4298" s="104">
        <f t="shared" si="66"/>
        <v>8.3599999999999994E-2</v>
      </c>
      <c r="F4298" s="5"/>
    </row>
    <row r="4299" spans="2:6" ht="13.8" hidden="1" outlineLevel="1">
      <c r="B4299" s="187">
        <v>28625</v>
      </c>
      <c r="C4299" s="188">
        <v>8.35</v>
      </c>
      <c r="D4299" s="104">
        <f t="shared" si="66"/>
        <v>8.3499999999999991E-2</v>
      </c>
      <c r="F4299" s="5"/>
    </row>
    <row r="4300" spans="2:6" ht="13.8" hidden="1" outlineLevel="1">
      <c r="B4300" s="187">
        <v>28626</v>
      </c>
      <c r="C4300" s="188">
        <v>8.34</v>
      </c>
      <c r="D4300" s="104">
        <f t="shared" si="66"/>
        <v>8.3400000000000002E-2</v>
      </c>
      <c r="F4300" s="5"/>
    </row>
    <row r="4301" spans="2:6" ht="13.8" hidden="1" outlineLevel="1">
      <c r="B4301" s="187">
        <v>28627</v>
      </c>
      <c r="C4301" s="188">
        <v>8.33</v>
      </c>
      <c r="D4301" s="104">
        <f t="shared" si="66"/>
        <v>8.3299999999999999E-2</v>
      </c>
      <c r="F4301" s="5"/>
    </row>
    <row r="4302" spans="2:6" ht="13.8" hidden="1" outlineLevel="1">
      <c r="B4302" s="187">
        <v>28628</v>
      </c>
      <c r="C4302" s="188">
        <v>8.3699999999999992</v>
      </c>
      <c r="D4302" s="104">
        <f t="shared" si="66"/>
        <v>8.3699999999999997E-2</v>
      </c>
      <c r="F4302" s="5"/>
    </row>
    <row r="4303" spans="2:6" ht="13.8" hidden="1" outlineLevel="1">
      <c r="B4303" s="187">
        <v>28629</v>
      </c>
      <c r="C4303" s="188">
        <v>8.3800000000000008</v>
      </c>
      <c r="D4303" s="104">
        <f t="shared" si="66"/>
        <v>8.3800000000000013E-2</v>
      </c>
      <c r="F4303" s="5"/>
    </row>
    <row r="4304" spans="2:6" ht="13.8" hidden="1" outlineLevel="1">
      <c r="B4304" s="187">
        <v>28632</v>
      </c>
      <c r="C4304" s="188">
        <v>8.3800000000000008</v>
      </c>
      <c r="D4304" s="104">
        <f t="shared" si="66"/>
        <v>8.3800000000000013E-2</v>
      </c>
      <c r="F4304" s="5"/>
    </row>
    <row r="4305" spans="2:6" ht="13.8" hidden="1" outlineLevel="1">
      <c r="B4305" s="187">
        <v>28633</v>
      </c>
      <c r="C4305" s="188">
        <v>8.3699999999999992</v>
      </c>
      <c r="D4305" s="104">
        <f t="shared" si="66"/>
        <v>8.3699999999999997E-2</v>
      </c>
      <c r="F4305" s="5"/>
    </row>
    <row r="4306" spans="2:6" ht="13.8" hidden="1" outlineLevel="1">
      <c r="B4306" s="187">
        <v>28634</v>
      </c>
      <c r="C4306" s="188">
        <v>8.39</v>
      </c>
      <c r="D4306" s="104">
        <f t="shared" si="66"/>
        <v>8.3900000000000002E-2</v>
      </c>
      <c r="F4306" s="5"/>
    </row>
    <row r="4307" spans="2:6" ht="13.8" hidden="1" outlineLevel="1">
      <c r="B4307" s="187">
        <v>28635</v>
      </c>
      <c r="C4307" s="188">
        <v>8.4</v>
      </c>
      <c r="D4307" s="104">
        <f t="shared" si="66"/>
        <v>8.4000000000000005E-2</v>
      </c>
      <c r="F4307" s="5"/>
    </row>
    <row r="4308" spans="2:6" ht="13.8" hidden="1" outlineLevel="1">
      <c r="B4308" s="187">
        <v>28636</v>
      </c>
      <c r="C4308" s="188">
        <v>8.42</v>
      </c>
      <c r="D4308" s="104">
        <f t="shared" si="66"/>
        <v>8.4199999999999997E-2</v>
      </c>
      <c r="F4308" s="5"/>
    </row>
    <row r="4309" spans="2:6" ht="13.8" hidden="1" outlineLevel="1">
      <c r="B4309" s="187">
        <v>28639</v>
      </c>
      <c r="C4309" s="188" t="s">
        <v>380</v>
      </c>
      <c r="D4309" s="104">
        <f t="shared" si="66"/>
        <v>8.4199999999999997E-2</v>
      </c>
      <c r="F4309" s="5"/>
    </row>
    <row r="4310" spans="2:6" ht="13.8" hidden="1" outlineLevel="1">
      <c r="B4310" s="187">
        <v>28640</v>
      </c>
      <c r="C4310" s="188" t="s">
        <v>380</v>
      </c>
      <c r="D4310" s="104">
        <f t="shared" si="66"/>
        <v>8.4199999999999997E-2</v>
      </c>
      <c r="F4310" s="5"/>
    </row>
    <row r="4311" spans="2:6" ht="13.8" hidden="1" outlineLevel="1">
      <c r="B4311" s="187">
        <v>28641</v>
      </c>
      <c r="C4311" s="188">
        <v>8.42</v>
      </c>
      <c r="D4311" s="104">
        <f t="shared" si="66"/>
        <v>8.4199999999999997E-2</v>
      </c>
      <c r="F4311" s="5"/>
    </row>
    <row r="4312" spans="2:6" ht="13.8" hidden="1" outlineLevel="1">
      <c r="B4312" s="187">
        <v>28642</v>
      </c>
      <c r="C4312" s="188">
        <v>8.41</v>
      </c>
      <c r="D4312" s="104">
        <f t="shared" si="66"/>
        <v>8.4100000000000008E-2</v>
      </c>
      <c r="F4312" s="5"/>
    </row>
    <row r="4313" spans="2:6" ht="13.8" hidden="1" outlineLevel="1">
      <c r="B4313" s="187">
        <v>28643</v>
      </c>
      <c r="C4313" s="188">
        <v>8.39</v>
      </c>
      <c r="D4313" s="104">
        <f t="shared" si="66"/>
        <v>8.3900000000000002E-2</v>
      </c>
      <c r="F4313" s="5"/>
    </row>
    <row r="4314" spans="2:6" ht="13.8" hidden="1" outlineLevel="1">
      <c r="B4314" s="187">
        <v>28646</v>
      </c>
      <c r="C4314" s="188">
        <v>8.3800000000000008</v>
      </c>
      <c r="D4314" s="104">
        <f t="shared" si="66"/>
        <v>8.3800000000000013E-2</v>
      </c>
      <c r="F4314" s="5"/>
    </row>
    <row r="4315" spans="2:6" ht="13.8" hidden="1" outlineLevel="1">
      <c r="B4315" s="187">
        <v>28647</v>
      </c>
      <c r="C4315" s="188">
        <v>8.3699999999999992</v>
      </c>
      <c r="D4315" s="104">
        <f t="shared" si="66"/>
        <v>8.3699999999999997E-2</v>
      </c>
      <c r="F4315" s="5"/>
    </row>
    <row r="4316" spans="2:6" ht="13.8" hidden="1" outlineLevel="1">
      <c r="B4316" s="187">
        <v>28648</v>
      </c>
      <c r="C4316" s="188">
        <v>8.3699999999999992</v>
      </c>
      <c r="D4316" s="104">
        <f t="shared" si="66"/>
        <v>8.3699999999999997E-2</v>
      </c>
      <c r="F4316" s="5"/>
    </row>
    <row r="4317" spans="2:6" ht="13.8" hidden="1" outlineLevel="1">
      <c r="B4317" s="187">
        <v>28649</v>
      </c>
      <c r="C4317" s="188">
        <v>8.3800000000000008</v>
      </c>
      <c r="D4317" s="104">
        <f t="shared" si="66"/>
        <v>8.3800000000000013E-2</v>
      </c>
      <c r="F4317" s="5"/>
    </row>
    <row r="4318" spans="2:6" ht="13.8" hidden="1" outlineLevel="1">
      <c r="B4318" s="187">
        <v>28650</v>
      </c>
      <c r="C4318" s="188">
        <v>8.41</v>
      </c>
      <c r="D4318" s="104">
        <f t="shared" ref="D4318:D4381" si="67">IF( LEN( C4318 ) = 0, #N/A, IF( C4318 = "ND", D4317, C4318 / 100 ) )</f>
        <v>8.4100000000000008E-2</v>
      </c>
      <c r="F4318" s="5"/>
    </row>
    <row r="4319" spans="2:6" ht="13.8" hidden="1" outlineLevel="1">
      <c r="B4319" s="187">
        <v>28653</v>
      </c>
      <c r="C4319" s="188">
        <v>8.4</v>
      </c>
      <c r="D4319" s="104">
        <f t="shared" si="67"/>
        <v>8.4000000000000005E-2</v>
      </c>
      <c r="F4319" s="5"/>
    </row>
    <row r="4320" spans="2:6" ht="13.8" hidden="1" outlineLevel="1">
      <c r="B4320" s="187">
        <v>28654</v>
      </c>
      <c r="C4320" s="188">
        <v>8.41</v>
      </c>
      <c r="D4320" s="104">
        <f t="shared" si="67"/>
        <v>8.4100000000000008E-2</v>
      </c>
      <c r="F4320" s="5"/>
    </row>
    <row r="4321" spans="2:6" ht="13.8" hidden="1" outlineLevel="1">
      <c r="B4321" s="187">
        <v>28655</v>
      </c>
      <c r="C4321" s="188">
        <v>8.41</v>
      </c>
      <c r="D4321" s="104">
        <f t="shared" si="67"/>
        <v>8.4100000000000008E-2</v>
      </c>
      <c r="F4321" s="5"/>
    </row>
    <row r="4322" spans="2:6" ht="13.8" hidden="1" outlineLevel="1">
      <c r="B4322" s="187">
        <v>28656</v>
      </c>
      <c r="C4322" s="188">
        <v>8.41</v>
      </c>
      <c r="D4322" s="104">
        <f t="shared" si="67"/>
        <v>8.4100000000000008E-2</v>
      </c>
      <c r="F4322" s="5"/>
    </row>
    <row r="4323" spans="2:6" ht="13.8" hidden="1" outlineLevel="1">
      <c r="B4323" s="187">
        <v>28657</v>
      </c>
      <c r="C4323" s="188">
        <v>8.43</v>
      </c>
      <c r="D4323" s="104">
        <f t="shared" si="67"/>
        <v>8.43E-2</v>
      </c>
      <c r="F4323" s="5"/>
    </row>
    <row r="4324" spans="2:6" ht="13.8" hidden="1" outlineLevel="1">
      <c r="B4324" s="187">
        <v>28660</v>
      </c>
      <c r="C4324" s="188">
        <v>8.4499999999999993</v>
      </c>
      <c r="D4324" s="104">
        <f t="shared" si="67"/>
        <v>8.4499999999999992E-2</v>
      </c>
      <c r="F4324" s="5"/>
    </row>
    <row r="4325" spans="2:6" ht="13.8" hidden="1" outlineLevel="1">
      <c r="B4325" s="187">
        <v>28661</v>
      </c>
      <c r="C4325" s="188">
        <v>8.4700000000000006</v>
      </c>
      <c r="D4325" s="104">
        <f t="shared" si="67"/>
        <v>8.4700000000000011E-2</v>
      </c>
      <c r="F4325" s="5"/>
    </row>
    <row r="4326" spans="2:6" ht="13.8" hidden="1" outlineLevel="1">
      <c r="B4326" s="187">
        <v>28662</v>
      </c>
      <c r="C4326" s="188">
        <v>8.5</v>
      </c>
      <c r="D4326" s="104">
        <f t="shared" si="67"/>
        <v>8.5000000000000006E-2</v>
      </c>
      <c r="F4326" s="5"/>
    </row>
    <row r="4327" spans="2:6" ht="13.8" hidden="1" outlineLevel="1">
      <c r="B4327" s="187">
        <v>28663</v>
      </c>
      <c r="C4327" s="188">
        <v>8.5</v>
      </c>
      <c r="D4327" s="104">
        <f t="shared" si="67"/>
        <v>8.5000000000000006E-2</v>
      </c>
      <c r="F4327" s="5"/>
    </row>
    <row r="4328" spans="2:6" ht="13.8" hidden="1" outlineLevel="1">
      <c r="B4328" s="187">
        <v>28664</v>
      </c>
      <c r="C4328" s="188">
        <v>8.5500000000000007</v>
      </c>
      <c r="D4328" s="104">
        <f t="shared" si="67"/>
        <v>8.5500000000000007E-2</v>
      </c>
      <c r="F4328" s="5"/>
    </row>
    <row r="4329" spans="2:6" ht="13.8" hidden="1" outlineLevel="1">
      <c r="B4329" s="187">
        <v>28667</v>
      </c>
      <c r="C4329" s="188">
        <v>8.59</v>
      </c>
      <c r="D4329" s="104">
        <f t="shared" si="67"/>
        <v>8.5900000000000004E-2</v>
      </c>
      <c r="F4329" s="5"/>
    </row>
    <row r="4330" spans="2:6" ht="13.8" hidden="1" outlineLevel="1">
      <c r="B4330" s="187">
        <v>28668</v>
      </c>
      <c r="C4330" s="188">
        <v>8.58</v>
      </c>
      <c r="D4330" s="104">
        <f t="shared" si="67"/>
        <v>8.5800000000000001E-2</v>
      </c>
      <c r="F4330" s="5"/>
    </row>
    <row r="4331" spans="2:6" ht="13.8" hidden="1" outlineLevel="1">
      <c r="B4331" s="187">
        <v>28669</v>
      </c>
      <c r="C4331" s="188">
        <v>8.57</v>
      </c>
      <c r="D4331" s="104">
        <f t="shared" si="67"/>
        <v>8.5699999999999998E-2</v>
      </c>
      <c r="F4331" s="5"/>
    </row>
    <row r="4332" spans="2:6" ht="13.8" hidden="1" outlineLevel="1">
      <c r="B4332" s="187">
        <v>28670</v>
      </c>
      <c r="C4332" s="188">
        <v>8.57</v>
      </c>
      <c r="D4332" s="104">
        <f t="shared" si="67"/>
        <v>8.5699999999999998E-2</v>
      </c>
      <c r="F4332" s="5"/>
    </row>
    <row r="4333" spans="2:6" ht="13.8" hidden="1" outlineLevel="1">
      <c r="B4333" s="187">
        <v>28671</v>
      </c>
      <c r="C4333" s="188">
        <v>8.6199999999999992</v>
      </c>
      <c r="D4333" s="104">
        <f t="shared" si="67"/>
        <v>8.6199999999999999E-2</v>
      </c>
      <c r="F4333" s="5"/>
    </row>
    <row r="4334" spans="2:6" ht="13.8" hidden="1" outlineLevel="1">
      <c r="B4334" s="187">
        <v>28674</v>
      </c>
      <c r="C4334" s="188">
        <v>8.59</v>
      </c>
      <c r="D4334" s="104">
        <f t="shared" si="67"/>
        <v>8.5900000000000004E-2</v>
      </c>
      <c r="F4334" s="5"/>
    </row>
    <row r="4335" spans="2:6" ht="13.8" hidden="1" outlineLevel="1">
      <c r="B4335" s="187">
        <v>28675</v>
      </c>
      <c r="C4335" s="188" t="s">
        <v>380</v>
      </c>
      <c r="D4335" s="104">
        <f t="shared" si="67"/>
        <v>8.5900000000000004E-2</v>
      </c>
      <c r="F4335" s="5"/>
    </row>
    <row r="4336" spans="2:6" ht="13.8" hidden="1" outlineLevel="1">
      <c r="B4336" s="187">
        <v>28676</v>
      </c>
      <c r="C4336" s="188">
        <v>8.6199999999999992</v>
      </c>
      <c r="D4336" s="104">
        <f t="shared" si="67"/>
        <v>8.6199999999999999E-2</v>
      </c>
      <c r="F4336" s="5"/>
    </row>
    <row r="4337" spans="2:6" ht="13.8" hidden="1" outlineLevel="1">
      <c r="B4337" s="187">
        <v>28677</v>
      </c>
      <c r="C4337" s="188">
        <v>8.6199999999999992</v>
      </c>
      <c r="D4337" s="104">
        <f t="shared" si="67"/>
        <v>8.6199999999999999E-2</v>
      </c>
      <c r="F4337" s="5"/>
    </row>
    <row r="4338" spans="2:6" ht="13.8" hidden="1" outlineLevel="1">
      <c r="B4338" s="187">
        <v>28678</v>
      </c>
      <c r="C4338" s="188">
        <v>8.66</v>
      </c>
      <c r="D4338" s="104">
        <f t="shared" si="67"/>
        <v>8.6599999999999996E-2</v>
      </c>
      <c r="F4338" s="5"/>
    </row>
    <row r="4339" spans="2:6" ht="13.8" hidden="1" outlineLevel="1">
      <c r="B4339" s="187">
        <v>28681</v>
      </c>
      <c r="C4339" s="188">
        <v>8.68</v>
      </c>
      <c r="D4339" s="104">
        <f t="shared" si="67"/>
        <v>8.6800000000000002E-2</v>
      </c>
      <c r="F4339" s="5"/>
    </row>
    <row r="4340" spans="2:6" ht="13.8" hidden="1" outlineLevel="1">
      <c r="B4340" s="187">
        <v>28682</v>
      </c>
      <c r="C4340" s="188">
        <v>8.68</v>
      </c>
      <c r="D4340" s="104">
        <f t="shared" si="67"/>
        <v>8.6800000000000002E-2</v>
      </c>
      <c r="F4340" s="5"/>
    </row>
    <row r="4341" spans="2:6" ht="13.8" hidden="1" outlineLevel="1">
      <c r="B4341" s="187">
        <v>28683</v>
      </c>
      <c r="C4341" s="188">
        <v>8.67</v>
      </c>
      <c r="D4341" s="104">
        <f t="shared" si="67"/>
        <v>8.6699999999999999E-2</v>
      </c>
      <c r="F4341" s="5"/>
    </row>
    <row r="4342" spans="2:6" ht="13.8" hidden="1" outlineLevel="1">
      <c r="B4342" s="187">
        <v>28684</v>
      </c>
      <c r="C4342" s="188">
        <v>8.68</v>
      </c>
      <c r="D4342" s="104">
        <f t="shared" si="67"/>
        <v>8.6800000000000002E-2</v>
      </c>
      <c r="F4342" s="5"/>
    </row>
    <row r="4343" spans="2:6" ht="13.8" hidden="1" outlineLevel="1">
      <c r="B4343" s="187">
        <v>28685</v>
      </c>
      <c r="C4343" s="188">
        <v>8.68</v>
      </c>
      <c r="D4343" s="104">
        <f t="shared" si="67"/>
        <v>8.6800000000000002E-2</v>
      </c>
      <c r="F4343" s="5"/>
    </row>
    <row r="4344" spans="2:6" ht="13.8" hidden="1" outlineLevel="1">
      <c r="B4344" s="187">
        <v>28688</v>
      </c>
      <c r="C4344" s="188">
        <v>8.65</v>
      </c>
      <c r="D4344" s="104">
        <f t="shared" si="67"/>
        <v>8.6500000000000007E-2</v>
      </c>
      <c r="F4344" s="5"/>
    </row>
    <row r="4345" spans="2:6" ht="13.8" hidden="1" outlineLevel="1">
      <c r="B4345" s="187">
        <v>28689</v>
      </c>
      <c r="C4345" s="188">
        <v>8.6300000000000008</v>
      </c>
      <c r="D4345" s="104">
        <f t="shared" si="67"/>
        <v>8.6300000000000002E-2</v>
      </c>
      <c r="F4345" s="5"/>
    </row>
    <row r="4346" spans="2:6" ht="13.8" hidden="1" outlineLevel="1">
      <c r="B4346" s="187">
        <v>28690</v>
      </c>
      <c r="C4346" s="188">
        <v>8.6199999999999992</v>
      </c>
      <c r="D4346" s="104">
        <f t="shared" si="67"/>
        <v>8.6199999999999999E-2</v>
      </c>
      <c r="F4346" s="5"/>
    </row>
    <row r="4347" spans="2:6" ht="13.8" hidden="1" outlineLevel="1">
      <c r="B4347" s="187">
        <v>28691</v>
      </c>
      <c r="C4347" s="188">
        <v>8.66</v>
      </c>
      <c r="D4347" s="104">
        <f t="shared" si="67"/>
        <v>8.6599999999999996E-2</v>
      </c>
      <c r="F4347" s="5"/>
    </row>
    <row r="4348" spans="2:6" ht="13.8" hidden="1" outlineLevel="1">
      <c r="B4348" s="187">
        <v>28692</v>
      </c>
      <c r="C4348" s="188">
        <v>8.67</v>
      </c>
      <c r="D4348" s="104">
        <f t="shared" si="67"/>
        <v>8.6699999999999999E-2</v>
      </c>
      <c r="F4348" s="5"/>
    </row>
    <row r="4349" spans="2:6" ht="13.8" hidden="1" outlineLevel="1">
      <c r="B4349" s="187">
        <v>28695</v>
      </c>
      <c r="C4349" s="188">
        <v>8.67</v>
      </c>
      <c r="D4349" s="104">
        <f t="shared" si="67"/>
        <v>8.6699999999999999E-2</v>
      </c>
      <c r="F4349" s="5"/>
    </row>
    <row r="4350" spans="2:6" ht="13.8" hidden="1" outlineLevel="1">
      <c r="B4350" s="187">
        <v>28696</v>
      </c>
      <c r="C4350" s="188">
        <v>8.67</v>
      </c>
      <c r="D4350" s="104">
        <f t="shared" si="67"/>
        <v>8.6699999999999999E-2</v>
      </c>
      <c r="F4350" s="5"/>
    </row>
    <row r="4351" spans="2:6" ht="13.8" hidden="1" outlineLevel="1">
      <c r="B4351" s="187">
        <v>28697</v>
      </c>
      <c r="C4351" s="188">
        <v>8.66</v>
      </c>
      <c r="D4351" s="104">
        <f t="shared" si="67"/>
        <v>8.6599999999999996E-2</v>
      </c>
      <c r="F4351" s="5"/>
    </row>
    <row r="4352" spans="2:6" ht="13.8" hidden="1" outlineLevel="1">
      <c r="B4352" s="187">
        <v>28698</v>
      </c>
      <c r="C4352" s="188">
        <v>8.58</v>
      </c>
      <c r="D4352" s="104">
        <f t="shared" si="67"/>
        <v>8.5800000000000001E-2</v>
      </c>
      <c r="F4352" s="5"/>
    </row>
    <row r="4353" spans="2:6" ht="13.8" hidden="1" outlineLevel="1">
      <c r="B4353" s="187">
        <v>28699</v>
      </c>
      <c r="C4353" s="188">
        <v>8.5500000000000007</v>
      </c>
      <c r="D4353" s="104">
        <f t="shared" si="67"/>
        <v>8.5500000000000007E-2</v>
      </c>
      <c r="F4353" s="5"/>
    </row>
    <row r="4354" spans="2:6" ht="13.8" hidden="1" outlineLevel="1">
      <c r="B4354" s="187">
        <v>28702</v>
      </c>
      <c r="C4354" s="188">
        <v>8.56</v>
      </c>
      <c r="D4354" s="104">
        <f t="shared" si="67"/>
        <v>8.5600000000000009E-2</v>
      </c>
      <c r="F4354" s="5"/>
    </row>
    <row r="4355" spans="2:6" ht="13.8" hidden="1" outlineLevel="1">
      <c r="B4355" s="187">
        <v>28703</v>
      </c>
      <c r="C4355" s="188">
        <v>8.5399999999999991</v>
      </c>
      <c r="D4355" s="104">
        <f t="shared" si="67"/>
        <v>8.539999999999999E-2</v>
      </c>
      <c r="F4355" s="5"/>
    </row>
    <row r="4356" spans="2:6" ht="13.8" hidden="1" outlineLevel="1">
      <c r="B4356" s="187">
        <v>28704</v>
      </c>
      <c r="C4356" s="188">
        <v>8.44</v>
      </c>
      <c r="D4356" s="104">
        <f t="shared" si="67"/>
        <v>8.4399999999999989E-2</v>
      </c>
      <c r="F4356" s="5"/>
    </row>
    <row r="4357" spans="2:6" ht="13.8" hidden="1" outlineLevel="1">
      <c r="B4357" s="187">
        <v>28705</v>
      </c>
      <c r="C4357" s="188">
        <v>8.39</v>
      </c>
      <c r="D4357" s="104">
        <f t="shared" si="67"/>
        <v>8.3900000000000002E-2</v>
      </c>
      <c r="F4357" s="5"/>
    </row>
    <row r="4358" spans="2:6" ht="13.8" hidden="1" outlineLevel="1">
      <c r="B4358" s="187">
        <v>28706</v>
      </c>
      <c r="C4358" s="188">
        <v>8.3800000000000008</v>
      </c>
      <c r="D4358" s="104">
        <f t="shared" si="67"/>
        <v>8.3800000000000013E-2</v>
      </c>
      <c r="F4358" s="5"/>
    </row>
    <row r="4359" spans="2:6" ht="13.8" hidden="1" outlineLevel="1">
      <c r="B4359" s="187">
        <v>28709</v>
      </c>
      <c r="C4359" s="188">
        <v>8.36</v>
      </c>
      <c r="D4359" s="104">
        <f t="shared" si="67"/>
        <v>8.3599999999999994E-2</v>
      </c>
      <c r="F4359" s="5"/>
    </row>
    <row r="4360" spans="2:6" ht="13.8" hidden="1" outlineLevel="1">
      <c r="B4360" s="187">
        <v>28710</v>
      </c>
      <c r="C4360" s="188">
        <v>8.35</v>
      </c>
      <c r="D4360" s="104">
        <f t="shared" si="67"/>
        <v>8.3499999999999991E-2</v>
      </c>
      <c r="F4360" s="5"/>
    </row>
    <row r="4361" spans="2:6" ht="13.8" hidden="1" outlineLevel="1">
      <c r="B4361" s="187">
        <v>28711</v>
      </c>
      <c r="C4361" s="188">
        <v>8.34</v>
      </c>
      <c r="D4361" s="104">
        <f t="shared" si="67"/>
        <v>8.3400000000000002E-2</v>
      </c>
      <c r="F4361" s="5"/>
    </row>
    <row r="4362" spans="2:6" ht="13.8" hidden="1" outlineLevel="1">
      <c r="B4362" s="187">
        <v>28712</v>
      </c>
      <c r="C4362" s="188">
        <v>8.4499999999999993</v>
      </c>
      <c r="D4362" s="104">
        <f t="shared" si="67"/>
        <v>8.4499999999999992E-2</v>
      </c>
      <c r="F4362" s="5"/>
    </row>
    <row r="4363" spans="2:6" ht="13.8" hidden="1" outlineLevel="1">
      <c r="B4363" s="187">
        <v>28713</v>
      </c>
      <c r="C4363" s="188">
        <v>8.44</v>
      </c>
      <c r="D4363" s="104">
        <f t="shared" si="67"/>
        <v>8.4399999999999989E-2</v>
      </c>
      <c r="F4363" s="5"/>
    </row>
    <row r="4364" spans="2:6" ht="13.8" hidden="1" outlineLevel="1">
      <c r="B4364" s="187">
        <v>28716</v>
      </c>
      <c r="C4364" s="188">
        <v>8.4499999999999993</v>
      </c>
      <c r="D4364" s="104">
        <f t="shared" si="67"/>
        <v>8.4499999999999992E-2</v>
      </c>
      <c r="F4364" s="5"/>
    </row>
    <row r="4365" spans="2:6" ht="13.8" hidden="1" outlineLevel="1">
      <c r="B4365" s="187">
        <v>28717</v>
      </c>
      <c r="C4365" s="188">
        <v>8.4600000000000009</v>
      </c>
      <c r="D4365" s="104">
        <f t="shared" si="67"/>
        <v>8.4600000000000009E-2</v>
      </c>
      <c r="F4365" s="5"/>
    </row>
    <row r="4366" spans="2:6" ht="13.8" hidden="1" outlineLevel="1">
      <c r="B4366" s="187">
        <v>28718</v>
      </c>
      <c r="C4366" s="188">
        <v>8.5500000000000007</v>
      </c>
      <c r="D4366" s="104">
        <f t="shared" si="67"/>
        <v>8.5500000000000007E-2</v>
      </c>
      <c r="F4366" s="5"/>
    </row>
    <row r="4367" spans="2:6" ht="13.8" hidden="1" outlineLevel="1">
      <c r="B4367" s="187">
        <v>28719</v>
      </c>
      <c r="C4367" s="188">
        <v>8.48</v>
      </c>
      <c r="D4367" s="104">
        <f t="shared" si="67"/>
        <v>8.48E-2</v>
      </c>
      <c r="F4367" s="5"/>
    </row>
    <row r="4368" spans="2:6" ht="13.8" hidden="1" outlineLevel="1">
      <c r="B4368" s="187">
        <v>28720</v>
      </c>
      <c r="C4368" s="188">
        <v>8.4600000000000009</v>
      </c>
      <c r="D4368" s="104">
        <f t="shared" si="67"/>
        <v>8.4600000000000009E-2</v>
      </c>
      <c r="F4368" s="5"/>
    </row>
    <row r="4369" spans="2:6" ht="13.8" hidden="1" outlineLevel="1">
      <c r="B4369" s="187">
        <v>28723</v>
      </c>
      <c r="C4369" s="188">
        <v>8.41</v>
      </c>
      <c r="D4369" s="104">
        <f t="shared" si="67"/>
        <v>8.4100000000000008E-2</v>
      </c>
      <c r="F4369" s="5"/>
    </row>
    <row r="4370" spans="2:6" ht="13.8" hidden="1" outlineLevel="1">
      <c r="B4370" s="187">
        <v>28724</v>
      </c>
      <c r="C4370" s="188">
        <v>8.41</v>
      </c>
      <c r="D4370" s="104">
        <f t="shared" si="67"/>
        <v>8.4100000000000008E-2</v>
      </c>
      <c r="F4370" s="5"/>
    </row>
    <row r="4371" spans="2:6" ht="13.8" hidden="1" outlineLevel="1">
      <c r="B4371" s="187">
        <v>28725</v>
      </c>
      <c r="C4371" s="188">
        <v>8.32</v>
      </c>
      <c r="D4371" s="104">
        <f t="shared" si="67"/>
        <v>8.3199999999999996E-2</v>
      </c>
      <c r="F4371" s="5"/>
    </row>
    <row r="4372" spans="2:6" ht="13.8" hidden="1" outlineLevel="1">
      <c r="B4372" s="187">
        <v>28726</v>
      </c>
      <c r="C4372" s="188">
        <v>8.35</v>
      </c>
      <c r="D4372" s="104">
        <f t="shared" si="67"/>
        <v>8.3499999999999991E-2</v>
      </c>
      <c r="F4372" s="5"/>
    </row>
    <row r="4373" spans="2:6" ht="13.8" hidden="1" outlineLevel="1">
      <c r="B4373" s="187">
        <v>28727</v>
      </c>
      <c r="C4373" s="188">
        <v>8.34</v>
      </c>
      <c r="D4373" s="104">
        <f t="shared" si="67"/>
        <v>8.3400000000000002E-2</v>
      </c>
      <c r="F4373" s="5"/>
    </row>
    <row r="4374" spans="2:6" ht="13.8" hidden="1" outlineLevel="1">
      <c r="B4374" s="187">
        <v>28730</v>
      </c>
      <c r="C4374" s="188">
        <v>8.35</v>
      </c>
      <c r="D4374" s="104">
        <f t="shared" si="67"/>
        <v>8.3499999999999991E-2</v>
      </c>
      <c r="F4374" s="5"/>
    </row>
    <row r="4375" spans="2:6" ht="13.8" hidden="1" outlineLevel="1">
      <c r="B4375" s="187">
        <v>28731</v>
      </c>
      <c r="C4375" s="188">
        <v>8.3699999999999992</v>
      </c>
      <c r="D4375" s="104">
        <f t="shared" si="67"/>
        <v>8.3699999999999997E-2</v>
      </c>
      <c r="F4375" s="5"/>
    </row>
    <row r="4376" spans="2:6" ht="13.8" hidden="1" outlineLevel="1">
      <c r="B4376" s="187">
        <v>28732</v>
      </c>
      <c r="C4376" s="188">
        <v>8.42</v>
      </c>
      <c r="D4376" s="104">
        <f t="shared" si="67"/>
        <v>8.4199999999999997E-2</v>
      </c>
      <c r="F4376" s="5"/>
    </row>
    <row r="4377" spans="2:6" ht="13.8" hidden="1" outlineLevel="1">
      <c r="B4377" s="187">
        <v>28733</v>
      </c>
      <c r="C4377" s="188">
        <v>8.39</v>
      </c>
      <c r="D4377" s="104">
        <f t="shared" si="67"/>
        <v>8.3900000000000002E-2</v>
      </c>
      <c r="F4377" s="5"/>
    </row>
    <row r="4378" spans="2:6" ht="13.8" hidden="1" outlineLevel="1">
      <c r="B4378" s="187">
        <v>28734</v>
      </c>
      <c r="C4378" s="188">
        <v>8.3800000000000008</v>
      </c>
      <c r="D4378" s="104">
        <f t="shared" si="67"/>
        <v>8.3800000000000013E-2</v>
      </c>
      <c r="F4378" s="5"/>
    </row>
    <row r="4379" spans="2:6" ht="13.8" hidden="1" outlineLevel="1">
      <c r="B4379" s="187">
        <v>28737</v>
      </c>
      <c r="C4379" s="188" t="s">
        <v>380</v>
      </c>
      <c r="D4379" s="104">
        <f t="shared" si="67"/>
        <v>8.3800000000000013E-2</v>
      </c>
      <c r="F4379" s="5"/>
    </row>
    <row r="4380" spans="2:6" ht="13.8" hidden="1" outlineLevel="1">
      <c r="B4380" s="187">
        <v>28738</v>
      </c>
      <c r="C4380" s="188">
        <v>8.34</v>
      </c>
      <c r="D4380" s="104">
        <f t="shared" si="67"/>
        <v>8.3400000000000002E-2</v>
      </c>
      <c r="F4380" s="5"/>
    </row>
    <row r="4381" spans="2:6" ht="13.8" hidden="1" outlineLevel="1">
      <c r="B4381" s="187">
        <v>28739</v>
      </c>
      <c r="C4381" s="188">
        <v>8.35</v>
      </c>
      <c r="D4381" s="104">
        <f t="shared" si="67"/>
        <v>8.3499999999999991E-2</v>
      </c>
      <c r="F4381" s="5"/>
    </row>
    <row r="4382" spans="2:6" ht="13.8" hidden="1" outlineLevel="1">
      <c r="B4382" s="187">
        <v>28740</v>
      </c>
      <c r="C4382" s="188">
        <v>8.34</v>
      </c>
      <c r="D4382" s="104">
        <f t="shared" ref="D4382:D4445" si="68">IF( LEN( C4382 ) = 0, #N/A, IF( C4382 = "ND", D4381, C4382 / 100 ) )</f>
        <v>8.3400000000000002E-2</v>
      </c>
      <c r="F4382" s="5"/>
    </row>
    <row r="4383" spans="2:6" ht="13.8" hidden="1" outlineLevel="1">
      <c r="B4383" s="187">
        <v>28741</v>
      </c>
      <c r="C4383" s="188">
        <v>8.34</v>
      </c>
      <c r="D4383" s="104">
        <f t="shared" si="68"/>
        <v>8.3400000000000002E-2</v>
      </c>
      <c r="F4383" s="5"/>
    </row>
    <row r="4384" spans="2:6" ht="13.8" hidden="1" outlineLevel="1">
      <c r="B4384" s="187">
        <v>28744</v>
      </c>
      <c r="C4384" s="188">
        <v>8.31</v>
      </c>
      <c r="D4384" s="104">
        <f t="shared" si="68"/>
        <v>8.3100000000000007E-2</v>
      </c>
      <c r="F4384" s="5"/>
    </row>
    <row r="4385" spans="2:6" ht="13.8" hidden="1" outlineLevel="1">
      <c r="B4385" s="187">
        <v>28745</v>
      </c>
      <c r="C4385" s="188">
        <v>8.2899999999999991</v>
      </c>
      <c r="D4385" s="104">
        <f t="shared" si="68"/>
        <v>8.2899999999999988E-2</v>
      </c>
      <c r="F4385" s="5"/>
    </row>
    <row r="4386" spans="2:6" ht="13.8" hidden="1" outlineLevel="1">
      <c r="B4386" s="187">
        <v>28746</v>
      </c>
      <c r="C4386" s="188">
        <v>8.3000000000000007</v>
      </c>
      <c r="D4386" s="104">
        <f t="shared" si="68"/>
        <v>8.3000000000000004E-2</v>
      </c>
      <c r="F4386" s="5"/>
    </row>
    <row r="4387" spans="2:6" ht="13.8" hidden="1" outlineLevel="1">
      <c r="B4387" s="187">
        <v>28747</v>
      </c>
      <c r="C4387" s="188">
        <v>8.32</v>
      </c>
      <c r="D4387" s="104">
        <f t="shared" si="68"/>
        <v>8.3199999999999996E-2</v>
      </c>
      <c r="F4387" s="5"/>
    </row>
    <row r="4388" spans="2:6" ht="13.8" hidden="1" outlineLevel="1">
      <c r="B4388" s="187">
        <v>28748</v>
      </c>
      <c r="C4388" s="188">
        <v>8.35</v>
      </c>
      <c r="D4388" s="104">
        <f t="shared" si="68"/>
        <v>8.3499999999999991E-2</v>
      </c>
      <c r="F4388" s="5"/>
    </row>
    <row r="4389" spans="2:6" ht="13.8" hidden="1" outlineLevel="1">
      <c r="B4389" s="187">
        <v>28751</v>
      </c>
      <c r="C4389" s="188">
        <v>8.3699999999999992</v>
      </c>
      <c r="D4389" s="104">
        <f t="shared" si="68"/>
        <v>8.3699999999999997E-2</v>
      </c>
      <c r="F4389" s="5"/>
    </row>
    <row r="4390" spans="2:6" ht="13.8" hidden="1" outlineLevel="1">
      <c r="B4390" s="187">
        <v>28752</v>
      </c>
      <c r="C4390" s="188">
        <v>8.3800000000000008</v>
      </c>
      <c r="D4390" s="104">
        <f t="shared" si="68"/>
        <v>8.3800000000000013E-2</v>
      </c>
      <c r="F4390" s="5"/>
    </row>
    <row r="4391" spans="2:6" ht="13.8" hidden="1" outlineLevel="1">
      <c r="B4391" s="187">
        <v>28753</v>
      </c>
      <c r="C4391" s="188">
        <v>8.4600000000000009</v>
      </c>
      <c r="D4391" s="104">
        <f t="shared" si="68"/>
        <v>8.4600000000000009E-2</v>
      </c>
      <c r="F4391" s="5"/>
    </row>
    <row r="4392" spans="2:6" ht="13.8" hidden="1" outlineLevel="1">
      <c r="B4392" s="187">
        <v>28754</v>
      </c>
      <c r="C4392" s="188">
        <v>8.51</v>
      </c>
      <c r="D4392" s="104">
        <f t="shared" si="68"/>
        <v>8.5099999999999995E-2</v>
      </c>
      <c r="F4392" s="5"/>
    </row>
    <row r="4393" spans="2:6" ht="13.8" hidden="1" outlineLevel="1">
      <c r="B4393" s="187">
        <v>28755</v>
      </c>
      <c r="C4393" s="188">
        <v>8.56</v>
      </c>
      <c r="D4393" s="104">
        <f t="shared" si="68"/>
        <v>8.5600000000000009E-2</v>
      </c>
      <c r="F4393" s="5"/>
    </row>
    <row r="4394" spans="2:6" ht="13.8" hidden="1" outlineLevel="1">
      <c r="B4394" s="187">
        <v>28758</v>
      </c>
      <c r="C4394" s="188">
        <v>8.56</v>
      </c>
      <c r="D4394" s="104">
        <f t="shared" si="68"/>
        <v>8.5600000000000009E-2</v>
      </c>
      <c r="F4394" s="5"/>
    </row>
    <row r="4395" spans="2:6" ht="13.8" hidden="1" outlineLevel="1">
      <c r="B4395" s="187">
        <v>28759</v>
      </c>
      <c r="C4395" s="188">
        <v>8.5299999999999994</v>
      </c>
      <c r="D4395" s="104">
        <f t="shared" si="68"/>
        <v>8.5299999999999987E-2</v>
      </c>
      <c r="F4395" s="5"/>
    </row>
    <row r="4396" spans="2:6" ht="13.8" hidden="1" outlineLevel="1">
      <c r="B4396" s="187">
        <v>28760</v>
      </c>
      <c r="C4396" s="188">
        <v>8.5399999999999991</v>
      </c>
      <c r="D4396" s="104">
        <f t="shared" si="68"/>
        <v>8.539999999999999E-2</v>
      </c>
      <c r="F4396" s="5"/>
    </row>
    <row r="4397" spans="2:6" ht="13.8" hidden="1" outlineLevel="1">
      <c r="B4397" s="187">
        <v>28761</v>
      </c>
      <c r="C4397" s="188">
        <v>8.5399999999999991</v>
      </c>
      <c r="D4397" s="104">
        <f t="shared" si="68"/>
        <v>8.539999999999999E-2</v>
      </c>
      <c r="F4397" s="5"/>
    </row>
    <row r="4398" spans="2:6" ht="13.8" hidden="1" outlineLevel="1">
      <c r="B4398" s="187">
        <v>28762</v>
      </c>
      <c r="C4398" s="188">
        <v>8.56</v>
      </c>
      <c r="D4398" s="104">
        <f t="shared" si="68"/>
        <v>8.5600000000000009E-2</v>
      </c>
      <c r="F4398" s="5"/>
    </row>
    <row r="4399" spans="2:6" ht="13.8" hidden="1" outlineLevel="1">
      <c r="B4399" s="187">
        <v>28765</v>
      </c>
      <c r="C4399" s="188">
        <v>8.58</v>
      </c>
      <c r="D4399" s="104">
        <f t="shared" si="68"/>
        <v>8.5800000000000001E-2</v>
      </c>
      <c r="F4399" s="5"/>
    </row>
    <row r="4400" spans="2:6" ht="13.8" hidden="1" outlineLevel="1">
      <c r="B4400" s="187">
        <v>28766</v>
      </c>
      <c r="C4400" s="188">
        <v>8.57</v>
      </c>
      <c r="D4400" s="104">
        <f t="shared" si="68"/>
        <v>8.5699999999999998E-2</v>
      </c>
      <c r="F4400" s="5"/>
    </row>
    <row r="4401" spans="2:6" ht="13.8" hidden="1" outlineLevel="1">
      <c r="B4401" s="187">
        <v>28767</v>
      </c>
      <c r="C4401" s="188">
        <v>8.59</v>
      </c>
      <c r="D4401" s="104">
        <f t="shared" si="68"/>
        <v>8.5900000000000004E-2</v>
      </c>
      <c r="F4401" s="5"/>
    </row>
    <row r="4402" spans="2:6" ht="13.8" hidden="1" outlineLevel="1">
      <c r="B4402" s="187">
        <v>28768</v>
      </c>
      <c r="C4402" s="188">
        <v>8.6</v>
      </c>
      <c r="D4402" s="104">
        <f t="shared" si="68"/>
        <v>8.5999999999999993E-2</v>
      </c>
      <c r="F4402" s="5"/>
    </row>
    <row r="4403" spans="2:6" ht="13.8" hidden="1" outlineLevel="1">
      <c r="B4403" s="187">
        <v>28769</v>
      </c>
      <c r="C4403" s="188">
        <v>8.58</v>
      </c>
      <c r="D4403" s="104">
        <f t="shared" si="68"/>
        <v>8.5800000000000001E-2</v>
      </c>
      <c r="F4403" s="5"/>
    </row>
    <row r="4404" spans="2:6" ht="13.8" hidden="1" outlineLevel="1">
      <c r="B4404" s="187">
        <v>28772</v>
      </c>
      <c r="C4404" s="188" t="s">
        <v>380</v>
      </c>
      <c r="D4404" s="104">
        <f t="shared" si="68"/>
        <v>8.5800000000000001E-2</v>
      </c>
      <c r="F4404" s="5"/>
    </row>
    <row r="4405" spans="2:6" ht="13.8" hidden="1" outlineLevel="1">
      <c r="B4405" s="187">
        <v>28773</v>
      </c>
      <c r="C4405" s="188">
        <v>8.58</v>
      </c>
      <c r="D4405" s="104">
        <f t="shared" si="68"/>
        <v>8.5800000000000001E-2</v>
      </c>
      <c r="F4405" s="5"/>
    </row>
    <row r="4406" spans="2:6" ht="13.8" hidden="1" outlineLevel="1">
      <c r="B4406" s="187">
        <v>28774</v>
      </c>
      <c r="C4406" s="188">
        <v>8.56</v>
      </c>
      <c r="D4406" s="104">
        <f t="shared" si="68"/>
        <v>8.5600000000000009E-2</v>
      </c>
      <c r="F4406" s="5"/>
    </row>
    <row r="4407" spans="2:6" ht="13.8" hidden="1" outlineLevel="1">
      <c r="B4407" s="187">
        <v>28775</v>
      </c>
      <c r="C4407" s="188">
        <v>8.51</v>
      </c>
      <c r="D4407" s="104">
        <f t="shared" si="68"/>
        <v>8.5099999999999995E-2</v>
      </c>
      <c r="F4407" s="5"/>
    </row>
    <row r="4408" spans="2:6" ht="13.8" hidden="1" outlineLevel="1">
      <c r="B4408" s="187">
        <v>28776</v>
      </c>
      <c r="C4408" s="188">
        <v>8.52</v>
      </c>
      <c r="D4408" s="104">
        <f t="shared" si="68"/>
        <v>8.5199999999999998E-2</v>
      </c>
      <c r="F4408" s="5"/>
    </row>
    <row r="4409" spans="2:6" ht="13.8" hidden="1" outlineLevel="1">
      <c r="B4409" s="187">
        <v>28779</v>
      </c>
      <c r="C4409" s="188">
        <v>8.59</v>
      </c>
      <c r="D4409" s="104">
        <f t="shared" si="68"/>
        <v>8.5900000000000004E-2</v>
      </c>
      <c r="F4409" s="5"/>
    </row>
    <row r="4410" spans="2:6" ht="13.8" hidden="1" outlineLevel="1">
      <c r="B4410" s="187">
        <v>28780</v>
      </c>
      <c r="C4410" s="188">
        <v>8.6</v>
      </c>
      <c r="D4410" s="104">
        <f t="shared" si="68"/>
        <v>8.5999999999999993E-2</v>
      </c>
      <c r="F4410" s="5"/>
    </row>
    <row r="4411" spans="2:6" ht="13.8" hidden="1" outlineLevel="1">
      <c r="B4411" s="187">
        <v>28781</v>
      </c>
      <c r="C4411" s="188">
        <v>8.6199999999999992</v>
      </c>
      <c r="D4411" s="104">
        <f t="shared" si="68"/>
        <v>8.6199999999999999E-2</v>
      </c>
      <c r="F4411" s="5"/>
    </row>
    <row r="4412" spans="2:6" ht="13.8" hidden="1" outlineLevel="1">
      <c r="B4412" s="187">
        <v>28782</v>
      </c>
      <c r="C4412" s="188">
        <v>8.64</v>
      </c>
      <c r="D4412" s="104">
        <f t="shared" si="68"/>
        <v>8.6400000000000005E-2</v>
      </c>
      <c r="F4412" s="5"/>
    </row>
    <row r="4413" spans="2:6" ht="13.8" hidden="1" outlineLevel="1">
      <c r="B4413" s="187">
        <v>28783</v>
      </c>
      <c r="C4413" s="188">
        <v>8.66</v>
      </c>
      <c r="D4413" s="104">
        <f t="shared" si="68"/>
        <v>8.6599999999999996E-2</v>
      </c>
      <c r="F4413" s="5"/>
    </row>
    <row r="4414" spans="2:6" ht="13.8" hidden="1" outlineLevel="1">
      <c r="B4414" s="187">
        <v>28786</v>
      </c>
      <c r="C4414" s="188">
        <v>8.66</v>
      </c>
      <c r="D4414" s="104">
        <f t="shared" si="68"/>
        <v>8.6599999999999996E-2</v>
      </c>
      <c r="F4414" s="5"/>
    </row>
    <row r="4415" spans="2:6" ht="13.8" hidden="1" outlineLevel="1">
      <c r="B4415" s="187">
        <v>28787</v>
      </c>
      <c r="C4415" s="188">
        <v>8.64</v>
      </c>
      <c r="D4415" s="104">
        <f t="shared" si="68"/>
        <v>8.6400000000000005E-2</v>
      </c>
      <c r="F4415" s="5"/>
    </row>
    <row r="4416" spans="2:6" ht="13.8" hidden="1" outlineLevel="1">
      <c r="B4416" s="187">
        <v>28788</v>
      </c>
      <c r="C4416" s="188">
        <v>8.65</v>
      </c>
      <c r="D4416" s="104">
        <f t="shared" si="68"/>
        <v>8.6500000000000007E-2</v>
      </c>
      <c r="F4416" s="5"/>
    </row>
    <row r="4417" spans="2:6" ht="13.8" hidden="1" outlineLevel="1">
      <c r="B4417" s="187">
        <v>28789</v>
      </c>
      <c r="C4417" s="188">
        <v>8.7200000000000006</v>
      </c>
      <c r="D4417" s="104">
        <f t="shared" si="68"/>
        <v>8.72E-2</v>
      </c>
      <c r="F4417" s="5"/>
    </row>
    <row r="4418" spans="2:6" ht="13.8" hidden="1" outlineLevel="1">
      <c r="B4418" s="187">
        <v>28790</v>
      </c>
      <c r="C4418" s="188">
        <v>8.7799999999999994</v>
      </c>
      <c r="D4418" s="104">
        <f t="shared" si="68"/>
        <v>8.7799999999999989E-2</v>
      </c>
      <c r="F4418" s="5"/>
    </row>
    <row r="4419" spans="2:6" ht="13.8" hidden="1" outlineLevel="1">
      <c r="B4419" s="187">
        <v>28793</v>
      </c>
      <c r="C4419" s="188">
        <v>8.8800000000000008</v>
      </c>
      <c r="D4419" s="104">
        <f t="shared" si="68"/>
        <v>8.8800000000000004E-2</v>
      </c>
      <c r="F4419" s="5"/>
    </row>
    <row r="4420" spans="2:6" ht="13.8" hidden="1" outlineLevel="1">
      <c r="B4420" s="187">
        <v>28794</v>
      </c>
      <c r="C4420" s="188">
        <v>8.9600000000000009</v>
      </c>
      <c r="D4420" s="104">
        <f t="shared" si="68"/>
        <v>8.9600000000000013E-2</v>
      </c>
      <c r="F4420" s="5"/>
    </row>
    <row r="4421" spans="2:6" ht="13.8" hidden="1" outlineLevel="1">
      <c r="B4421" s="187">
        <v>28795</v>
      </c>
      <c r="C4421" s="188">
        <v>8.66</v>
      </c>
      <c r="D4421" s="104">
        <f t="shared" si="68"/>
        <v>8.6599999999999996E-2</v>
      </c>
      <c r="F4421" s="5"/>
    </row>
    <row r="4422" spans="2:6" ht="13.8" hidden="1" outlineLevel="1">
      <c r="B4422" s="187">
        <v>28796</v>
      </c>
      <c r="C4422" s="188">
        <v>8.73</v>
      </c>
      <c r="D4422" s="104">
        <f t="shared" si="68"/>
        <v>8.7300000000000003E-2</v>
      </c>
      <c r="F4422" s="5"/>
    </row>
    <row r="4423" spans="2:6" ht="13.8" hidden="1" outlineLevel="1">
      <c r="B4423" s="187">
        <v>28797</v>
      </c>
      <c r="C4423" s="188">
        <v>8.86</v>
      </c>
      <c r="D4423" s="104">
        <f t="shared" si="68"/>
        <v>8.8599999999999998E-2</v>
      </c>
      <c r="F4423" s="5"/>
    </row>
    <row r="4424" spans="2:6" ht="13.8" hidden="1" outlineLevel="1">
      <c r="B4424" s="187">
        <v>28800</v>
      </c>
      <c r="C4424" s="188">
        <v>8.85</v>
      </c>
      <c r="D4424" s="104">
        <f t="shared" si="68"/>
        <v>8.8499999999999995E-2</v>
      </c>
      <c r="F4424" s="5"/>
    </row>
    <row r="4425" spans="2:6" ht="13.8" hidden="1" outlineLevel="1">
      <c r="B4425" s="187">
        <v>28801</v>
      </c>
      <c r="C4425" s="188" t="s">
        <v>380</v>
      </c>
      <c r="D4425" s="104">
        <f t="shared" si="68"/>
        <v>8.8499999999999995E-2</v>
      </c>
      <c r="F4425" s="5"/>
    </row>
    <row r="4426" spans="2:6" ht="13.8" hidden="1" outlineLevel="1">
      <c r="B4426" s="187">
        <v>28802</v>
      </c>
      <c r="C4426" s="188">
        <v>8.86</v>
      </c>
      <c r="D4426" s="104">
        <f t="shared" si="68"/>
        <v>8.8599999999999998E-2</v>
      </c>
      <c r="F4426" s="5"/>
    </row>
    <row r="4427" spans="2:6" ht="13.8" hidden="1" outlineLevel="1">
      <c r="B4427" s="187">
        <v>28803</v>
      </c>
      <c r="C4427" s="188">
        <v>8.8699999999999992</v>
      </c>
      <c r="D4427" s="104">
        <f t="shared" si="68"/>
        <v>8.8699999999999987E-2</v>
      </c>
      <c r="F4427" s="5"/>
    </row>
    <row r="4428" spans="2:6" ht="13.8" hidden="1" outlineLevel="1">
      <c r="B4428" s="187">
        <v>28804</v>
      </c>
      <c r="C4428" s="188">
        <v>8.86</v>
      </c>
      <c r="D4428" s="104">
        <f t="shared" si="68"/>
        <v>8.8599999999999998E-2</v>
      </c>
      <c r="F4428" s="5"/>
    </row>
    <row r="4429" spans="2:6" ht="13.8" hidden="1" outlineLevel="1">
      <c r="B4429" s="187">
        <v>28807</v>
      </c>
      <c r="C4429" s="188">
        <v>8.83</v>
      </c>
      <c r="D4429" s="104">
        <f t="shared" si="68"/>
        <v>8.8300000000000003E-2</v>
      </c>
      <c r="F4429" s="5"/>
    </row>
    <row r="4430" spans="2:6" ht="13.8" hidden="1" outlineLevel="1">
      <c r="B4430" s="187">
        <v>28808</v>
      </c>
      <c r="C4430" s="188">
        <v>8.82</v>
      </c>
      <c r="D4430" s="104">
        <f t="shared" si="68"/>
        <v>8.8200000000000001E-2</v>
      </c>
      <c r="F4430" s="5"/>
    </row>
    <row r="4431" spans="2:6" ht="13.8" hidden="1" outlineLevel="1">
      <c r="B4431" s="187">
        <v>28809</v>
      </c>
      <c r="C4431" s="188">
        <v>8.76</v>
      </c>
      <c r="D4431" s="104">
        <f t="shared" si="68"/>
        <v>8.7599999999999997E-2</v>
      </c>
      <c r="F4431" s="5"/>
    </row>
    <row r="4432" spans="2:6" ht="13.8" hidden="1" outlineLevel="1">
      <c r="B4432" s="187">
        <v>28810</v>
      </c>
      <c r="C4432" s="188">
        <v>8.7200000000000006</v>
      </c>
      <c r="D4432" s="104">
        <f t="shared" si="68"/>
        <v>8.72E-2</v>
      </c>
      <c r="F4432" s="5"/>
    </row>
    <row r="4433" spans="2:6" ht="13.8" hidden="1" outlineLevel="1">
      <c r="B4433" s="187">
        <v>28811</v>
      </c>
      <c r="C4433" s="188">
        <v>8.7200000000000006</v>
      </c>
      <c r="D4433" s="104">
        <f t="shared" si="68"/>
        <v>8.72E-2</v>
      </c>
      <c r="F4433" s="5"/>
    </row>
    <row r="4434" spans="2:6" ht="13.8" hidden="1" outlineLevel="1">
      <c r="B4434" s="187">
        <v>28814</v>
      </c>
      <c r="C4434" s="188">
        <v>8.7200000000000006</v>
      </c>
      <c r="D4434" s="104">
        <f t="shared" si="68"/>
        <v>8.72E-2</v>
      </c>
      <c r="F4434" s="5"/>
    </row>
    <row r="4435" spans="2:6" ht="13.8" hidden="1" outlineLevel="1">
      <c r="B4435" s="187">
        <v>28815</v>
      </c>
      <c r="C4435" s="188">
        <v>8.77</v>
      </c>
      <c r="D4435" s="104">
        <f t="shared" si="68"/>
        <v>8.77E-2</v>
      </c>
      <c r="F4435" s="5"/>
    </row>
    <row r="4436" spans="2:6" ht="13.8" hidden="1" outlineLevel="1">
      <c r="B4436" s="187">
        <v>28816</v>
      </c>
      <c r="C4436" s="188">
        <v>8.77</v>
      </c>
      <c r="D4436" s="104">
        <f t="shared" si="68"/>
        <v>8.77E-2</v>
      </c>
      <c r="F4436" s="5"/>
    </row>
    <row r="4437" spans="2:6" ht="13.8" hidden="1" outlineLevel="1">
      <c r="B4437" s="187">
        <v>28817</v>
      </c>
      <c r="C4437" s="188" t="s">
        <v>380</v>
      </c>
      <c r="D4437" s="104">
        <f t="shared" si="68"/>
        <v>8.77E-2</v>
      </c>
      <c r="F4437" s="5"/>
    </row>
    <row r="4438" spans="2:6" ht="13.8" hidden="1" outlineLevel="1">
      <c r="B4438" s="187">
        <v>28818</v>
      </c>
      <c r="C4438" s="188">
        <v>8.86</v>
      </c>
      <c r="D4438" s="104">
        <f t="shared" si="68"/>
        <v>8.8599999999999998E-2</v>
      </c>
      <c r="F4438" s="5"/>
    </row>
    <row r="4439" spans="2:6" ht="13.8" hidden="1" outlineLevel="1">
      <c r="B4439" s="187">
        <v>28821</v>
      </c>
      <c r="C4439" s="188">
        <v>8.86</v>
      </c>
      <c r="D4439" s="104">
        <f t="shared" si="68"/>
        <v>8.8599999999999998E-2</v>
      </c>
      <c r="F4439" s="5"/>
    </row>
    <row r="4440" spans="2:6" ht="13.8" hidden="1" outlineLevel="1">
      <c r="B4440" s="187">
        <v>28822</v>
      </c>
      <c r="C4440" s="188">
        <v>8.86</v>
      </c>
      <c r="D4440" s="104">
        <f t="shared" si="68"/>
        <v>8.8599999999999998E-2</v>
      </c>
      <c r="F4440" s="5"/>
    </row>
    <row r="4441" spans="2:6" ht="13.8" hidden="1" outlineLevel="1">
      <c r="B4441" s="187">
        <v>28823</v>
      </c>
      <c r="C4441" s="188">
        <v>8.86</v>
      </c>
      <c r="D4441" s="104">
        <f t="shared" si="68"/>
        <v>8.8599999999999998E-2</v>
      </c>
      <c r="F4441" s="5"/>
    </row>
    <row r="4442" spans="2:6" ht="13.8" hidden="1" outlineLevel="1">
      <c r="B4442" s="187">
        <v>28824</v>
      </c>
      <c r="C4442" s="188">
        <v>8.86</v>
      </c>
      <c r="D4442" s="104">
        <f t="shared" si="68"/>
        <v>8.8599999999999998E-2</v>
      </c>
      <c r="F4442" s="5"/>
    </row>
    <row r="4443" spans="2:6" ht="13.8" hidden="1" outlineLevel="1">
      <c r="B4443" s="187">
        <v>28825</v>
      </c>
      <c r="C4443" s="188">
        <v>8.8000000000000007</v>
      </c>
      <c r="D4443" s="104">
        <f t="shared" si="68"/>
        <v>8.8000000000000009E-2</v>
      </c>
      <c r="F4443" s="5"/>
    </row>
    <row r="4444" spans="2:6" ht="13.8" hidden="1" outlineLevel="1">
      <c r="B4444" s="187">
        <v>28828</v>
      </c>
      <c r="C4444" s="188">
        <v>8.82</v>
      </c>
      <c r="D4444" s="104">
        <f t="shared" si="68"/>
        <v>8.8200000000000001E-2</v>
      </c>
      <c r="F4444" s="5"/>
    </row>
    <row r="4445" spans="2:6" ht="13.8" hidden="1" outlineLevel="1">
      <c r="B4445" s="187">
        <v>28829</v>
      </c>
      <c r="C4445" s="188">
        <v>8.85</v>
      </c>
      <c r="D4445" s="104">
        <f t="shared" si="68"/>
        <v>8.8499999999999995E-2</v>
      </c>
      <c r="F4445" s="5"/>
    </row>
    <row r="4446" spans="2:6" ht="13.8" hidden="1" outlineLevel="1">
      <c r="B4446" s="187">
        <v>28830</v>
      </c>
      <c r="C4446" s="188">
        <v>8.85</v>
      </c>
      <c r="D4446" s="104">
        <f t="shared" ref="D4446:D4509" si="69">IF( LEN( C4446 ) = 0, #N/A, IF( C4446 = "ND", D4445, C4446 / 100 ) )</f>
        <v>8.8499999999999995E-2</v>
      </c>
      <c r="F4446" s="5"/>
    </row>
    <row r="4447" spans="2:6" ht="13.8" hidden="1" outlineLevel="1">
      <c r="B4447" s="187">
        <v>28831</v>
      </c>
      <c r="C4447" s="188">
        <v>8.89</v>
      </c>
      <c r="D4447" s="104">
        <f t="shared" si="69"/>
        <v>8.8900000000000007E-2</v>
      </c>
      <c r="F4447" s="5"/>
    </row>
    <row r="4448" spans="2:6" ht="13.8" hidden="1" outlineLevel="1">
      <c r="B4448" s="187">
        <v>28832</v>
      </c>
      <c r="C4448" s="188">
        <v>8.9</v>
      </c>
      <c r="D4448" s="104">
        <f t="shared" si="69"/>
        <v>8.900000000000001E-2</v>
      </c>
      <c r="F4448" s="5"/>
    </row>
    <row r="4449" spans="2:6" ht="13.8" hidden="1" outlineLevel="1">
      <c r="B4449" s="187">
        <v>28835</v>
      </c>
      <c r="C4449" s="188">
        <v>8.9</v>
      </c>
      <c r="D4449" s="104">
        <f t="shared" si="69"/>
        <v>8.900000000000001E-2</v>
      </c>
      <c r="F4449" s="5"/>
    </row>
    <row r="4450" spans="2:6" ht="13.8" hidden="1" outlineLevel="1">
      <c r="B4450" s="187">
        <v>28836</v>
      </c>
      <c r="C4450" s="188">
        <v>8.92</v>
      </c>
      <c r="D4450" s="104">
        <f t="shared" si="69"/>
        <v>8.9200000000000002E-2</v>
      </c>
      <c r="F4450" s="5"/>
    </row>
    <row r="4451" spans="2:6" ht="13.8" hidden="1" outlineLevel="1">
      <c r="B4451" s="187">
        <v>28837</v>
      </c>
      <c r="C4451" s="188">
        <v>8.98</v>
      </c>
      <c r="D4451" s="104">
        <f t="shared" si="69"/>
        <v>8.9800000000000005E-2</v>
      </c>
      <c r="F4451" s="5"/>
    </row>
    <row r="4452" spans="2:6" ht="13.8" hidden="1" outlineLevel="1">
      <c r="B4452" s="187">
        <v>28838</v>
      </c>
      <c r="C4452" s="188">
        <v>8.9600000000000009</v>
      </c>
      <c r="D4452" s="104">
        <f t="shared" si="69"/>
        <v>8.9600000000000013E-2</v>
      </c>
      <c r="F4452" s="5"/>
    </row>
    <row r="4453" spans="2:6" ht="13.8" hidden="1" outlineLevel="1">
      <c r="B4453" s="187">
        <v>28839</v>
      </c>
      <c r="C4453" s="188">
        <v>9</v>
      </c>
      <c r="D4453" s="104">
        <f t="shared" si="69"/>
        <v>0.09</v>
      </c>
      <c r="F4453" s="5"/>
    </row>
    <row r="4454" spans="2:6" ht="13.8" hidden="1" outlineLevel="1">
      <c r="B4454" s="187">
        <v>28842</v>
      </c>
      <c r="C4454" s="188">
        <v>9.1300000000000008</v>
      </c>
      <c r="D4454" s="104">
        <f t="shared" si="69"/>
        <v>9.1300000000000006E-2</v>
      </c>
      <c r="F4454" s="5"/>
    </row>
    <row r="4455" spans="2:6" ht="13.8" hidden="1" outlineLevel="1">
      <c r="B4455" s="187">
        <v>28843</v>
      </c>
      <c r="C4455" s="188">
        <v>9.14</v>
      </c>
      <c r="D4455" s="104">
        <f t="shared" si="69"/>
        <v>9.1400000000000009E-2</v>
      </c>
      <c r="F4455" s="5"/>
    </row>
    <row r="4456" spans="2:6" ht="13.8" hidden="1" outlineLevel="1">
      <c r="B4456" s="187">
        <v>28844</v>
      </c>
      <c r="C4456" s="188">
        <v>9.16</v>
      </c>
      <c r="D4456" s="104">
        <f t="shared" si="69"/>
        <v>9.1600000000000001E-2</v>
      </c>
      <c r="F4456" s="5"/>
    </row>
    <row r="4457" spans="2:6" ht="13.8" hidden="1" outlineLevel="1">
      <c r="B4457" s="187">
        <v>28845</v>
      </c>
      <c r="C4457" s="188">
        <v>9.16</v>
      </c>
      <c r="D4457" s="104">
        <f t="shared" si="69"/>
        <v>9.1600000000000001E-2</v>
      </c>
      <c r="F4457" s="5"/>
    </row>
    <row r="4458" spans="2:6" ht="13.8" hidden="1" outlineLevel="1">
      <c r="B4458" s="187">
        <v>28846</v>
      </c>
      <c r="C4458" s="188">
        <v>9.11</v>
      </c>
      <c r="D4458" s="104">
        <f t="shared" si="69"/>
        <v>9.11E-2</v>
      </c>
      <c r="F4458" s="5"/>
    </row>
    <row r="4459" spans="2:6" ht="13.8" hidden="1" outlineLevel="1">
      <c r="B4459" s="187">
        <v>28849</v>
      </c>
      <c r="C4459" s="188" t="s">
        <v>380</v>
      </c>
      <c r="D4459" s="104">
        <f t="shared" si="69"/>
        <v>9.11E-2</v>
      </c>
      <c r="F4459" s="5"/>
    </row>
    <row r="4460" spans="2:6" ht="13.8" hidden="1" outlineLevel="1">
      <c r="B4460" s="187">
        <v>28850</v>
      </c>
      <c r="C4460" s="188">
        <v>9.1300000000000008</v>
      </c>
      <c r="D4460" s="104">
        <f t="shared" si="69"/>
        <v>9.1300000000000006E-2</v>
      </c>
      <c r="F4460" s="5"/>
    </row>
    <row r="4461" spans="2:6" ht="13.8" hidden="1" outlineLevel="1">
      <c r="B4461" s="187">
        <v>28851</v>
      </c>
      <c r="C4461" s="188">
        <v>9.1199999999999992</v>
      </c>
      <c r="D4461" s="104">
        <f t="shared" si="69"/>
        <v>9.1199999999999989E-2</v>
      </c>
      <c r="F4461" s="5"/>
    </row>
    <row r="4462" spans="2:6" ht="13.8" hidden="1" outlineLevel="1">
      <c r="B4462" s="187">
        <v>28852</v>
      </c>
      <c r="C4462" s="188">
        <v>9.16</v>
      </c>
      <c r="D4462" s="104">
        <f t="shared" si="69"/>
        <v>9.1600000000000001E-2</v>
      </c>
      <c r="F4462" s="5"/>
    </row>
    <row r="4463" spans="2:6" ht="13.8" hidden="1" outlineLevel="1">
      <c r="B4463" s="187">
        <v>28853</v>
      </c>
      <c r="C4463" s="188">
        <v>9.15</v>
      </c>
      <c r="D4463" s="104">
        <f t="shared" si="69"/>
        <v>9.1499999999999998E-2</v>
      </c>
      <c r="F4463" s="5"/>
    </row>
    <row r="4464" spans="2:6" ht="13.8" hidden="1" outlineLevel="1">
      <c r="B4464" s="187">
        <v>28856</v>
      </c>
      <c r="C4464" s="188" t="s">
        <v>380</v>
      </c>
      <c r="D4464" s="104">
        <f t="shared" si="69"/>
        <v>9.1499999999999998E-2</v>
      </c>
      <c r="F4464" s="5"/>
    </row>
    <row r="4465" spans="2:6" ht="13.8" hidden="1" outlineLevel="1">
      <c r="B4465" s="187">
        <v>28857</v>
      </c>
      <c r="C4465" s="188">
        <v>9.18</v>
      </c>
      <c r="D4465" s="104">
        <f t="shared" si="69"/>
        <v>9.1799999999999993E-2</v>
      </c>
      <c r="F4465" s="5"/>
    </row>
    <row r="4466" spans="2:6" ht="13.8" hidden="1" outlineLevel="1">
      <c r="B4466" s="187">
        <v>28858</v>
      </c>
      <c r="C4466" s="188">
        <v>9.16</v>
      </c>
      <c r="D4466" s="104">
        <f t="shared" si="69"/>
        <v>9.1600000000000001E-2</v>
      </c>
      <c r="F4466" s="5"/>
    </row>
    <row r="4467" spans="2:6" ht="13.8" hidden="1" outlineLevel="1">
      <c r="B4467" s="187">
        <v>28859</v>
      </c>
      <c r="C4467" s="188">
        <v>9.11</v>
      </c>
      <c r="D4467" s="104">
        <f t="shared" si="69"/>
        <v>9.11E-2</v>
      </c>
      <c r="F4467" s="5"/>
    </row>
    <row r="4468" spans="2:6" ht="13.8" hidden="1" outlineLevel="1">
      <c r="B4468" s="187">
        <v>28860</v>
      </c>
      <c r="C4468" s="188">
        <v>9.1</v>
      </c>
      <c r="D4468" s="104">
        <f t="shared" si="69"/>
        <v>9.0999999999999998E-2</v>
      </c>
      <c r="F4468" s="5"/>
    </row>
    <row r="4469" spans="2:6" ht="13.8" hidden="1" outlineLevel="1">
      <c r="B4469" s="187">
        <v>28863</v>
      </c>
      <c r="C4469" s="188">
        <v>9.14</v>
      </c>
      <c r="D4469" s="104">
        <f t="shared" si="69"/>
        <v>9.1400000000000009E-2</v>
      </c>
      <c r="F4469" s="5"/>
    </row>
    <row r="4470" spans="2:6" ht="13.8" hidden="1" outlineLevel="1">
      <c r="B4470" s="187">
        <v>28864</v>
      </c>
      <c r="C4470" s="188">
        <v>9.16</v>
      </c>
      <c r="D4470" s="104">
        <f t="shared" si="69"/>
        <v>9.1600000000000001E-2</v>
      </c>
      <c r="F4470" s="5"/>
    </row>
    <row r="4471" spans="2:6" ht="13.8" hidden="1" outlineLevel="1">
      <c r="B4471" s="187">
        <v>28865</v>
      </c>
      <c r="C4471" s="188">
        <v>9.16</v>
      </c>
      <c r="D4471" s="104">
        <f t="shared" si="69"/>
        <v>9.1600000000000001E-2</v>
      </c>
      <c r="F4471" s="5"/>
    </row>
    <row r="4472" spans="2:6" ht="13.8" hidden="1" outlineLevel="1">
      <c r="B4472" s="187">
        <v>28866</v>
      </c>
      <c r="C4472" s="188">
        <v>9.15</v>
      </c>
      <c r="D4472" s="104">
        <f t="shared" si="69"/>
        <v>9.1499999999999998E-2</v>
      </c>
      <c r="F4472" s="5"/>
    </row>
    <row r="4473" spans="2:6" ht="13.8" hidden="1" outlineLevel="1">
      <c r="B4473" s="187">
        <v>28867</v>
      </c>
      <c r="C4473" s="188">
        <v>9.14</v>
      </c>
      <c r="D4473" s="104">
        <f t="shared" si="69"/>
        <v>9.1400000000000009E-2</v>
      </c>
      <c r="F4473" s="5"/>
    </row>
    <row r="4474" spans="2:6" ht="13.8" hidden="1" outlineLevel="1">
      <c r="B4474" s="187">
        <v>28870</v>
      </c>
      <c r="C4474" s="188">
        <v>9.15</v>
      </c>
      <c r="D4474" s="104">
        <f t="shared" si="69"/>
        <v>9.1499999999999998E-2</v>
      </c>
      <c r="F4474" s="5"/>
    </row>
    <row r="4475" spans="2:6" ht="13.8" hidden="1" outlineLevel="1">
      <c r="B4475" s="187">
        <v>28871</v>
      </c>
      <c r="C4475" s="188">
        <v>9.16</v>
      </c>
      <c r="D4475" s="104">
        <f t="shared" si="69"/>
        <v>9.1600000000000001E-2</v>
      </c>
      <c r="F4475" s="5"/>
    </row>
    <row r="4476" spans="2:6" ht="13.8" hidden="1" outlineLevel="1">
      <c r="B4476" s="187">
        <v>28872</v>
      </c>
      <c r="C4476" s="188">
        <v>9.18</v>
      </c>
      <c r="D4476" s="104">
        <f t="shared" si="69"/>
        <v>9.1799999999999993E-2</v>
      </c>
      <c r="F4476" s="5"/>
    </row>
    <row r="4477" spans="2:6" ht="13.8" hidden="1" outlineLevel="1">
      <c r="B4477" s="187">
        <v>28873</v>
      </c>
      <c r="C4477" s="188">
        <v>9.18</v>
      </c>
      <c r="D4477" s="104">
        <f t="shared" si="69"/>
        <v>9.1799999999999993E-2</v>
      </c>
      <c r="F4477" s="5"/>
    </row>
    <row r="4478" spans="2:6" ht="13.8" hidden="1" outlineLevel="1">
      <c r="B4478" s="187">
        <v>28874</v>
      </c>
      <c r="C4478" s="188">
        <v>9.15</v>
      </c>
      <c r="D4478" s="104">
        <f t="shared" si="69"/>
        <v>9.1499999999999998E-2</v>
      </c>
      <c r="F4478" s="5"/>
    </row>
    <row r="4479" spans="2:6" ht="13.8" hidden="1" outlineLevel="1">
      <c r="B4479" s="187">
        <v>28877</v>
      </c>
      <c r="C4479" s="188">
        <v>9.1199999999999992</v>
      </c>
      <c r="D4479" s="104">
        <f t="shared" si="69"/>
        <v>9.1199999999999989E-2</v>
      </c>
      <c r="F4479" s="5"/>
    </row>
    <row r="4480" spans="2:6" ht="13.8" hidden="1" outlineLevel="1">
      <c r="B4480" s="187">
        <v>28878</v>
      </c>
      <c r="C4480" s="188">
        <v>9.1</v>
      </c>
      <c r="D4480" s="104">
        <f t="shared" si="69"/>
        <v>9.0999999999999998E-2</v>
      </c>
      <c r="F4480" s="5"/>
    </row>
    <row r="4481" spans="2:6" ht="13.8" hidden="1" outlineLevel="1">
      <c r="B4481" s="187">
        <v>28879</v>
      </c>
      <c r="C4481" s="188">
        <v>9.08</v>
      </c>
      <c r="D4481" s="104">
        <f t="shared" si="69"/>
        <v>9.0800000000000006E-2</v>
      </c>
      <c r="F4481" s="5"/>
    </row>
    <row r="4482" spans="2:6" ht="13.8" hidden="1" outlineLevel="1">
      <c r="B4482" s="187">
        <v>28880</v>
      </c>
      <c r="C4482" s="188">
        <v>8.98</v>
      </c>
      <c r="D4482" s="104">
        <f t="shared" si="69"/>
        <v>8.9800000000000005E-2</v>
      </c>
      <c r="F4482" s="5"/>
    </row>
    <row r="4483" spans="2:6" ht="13.8" hidden="1" outlineLevel="1">
      <c r="B4483" s="187">
        <v>28881</v>
      </c>
      <c r="C4483" s="188">
        <v>8.93</v>
      </c>
      <c r="D4483" s="104">
        <f t="shared" si="69"/>
        <v>8.929999999999999E-2</v>
      </c>
      <c r="F4483" s="5"/>
    </row>
    <row r="4484" spans="2:6" ht="13.8" hidden="1" outlineLevel="1">
      <c r="B4484" s="187">
        <v>28884</v>
      </c>
      <c r="C4484" s="188">
        <v>8.9600000000000009</v>
      </c>
      <c r="D4484" s="104">
        <f t="shared" si="69"/>
        <v>8.9600000000000013E-2</v>
      </c>
      <c r="F4484" s="5"/>
    </row>
    <row r="4485" spans="2:6" ht="13.8" hidden="1" outlineLevel="1">
      <c r="B4485" s="187">
        <v>28885</v>
      </c>
      <c r="C4485" s="188">
        <v>8.9499999999999993</v>
      </c>
      <c r="D4485" s="104">
        <f t="shared" si="69"/>
        <v>8.9499999999999996E-2</v>
      </c>
      <c r="F4485" s="5"/>
    </row>
    <row r="4486" spans="2:6" ht="13.8" hidden="1" outlineLevel="1">
      <c r="B4486" s="187">
        <v>28886</v>
      </c>
      <c r="C4486" s="188">
        <v>8.9499999999999993</v>
      </c>
      <c r="D4486" s="104">
        <f t="shared" si="69"/>
        <v>8.9499999999999996E-2</v>
      </c>
      <c r="F4486" s="5"/>
    </row>
    <row r="4487" spans="2:6" ht="13.8" hidden="1" outlineLevel="1">
      <c r="B4487" s="187">
        <v>28887</v>
      </c>
      <c r="C4487" s="188">
        <v>8.94</v>
      </c>
      <c r="D4487" s="104">
        <f t="shared" si="69"/>
        <v>8.9399999999999993E-2</v>
      </c>
      <c r="F4487" s="5"/>
    </row>
    <row r="4488" spans="2:6" ht="13.8" hidden="1" outlineLevel="1">
      <c r="B4488" s="187">
        <v>28888</v>
      </c>
      <c r="C4488" s="188">
        <v>8.89</v>
      </c>
      <c r="D4488" s="104">
        <f t="shared" si="69"/>
        <v>8.8900000000000007E-2</v>
      </c>
      <c r="F4488" s="5"/>
    </row>
    <row r="4489" spans="2:6" ht="13.8" hidden="1" outlineLevel="1">
      <c r="B4489" s="187">
        <v>28891</v>
      </c>
      <c r="C4489" s="188">
        <v>8.9499999999999993</v>
      </c>
      <c r="D4489" s="104">
        <f t="shared" si="69"/>
        <v>8.9499999999999996E-2</v>
      </c>
      <c r="F4489" s="5"/>
    </row>
    <row r="4490" spans="2:6" ht="13.8" hidden="1" outlineLevel="1">
      <c r="B4490" s="187">
        <v>28892</v>
      </c>
      <c r="C4490" s="188">
        <v>9</v>
      </c>
      <c r="D4490" s="104">
        <f t="shared" si="69"/>
        <v>0.09</v>
      </c>
      <c r="F4490" s="5"/>
    </row>
    <row r="4491" spans="2:6" ht="13.8" hidden="1" outlineLevel="1">
      <c r="B4491" s="187">
        <v>28893</v>
      </c>
      <c r="C4491" s="188">
        <v>9.09</v>
      </c>
      <c r="D4491" s="104">
        <f t="shared" si="69"/>
        <v>9.0899999999999995E-2</v>
      </c>
      <c r="F4491" s="5"/>
    </row>
    <row r="4492" spans="2:6" ht="13.8" hidden="1" outlineLevel="1">
      <c r="B4492" s="187">
        <v>28894</v>
      </c>
      <c r="C4492" s="188">
        <v>9.09</v>
      </c>
      <c r="D4492" s="104">
        <f t="shared" si="69"/>
        <v>9.0899999999999995E-2</v>
      </c>
      <c r="F4492" s="5"/>
    </row>
    <row r="4493" spans="2:6" ht="13.8" hidden="1" outlineLevel="1">
      <c r="B4493" s="187">
        <v>28895</v>
      </c>
      <c r="C4493" s="188">
        <v>9.11</v>
      </c>
      <c r="D4493" s="104">
        <f t="shared" si="69"/>
        <v>9.11E-2</v>
      </c>
      <c r="F4493" s="5"/>
    </row>
    <row r="4494" spans="2:6" ht="13.8" hidden="1" outlineLevel="1">
      <c r="B4494" s="187">
        <v>28898</v>
      </c>
      <c r="C4494" s="188" t="s">
        <v>380</v>
      </c>
      <c r="D4494" s="104">
        <f t="shared" si="69"/>
        <v>9.11E-2</v>
      </c>
      <c r="F4494" s="5"/>
    </row>
    <row r="4495" spans="2:6" ht="13.8" hidden="1" outlineLevel="1">
      <c r="B4495" s="187">
        <v>28899</v>
      </c>
      <c r="C4495" s="188">
        <v>9.11</v>
      </c>
      <c r="D4495" s="104">
        <f t="shared" si="69"/>
        <v>9.11E-2</v>
      </c>
      <c r="F4495" s="5"/>
    </row>
    <row r="4496" spans="2:6" ht="13.8" hidden="1" outlineLevel="1">
      <c r="B4496" s="187">
        <v>28900</v>
      </c>
      <c r="C4496" s="188">
        <v>9.1199999999999992</v>
      </c>
      <c r="D4496" s="104">
        <f t="shared" si="69"/>
        <v>9.1199999999999989E-2</v>
      </c>
      <c r="F4496" s="5"/>
    </row>
    <row r="4497" spans="2:6" ht="13.8" hidden="1" outlineLevel="1">
      <c r="B4497" s="187">
        <v>28901</v>
      </c>
      <c r="C4497" s="188">
        <v>9.1199999999999992</v>
      </c>
      <c r="D4497" s="104">
        <f t="shared" si="69"/>
        <v>9.1199999999999989E-2</v>
      </c>
      <c r="F4497" s="5"/>
    </row>
    <row r="4498" spans="2:6" ht="13.8" hidden="1" outlineLevel="1">
      <c r="B4498" s="187">
        <v>28902</v>
      </c>
      <c r="C4498" s="188">
        <v>9.11</v>
      </c>
      <c r="D4498" s="104">
        <f t="shared" si="69"/>
        <v>9.11E-2</v>
      </c>
      <c r="F4498" s="5"/>
    </row>
    <row r="4499" spans="2:6" ht="13.8" hidden="1" outlineLevel="1">
      <c r="B4499" s="187">
        <v>28905</v>
      </c>
      <c r="C4499" s="188" t="s">
        <v>380</v>
      </c>
      <c r="D4499" s="104">
        <f t="shared" si="69"/>
        <v>9.11E-2</v>
      </c>
      <c r="F4499" s="5"/>
    </row>
    <row r="4500" spans="2:6" ht="13.8" hidden="1" outlineLevel="1">
      <c r="B4500" s="187">
        <v>28906</v>
      </c>
      <c r="C4500" s="188">
        <v>9.1199999999999992</v>
      </c>
      <c r="D4500" s="104">
        <f t="shared" si="69"/>
        <v>9.1199999999999989E-2</v>
      </c>
      <c r="F4500" s="5"/>
    </row>
    <row r="4501" spans="2:6" ht="13.8" hidden="1" outlineLevel="1">
      <c r="B4501" s="187">
        <v>28907</v>
      </c>
      <c r="C4501" s="188">
        <v>9.15</v>
      </c>
      <c r="D4501" s="104">
        <f t="shared" si="69"/>
        <v>9.1499999999999998E-2</v>
      </c>
      <c r="F4501" s="5"/>
    </row>
    <row r="4502" spans="2:6" ht="13.8" hidden="1" outlineLevel="1">
      <c r="B4502" s="187">
        <v>28908</v>
      </c>
      <c r="C4502" s="188">
        <v>9.1999999999999993</v>
      </c>
      <c r="D4502" s="104">
        <f t="shared" si="69"/>
        <v>9.1999999999999998E-2</v>
      </c>
      <c r="F4502" s="5"/>
    </row>
    <row r="4503" spans="2:6" ht="13.8" hidden="1" outlineLevel="1">
      <c r="B4503" s="187">
        <v>28909</v>
      </c>
      <c r="C4503" s="188">
        <v>9.2100000000000009</v>
      </c>
      <c r="D4503" s="104">
        <f t="shared" si="69"/>
        <v>9.2100000000000015E-2</v>
      </c>
      <c r="F4503" s="5"/>
    </row>
    <row r="4504" spans="2:6" ht="13.8" hidden="1" outlineLevel="1">
      <c r="B4504" s="187">
        <v>28912</v>
      </c>
      <c r="C4504" s="188">
        <v>9.1999999999999993</v>
      </c>
      <c r="D4504" s="104">
        <f t="shared" si="69"/>
        <v>9.1999999999999998E-2</v>
      </c>
      <c r="F4504" s="5"/>
    </row>
    <row r="4505" spans="2:6" ht="13.8" hidden="1" outlineLevel="1">
      <c r="B4505" s="187">
        <v>28913</v>
      </c>
      <c r="C4505" s="188">
        <v>9.19</v>
      </c>
      <c r="D4505" s="104">
        <f t="shared" si="69"/>
        <v>9.1899999999999996E-2</v>
      </c>
      <c r="F4505" s="5"/>
    </row>
    <row r="4506" spans="2:6" ht="13.8" hidden="1" outlineLevel="1">
      <c r="B4506" s="187">
        <v>28914</v>
      </c>
      <c r="C4506" s="188">
        <v>9.17</v>
      </c>
      <c r="D4506" s="104">
        <f t="shared" si="69"/>
        <v>9.1700000000000004E-2</v>
      </c>
      <c r="F4506" s="5"/>
    </row>
    <row r="4507" spans="2:6" ht="13.8" hidden="1" outlineLevel="1">
      <c r="B4507" s="187">
        <v>28915</v>
      </c>
      <c r="C4507" s="188">
        <v>9.17</v>
      </c>
      <c r="D4507" s="104">
        <f t="shared" si="69"/>
        <v>9.1700000000000004E-2</v>
      </c>
      <c r="F4507" s="5"/>
    </row>
    <row r="4508" spans="2:6" ht="13.8" hidden="1" outlineLevel="1">
      <c r="B4508" s="187">
        <v>28916</v>
      </c>
      <c r="C4508" s="188">
        <v>9.16</v>
      </c>
      <c r="D4508" s="104">
        <f t="shared" si="69"/>
        <v>9.1600000000000001E-2</v>
      </c>
      <c r="F4508" s="5"/>
    </row>
    <row r="4509" spans="2:6" ht="13.8" hidden="1" outlineLevel="1">
      <c r="B4509" s="187">
        <v>28919</v>
      </c>
      <c r="C4509" s="188">
        <v>9.11</v>
      </c>
      <c r="D4509" s="104">
        <f t="shared" si="69"/>
        <v>9.11E-2</v>
      </c>
      <c r="F4509" s="5"/>
    </row>
    <row r="4510" spans="2:6" ht="13.8" hidden="1" outlineLevel="1">
      <c r="B4510" s="187">
        <v>28920</v>
      </c>
      <c r="C4510" s="188">
        <v>9.14</v>
      </c>
      <c r="D4510" s="104">
        <f t="shared" ref="D4510:D4573" si="70">IF( LEN( C4510 ) = 0, #N/A, IF( C4510 = "ND", D4509, C4510 / 100 ) )</f>
        <v>9.1400000000000009E-2</v>
      </c>
      <c r="F4510" s="5"/>
    </row>
    <row r="4511" spans="2:6" ht="13.8" hidden="1" outlineLevel="1">
      <c r="B4511" s="187">
        <v>28921</v>
      </c>
      <c r="C4511" s="188">
        <v>9.1</v>
      </c>
      <c r="D4511" s="104">
        <f t="shared" si="70"/>
        <v>9.0999999999999998E-2</v>
      </c>
      <c r="F4511" s="5"/>
    </row>
    <row r="4512" spans="2:6" ht="13.8" hidden="1" outlineLevel="1">
      <c r="B4512" s="187">
        <v>28922</v>
      </c>
      <c r="C4512" s="188">
        <v>9.1</v>
      </c>
      <c r="D4512" s="104">
        <f t="shared" si="70"/>
        <v>9.0999999999999998E-2</v>
      </c>
      <c r="F4512" s="5"/>
    </row>
    <row r="4513" spans="2:6" ht="13.8" hidden="1" outlineLevel="1">
      <c r="B4513" s="187">
        <v>28923</v>
      </c>
      <c r="C4513" s="188">
        <v>9.11</v>
      </c>
      <c r="D4513" s="104">
        <f t="shared" si="70"/>
        <v>9.11E-2</v>
      </c>
      <c r="F4513" s="5"/>
    </row>
    <row r="4514" spans="2:6" ht="13.8" hidden="1" outlineLevel="1">
      <c r="B4514" s="187">
        <v>28926</v>
      </c>
      <c r="C4514" s="188">
        <v>9.11</v>
      </c>
      <c r="D4514" s="104">
        <f t="shared" si="70"/>
        <v>9.11E-2</v>
      </c>
      <c r="F4514" s="5"/>
    </row>
    <row r="4515" spans="2:6" ht="13.8" hidden="1" outlineLevel="1">
      <c r="B4515" s="187">
        <v>28927</v>
      </c>
      <c r="C4515" s="188">
        <v>9.11</v>
      </c>
      <c r="D4515" s="104">
        <f t="shared" si="70"/>
        <v>9.11E-2</v>
      </c>
      <c r="F4515" s="5"/>
    </row>
    <row r="4516" spans="2:6" ht="13.8" hidden="1" outlineLevel="1">
      <c r="B4516" s="187">
        <v>28928</v>
      </c>
      <c r="C4516" s="188">
        <v>9.1199999999999992</v>
      </c>
      <c r="D4516" s="104">
        <f t="shared" si="70"/>
        <v>9.1199999999999989E-2</v>
      </c>
      <c r="F4516" s="5"/>
    </row>
    <row r="4517" spans="2:6" ht="13.8" hidden="1" outlineLevel="1">
      <c r="B4517" s="187">
        <v>28929</v>
      </c>
      <c r="C4517" s="188">
        <v>9.14</v>
      </c>
      <c r="D4517" s="104">
        <f t="shared" si="70"/>
        <v>9.1400000000000009E-2</v>
      </c>
      <c r="F4517" s="5"/>
    </row>
    <row r="4518" spans="2:6" ht="13.8" hidden="1" outlineLevel="1">
      <c r="B4518" s="187">
        <v>28930</v>
      </c>
      <c r="C4518" s="188">
        <v>9.1199999999999992</v>
      </c>
      <c r="D4518" s="104">
        <f t="shared" si="70"/>
        <v>9.1199999999999989E-2</v>
      </c>
      <c r="F4518" s="5"/>
    </row>
    <row r="4519" spans="2:6" ht="13.8" hidden="1" outlineLevel="1">
      <c r="B4519" s="187">
        <v>28933</v>
      </c>
      <c r="C4519" s="188">
        <v>9.1199999999999992</v>
      </c>
      <c r="D4519" s="104">
        <f t="shared" si="70"/>
        <v>9.1199999999999989E-2</v>
      </c>
      <c r="F4519" s="5"/>
    </row>
    <row r="4520" spans="2:6" ht="13.8" hidden="1" outlineLevel="1">
      <c r="B4520" s="187">
        <v>28934</v>
      </c>
      <c r="C4520" s="188">
        <v>9.1300000000000008</v>
      </c>
      <c r="D4520" s="104">
        <f t="shared" si="70"/>
        <v>9.1300000000000006E-2</v>
      </c>
      <c r="F4520" s="5"/>
    </row>
    <row r="4521" spans="2:6" ht="13.8" hidden="1" outlineLevel="1">
      <c r="B4521" s="187">
        <v>28935</v>
      </c>
      <c r="C4521" s="188">
        <v>9.1300000000000008</v>
      </c>
      <c r="D4521" s="104">
        <f t="shared" si="70"/>
        <v>9.1300000000000006E-2</v>
      </c>
      <c r="F4521" s="5"/>
    </row>
    <row r="4522" spans="2:6" ht="13.8" hidden="1" outlineLevel="1">
      <c r="B4522" s="187">
        <v>28936</v>
      </c>
      <c r="C4522" s="188">
        <v>9.1199999999999992</v>
      </c>
      <c r="D4522" s="104">
        <f t="shared" si="70"/>
        <v>9.1199999999999989E-2</v>
      </c>
      <c r="F4522" s="5"/>
    </row>
    <row r="4523" spans="2:6" ht="13.8" hidden="1" outlineLevel="1">
      <c r="B4523" s="187">
        <v>28937</v>
      </c>
      <c r="C4523" s="188">
        <v>9.1199999999999992</v>
      </c>
      <c r="D4523" s="104">
        <f t="shared" si="70"/>
        <v>9.1199999999999989E-2</v>
      </c>
      <c r="F4523" s="5"/>
    </row>
    <row r="4524" spans="2:6" ht="13.8" hidden="1" outlineLevel="1">
      <c r="B4524" s="187">
        <v>28940</v>
      </c>
      <c r="C4524" s="188">
        <v>9.1199999999999992</v>
      </c>
      <c r="D4524" s="104">
        <f t="shared" si="70"/>
        <v>9.1199999999999989E-2</v>
      </c>
      <c r="F4524" s="5"/>
    </row>
    <row r="4525" spans="2:6" ht="13.8" hidden="1" outlineLevel="1">
      <c r="B4525" s="187">
        <v>28941</v>
      </c>
      <c r="C4525" s="188">
        <v>9.11</v>
      </c>
      <c r="D4525" s="104">
        <f t="shared" si="70"/>
        <v>9.11E-2</v>
      </c>
      <c r="F4525" s="5"/>
    </row>
    <row r="4526" spans="2:6" ht="13.8" hidden="1" outlineLevel="1">
      <c r="B4526" s="187">
        <v>28942</v>
      </c>
      <c r="C4526" s="188">
        <v>9.07</v>
      </c>
      <c r="D4526" s="104">
        <f t="shared" si="70"/>
        <v>9.0700000000000003E-2</v>
      </c>
      <c r="F4526" s="5"/>
    </row>
    <row r="4527" spans="2:6" ht="13.8" hidden="1" outlineLevel="1">
      <c r="B4527" s="187">
        <v>28943</v>
      </c>
      <c r="C4527" s="188">
        <v>9.06</v>
      </c>
      <c r="D4527" s="104">
        <f t="shared" si="70"/>
        <v>9.06E-2</v>
      </c>
      <c r="F4527" s="5"/>
    </row>
    <row r="4528" spans="2:6" ht="13.8" hidden="1" outlineLevel="1">
      <c r="B4528" s="187">
        <v>28944</v>
      </c>
      <c r="C4528" s="188">
        <v>9.11</v>
      </c>
      <c r="D4528" s="104">
        <f t="shared" si="70"/>
        <v>9.11E-2</v>
      </c>
      <c r="F4528" s="5"/>
    </row>
    <row r="4529" spans="2:6" ht="13.8" hidden="1" outlineLevel="1">
      <c r="B4529" s="187">
        <v>28947</v>
      </c>
      <c r="C4529" s="188">
        <v>9.11</v>
      </c>
      <c r="D4529" s="104">
        <f t="shared" si="70"/>
        <v>9.11E-2</v>
      </c>
      <c r="F4529" s="5"/>
    </row>
    <row r="4530" spans="2:6" ht="13.8" hidden="1" outlineLevel="1">
      <c r="B4530" s="187">
        <v>28948</v>
      </c>
      <c r="C4530" s="188">
        <v>9.1</v>
      </c>
      <c r="D4530" s="104">
        <f t="shared" si="70"/>
        <v>9.0999999999999998E-2</v>
      </c>
      <c r="F4530" s="5"/>
    </row>
    <row r="4531" spans="2:6" ht="13.8" hidden="1" outlineLevel="1">
      <c r="B4531" s="187">
        <v>28949</v>
      </c>
      <c r="C4531" s="188">
        <v>9.09</v>
      </c>
      <c r="D4531" s="104">
        <f t="shared" si="70"/>
        <v>9.0899999999999995E-2</v>
      </c>
      <c r="F4531" s="5"/>
    </row>
    <row r="4532" spans="2:6" ht="13.8" hidden="1" outlineLevel="1">
      <c r="B4532" s="187">
        <v>28950</v>
      </c>
      <c r="C4532" s="188">
        <v>9.07</v>
      </c>
      <c r="D4532" s="104">
        <f t="shared" si="70"/>
        <v>9.0700000000000003E-2</v>
      </c>
      <c r="F4532" s="5"/>
    </row>
    <row r="4533" spans="2:6" ht="13.8" hidden="1" outlineLevel="1">
      <c r="B4533" s="187">
        <v>28951</v>
      </c>
      <c r="C4533" s="188">
        <v>9.1</v>
      </c>
      <c r="D4533" s="104">
        <f t="shared" si="70"/>
        <v>9.0999999999999998E-2</v>
      </c>
      <c r="F4533" s="5"/>
    </row>
    <row r="4534" spans="2:6" ht="13.8" hidden="1" outlineLevel="1">
      <c r="B4534" s="187">
        <v>28954</v>
      </c>
      <c r="C4534" s="188">
        <v>9.14</v>
      </c>
      <c r="D4534" s="104">
        <f t="shared" si="70"/>
        <v>9.1400000000000009E-2</v>
      </c>
      <c r="F4534" s="5"/>
    </row>
    <row r="4535" spans="2:6" ht="13.8" hidden="1" outlineLevel="1">
      <c r="B4535" s="187">
        <v>28955</v>
      </c>
      <c r="C4535" s="188">
        <v>9.17</v>
      </c>
      <c r="D4535" s="104">
        <f t="shared" si="70"/>
        <v>9.1700000000000004E-2</v>
      </c>
      <c r="F4535" s="5"/>
    </row>
    <row r="4536" spans="2:6" ht="13.8" hidden="1" outlineLevel="1">
      <c r="B4536" s="187">
        <v>28956</v>
      </c>
      <c r="C4536" s="188">
        <v>9.1999999999999993</v>
      </c>
      <c r="D4536" s="104">
        <f t="shared" si="70"/>
        <v>9.1999999999999998E-2</v>
      </c>
      <c r="F4536" s="5"/>
    </row>
    <row r="4537" spans="2:6" ht="13.8" hidden="1" outlineLevel="1">
      <c r="B4537" s="187">
        <v>28957</v>
      </c>
      <c r="C4537" s="188">
        <v>9.1999999999999993</v>
      </c>
      <c r="D4537" s="104">
        <f t="shared" si="70"/>
        <v>9.1999999999999998E-2</v>
      </c>
      <c r="F4537" s="5"/>
    </row>
    <row r="4538" spans="2:6" ht="13.8" hidden="1" outlineLevel="1">
      <c r="B4538" s="187">
        <v>28958</v>
      </c>
      <c r="C4538" s="188" t="s">
        <v>380</v>
      </c>
      <c r="D4538" s="104">
        <f t="shared" si="70"/>
        <v>9.1999999999999998E-2</v>
      </c>
      <c r="F4538" s="5"/>
    </row>
    <row r="4539" spans="2:6" ht="13.8" hidden="1" outlineLevel="1">
      <c r="B4539" s="187">
        <v>28961</v>
      </c>
      <c r="C4539" s="188">
        <v>9.19</v>
      </c>
      <c r="D4539" s="104">
        <f t="shared" si="70"/>
        <v>9.1899999999999996E-2</v>
      </c>
      <c r="F4539" s="5"/>
    </row>
    <row r="4540" spans="2:6" ht="13.8" hidden="1" outlineLevel="1">
      <c r="B4540" s="187">
        <v>28962</v>
      </c>
      <c r="C4540" s="188">
        <v>9.16</v>
      </c>
      <c r="D4540" s="104">
        <f t="shared" si="70"/>
        <v>9.1600000000000001E-2</v>
      </c>
      <c r="F4540" s="5"/>
    </row>
    <row r="4541" spans="2:6" ht="13.8" hidden="1" outlineLevel="1">
      <c r="B4541" s="187">
        <v>28963</v>
      </c>
      <c r="C4541" s="188">
        <v>9.15</v>
      </c>
      <c r="D4541" s="104">
        <f t="shared" si="70"/>
        <v>9.1499999999999998E-2</v>
      </c>
      <c r="F4541" s="5"/>
    </row>
    <row r="4542" spans="2:6" ht="13.8" hidden="1" outlineLevel="1">
      <c r="B4542" s="187">
        <v>28964</v>
      </c>
      <c r="C4542" s="188">
        <v>9.15</v>
      </c>
      <c r="D4542" s="104">
        <f t="shared" si="70"/>
        <v>9.1499999999999998E-2</v>
      </c>
      <c r="F4542" s="5"/>
    </row>
    <row r="4543" spans="2:6" ht="13.8" hidden="1" outlineLevel="1">
      <c r="B4543" s="187">
        <v>28965</v>
      </c>
      <c r="C4543" s="188">
        <v>9.19</v>
      </c>
      <c r="D4543" s="104">
        <f t="shared" si="70"/>
        <v>9.1899999999999996E-2</v>
      </c>
      <c r="F4543" s="5"/>
    </row>
    <row r="4544" spans="2:6" ht="13.8" hidden="1" outlineLevel="1">
      <c r="B4544" s="187">
        <v>28968</v>
      </c>
      <c r="C4544" s="188">
        <v>9.2100000000000009</v>
      </c>
      <c r="D4544" s="104">
        <f t="shared" si="70"/>
        <v>9.2100000000000015E-2</v>
      </c>
      <c r="F4544" s="5"/>
    </row>
    <row r="4545" spans="2:6" ht="13.8" hidden="1" outlineLevel="1">
      <c r="B4545" s="187">
        <v>28969</v>
      </c>
      <c r="C4545" s="188">
        <v>9.24</v>
      </c>
      <c r="D4545" s="104">
        <f t="shared" si="70"/>
        <v>9.2399999999999996E-2</v>
      </c>
      <c r="F4545" s="5"/>
    </row>
    <row r="4546" spans="2:6" ht="13.8" hidden="1" outlineLevel="1">
      <c r="B4546" s="187">
        <v>28970</v>
      </c>
      <c r="C4546" s="188">
        <v>9.23</v>
      </c>
      <c r="D4546" s="104">
        <f t="shared" si="70"/>
        <v>9.2300000000000007E-2</v>
      </c>
      <c r="F4546" s="5"/>
    </row>
    <row r="4547" spans="2:6" ht="13.8" hidden="1" outlineLevel="1">
      <c r="B4547" s="187">
        <v>28971</v>
      </c>
      <c r="C4547" s="188">
        <v>9.27</v>
      </c>
      <c r="D4547" s="104">
        <f t="shared" si="70"/>
        <v>9.2699999999999991E-2</v>
      </c>
      <c r="F4547" s="5"/>
    </row>
    <row r="4548" spans="2:6" ht="13.8" hidden="1" outlineLevel="1">
      <c r="B4548" s="187">
        <v>28972</v>
      </c>
      <c r="C4548" s="188">
        <v>9.32</v>
      </c>
      <c r="D4548" s="104">
        <f t="shared" si="70"/>
        <v>9.3200000000000005E-2</v>
      </c>
      <c r="F4548" s="5"/>
    </row>
    <row r="4549" spans="2:6" ht="13.8" hidden="1" outlineLevel="1">
      <c r="B4549" s="187">
        <v>28975</v>
      </c>
      <c r="C4549" s="188">
        <v>9.35</v>
      </c>
      <c r="D4549" s="104">
        <f t="shared" si="70"/>
        <v>9.35E-2</v>
      </c>
      <c r="F4549" s="5"/>
    </row>
    <row r="4550" spans="2:6" ht="13.8" hidden="1" outlineLevel="1">
      <c r="B4550" s="187">
        <v>28976</v>
      </c>
      <c r="C4550" s="188">
        <v>9.36</v>
      </c>
      <c r="D4550" s="104">
        <f t="shared" si="70"/>
        <v>9.3599999999999989E-2</v>
      </c>
      <c r="F4550" s="5"/>
    </row>
    <row r="4551" spans="2:6" ht="13.8" hidden="1" outlineLevel="1">
      <c r="B4551" s="187">
        <v>28977</v>
      </c>
      <c r="C4551" s="188">
        <v>9.34</v>
      </c>
      <c r="D4551" s="104">
        <f t="shared" si="70"/>
        <v>9.3399999999999997E-2</v>
      </c>
      <c r="F4551" s="5"/>
    </row>
    <row r="4552" spans="2:6" ht="13.8" hidden="1" outlineLevel="1">
      <c r="B4552" s="187">
        <v>28978</v>
      </c>
      <c r="C4552" s="188">
        <v>9.3800000000000008</v>
      </c>
      <c r="D4552" s="104">
        <f t="shared" si="70"/>
        <v>9.3800000000000008E-2</v>
      </c>
      <c r="F4552" s="5"/>
    </row>
    <row r="4553" spans="2:6" ht="13.8" hidden="1" outlineLevel="1">
      <c r="B4553" s="187">
        <v>28979</v>
      </c>
      <c r="C4553" s="188">
        <v>9.39</v>
      </c>
      <c r="D4553" s="104">
        <f t="shared" si="70"/>
        <v>9.3900000000000011E-2</v>
      </c>
      <c r="F4553" s="5"/>
    </row>
    <row r="4554" spans="2:6" ht="13.8" hidden="1" outlineLevel="1">
      <c r="B4554" s="187">
        <v>28982</v>
      </c>
      <c r="C4554" s="188">
        <v>9.39</v>
      </c>
      <c r="D4554" s="104">
        <f t="shared" si="70"/>
        <v>9.3900000000000011E-2</v>
      </c>
      <c r="F4554" s="5"/>
    </row>
    <row r="4555" spans="2:6" ht="13.8" hidden="1" outlineLevel="1">
      <c r="B4555" s="187">
        <v>28983</v>
      </c>
      <c r="C4555" s="188">
        <v>9.3800000000000008</v>
      </c>
      <c r="D4555" s="104">
        <f t="shared" si="70"/>
        <v>9.3800000000000008E-2</v>
      </c>
      <c r="F4555" s="5"/>
    </row>
    <row r="4556" spans="2:6" ht="13.8" hidden="1" outlineLevel="1">
      <c r="B4556" s="187">
        <v>28984</v>
      </c>
      <c r="C4556" s="188">
        <v>9.36</v>
      </c>
      <c r="D4556" s="104">
        <f t="shared" si="70"/>
        <v>9.3599999999999989E-2</v>
      </c>
      <c r="F4556" s="5"/>
    </row>
    <row r="4557" spans="2:6" ht="13.8" hidden="1" outlineLevel="1">
      <c r="B4557" s="187">
        <v>28985</v>
      </c>
      <c r="C4557" s="188">
        <v>9.36</v>
      </c>
      <c r="D4557" s="104">
        <f t="shared" si="70"/>
        <v>9.3599999999999989E-2</v>
      </c>
      <c r="F4557" s="5"/>
    </row>
    <row r="4558" spans="2:6" ht="13.8" hidden="1" outlineLevel="1">
      <c r="B4558" s="187">
        <v>28986</v>
      </c>
      <c r="C4558" s="188">
        <v>9.34</v>
      </c>
      <c r="D4558" s="104">
        <f t="shared" si="70"/>
        <v>9.3399999999999997E-2</v>
      </c>
      <c r="F4558" s="5"/>
    </row>
    <row r="4559" spans="2:6" ht="13.8" hidden="1" outlineLevel="1">
      <c r="B4559" s="187">
        <v>28989</v>
      </c>
      <c r="C4559" s="188">
        <v>9.3000000000000007</v>
      </c>
      <c r="D4559" s="104">
        <f t="shared" si="70"/>
        <v>9.3000000000000013E-2</v>
      </c>
      <c r="F4559" s="5"/>
    </row>
    <row r="4560" spans="2:6" ht="13.8" hidden="1" outlineLevel="1">
      <c r="B4560" s="187">
        <v>28990</v>
      </c>
      <c r="C4560" s="188">
        <v>9.32</v>
      </c>
      <c r="D4560" s="104">
        <f t="shared" si="70"/>
        <v>9.3200000000000005E-2</v>
      </c>
      <c r="F4560" s="5"/>
    </row>
    <row r="4561" spans="2:6" ht="13.8" hidden="1" outlineLevel="1">
      <c r="B4561" s="187">
        <v>28991</v>
      </c>
      <c r="C4561" s="188">
        <v>9.31</v>
      </c>
      <c r="D4561" s="104">
        <f t="shared" si="70"/>
        <v>9.3100000000000002E-2</v>
      </c>
      <c r="F4561" s="5"/>
    </row>
    <row r="4562" spans="2:6" ht="13.8" hidden="1" outlineLevel="1">
      <c r="B4562" s="187">
        <v>28992</v>
      </c>
      <c r="C4562" s="188">
        <v>9.24</v>
      </c>
      <c r="D4562" s="104">
        <f t="shared" si="70"/>
        <v>9.2399999999999996E-2</v>
      </c>
      <c r="F4562" s="5"/>
    </row>
    <row r="4563" spans="2:6" ht="13.8" hidden="1" outlineLevel="1">
      <c r="B4563" s="187">
        <v>28993</v>
      </c>
      <c r="C4563" s="188">
        <v>9.23</v>
      </c>
      <c r="D4563" s="104">
        <f t="shared" si="70"/>
        <v>9.2300000000000007E-2</v>
      </c>
      <c r="F4563" s="5"/>
    </row>
    <row r="4564" spans="2:6" ht="13.8" hidden="1" outlineLevel="1">
      <c r="B4564" s="187">
        <v>28996</v>
      </c>
      <c r="C4564" s="188">
        <v>9.24</v>
      </c>
      <c r="D4564" s="104">
        <f t="shared" si="70"/>
        <v>9.2399999999999996E-2</v>
      </c>
      <c r="F4564" s="5"/>
    </row>
    <row r="4565" spans="2:6" ht="13.8" hidden="1" outlineLevel="1">
      <c r="B4565" s="187">
        <v>28997</v>
      </c>
      <c r="C4565" s="188">
        <v>9.15</v>
      </c>
      <c r="D4565" s="104">
        <f t="shared" si="70"/>
        <v>9.1499999999999998E-2</v>
      </c>
      <c r="F4565" s="5"/>
    </row>
    <row r="4566" spans="2:6" ht="13.8" hidden="1" outlineLevel="1">
      <c r="B4566" s="187">
        <v>28998</v>
      </c>
      <c r="C4566" s="188">
        <v>9.07</v>
      </c>
      <c r="D4566" s="104">
        <f t="shared" si="70"/>
        <v>9.0700000000000003E-2</v>
      </c>
      <c r="F4566" s="5"/>
    </row>
    <row r="4567" spans="2:6" ht="13.8" hidden="1" outlineLevel="1">
      <c r="B4567" s="187">
        <v>28999</v>
      </c>
      <c r="C4567" s="188">
        <v>9.06</v>
      </c>
      <c r="D4567" s="104">
        <f t="shared" si="70"/>
        <v>9.06E-2</v>
      </c>
      <c r="F4567" s="5"/>
    </row>
    <row r="4568" spans="2:6" ht="13.8" hidden="1" outlineLevel="1">
      <c r="B4568" s="187">
        <v>29000</v>
      </c>
      <c r="C4568" s="188">
        <v>9.01</v>
      </c>
      <c r="D4568" s="104">
        <f t="shared" si="70"/>
        <v>9.01E-2</v>
      </c>
      <c r="F4568" s="5"/>
    </row>
    <row r="4569" spans="2:6" ht="13.8" hidden="1" outlineLevel="1">
      <c r="B4569" s="187">
        <v>29003</v>
      </c>
      <c r="C4569" s="188" t="s">
        <v>380</v>
      </c>
      <c r="D4569" s="104">
        <f t="shared" si="70"/>
        <v>9.01E-2</v>
      </c>
      <c r="F4569" s="5"/>
    </row>
    <row r="4570" spans="2:6" ht="13.8" hidden="1" outlineLevel="1">
      <c r="B4570" s="187">
        <v>29004</v>
      </c>
      <c r="C4570" s="188">
        <v>9.01</v>
      </c>
      <c r="D4570" s="104">
        <f t="shared" si="70"/>
        <v>9.01E-2</v>
      </c>
      <c r="F4570" s="5"/>
    </row>
    <row r="4571" spans="2:6" ht="13.8" hidden="1" outlineLevel="1">
      <c r="B4571" s="187">
        <v>29005</v>
      </c>
      <c r="C4571" s="188" t="s">
        <v>380</v>
      </c>
      <c r="D4571" s="104">
        <f t="shared" si="70"/>
        <v>9.01E-2</v>
      </c>
      <c r="F4571" s="5"/>
    </row>
    <row r="4572" spans="2:6" ht="13.8" hidden="1" outlineLevel="1">
      <c r="B4572" s="187">
        <v>29006</v>
      </c>
      <c r="C4572" s="188">
        <v>9.06</v>
      </c>
      <c r="D4572" s="104">
        <f t="shared" si="70"/>
        <v>9.06E-2</v>
      </c>
      <c r="F4572" s="5"/>
    </row>
    <row r="4573" spans="2:6" ht="13.8" hidden="1" outlineLevel="1">
      <c r="B4573" s="187">
        <v>29007</v>
      </c>
      <c r="C4573" s="188">
        <v>9.0500000000000007</v>
      </c>
      <c r="D4573" s="104">
        <f t="shared" si="70"/>
        <v>9.0500000000000011E-2</v>
      </c>
      <c r="F4573" s="5"/>
    </row>
    <row r="4574" spans="2:6" ht="13.8" hidden="1" outlineLevel="1">
      <c r="B4574" s="187">
        <v>29010</v>
      </c>
      <c r="C4574" s="188">
        <v>9.06</v>
      </c>
      <c r="D4574" s="104">
        <f t="shared" ref="D4574:D4637" si="71">IF( LEN( C4574 ) = 0, #N/A, IF( C4574 = "ND", D4573, C4574 / 100 ) )</f>
        <v>9.06E-2</v>
      </c>
      <c r="F4574" s="5"/>
    </row>
    <row r="4575" spans="2:6" ht="13.8" hidden="1" outlineLevel="1">
      <c r="B4575" s="187">
        <v>29011</v>
      </c>
      <c r="C4575" s="188">
        <v>9.02</v>
      </c>
      <c r="D4575" s="104">
        <f t="shared" si="71"/>
        <v>9.0200000000000002E-2</v>
      </c>
      <c r="F4575" s="5"/>
    </row>
    <row r="4576" spans="2:6" ht="13.8" hidden="1" outlineLevel="1">
      <c r="B4576" s="187">
        <v>29012</v>
      </c>
      <c r="C4576" s="188">
        <v>8.9700000000000006</v>
      </c>
      <c r="D4576" s="104">
        <f t="shared" si="71"/>
        <v>8.9700000000000002E-2</v>
      </c>
      <c r="F4576" s="5"/>
    </row>
    <row r="4577" spans="2:6" ht="13.8" hidden="1" outlineLevel="1">
      <c r="B4577" s="187">
        <v>29013</v>
      </c>
      <c r="C4577" s="188">
        <v>8.89</v>
      </c>
      <c r="D4577" s="104">
        <f t="shared" si="71"/>
        <v>8.8900000000000007E-2</v>
      </c>
      <c r="F4577" s="5"/>
    </row>
    <row r="4578" spans="2:6" ht="13.8" hidden="1" outlineLevel="1">
      <c r="B4578" s="187">
        <v>29014</v>
      </c>
      <c r="C4578" s="188">
        <v>8.9</v>
      </c>
      <c r="D4578" s="104">
        <f t="shared" si="71"/>
        <v>8.900000000000001E-2</v>
      </c>
      <c r="F4578" s="5"/>
    </row>
    <row r="4579" spans="2:6" ht="13.8" hidden="1" outlineLevel="1">
      <c r="B4579" s="187">
        <v>29017</v>
      </c>
      <c r="C4579" s="188">
        <v>8.94</v>
      </c>
      <c r="D4579" s="104">
        <f t="shared" si="71"/>
        <v>8.9399999999999993E-2</v>
      </c>
      <c r="F4579" s="5"/>
    </row>
    <row r="4580" spans="2:6" ht="13.8" hidden="1" outlineLevel="1">
      <c r="B4580" s="187">
        <v>29018</v>
      </c>
      <c r="C4580" s="188">
        <v>8.7899999999999991</v>
      </c>
      <c r="D4580" s="104">
        <f t="shared" si="71"/>
        <v>8.7899999999999992E-2</v>
      </c>
      <c r="F4580" s="5"/>
    </row>
    <row r="4581" spans="2:6" ht="13.8" hidden="1" outlineLevel="1">
      <c r="B4581" s="187">
        <v>29019</v>
      </c>
      <c r="C4581" s="188">
        <v>8.83</v>
      </c>
      <c r="D4581" s="104">
        <f t="shared" si="71"/>
        <v>8.8300000000000003E-2</v>
      </c>
      <c r="F4581" s="5"/>
    </row>
    <row r="4582" spans="2:6" ht="13.8" hidden="1" outlineLevel="1">
      <c r="B4582" s="187">
        <v>29020</v>
      </c>
      <c r="C4582" s="188">
        <v>8.8699999999999992</v>
      </c>
      <c r="D4582" s="104">
        <f t="shared" si="71"/>
        <v>8.8699999999999987E-2</v>
      </c>
      <c r="F4582" s="5"/>
    </row>
    <row r="4583" spans="2:6" ht="13.8" hidden="1" outlineLevel="1">
      <c r="B4583" s="187">
        <v>29021</v>
      </c>
      <c r="C4583" s="188">
        <v>8.9600000000000009</v>
      </c>
      <c r="D4583" s="104">
        <f t="shared" si="71"/>
        <v>8.9600000000000013E-2</v>
      </c>
      <c r="F4583" s="5"/>
    </row>
    <row r="4584" spans="2:6" ht="13.8" hidden="1" outlineLevel="1">
      <c r="B4584" s="187">
        <v>29024</v>
      </c>
      <c r="C4584" s="188">
        <v>8.9499999999999993</v>
      </c>
      <c r="D4584" s="104">
        <f t="shared" si="71"/>
        <v>8.9499999999999996E-2</v>
      </c>
      <c r="F4584" s="5"/>
    </row>
    <row r="4585" spans="2:6" ht="13.8" hidden="1" outlineLevel="1">
      <c r="B4585" s="187">
        <v>29025</v>
      </c>
      <c r="C4585" s="188">
        <v>8.9499999999999993</v>
      </c>
      <c r="D4585" s="104">
        <f t="shared" si="71"/>
        <v>8.9499999999999996E-2</v>
      </c>
      <c r="F4585" s="5"/>
    </row>
    <row r="4586" spans="2:6" ht="13.8" hidden="1" outlineLevel="1">
      <c r="B4586" s="187">
        <v>29026</v>
      </c>
      <c r="C4586" s="188">
        <v>8.94</v>
      </c>
      <c r="D4586" s="104">
        <f t="shared" si="71"/>
        <v>8.9399999999999993E-2</v>
      </c>
      <c r="F4586" s="5"/>
    </row>
    <row r="4587" spans="2:6" ht="13.8" hidden="1" outlineLevel="1">
      <c r="B4587" s="187">
        <v>29027</v>
      </c>
      <c r="C4587" s="188">
        <v>8.93</v>
      </c>
      <c r="D4587" s="104">
        <f t="shared" si="71"/>
        <v>8.929999999999999E-2</v>
      </c>
      <c r="F4587" s="5"/>
    </row>
    <row r="4588" spans="2:6" ht="13.8" hidden="1" outlineLevel="1">
      <c r="B4588" s="187">
        <v>29028</v>
      </c>
      <c r="C4588" s="188">
        <v>8.98</v>
      </c>
      <c r="D4588" s="104">
        <f t="shared" si="71"/>
        <v>8.9800000000000005E-2</v>
      </c>
      <c r="F4588" s="5"/>
    </row>
    <row r="4589" spans="2:6" ht="13.8" hidden="1" outlineLevel="1">
      <c r="B4589" s="187">
        <v>29031</v>
      </c>
      <c r="C4589" s="188">
        <v>8.93</v>
      </c>
      <c r="D4589" s="104">
        <f t="shared" si="71"/>
        <v>8.929999999999999E-2</v>
      </c>
      <c r="F4589" s="5"/>
    </row>
    <row r="4590" spans="2:6" ht="13.8" hidden="1" outlineLevel="1">
      <c r="B4590" s="187">
        <v>29032</v>
      </c>
      <c r="C4590" s="188">
        <v>8.82</v>
      </c>
      <c r="D4590" s="104">
        <f t="shared" si="71"/>
        <v>8.8200000000000001E-2</v>
      </c>
      <c r="F4590" s="5"/>
    </row>
    <row r="4591" spans="2:6" ht="13.8" hidden="1" outlineLevel="1">
      <c r="B4591" s="187">
        <v>29033</v>
      </c>
      <c r="C4591" s="188">
        <v>8.8000000000000007</v>
      </c>
      <c r="D4591" s="104">
        <f t="shared" si="71"/>
        <v>8.8000000000000009E-2</v>
      </c>
      <c r="F4591" s="5"/>
    </row>
    <row r="4592" spans="2:6" ht="13.8" hidden="1" outlineLevel="1">
      <c r="B4592" s="187">
        <v>29034</v>
      </c>
      <c r="C4592" s="188">
        <v>8.8000000000000007</v>
      </c>
      <c r="D4592" s="104">
        <f t="shared" si="71"/>
        <v>8.8000000000000009E-2</v>
      </c>
      <c r="F4592" s="5"/>
    </row>
    <row r="4593" spans="2:6" ht="13.8" hidden="1" outlineLevel="1">
      <c r="B4593" s="187">
        <v>29035</v>
      </c>
      <c r="C4593" s="188">
        <v>8.81</v>
      </c>
      <c r="D4593" s="104">
        <f t="shared" si="71"/>
        <v>8.8100000000000012E-2</v>
      </c>
      <c r="F4593" s="5"/>
    </row>
    <row r="4594" spans="2:6" ht="13.8" hidden="1" outlineLevel="1">
      <c r="B4594" s="187">
        <v>29038</v>
      </c>
      <c r="C4594" s="188">
        <v>8.76</v>
      </c>
      <c r="D4594" s="104">
        <f t="shared" si="71"/>
        <v>8.7599999999999997E-2</v>
      </c>
      <c r="F4594" s="5"/>
    </row>
    <row r="4595" spans="2:6" ht="13.8" hidden="1" outlineLevel="1">
      <c r="B4595" s="187">
        <v>29039</v>
      </c>
      <c r="C4595" s="188">
        <v>8.77</v>
      </c>
      <c r="D4595" s="104">
        <f t="shared" si="71"/>
        <v>8.77E-2</v>
      </c>
      <c r="F4595" s="5"/>
    </row>
    <row r="4596" spans="2:6" ht="13.8" hidden="1" outlineLevel="1">
      <c r="B4596" s="187">
        <v>29040</v>
      </c>
      <c r="C4596" s="188" t="s">
        <v>380</v>
      </c>
      <c r="D4596" s="104">
        <f t="shared" si="71"/>
        <v>8.77E-2</v>
      </c>
      <c r="F4596" s="5"/>
    </row>
    <row r="4597" spans="2:6" ht="13.8" hidden="1" outlineLevel="1">
      <c r="B4597" s="187">
        <v>29041</v>
      </c>
      <c r="C4597" s="188">
        <v>8.8000000000000007</v>
      </c>
      <c r="D4597" s="104">
        <f t="shared" si="71"/>
        <v>8.8000000000000009E-2</v>
      </c>
      <c r="F4597" s="5"/>
    </row>
    <row r="4598" spans="2:6" ht="13.8" hidden="1" outlineLevel="1">
      <c r="B4598" s="187">
        <v>29042</v>
      </c>
      <c r="C4598" s="188">
        <v>8.82</v>
      </c>
      <c r="D4598" s="104">
        <f t="shared" si="71"/>
        <v>8.8200000000000001E-2</v>
      </c>
      <c r="F4598" s="5"/>
    </row>
    <row r="4599" spans="2:6" ht="13.8" hidden="1" outlineLevel="1">
      <c r="B4599" s="187">
        <v>29045</v>
      </c>
      <c r="C4599" s="188">
        <v>8.86</v>
      </c>
      <c r="D4599" s="104">
        <f t="shared" si="71"/>
        <v>8.8599999999999998E-2</v>
      </c>
      <c r="F4599" s="5"/>
    </row>
    <row r="4600" spans="2:6" ht="13.8" hidden="1" outlineLevel="1">
      <c r="B4600" s="187">
        <v>29046</v>
      </c>
      <c r="C4600" s="188">
        <v>8.92</v>
      </c>
      <c r="D4600" s="104">
        <f t="shared" si="71"/>
        <v>8.9200000000000002E-2</v>
      </c>
      <c r="F4600" s="5"/>
    </row>
    <row r="4601" spans="2:6" ht="13.8" hidden="1" outlineLevel="1">
      <c r="B4601" s="187">
        <v>29047</v>
      </c>
      <c r="C4601" s="188">
        <v>8.9700000000000006</v>
      </c>
      <c r="D4601" s="104">
        <f t="shared" si="71"/>
        <v>8.9700000000000002E-2</v>
      </c>
      <c r="F4601" s="5"/>
    </row>
    <row r="4602" spans="2:6" ht="13.8" hidden="1" outlineLevel="1">
      <c r="B4602" s="187">
        <v>29048</v>
      </c>
      <c r="C4602" s="188">
        <v>8.9499999999999993</v>
      </c>
      <c r="D4602" s="104">
        <f t="shared" si="71"/>
        <v>8.9499999999999996E-2</v>
      </c>
      <c r="F4602" s="5"/>
    </row>
    <row r="4603" spans="2:6" ht="13.8" hidden="1" outlineLevel="1">
      <c r="B4603" s="187">
        <v>29049</v>
      </c>
      <c r="C4603" s="188">
        <v>8.94</v>
      </c>
      <c r="D4603" s="104">
        <f t="shared" si="71"/>
        <v>8.9399999999999993E-2</v>
      </c>
      <c r="F4603" s="5"/>
    </row>
    <row r="4604" spans="2:6" ht="13.8" hidden="1" outlineLevel="1">
      <c r="B4604" s="187">
        <v>29052</v>
      </c>
      <c r="C4604" s="188">
        <v>8.99</v>
      </c>
      <c r="D4604" s="104">
        <f t="shared" si="71"/>
        <v>8.9900000000000008E-2</v>
      </c>
      <c r="F4604" s="5"/>
    </row>
    <row r="4605" spans="2:6" ht="13.8" hidden="1" outlineLevel="1">
      <c r="B4605" s="187">
        <v>29053</v>
      </c>
      <c r="C4605" s="188">
        <v>9.01</v>
      </c>
      <c r="D4605" s="104">
        <f t="shared" si="71"/>
        <v>9.01E-2</v>
      </c>
      <c r="F4605" s="5"/>
    </row>
    <row r="4606" spans="2:6" ht="13.8" hidden="1" outlineLevel="1">
      <c r="B4606" s="187">
        <v>29054</v>
      </c>
      <c r="C4606" s="188">
        <v>9.0299999999999994</v>
      </c>
      <c r="D4606" s="104">
        <f t="shared" si="71"/>
        <v>9.0299999999999991E-2</v>
      </c>
      <c r="F4606" s="5"/>
    </row>
    <row r="4607" spans="2:6" ht="13.8" hidden="1" outlineLevel="1">
      <c r="B4607" s="187">
        <v>29055</v>
      </c>
      <c r="C4607" s="188">
        <v>9.0399999999999991</v>
      </c>
      <c r="D4607" s="104">
        <f t="shared" si="71"/>
        <v>9.0399999999999994E-2</v>
      </c>
      <c r="F4607" s="5"/>
    </row>
    <row r="4608" spans="2:6" ht="13.8" hidden="1" outlineLevel="1">
      <c r="B4608" s="187">
        <v>29056</v>
      </c>
      <c r="C4608" s="188">
        <v>8.98</v>
      </c>
      <c r="D4608" s="104">
        <f t="shared" si="71"/>
        <v>8.9800000000000005E-2</v>
      </c>
      <c r="F4608" s="5"/>
    </row>
    <row r="4609" spans="2:6" ht="13.8" hidden="1" outlineLevel="1">
      <c r="B4609" s="187">
        <v>29059</v>
      </c>
      <c r="C4609" s="188">
        <v>9.0299999999999994</v>
      </c>
      <c r="D4609" s="104">
        <f t="shared" si="71"/>
        <v>9.0299999999999991E-2</v>
      </c>
      <c r="F4609" s="5"/>
    </row>
    <row r="4610" spans="2:6" ht="13.8" hidden="1" outlineLevel="1">
      <c r="B4610" s="187">
        <v>29060</v>
      </c>
      <c r="C4610" s="188">
        <v>9.06</v>
      </c>
      <c r="D4610" s="104">
        <f t="shared" si="71"/>
        <v>9.06E-2</v>
      </c>
      <c r="F4610" s="5"/>
    </row>
    <row r="4611" spans="2:6" ht="13.8" hidden="1" outlineLevel="1">
      <c r="B4611" s="187">
        <v>29061</v>
      </c>
      <c r="C4611" s="188">
        <v>8.99</v>
      </c>
      <c r="D4611" s="104">
        <f t="shared" si="71"/>
        <v>8.9900000000000008E-2</v>
      </c>
      <c r="F4611" s="5"/>
    </row>
    <row r="4612" spans="2:6" ht="13.8" hidden="1" outlineLevel="1">
      <c r="B4612" s="187">
        <v>29062</v>
      </c>
      <c r="C4612" s="188">
        <v>8.9700000000000006</v>
      </c>
      <c r="D4612" s="104">
        <f t="shared" si="71"/>
        <v>8.9700000000000002E-2</v>
      </c>
      <c r="F4612" s="5"/>
    </row>
    <row r="4613" spans="2:6" ht="13.8" hidden="1" outlineLevel="1">
      <c r="B4613" s="187">
        <v>29063</v>
      </c>
      <c r="C4613" s="188">
        <v>9.02</v>
      </c>
      <c r="D4613" s="104">
        <f t="shared" si="71"/>
        <v>9.0200000000000002E-2</v>
      </c>
      <c r="F4613" s="5"/>
    </row>
    <row r="4614" spans="2:6" ht="13.8" hidden="1" outlineLevel="1">
      <c r="B4614" s="187">
        <v>29066</v>
      </c>
      <c r="C4614" s="188">
        <v>9.0299999999999994</v>
      </c>
      <c r="D4614" s="104">
        <f t="shared" si="71"/>
        <v>9.0299999999999991E-2</v>
      </c>
      <c r="F4614" s="5"/>
    </row>
    <row r="4615" spans="2:6" ht="13.8" hidden="1" outlineLevel="1">
      <c r="B4615" s="187">
        <v>29067</v>
      </c>
      <c r="C4615" s="188">
        <v>9.01</v>
      </c>
      <c r="D4615" s="104">
        <f t="shared" si="71"/>
        <v>9.01E-2</v>
      </c>
      <c r="F4615" s="5"/>
    </row>
    <row r="4616" spans="2:6" ht="13.8" hidden="1" outlineLevel="1">
      <c r="B4616" s="187">
        <v>29068</v>
      </c>
      <c r="C4616" s="188">
        <v>8.99</v>
      </c>
      <c r="D4616" s="104">
        <f t="shared" si="71"/>
        <v>8.9900000000000008E-2</v>
      </c>
      <c r="F4616" s="5"/>
    </row>
    <row r="4617" spans="2:6" ht="13.8" hidden="1" outlineLevel="1">
      <c r="B4617" s="187">
        <v>29069</v>
      </c>
      <c r="C4617" s="188">
        <v>8.91</v>
      </c>
      <c r="D4617" s="104">
        <f t="shared" si="71"/>
        <v>8.9099999999999999E-2</v>
      </c>
      <c r="F4617" s="5"/>
    </row>
    <row r="4618" spans="2:6" ht="13.8" hidden="1" outlineLevel="1">
      <c r="B4618" s="187">
        <v>29070</v>
      </c>
      <c r="C4618" s="188">
        <v>8.92</v>
      </c>
      <c r="D4618" s="104">
        <f t="shared" si="71"/>
        <v>8.9200000000000002E-2</v>
      </c>
      <c r="F4618" s="5"/>
    </row>
    <row r="4619" spans="2:6" ht="13.8" hidden="1" outlineLevel="1">
      <c r="B4619" s="187">
        <v>29073</v>
      </c>
      <c r="C4619" s="188">
        <v>8.91</v>
      </c>
      <c r="D4619" s="104">
        <f t="shared" si="71"/>
        <v>8.9099999999999999E-2</v>
      </c>
      <c r="F4619" s="5"/>
    </row>
    <row r="4620" spans="2:6" ht="13.8" hidden="1" outlineLevel="1">
      <c r="B4620" s="187">
        <v>29074</v>
      </c>
      <c r="C4620" s="188">
        <v>8.91</v>
      </c>
      <c r="D4620" s="104">
        <f t="shared" si="71"/>
        <v>8.9099999999999999E-2</v>
      </c>
      <c r="F4620" s="5"/>
    </row>
    <row r="4621" spans="2:6" ht="13.8" hidden="1" outlineLevel="1">
      <c r="B4621" s="187">
        <v>29075</v>
      </c>
      <c r="C4621" s="188">
        <v>8.93</v>
      </c>
      <c r="D4621" s="104">
        <f t="shared" si="71"/>
        <v>8.929999999999999E-2</v>
      </c>
      <c r="F4621" s="5"/>
    </row>
    <row r="4622" spans="2:6" ht="13.8" hidden="1" outlineLevel="1">
      <c r="B4622" s="187">
        <v>29076</v>
      </c>
      <c r="C4622" s="188">
        <v>8.9700000000000006</v>
      </c>
      <c r="D4622" s="104">
        <f t="shared" si="71"/>
        <v>8.9700000000000002E-2</v>
      </c>
      <c r="F4622" s="5"/>
    </row>
    <row r="4623" spans="2:6" ht="13.8" hidden="1" outlineLevel="1">
      <c r="B4623" s="187">
        <v>29077</v>
      </c>
      <c r="C4623" s="188">
        <v>9</v>
      </c>
      <c r="D4623" s="104">
        <f t="shared" si="71"/>
        <v>0.09</v>
      </c>
      <c r="F4623" s="5"/>
    </row>
    <row r="4624" spans="2:6" ht="13.8" hidden="1" outlineLevel="1">
      <c r="B4624" s="187">
        <v>29080</v>
      </c>
      <c r="C4624" s="188">
        <v>9</v>
      </c>
      <c r="D4624" s="104">
        <f t="shared" si="71"/>
        <v>0.09</v>
      </c>
      <c r="F4624" s="5"/>
    </row>
    <row r="4625" spans="2:6" ht="13.8" hidden="1" outlineLevel="1">
      <c r="B4625" s="187">
        <v>29081</v>
      </c>
      <c r="C4625" s="188">
        <v>8.98</v>
      </c>
      <c r="D4625" s="104">
        <f t="shared" si="71"/>
        <v>8.9800000000000005E-2</v>
      </c>
      <c r="F4625" s="5"/>
    </row>
    <row r="4626" spans="2:6" ht="13.8" hidden="1" outlineLevel="1">
      <c r="B4626" s="187">
        <v>29082</v>
      </c>
      <c r="C4626" s="188">
        <v>9</v>
      </c>
      <c r="D4626" s="104">
        <f t="shared" si="71"/>
        <v>0.09</v>
      </c>
      <c r="F4626" s="5"/>
    </row>
    <row r="4627" spans="2:6" ht="13.8" hidden="1" outlineLevel="1">
      <c r="B4627" s="187">
        <v>29083</v>
      </c>
      <c r="C4627" s="188">
        <v>9</v>
      </c>
      <c r="D4627" s="104">
        <f t="shared" si="71"/>
        <v>0.09</v>
      </c>
      <c r="F4627" s="5"/>
    </row>
    <row r="4628" spans="2:6" ht="13.8" hidden="1" outlineLevel="1">
      <c r="B4628" s="187">
        <v>29084</v>
      </c>
      <c r="C4628" s="188">
        <v>9.01</v>
      </c>
      <c r="D4628" s="104">
        <f t="shared" si="71"/>
        <v>9.01E-2</v>
      </c>
      <c r="F4628" s="5"/>
    </row>
    <row r="4629" spans="2:6" ht="13.8" hidden="1" outlineLevel="1">
      <c r="B4629" s="187">
        <v>29087</v>
      </c>
      <c r="C4629" s="188">
        <v>9.02</v>
      </c>
      <c r="D4629" s="104">
        <f t="shared" si="71"/>
        <v>9.0200000000000002E-2</v>
      </c>
      <c r="F4629" s="5"/>
    </row>
    <row r="4630" spans="2:6" ht="13.8" hidden="1" outlineLevel="1">
      <c r="B4630" s="187">
        <v>29088</v>
      </c>
      <c r="C4630" s="188">
        <v>9.0399999999999991</v>
      </c>
      <c r="D4630" s="104">
        <f t="shared" si="71"/>
        <v>9.0399999999999994E-2</v>
      </c>
      <c r="F4630" s="5"/>
    </row>
    <row r="4631" spans="2:6" ht="13.8" hidden="1" outlineLevel="1">
      <c r="B4631" s="187">
        <v>29089</v>
      </c>
      <c r="C4631" s="188">
        <v>9.0399999999999991</v>
      </c>
      <c r="D4631" s="104">
        <f t="shared" si="71"/>
        <v>9.0399999999999994E-2</v>
      </c>
      <c r="F4631" s="5"/>
    </row>
    <row r="4632" spans="2:6" ht="13.8" hidden="1" outlineLevel="1">
      <c r="B4632" s="187">
        <v>29090</v>
      </c>
      <c r="C4632" s="188">
        <v>9.0500000000000007</v>
      </c>
      <c r="D4632" s="104">
        <f t="shared" si="71"/>
        <v>9.0500000000000011E-2</v>
      </c>
      <c r="F4632" s="5"/>
    </row>
    <row r="4633" spans="2:6" ht="13.8" hidden="1" outlineLevel="1">
      <c r="B4633" s="187">
        <v>29091</v>
      </c>
      <c r="C4633" s="188">
        <v>9.14</v>
      </c>
      <c r="D4633" s="104">
        <f t="shared" si="71"/>
        <v>9.1400000000000009E-2</v>
      </c>
      <c r="F4633" s="5"/>
    </row>
    <row r="4634" spans="2:6" ht="13.8" hidden="1" outlineLevel="1">
      <c r="B4634" s="187">
        <v>29094</v>
      </c>
      <c r="C4634" s="188">
        <v>9.1199999999999992</v>
      </c>
      <c r="D4634" s="104">
        <f t="shared" si="71"/>
        <v>9.1199999999999989E-2</v>
      </c>
      <c r="F4634" s="5"/>
    </row>
    <row r="4635" spans="2:6" ht="13.8" hidden="1" outlineLevel="1">
      <c r="B4635" s="187">
        <v>29095</v>
      </c>
      <c r="C4635" s="188">
        <v>9.15</v>
      </c>
      <c r="D4635" s="104">
        <f t="shared" si="71"/>
        <v>9.1499999999999998E-2</v>
      </c>
      <c r="F4635" s="5"/>
    </row>
    <row r="4636" spans="2:6" ht="13.8" hidden="1" outlineLevel="1">
      <c r="B4636" s="187">
        <v>29096</v>
      </c>
      <c r="C4636" s="188">
        <v>9.14</v>
      </c>
      <c r="D4636" s="104">
        <f t="shared" si="71"/>
        <v>9.1400000000000009E-2</v>
      </c>
      <c r="F4636" s="5"/>
    </row>
    <row r="4637" spans="2:6" ht="13.8" hidden="1" outlineLevel="1">
      <c r="B4637" s="187">
        <v>29097</v>
      </c>
      <c r="C4637" s="188">
        <v>9.2100000000000009</v>
      </c>
      <c r="D4637" s="104">
        <f t="shared" si="71"/>
        <v>9.2100000000000015E-2</v>
      </c>
      <c r="F4637" s="5"/>
    </row>
    <row r="4638" spans="2:6" ht="13.8" hidden="1" outlineLevel="1">
      <c r="B4638" s="187">
        <v>29098</v>
      </c>
      <c r="C4638" s="188">
        <v>9.24</v>
      </c>
      <c r="D4638" s="104">
        <f t="shared" ref="D4638:D4701" si="72">IF( LEN( C4638 ) = 0, #N/A, IF( C4638 = "ND", D4637, C4638 / 100 ) )</f>
        <v>9.2399999999999996E-2</v>
      </c>
      <c r="F4638" s="5"/>
    </row>
    <row r="4639" spans="2:6" ht="13.8" hidden="1" outlineLevel="1">
      <c r="B4639" s="187">
        <v>29101</v>
      </c>
      <c r="C4639" s="188" t="s">
        <v>380</v>
      </c>
      <c r="D4639" s="104">
        <f t="shared" si="72"/>
        <v>9.2399999999999996E-2</v>
      </c>
      <c r="F4639" s="5"/>
    </row>
    <row r="4640" spans="2:6" ht="13.8" hidden="1" outlineLevel="1">
      <c r="B4640" s="187">
        <v>29102</v>
      </c>
      <c r="C4640" s="188">
        <v>9.32</v>
      </c>
      <c r="D4640" s="104">
        <f t="shared" si="72"/>
        <v>9.3200000000000005E-2</v>
      </c>
      <c r="F4640" s="5"/>
    </row>
    <row r="4641" spans="2:6" ht="13.8" hidden="1" outlineLevel="1">
      <c r="B4641" s="187">
        <v>29103</v>
      </c>
      <c r="C4641" s="188">
        <v>9.32</v>
      </c>
      <c r="D4641" s="104">
        <f t="shared" si="72"/>
        <v>9.3200000000000005E-2</v>
      </c>
      <c r="F4641" s="5"/>
    </row>
    <row r="4642" spans="2:6" ht="13.8" hidden="1" outlineLevel="1">
      <c r="B4642" s="187">
        <v>29104</v>
      </c>
      <c r="C4642" s="188">
        <v>9.35</v>
      </c>
      <c r="D4642" s="104">
        <f t="shared" si="72"/>
        <v>9.35E-2</v>
      </c>
      <c r="F4642" s="5"/>
    </row>
    <row r="4643" spans="2:6" ht="13.8" hidden="1" outlineLevel="1">
      <c r="B4643" s="187">
        <v>29105</v>
      </c>
      <c r="C4643" s="188">
        <v>9.34</v>
      </c>
      <c r="D4643" s="104">
        <f t="shared" si="72"/>
        <v>9.3399999999999997E-2</v>
      </c>
      <c r="F4643" s="5"/>
    </row>
    <row r="4644" spans="2:6" ht="13.8" hidden="1" outlineLevel="1">
      <c r="B4644" s="187">
        <v>29108</v>
      </c>
      <c r="C4644" s="188">
        <v>9.36</v>
      </c>
      <c r="D4644" s="104">
        <f t="shared" si="72"/>
        <v>9.3599999999999989E-2</v>
      </c>
      <c r="F4644" s="5"/>
    </row>
    <row r="4645" spans="2:6" ht="13.8" hidden="1" outlineLevel="1">
      <c r="B4645" s="187">
        <v>29109</v>
      </c>
      <c r="C4645" s="188">
        <v>9.25</v>
      </c>
      <c r="D4645" s="104">
        <f t="shared" si="72"/>
        <v>9.2499999999999999E-2</v>
      </c>
      <c r="F4645" s="5"/>
    </row>
    <row r="4646" spans="2:6" ht="13.8" hidden="1" outlineLevel="1">
      <c r="B4646" s="187">
        <v>29110</v>
      </c>
      <c r="C4646" s="188">
        <v>9.3000000000000007</v>
      </c>
      <c r="D4646" s="104">
        <f t="shared" si="72"/>
        <v>9.3000000000000013E-2</v>
      </c>
      <c r="F4646" s="5"/>
    </row>
    <row r="4647" spans="2:6" ht="13.8" hidden="1" outlineLevel="1">
      <c r="B4647" s="187">
        <v>29111</v>
      </c>
      <c r="C4647" s="188">
        <v>9.34</v>
      </c>
      <c r="D4647" s="104">
        <f t="shared" si="72"/>
        <v>9.3399999999999997E-2</v>
      </c>
      <c r="F4647" s="5"/>
    </row>
    <row r="4648" spans="2:6" ht="13.8" hidden="1" outlineLevel="1">
      <c r="B4648" s="187">
        <v>29112</v>
      </c>
      <c r="C4648" s="188">
        <v>9.2899999999999991</v>
      </c>
      <c r="D4648" s="104">
        <f t="shared" si="72"/>
        <v>9.2899999999999996E-2</v>
      </c>
      <c r="F4648" s="5"/>
    </row>
    <row r="4649" spans="2:6" ht="13.8" hidden="1" outlineLevel="1">
      <c r="B4649" s="187">
        <v>29115</v>
      </c>
      <c r="C4649" s="188">
        <v>9.3699999999999992</v>
      </c>
      <c r="D4649" s="104">
        <f t="shared" si="72"/>
        <v>9.3699999999999992E-2</v>
      </c>
      <c r="F4649" s="5"/>
    </row>
    <row r="4650" spans="2:6" ht="13.8" hidden="1" outlineLevel="1">
      <c r="B4650" s="187">
        <v>29116</v>
      </c>
      <c r="C4650" s="188">
        <v>9.36</v>
      </c>
      <c r="D4650" s="104">
        <f t="shared" si="72"/>
        <v>9.3599999999999989E-2</v>
      </c>
      <c r="F4650" s="5"/>
    </row>
    <row r="4651" spans="2:6" ht="13.8" hidden="1" outlineLevel="1">
      <c r="B4651" s="187">
        <v>29117</v>
      </c>
      <c r="C4651" s="188">
        <v>9.31</v>
      </c>
      <c r="D4651" s="104">
        <f t="shared" si="72"/>
        <v>9.3100000000000002E-2</v>
      </c>
      <c r="F4651" s="5"/>
    </row>
    <row r="4652" spans="2:6" ht="13.8" hidden="1" outlineLevel="1">
      <c r="B4652" s="187">
        <v>29118</v>
      </c>
      <c r="C4652" s="188">
        <v>9.2899999999999991</v>
      </c>
      <c r="D4652" s="104">
        <f t="shared" si="72"/>
        <v>9.2899999999999996E-2</v>
      </c>
      <c r="F4652" s="5"/>
    </row>
    <row r="4653" spans="2:6" ht="13.8" hidden="1" outlineLevel="1">
      <c r="B4653" s="187">
        <v>29119</v>
      </c>
      <c r="C4653" s="188">
        <v>9.26</v>
      </c>
      <c r="D4653" s="104">
        <f t="shared" si="72"/>
        <v>9.2600000000000002E-2</v>
      </c>
      <c r="F4653" s="5"/>
    </row>
    <row r="4654" spans="2:6" ht="13.8" hidden="1" outlineLevel="1">
      <c r="B4654" s="187">
        <v>29122</v>
      </c>
      <c r="C4654" s="188">
        <v>9.34</v>
      </c>
      <c r="D4654" s="104">
        <f t="shared" si="72"/>
        <v>9.3399999999999997E-2</v>
      </c>
      <c r="F4654" s="5"/>
    </row>
    <row r="4655" spans="2:6" ht="13.8" hidden="1" outlineLevel="1">
      <c r="B4655" s="187">
        <v>29123</v>
      </c>
      <c r="C4655" s="188">
        <v>9.32</v>
      </c>
      <c r="D4655" s="104">
        <f t="shared" si="72"/>
        <v>9.3200000000000005E-2</v>
      </c>
      <c r="F4655" s="5"/>
    </row>
    <row r="4656" spans="2:6" ht="13.8" hidden="1" outlineLevel="1">
      <c r="B4656" s="187">
        <v>29124</v>
      </c>
      <c r="C4656" s="188">
        <v>9.36</v>
      </c>
      <c r="D4656" s="104">
        <f t="shared" si="72"/>
        <v>9.3599999999999989E-2</v>
      </c>
      <c r="F4656" s="5"/>
    </row>
    <row r="4657" spans="2:6" ht="13.8" hidden="1" outlineLevel="1">
      <c r="B4657" s="187">
        <v>29125</v>
      </c>
      <c r="C4657" s="188">
        <v>9.44</v>
      </c>
      <c r="D4657" s="104">
        <f t="shared" si="72"/>
        <v>9.4399999999999998E-2</v>
      </c>
      <c r="F4657" s="5"/>
    </row>
    <row r="4658" spans="2:6" ht="13.8" hidden="1" outlineLevel="1">
      <c r="B4658" s="187">
        <v>29126</v>
      </c>
      <c r="C4658" s="188">
        <v>9.44</v>
      </c>
      <c r="D4658" s="104">
        <f t="shared" si="72"/>
        <v>9.4399999999999998E-2</v>
      </c>
      <c r="F4658" s="5"/>
    </row>
    <row r="4659" spans="2:6" ht="13.8" hidden="1" outlineLevel="1">
      <c r="B4659" s="187">
        <v>29129</v>
      </c>
      <c r="C4659" s="188">
        <v>9.51</v>
      </c>
      <c r="D4659" s="104">
        <f t="shared" si="72"/>
        <v>9.5100000000000004E-2</v>
      </c>
      <c r="F4659" s="5"/>
    </row>
    <row r="4660" spans="2:6" ht="13.8" hidden="1" outlineLevel="1">
      <c r="B4660" s="187">
        <v>29130</v>
      </c>
      <c r="C4660" s="188">
        <v>9.4700000000000006</v>
      </c>
      <c r="D4660" s="104">
        <f t="shared" si="72"/>
        <v>9.4700000000000006E-2</v>
      </c>
      <c r="F4660" s="5"/>
    </row>
    <row r="4661" spans="2:6" ht="13.8" hidden="1" outlineLevel="1">
      <c r="B4661" s="187">
        <v>29131</v>
      </c>
      <c r="C4661" s="188">
        <v>9.5</v>
      </c>
      <c r="D4661" s="104">
        <f t="shared" si="72"/>
        <v>9.5000000000000001E-2</v>
      </c>
      <c r="F4661" s="5"/>
    </row>
    <row r="4662" spans="2:6" ht="13.8" hidden="1" outlineLevel="1">
      <c r="B4662" s="187">
        <v>29132</v>
      </c>
      <c r="C4662" s="188">
        <v>9.58</v>
      </c>
      <c r="D4662" s="104">
        <f t="shared" si="72"/>
        <v>9.5799999999999996E-2</v>
      </c>
      <c r="F4662" s="5"/>
    </row>
    <row r="4663" spans="2:6" ht="13.8" hidden="1" outlineLevel="1">
      <c r="B4663" s="187">
        <v>29133</v>
      </c>
      <c r="C4663" s="188">
        <v>9.6</v>
      </c>
      <c r="D4663" s="104">
        <f t="shared" si="72"/>
        <v>9.6000000000000002E-2</v>
      </c>
      <c r="F4663" s="5"/>
    </row>
    <row r="4664" spans="2:6" ht="13.8" hidden="1" outlineLevel="1">
      <c r="B4664" s="187">
        <v>29136</v>
      </c>
      <c r="C4664" s="188" t="s">
        <v>380</v>
      </c>
      <c r="D4664" s="104">
        <f t="shared" si="72"/>
        <v>9.6000000000000002E-2</v>
      </c>
      <c r="F4664" s="5"/>
    </row>
    <row r="4665" spans="2:6" ht="13.8" hidden="1" outlineLevel="1">
      <c r="B4665" s="187">
        <v>29137</v>
      </c>
      <c r="C4665" s="188">
        <v>9.93</v>
      </c>
      <c r="D4665" s="104">
        <f t="shared" si="72"/>
        <v>9.9299999999999999E-2</v>
      </c>
      <c r="F4665" s="5"/>
    </row>
    <row r="4666" spans="2:6" ht="13.8" hidden="1" outlineLevel="1">
      <c r="B4666" s="187">
        <v>29138</v>
      </c>
      <c r="C4666" s="188">
        <v>10.09</v>
      </c>
      <c r="D4666" s="104">
        <f t="shared" si="72"/>
        <v>0.1009</v>
      </c>
      <c r="F4666" s="5"/>
    </row>
    <row r="4667" spans="2:6" ht="13.8" hidden="1" outlineLevel="1">
      <c r="B4667" s="187">
        <v>29139</v>
      </c>
      <c r="C4667" s="188">
        <v>10.17</v>
      </c>
      <c r="D4667" s="104">
        <f t="shared" si="72"/>
        <v>0.1017</v>
      </c>
      <c r="F4667" s="5"/>
    </row>
    <row r="4668" spans="2:6" ht="13.8" hidden="1" outlineLevel="1">
      <c r="B4668" s="187">
        <v>29140</v>
      </c>
      <c r="C4668" s="188">
        <v>10.15</v>
      </c>
      <c r="D4668" s="104">
        <f t="shared" si="72"/>
        <v>0.10150000000000001</v>
      </c>
      <c r="F4668" s="5"/>
    </row>
    <row r="4669" spans="2:6" ht="13.8" hidden="1" outlineLevel="1">
      <c r="B4669" s="187">
        <v>29143</v>
      </c>
      <c r="C4669" s="188">
        <v>10.31</v>
      </c>
      <c r="D4669" s="104">
        <f t="shared" si="72"/>
        <v>0.10310000000000001</v>
      </c>
      <c r="F4669" s="5"/>
    </row>
    <row r="4670" spans="2:6" ht="13.8" hidden="1" outlineLevel="1">
      <c r="B4670" s="187">
        <v>29144</v>
      </c>
      <c r="C4670" s="188">
        <v>10.27</v>
      </c>
      <c r="D4670" s="104">
        <f t="shared" si="72"/>
        <v>0.1027</v>
      </c>
      <c r="F4670" s="5"/>
    </row>
    <row r="4671" spans="2:6" ht="13.8" hidden="1" outlineLevel="1">
      <c r="B4671" s="187">
        <v>29145</v>
      </c>
      <c r="C4671" s="188">
        <v>10.199999999999999</v>
      </c>
      <c r="D4671" s="104">
        <f t="shared" si="72"/>
        <v>0.10199999999999999</v>
      </c>
      <c r="F4671" s="5"/>
    </row>
    <row r="4672" spans="2:6" ht="13.8" hidden="1" outlineLevel="1">
      <c r="B4672" s="187">
        <v>29146</v>
      </c>
      <c r="C4672" s="188">
        <v>10.41</v>
      </c>
      <c r="D4672" s="104">
        <f t="shared" si="72"/>
        <v>0.1041</v>
      </c>
      <c r="F4672" s="5"/>
    </row>
    <row r="4673" spans="2:6" ht="13.8" hidden="1" outlineLevel="1">
      <c r="B4673" s="187">
        <v>29147</v>
      </c>
      <c r="C4673" s="188">
        <v>10.68</v>
      </c>
      <c r="D4673" s="104">
        <f t="shared" si="72"/>
        <v>0.10679999999999999</v>
      </c>
      <c r="F4673" s="5"/>
    </row>
    <row r="4674" spans="2:6" ht="13.8" hidden="1" outlineLevel="1">
      <c r="B4674" s="187">
        <v>29150</v>
      </c>
      <c r="C4674" s="188">
        <v>10.96</v>
      </c>
      <c r="D4674" s="104">
        <f t="shared" si="72"/>
        <v>0.1096</v>
      </c>
      <c r="F4674" s="5"/>
    </row>
    <row r="4675" spans="2:6" ht="13.8" hidden="1" outlineLevel="1">
      <c r="B4675" s="187">
        <v>29151</v>
      </c>
      <c r="C4675" s="188">
        <v>11.02</v>
      </c>
      <c r="D4675" s="104">
        <f t="shared" si="72"/>
        <v>0.11019999999999999</v>
      </c>
      <c r="F4675" s="5"/>
    </row>
    <row r="4676" spans="2:6" ht="13.8" hidden="1" outlineLevel="1">
      <c r="B4676" s="187">
        <v>29152</v>
      </c>
      <c r="C4676" s="188">
        <v>10.83</v>
      </c>
      <c r="D4676" s="104">
        <f t="shared" si="72"/>
        <v>0.10830000000000001</v>
      </c>
      <c r="F4676" s="5"/>
    </row>
    <row r="4677" spans="2:6" ht="13.8" hidden="1" outlineLevel="1">
      <c r="B4677" s="187">
        <v>29153</v>
      </c>
      <c r="C4677" s="188">
        <v>10.98</v>
      </c>
      <c r="D4677" s="104">
        <f t="shared" si="72"/>
        <v>0.10980000000000001</v>
      </c>
      <c r="F4677" s="5"/>
    </row>
    <row r="4678" spans="2:6" ht="13.8" hidden="1" outlineLevel="1">
      <c r="B4678" s="187">
        <v>29154</v>
      </c>
      <c r="C4678" s="188">
        <v>10.67</v>
      </c>
      <c r="D4678" s="104">
        <f t="shared" si="72"/>
        <v>0.1067</v>
      </c>
      <c r="F4678" s="5"/>
    </row>
    <row r="4679" spans="2:6" ht="13.8" hidden="1" outlineLevel="1">
      <c r="B4679" s="187">
        <v>29157</v>
      </c>
      <c r="C4679" s="188">
        <v>10.78</v>
      </c>
      <c r="D4679" s="104">
        <f t="shared" si="72"/>
        <v>0.10779999999999999</v>
      </c>
      <c r="F4679" s="5"/>
    </row>
    <row r="4680" spans="2:6" ht="13.8" hidden="1" outlineLevel="1">
      <c r="B4680" s="187">
        <v>29158</v>
      </c>
      <c r="C4680" s="188">
        <v>10.75</v>
      </c>
      <c r="D4680" s="104">
        <f t="shared" si="72"/>
        <v>0.1075</v>
      </c>
      <c r="F4680" s="5"/>
    </row>
    <row r="4681" spans="2:6" ht="13.8" hidden="1" outlineLevel="1">
      <c r="B4681" s="187">
        <v>29159</v>
      </c>
      <c r="C4681" s="188">
        <v>10.72</v>
      </c>
      <c r="D4681" s="104">
        <f t="shared" si="72"/>
        <v>0.1072</v>
      </c>
      <c r="F4681" s="5"/>
    </row>
    <row r="4682" spans="2:6" ht="13.8" hidden="1" outlineLevel="1">
      <c r="B4682" s="187">
        <v>29160</v>
      </c>
      <c r="C4682" s="188">
        <v>10.79</v>
      </c>
      <c r="D4682" s="104">
        <f t="shared" si="72"/>
        <v>0.1079</v>
      </c>
      <c r="F4682" s="5"/>
    </row>
    <row r="4683" spans="2:6" ht="13.8" hidden="1" outlineLevel="1">
      <c r="B4683" s="187">
        <v>29161</v>
      </c>
      <c r="C4683" s="188">
        <v>10.84</v>
      </c>
      <c r="D4683" s="104">
        <f t="shared" si="72"/>
        <v>0.1084</v>
      </c>
      <c r="F4683" s="5"/>
    </row>
    <row r="4684" spans="2:6" ht="13.8" hidden="1" outlineLevel="1">
      <c r="B4684" s="187">
        <v>29164</v>
      </c>
      <c r="C4684" s="188">
        <v>10.85</v>
      </c>
      <c r="D4684" s="104">
        <f t="shared" si="72"/>
        <v>0.1085</v>
      </c>
      <c r="F4684" s="5"/>
    </row>
    <row r="4685" spans="2:6" ht="13.8" hidden="1" outlineLevel="1">
      <c r="B4685" s="187">
        <v>29165</v>
      </c>
      <c r="C4685" s="188" t="s">
        <v>380</v>
      </c>
      <c r="D4685" s="104">
        <f t="shared" si="72"/>
        <v>0.1085</v>
      </c>
      <c r="F4685" s="5"/>
    </row>
    <row r="4686" spans="2:6" ht="13.8" hidden="1" outlineLevel="1">
      <c r="B4686" s="187">
        <v>29166</v>
      </c>
      <c r="C4686" s="188">
        <v>11</v>
      </c>
      <c r="D4686" s="104">
        <f t="shared" si="72"/>
        <v>0.11</v>
      </c>
      <c r="F4686" s="5"/>
    </row>
    <row r="4687" spans="2:6" ht="13.8" hidden="1" outlineLevel="1">
      <c r="B4687" s="187">
        <v>29167</v>
      </c>
      <c r="C4687" s="188">
        <v>10.96</v>
      </c>
      <c r="D4687" s="104">
        <f t="shared" si="72"/>
        <v>0.1096</v>
      </c>
      <c r="F4687" s="5"/>
    </row>
    <row r="4688" spans="2:6" ht="13.8" hidden="1" outlineLevel="1">
      <c r="B4688" s="187">
        <v>29168</v>
      </c>
      <c r="C4688" s="188">
        <v>10.68</v>
      </c>
      <c r="D4688" s="104">
        <f t="shared" si="72"/>
        <v>0.10679999999999999</v>
      </c>
      <c r="F4688" s="5"/>
    </row>
    <row r="4689" spans="2:6" ht="13.8" hidden="1" outlineLevel="1">
      <c r="B4689" s="187">
        <v>29171</v>
      </c>
      <c r="C4689" s="188" t="s">
        <v>380</v>
      </c>
      <c r="D4689" s="104">
        <f t="shared" si="72"/>
        <v>0.10679999999999999</v>
      </c>
      <c r="F4689" s="5"/>
    </row>
    <row r="4690" spans="2:6" ht="13.8" hidden="1" outlineLevel="1">
      <c r="B4690" s="187">
        <v>29172</v>
      </c>
      <c r="C4690" s="188">
        <v>10.63</v>
      </c>
      <c r="D4690" s="104">
        <f t="shared" si="72"/>
        <v>0.10630000000000001</v>
      </c>
      <c r="F4690" s="5"/>
    </row>
    <row r="4691" spans="2:6" ht="13.8" hidden="1" outlineLevel="1">
      <c r="B4691" s="187">
        <v>29173</v>
      </c>
      <c r="C4691" s="188">
        <v>10.75</v>
      </c>
      <c r="D4691" s="104">
        <f t="shared" si="72"/>
        <v>0.1075</v>
      </c>
      <c r="F4691" s="5"/>
    </row>
    <row r="4692" spans="2:6" ht="13.8" hidden="1" outlineLevel="1">
      <c r="B4692" s="187">
        <v>29174</v>
      </c>
      <c r="C4692" s="188">
        <v>10.62</v>
      </c>
      <c r="D4692" s="104">
        <f t="shared" si="72"/>
        <v>0.10619999999999999</v>
      </c>
      <c r="F4692" s="5"/>
    </row>
    <row r="4693" spans="2:6" ht="13.8" hidden="1" outlineLevel="1">
      <c r="B4693" s="187">
        <v>29175</v>
      </c>
      <c r="C4693" s="188">
        <v>10.77</v>
      </c>
      <c r="D4693" s="104">
        <f t="shared" si="72"/>
        <v>0.10769999999999999</v>
      </c>
      <c r="F4693" s="5"/>
    </row>
    <row r="4694" spans="2:6" ht="13.8" hidden="1" outlineLevel="1">
      <c r="B4694" s="187">
        <v>29178</v>
      </c>
      <c r="C4694" s="188">
        <v>10.8</v>
      </c>
      <c r="D4694" s="104">
        <f t="shared" si="72"/>
        <v>0.10800000000000001</v>
      </c>
      <c r="F4694" s="5"/>
    </row>
    <row r="4695" spans="2:6" ht="13.8" hidden="1" outlineLevel="1">
      <c r="B4695" s="187">
        <v>29179</v>
      </c>
      <c r="C4695" s="188">
        <v>10.78</v>
      </c>
      <c r="D4695" s="104">
        <f t="shared" si="72"/>
        <v>0.10779999999999999</v>
      </c>
      <c r="F4695" s="5"/>
    </row>
    <row r="4696" spans="2:6" ht="13.8" hidden="1" outlineLevel="1">
      <c r="B4696" s="187">
        <v>29180</v>
      </c>
      <c r="C4696" s="188">
        <v>10.73</v>
      </c>
      <c r="D4696" s="104">
        <f t="shared" si="72"/>
        <v>0.10730000000000001</v>
      </c>
      <c r="F4696" s="5"/>
    </row>
    <row r="4697" spans="2:6" ht="13.8" hidden="1" outlineLevel="1">
      <c r="B4697" s="187">
        <v>29181</v>
      </c>
      <c r="C4697" s="188" t="s">
        <v>380</v>
      </c>
      <c r="D4697" s="104">
        <f t="shared" si="72"/>
        <v>0.10730000000000001</v>
      </c>
      <c r="F4697" s="5"/>
    </row>
    <row r="4698" spans="2:6" ht="13.8" hidden="1" outlineLevel="1">
      <c r="B4698" s="187">
        <v>29182</v>
      </c>
      <c r="C4698" s="188">
        <v>10.51</v>
      </c>
      <c r="D4698" s="104">
        <f t="shared" si="72"/>
        <v>0.1051</v>
      </c>
      <c r="F4698" s="5"/>
    </row>
    <row r="4699" spans="2:6" ht="13.8" hidden="1" outlineLevel="1">
      <c r="B4699" s="187">
        <v>29185</v>
      </c>
      <c r="C4699" s="188">
        <v>10.37</v>
      </c>
      <c r="D4699" s="104">
        <f t="shared" si="72"/>
        <v>0.10369999999999999</v>
      </c>
      <c r="F4699" s="5"/>
    </row>
    <row r="4700" spans="2:6" ht="13.8" hidden="1" outlineLevel="1">
      <c r="B4700" s="187">
        <v>29186</v>
      </c>
      <c r="C4700" s="188">
        <v>10.24</v>
      </c>
      <c r="D4700" s="104">
        <f t="shared" si="72"/>
        <v>0.1024</v>
      </c>
      <c r="F4700" s="5"/>
    </row>
    <row r="4701" spans="2:6" ht="13.8" hidden="1" outlineLevel="1">
      <c r="B4701" s="187">
        <v>29187</v>
      </c>
      <c r="C4701" s="188">
        <v>10.37</v>
      </c>
      <c r="D4701" s="104">
        <f t="shared" si="72"/>
        <v>0.10369999999999999</v>
      </c>
      <c r="F4701" s="5"/>
    </row>
    <row r="4702" spans="2:6" ht="13.8" hidden="1" outlineLevel="1">
      <c r="B4702" s="187">
        <v>29188</v>
      </c>
      <c r="C4702" s="188">
        <v>10.34</v>
      </c>
      <c r="D4702" s="104">
        <f t="shared" ref="D4702:D4765" si="73">IF( LEN( C4702 ) = 0, #N/A, IF( C4702 = "ND", D4701, C4702 / 100 ) )</f>
        <v>0.10339999999999999</v>
      </c>
      <c r="F4702" s="5"/>
    </row>
    <row r="4703" spans="2:6" ht="13.8" hidden="1" outlineLevel="1">
      <c r="B4703" s="187">
        <v>29189</v>
      </c>
      <c r="C4703" s="188">
        <v>10.38</v>
      </c>
      <c r="D4703" s="104">
        <f t="shared" si="73"/>
        <v>0.1038</v>
      </c>
      <c r="F4703" s="5"/>
    </row>
    <row r="4704" spans="2:6" ht="13.8" hidden="1" outlineLevel="1">
      <c r="B4704" s="187">
        <v>29192</v>
      </c>
      <c r="C4704" s="188">
        <v>10.44</v>
      </c>
      <c r="D4704" s="104">
        <f t="shared" si="73"/>
        <v>0.10439999999999999</v>
      </c>
      <c r="F4704" s="5"/>
    </row>
    <row r="4705" spans="2:6" ht="13.8" hidden="1" outlineLevel="1">
      <c r="B4705" s="187">
        <v>29193</v>
      </c>
      <c r="C4705" s="188">
        <v>10.32</v>
      </c>
      <c r="D4705" s="104">
        <f t="shared" si="73"/>
        <v>0.1032</v>
      </c>
      <c r="F4705" s="5"/>
    </row>
    <row r="4706" spans="2:6" ht="13.8" hidden="1" outlineLevel="1">
      <c r="B4706" s="187">
        <v>29194</v>
      </c>
      <c r="C4706" s="188">
        <v>10.27</v>
      </c>
      <c r="D4706" s="104">
        <f t="shared" si="73"/>
        <v>0.1027</v>
      </c>
      <c r="F4706" s="5"/>
    </row>
    <row r="4707" spans="2:6" ht="13.8" hidden="1" outlineLevel="1">
      <c r="B4707" s="187">
        <v>29195</v>
      </c>
      <c r="C4707" s="188">
        <v>10.130000000000001</v>
      </c>
      <c r="D4707" s="104">
        <f t="shared" si="73"/>
        <v>0.1013</v>
      </c>
      <c r="F4707" s="5"/>
    </row>
    <row r="4708" spans="2:6" ht="13.8" hidden="1" outlineLevel="1">
      <c r="B4708" s="187">
        <v>29196</v>
      </c>
      <c r="C4708" s="188">
        <v>10.3</v>
      </c>
      <c r="D4708" s="104">
        <f t="shared" si="73"/>
        <v>0.10300000000000001</v>
      </c>
      <c r="F4708" s="5"/>
    </row>
    <row r="4709" spans="2:6" ht="13.8" hidden="1" outlineLevel="1">
      <c r="B4709" s="187">
        <v>29199</v>
      </c>
      <c r="C4709" s="188">
        <v>10.27</v>
      </c>
      <c r="D4709" s="104">
        <f t="shared" si="73"/>
        <v>0.1027</v>
      </c>
      <c r="F4709" s="5"/>
    </row>
    <row r="4710" spans="2:6" ht="13.8" hidden="1" outlineLevel="1">
      <c r="B4710" s="187">
        <v>29200</v>
      </c>
      <c r="C4710" s="188">
        <v>10.46</v>
      </c>
      <c r="D4710" s="104">
        <f t="shared" si="73"/>
        <v>0.10460000000000001</v>
      </c>
      <c r="F4710" s="5"/>
    </row>
    <row r="4711" spans="2:6" ht="13.8" hidden="1" outlineLevel="1">
      <c r="B4711" s="187">
        <v>29201</v>
      </c>
      <c r="C4711" s="188">
        <v>10.58</v>
      </c>
      <c r="D4711" s="104">
        <f t="shared" si="73"/>
        <v>0.10580000000000001</v>
      </c>
      <c r="F4711" s="5"/>
    </row>
    <row r="4712" spans="2:6" ht="13.8" hidden="1" outlineLevel="1">
      <c r="B4712" s="187">
        <v>29202</v>
      </c>
      <c r="C4712" s="188">
        <v>10.51</v>
      </c>
      <c r="D4712" s="104">
        <f t="shared" si="73"/>
        <v>0.1051</v>
      </c>
      <c r="F4712" s="5"/>
    </row>
    <row r="4713" spans="2:6" ht="13.8" hidden="1" outlineLevel="1">
      <c r="B4713" s="187">
        <v>29203</v>
      </c>
      <c r="C4713" s="188">
        <v>10.45</v>
      </c>
      <c r="D4713" s="104">
        <f t="shared" si="73"/>
        <v>0.1045</v>
      </c>
      <c r="F4713" s="5"/>
    </row>
    <row r="4714" spans="2:6" ht="13.8" hidden="1" outlineLevel="1">
      <c r="B4714" s="187">
        <v>29206</v>
      </c>
      <c r="C4714" s="188">
        <v>10.42</v>
      </c>
      <c r="D4714" s="104">
        <f t="shared" si="73"/>
        <v>0.1042</v>
      </c>
      <c r="F4714" s="5"/>
    </row>
    <row r="4715" spans="2:6" ht="13.8" hidden="1" outlineLevel="1">
      <c r="B4715" s="187">
        <v>29207</v>
      </c>
      <c r="C4715" s="188">
        <v>10.34</v>
      </c>
      <c r="D4715" s="104">
        <f t="shared" si="73"/>
        <v>0.10339999999999999</v>
      </c>
      <c r="F4715" s="5"/>
    </row>
    <row r="4716" spans="2:6" ht="13.8" hidden="1" outlineLevel="1">
      <c r="B4716" s="187">
        <v>29208</v>
      </c>
      <c r="C4716" s="188">
        <v>10.33</v>
      </c>
      <c r="D4716" s="104">
        <f t="shared" si="73"/>
        <v>0.1033</v>
      </c>
      <c r="F4716" s="5"/>
    </row>
    <row r="4717" spans="2:6" ht="13.8" hidden="1" outlineLevel="1">
      <c r="B4717" s="187">
        <v>29209</v>
      </c>
      <c r="C4717" s="188">
        <v>10.38</v>
      </c>
      <c r="D4717" s="104">
        <f t="shared" si="73"/>
        <v>0.1038</v>
      </c>
      <c r="F4717" s="5"/>
    </row>
    <row r="4718" spans="2:6" ht="13.8" hidden="1" outlineLevel="1">
      <c r="B4718" s="187">
        <v>29210</v>
      </c>
      <c r="C4718" s="188">
        <v>10.39</v>
      </c>
      <c r="D4718" s="104">
        <f t="shared" si="73"/>
        <v>0.10390000000000001</v>
      </c>
      <c r="F4718" s="5"/>
    </row>
    <row r="4719" spans="2:6" ht="13.8" hidden="1" outlineLevel="1">
      <c r="B4719" s="187">
        <v>29213</v>
      </c>
      <c r="C4719" s="188">
        <v>10.45</v>
      </c>
      <c r="D4719" s="104">
        <f t="shared" si="73"/>
        <v>0.1045</v>
      </c>
      <c r="F4719" s="5"/>
    </row>
    <row r="4720" spans="2:6" ht="13.8" hidden="1" outlineLevel="1">
      <c r="B4720" s="187">
        <v>29214</v>
      </c>
      <c r="C4720" s="188" t="s">
        <v>380</v>
      </c>
      <c r="D4720" s="104">
        <f t="shared" si="73"/>
        <v>0.1045</v>
      </c>
      <c r="F4720" s="5"/>
    </row>
    <row r="4721" spans="2:6" ht="13.8" hidden="1" outlineLevel="1">
      <c r="B4721" s="187">
        <v>29215</v>
      </c>
      <c r="C4721" s="188">
        <v>10.48</v>
      </c>
      <c r="D4721" s="104">
        <f t="shared" si="73"/>
        <v>0.1048</v>
      </c>
      <c r="F4721" s="5"/>
    </row>
    <row r="4722" spans="2:6" ht="13.8" hidden="1" outlineLevel="1">
      <c r="B4722" s="187">
        <v>29216</v>
      </c>
      <c r="C4722" s="188">
        <v>10.46</v>
      </c>
      <c r="D4722" s="104">
        <f t="shared" si="73"/>
        <v>0.10460000000000001</v>
      </c>
      <c r="F4722" s="5"/>
    </row>
    <row r="4723" spans="2:6" ht="13.8" hidden="1" outlineLevel="1">
      <c r="B4723" s="187">
        <v>29217</v>
      </c>
      <c r="C4723" s="188">
        <v>10.41</v>
      </c>
      <c r="D4723" s="104">
        <f t="shared" si="73"/>
        <v>0.1041</v>
      </c>
      <c r="F4723" s="5"/>
    </row>
    <row r="4724" spans="2:6" ht="13.8" hidden="1" outlineLevel="1">
      <c r="B4724" s="187">
        <v>29220</v>
      </c>
      <c r="C4724" s="188">
        <v>10.33</v>
      </c>
      <c r="D4724" s="104">
        <f t="shared" si="73"/>
        <v>0.1033</v>
      </c>
      <c r="F4724" s="5"/>
    </row>
    <row r="4725" spans="2:6" ht="13.8" hidden="1" outlineLevel="1">
      <c r="B4725" s="187">
        <v>29221</v>
      </c>
      <c r="C4725" s="188" t="s">
        <v>380</v>
      </c>
      <c r="D4725" s="104">
        <f t="shared" si="73"/>
        <v>0.1033</v>
      </c>
      <c r="F4725" s="5"/>
    </row>
    <row r="4726" spans="2:6" ht="13.8" hidden="1" outlineLevel="1">
      <c r="B4726" s="187">
        <v>29222</v>
      </c>
      <c r="C4726" s="188">
        <v>10.5</v>
      </c>
      <c r="D4726" s="104">
        <f t="shared" si="73"/>
        <v>0.105</v>
      </c>
      <c r="F4726" s="5"/>
    </row>
    <row r="4727" spans="2:6" ht="13.8" hidden="1" outlineLevel="1">
      <c r="B4727" s="187">
        <v>29223</v>
      </c>
      <c r="C4727" s="188">
        <v>10.6</v>
      </c>
      <c r="D4727" s="104">
        <f t="shared" si="73"/>
        <v>0.106</v>
      </c>
      <c r="F4727" s="5"/>
    </row>
    <row r="4728" spans="2:6" ht="13.8" hidden="1" outlineLevel="1">
      <c r="B4728" s="187">
        <v>29224</v>
      </c>
      <c r="C4728" s="188">
        <v>10.66</v>
      </c>
      <c r="D4728" s="104">
        <f t="shared" si="73"/>
        <v>0.1066</v>
      </c>
      <c r="F4728" s="5"/>
    </row>
    <row r="4729" spans="2:6" ht="13.8" hidden="1" outlineLevel="1">
      <c r="B4729" s="187">
        <v>29227</v>
      </c>
      <c r="C4729" s="188">
        <v>10.63</v>
      </c>
      <c r="D4729" s="104">
        <f t="shared" si="73"/>
        <v>0.10630000000000001</v>
      </c>
      <c r="F4729" s="5"/>
    </row>
    <row r="4730" spans="2:6" ht="13.8" hidden="1" outlineLevel="1">
      <c r="B4730" s="187">
        <v>29228</v>
      </c>
      <c r="C4730" s="188">
        <v>10.57</v>
      </c>
      <c r="D4730" s="104">
        <f t="shared" si="73"/>
        <v>0.1057</v>
      </c>
      <c r="F4730" s="5"/>
    </row>
    <row r="4731" spans="2:6" ht="13.8" hidden="1" outlineLevel="1">
      <c r="B4731" s="187">
        <v>29229</v>
      </c>
      <c r="C4731" s="188">
        <v>10.58</v>
      </c>
      <c r="D4731" s="104">
        <f t="shared" si="73"/>
        <v>0.10580000000000001</v>
      </c>
      <c r="F4731" s="5"/>
    </row>
    <row r="4732" spans="2:6" ht="13.8" hidden="1" outlineLevel="1">
      <c r="B4732" s="187">
        <v>29230</v>
      </c>
      <c r="C4732" s="188">
        <v>10.51</v>
      </c>
      <c r="D4732" s="104">
        <f t="shared" si="73"/>
        <v>0.1051</v>
      </c>
      <c r="F4732" s="5"/>
    </row>
    <row r="4733" spans="2:6" ht="13.8" hidden="1" outlineLevel="1">
      <c r="B4733" s="187">
        <v>29231</v>
      </c>
      <c r="C4733" s="188">
        <v>10.68</v>
      </c>
      <c r="D4733" s="104">
        <f t="shared" si="73"/>
        <v>0.10679999999999999</v>
      </c>
      <c r="F4733" s="5"/>
    </row>
    <row r="4734" spans="2:6" ht="13.8" hidden="1" outlineLevel="1">
      <c r="B4734" s="187">
        <v>29234</v>
      </c>
      <c r="C4734" s="188">
        <v>10.7</v>
      </c>
      <c r="D4734" s="104">
        <f t="shared" si="73"/>
        <v>0.107</v>
      </c>
      <c r="F4734" s="5"/>
    </row>
    <row r="4735" spans="2:6" ht="13.8" hidden="1" outlineLevel="1">
      <c r="B4735" s="187">
        <v>29235</v>
      </c>
      <c r="C4735" s="188">
        <v>10.65</v>
      </c>
      <c r="D4735" s="104">
        <f t="shared" si="73"/>
        <v>0.1065</v>
      </c>
      <c r="F4735" s="5"/>
    </row>
    <row r="4736" spans="2:6" ht="13.8" hidden="1" outlineLevel="1">
      <c r="B4736" s="187">
        <v>29236</v>
      </c>
      <c r="C4736" s="188">
        <v>10.65</v>
      </c>
      <c r="D4736" s="104">
        <f t="shared" si="73"/>
        <v>0.1065</v>
      </c>
      <c r="F4736" s="5"/>
    </row>
    <row r="4737" spans="2:6" ht="13.8" hidden="1" outlineLevel="1">
      <c r="B4737" s="187">
        <v>29237</v>
      </c>
      <c r="C4737" s="188">
        <v>10.71</v>
      </c>
      <c r="D4737" s="104">
        <f t="shared" si="73"/>
        <v>0.10710000000000001</v>
      </c>
      <c r="F4737" s="5"/>
    </row>
    <row r="4738" spans="2:6" ht="13.8" hidden="1" outlineLevel="1">
      <c r="B4738" s="187">
        <v>29238</v>
      </c>
      <c r="C4738" s="188">
        <v>10.82</v>
      </c>
      <c r="D4738" s="104">
        <f t="shared" si="73"/>
        <v>0.1082</v>
      </c>
      <c r="F4738" s="5"/>
    </row>
    <row r="4739" spans="2:6" ht="13.8" hidden="1" outlineLevel="1">
      <c r="B4739" s="187">
        <v>29241</v>
      </c>
      <c r="C4739" s="188">
        <v>10.96</v>
      </c>
      <c r="D4739" s="104">
        <f t="shared" si="73"/>
        <v>0.1096</v>
      </c>
      <c r="F4739" s="5"/>
    </row>
    <row r="4740" spans="2:6" ht="13.8" hidden="1" outlineLevel="1">
      <c r="B4740" s="187">
        <v>29242</v>
      </c>
      <c r="C4740" s="188">
        <v>10.85</v>
      </c>
      <c r="D4740" s="104">
        <f t="shared" si="73"/>
        <v>0.1085</v>
      </c>
      <c r="F4740" s="5"/>
    </row>
    <row r="4741" spans="2:6" ht="13.8" hidden="1" outlineLevel="1">
      <c r="B4741" s="187">
        <v>29243</v>
      </c>
      <c r="C4741" s="188">
        <v>10.82</v>
      </c>
      <c r="D4741" s="104">
        <f t="shared" si="73"/>
        <v>0.1082</v>
      </c>
      <c r="F4741" s="5"/>
    </row>
    <row r="4742" spans="2:6" ht="13.8" hidden="1" outlineLevel="1">
      <c r="B4742" s="187">
        <v>29244</v>
      </c>
      <c r="C4742" s="188">
        <v>11.01</v>
      </c>
      <c r="D4742" s="104">
        <f t="shared" si="73"/>
        <v>0.1101</v>
      </c>
      <c r="F4742" s="5"/>
    </row>
    <row r="4743" spans="2:6" ht="13.8" hidden="1" outlineLevel="1">
      <c r="B4743" s="187">
        <v>29245</v>
      </c>
      <c r="C4743" s="188">
        <v>11.1</v>
      </c>
      <c r="D4743" s="104">
        <f t="shared" si="73"/>
        <v>0.111</v>
      </c>
      <c r="F4743" s="5"/>
    </row>
    <row r="4744" spans="2:6" ht="13.8" hidden="1" outlineLevel="1">
      <c r="B4744" s="187">
        <v>29248</v>
      </c>
      <c r="C4744" s="188">
        <v>11.15</v>
      </c>
      <c r="D4744" s="104">
        <f t="shared" si="73"/>
        <v>0.1115</v>
      </c>
      <c r="F4744" s="5"/>
    </row>
    <row r="4745" spans="2:6" ht="13.8" hidden="1" outlineLevel="1">
      <c r="B4745" s="187">
        <v>29249</v>
      </c>
      <c r="C4745" s="188">
        <v>11.21</v>
      </c>
      <c r="D4745" s="104">
        <f t="shared" si="73"/>
        <v>0.11210000000000001</v>
      </c>
      <c r="F4745" s="5"/>
    </row>
    <row r="4746" spans="2:6" ht="13.8" hidden="1" outlineLevel="1">
      <c r="B4746" s="187">
        <v>29250</v>
      </c>
      <c r="C4746" s="188">
        <v>11.16</v>
      </c>
      <c r="D4746" s="104">
        <f t="shared" si="73"/>
        <v>0.1116</v>
      </c>
      <c r="F4746" s="5"/>
    </row>
    <row r="4747" spans="2:6" ht="13.8" hidden="1" outlineLevel="1">
      <c r="B4747" s="187">
        <v>29251</v>
      </c>
      <c r="C4747" s="188">
        <v>11.13</v>
      </c>
      <c r="D4747" s="104">
        <f t="shared" si="73"/>
        <v>0.11130000000000001</v>
      </c>
      <c r="F4747" s="5"/>
    </row>
    <row r="4748" spans="2:6" ht="13.8" hidden="1" outlineLevel="1">
      <c r="B4748" s="187">
        <v>29252</v>
      </c>
      <c r="C4748" s="188">
        <v>11.29</v>
      </c>
      <c r="D4748" s="104">
        <f t="shared" si="73"/>
        <v>0.11289999999999999</v>
      </c>
      <c r="F4748" s="5"/>
    </row>
    <row r="4749" spans="2:6" ht="13.8" hidden="1" outlineLevel="1">
      <c r="B4749" s="187">
        <v>29255</v>
      </c>
      <c r="C4749" s="188">
        <v>11.4</v>
      </c>
      <c r="D4749" s="104">
        <f t="shared" si="73"/>
        <v>0.114</v>
      </c>
      <c r="F4749" s="5"/>
    </row>
    <row r="4750" spans="2:6" ht="13.8" hidden="1" outlineLevel="1">
      <c r="B4750" s="187">
        <v>29256</v>
      </c>
      <c r="C4750" s="188">
        <v>11.73</v>
      </c>
      <c r="D4750" s="104">
        <f t="shared" si="73"/>
        <v>0.1173</v>
      </c>
      <c r="F4750" s="5"/>
    </row>
    <row r="4751" spans="2:6" ht="13.8" hidden="1" outlineLevel="1">
      <c r="B4751" s="187">
        <v>29257</v>
      </c>
      <c r="C4751" s="188">
        <v>11.92</v>
      </c>
      <c r="D4751" s="104">
        <f t="shared" si="73"/>
        <v>0.1192</v>
      </c>
      <c r="F4751" s="5"/>
    </row>
    <row r="4752" spans="2:6" ht="13.8" hidden="1" outlineLevel="1">
      <c r="B4752" s="187">
        <v>29258</v>
      </c>
      <c r="C4752" s="188">
        <v>11.71</v>
      </c>
      <c r="D4752" s="104">
        <f t="shared" si="73"/>
        <v>0.11710000000000001</v>
      </c>
      <c r="F4752" s="5"/>
    </row>
    <row r="4753" spans="2:6" ht="13.8" hidden="1" outlineLevel="1">
      <c r="B4753" s="187">
        <v>29259</v>
      </c>
      <c r="C4753" s="188">
        <v>11.8</v>
      </c>
      <c r="D4753" s="104">
        <f t="shared" si="73"/>
        <v>0.11800000000000001</v>
      </c>
      <c r="F4753" s="5"/>
    </row>
    <row r="4754" spans="2:6" ht="13.8" hidden="1" outlineLevel="1">
      <c r="B4754" s="187">
        <v>29262</v>
      </c>
      <c r="C4754" s="188">
        <v>12.01</v>
      </c>
      <c r="D4754" s="104">
        <f t="shared" si="73"/>
        <v>0.1201</v>
      </c>
      <c r="F4754" s="5"/>
    </row>
    <row r="4755" spans="2:6" ht="13.8" hidden="1" outlineLevel="1">
      <c r="B4755" s="187">
        <v>29263</v>
      </c>
      <c r="C4755" s="188" t="s">
        <v>380</v>
      </c>
      <c r="D4755" s="104">
        <f t="shared" si="73"/>
        <v>0.1201</v>
      </c>
      <c r="F4755" s="5"/>
    </row>
    <row r="4756" spans="2:6" ht="13.8" hidden="1" outlineLevel="1">
      <c r="B4756" s="187">
        <v>29264</v>
      </c>
      <c r="C4756" s="188">
        <v>11.86</v>
      </c>
      <c r="D4756" s="104">
        <f t="shared" si="73"/>
        <v>0.1186</v>
      </c>
      <c r="F4756" s="5"/>
    </row>
    <row r="4757" spans="2:6" ht="13.8" hidden="1" outlineLevel="1">
      <c r="B4757" s="187">
        <v>29265</v>
      </c>
      <c r="C4757" s="188">
        <v>11.97</v>
      </c>
      <c r="D4757" s="104">
        <f t="shared" si="73"/>
        <v>0.1197</v>
      </c>
      <c r="F4757" s="5"/>
    </row>
    <row r="4758" spans="2:6" ht="13.8" hidden="1" outlineLevel="1">
      <c r="B4758" s="187">
        <v>29266</v>
      </c>
      <c r="C4758" s="188">
        <v>12.2</v>
      </c>
      <c r="D4758" s="104">
        <f t="shared" si="73"/>
        <v>0.122</v>
      </c>
      <c r="F4758" s="5"/>
    </row>
    <row r="4759" spans="2:6" ht="13.8" hidden="1" outlineLevel="1">
      <c r="B4759" s="187">
        <v>29269</v>
      </c>
      <c r="C4759" s="188" t="s">
        <v>380</v>
      </c>
      <c r="D4759" s="104">
        <f t="shared" si="73"/>
        <v>0.122</v>
      </c>
      <c r="F4759" s="5"/>
    </row>
    <row r="4760" spans="2:6" ht="13.8" hidden="1" outlineLevel="1">
      <c r="B4760" s="187">
        <v>29270</v>
      </c>
      <c r="C4760" s="188">
        <v>12.85</v>
      </c>
      <c r="D4760" s="104">
        <f t="shared" si="73"/>
        <v>0.1285</v>
      </c>
      <c r="F4760" s="5"/>
    </row>
    <row r="4761" spans="2:6" ht="13.8" hidden="1" outlineLevel="1">
      <c r="B4761" s="187">
        <v>29271</v>
      </c>
      <c r="C4761" s="188">
        <v>12.84</v>
      </c>
      <c r="D4761" s="104">
        <f t="shared" si="73"/>
        <v>0.12839999999999999</v>
      </c>
      <c r="F4761" s="5"/>
    </row>
    <row r="4762" spans="2:6" ht="13.8" hidden="1" outlineLevel="1">
      <c r="B4762" s="187">
        <v>29272</v>
      </c>
      <c r="C4762" s="188">
        <v>13.22</v>
      </c>
      <c r="D4762" s="104">
        <f t="shared" si="73"/>
        <v>0.13220000000000001</v>
      </c>
      <c r="F4762" s="5"/>
    </row>
    <row r="4763" spans="2:6" ht="13.8" hidden="1" outlineLevel="1">
      <c r="B4763" s="187">
        <v>29273</v>
      </c>
      <c r="C4763" s="188">
        <v>13.06</v>
      </c>
      <c r="D4763" s="104">
        <f t="shared" si="73"/>
        <v>0.13059999999999999</v>
      </c>
      <c r="F4763" s="5"/>
    </row>
    <row r="4764" spans="2:6" ht="13.8" hidden="1" outlineLevel="1">
      <c r="B4764" s="187">
        <v>29276</v>
      </c>
      <c r="C4764" s="188">
        <v>13.27</v>
      </c>
      <c r="D4764" s="104">
        <f t="shared" si="73"/>
        <v>0.13269999999999998</v>
      </c>
      <c r="F4764" s="5"/>
    </row>
    <row r="4765" spans="2:6" ht="13.8" hidden="1" outlineLevel="1">
      <c r="B4765" s="187">
        <v>29277</v>
      </c>
      <c r="C4765" s="188">
        <v>13.65</v>
      </c>
      <c r="D4765" s="104">
        <f t="shared" si="73"/>
        <v>0.13650000000000001</v>
      </c>
      <c r="F4765" s="5"/>
    </row>
    <row r="4766" spans="2:6" ht="13.8" hidden="1" outlineLevel="1">
      <c r="B4766" s="187">
        <v>29278</v>
      </c>
      <c r="C4766" s="188">
        <v>13.46</v>
      </c>
      <c r="D4766" s="104">
        <f t="shared" ref="D4766:D4829" si="74">IF( LEN( C4766 ) = 0, #N/A, IF( C4766 = "ND", D4765, C4766 / 100 ) )</f>
        <v>0.1346</v>
      </c>
      <c r="F4766" s="5"/>
    </row>
    <row r="4767" spans="2:6" ht="13.8" hidden="1" outlineLevel="1">
      <c r="B4767" s="187">
        <v>29279</v>
      </c>
      <c r="C4767" s="188">
        <v>12.92</v>
      </c>
      <c r="D4767" s="104">
        <f t="shared" si="74"/>
        <v>0.12920000000000001</v>
      </c>
      <c r="F4767" s="5"/>
    </row>
    <row r="4768" spans="2:6" ht="13.8" hidden="1" outlineLevel="1">
      <c r="B4768" s="187">
        <v>29280</v>
      </c>
      <c r="C4768" s="188">
        <v>12.72</v>
      </c>
      <c r="D4768" s="104">
        <f t="shared" si="74"/>
        <v>0.12720000000000001</v>
      </c>
      <c r="F4768" s="5"/>
    </row>
    <row r="4769" spans="2:6" ht="13.8" hidden="1" outlineLevel="1">
      <c r="B4769" s="187">
        <v>29283</v>
      </c>
      <c r="C4769" s="188">
        <v>12.79</v>
      </c>
      <c r="D4769" s="104">
        <f t="shared" si="74"/>
        <v>0.12789999999999999</v>
      </c>
      <c r="F4769" s="5"/>
    </row>
    <row r="4770" spans="2:6" ht="13.8" hidden="1" outlineLevel="1">
      <c r="B4770" s="187">
        <v>29284</v>
      </c>
      <c r="C4770" s="188">
        <v>12.91</v>
      </c>
      <c r="D4770" s="104">
        <f t="shared" si="74"/>
        <v>0.12909999999999999</v>
      </c>
      <c r="F4770" s="5"/>
    </row>
    <row r="4771" spans="2:6" ht="13.8" hidden="1" outlineLevel="1">
      <c r="B4771" s="187">
        <v>29285</v>
      </c>
      <c r="C4771" s="188">
        <v>13.03</v>
      </c>
      <c r="D4771" s="104">
        <f t="shared" si="74"/>
        <v>0.1303</v>
      </c>
      <c r="F4771" s="5"/>
    </row>
    <row r="4772" spans="2:6" ht="13.8" hidden="1" outlineLevel="1">
      <c r="B4772" s="187">
        <v>29286</v>
      </c>
      <c r="C4772" s="188">
        <v>13.13</v>
      </c>
      <c r="D4772" s="104">
        <f t="shared" si="74"/>
        <v>0.1313</v>
      </c>
      <c r="F4772" s="5"/>
    </row>
    <row r="4773" spans="2:6" ht="13.8" hidden="1" outlineLevel="1">
      <c r="B4773" s="187">
        <v>29287</v>
      </c>
      <c r="C4773" s="188">
        <v>12.86</v>
      </c>
      <c r="D4773" s="104">
        <f t="shared" si="74"/>
        <v>0.12859999999999999</v>
      </c>
      <c r="F4773" s="5"/>
    </row>
    <row r="4774" spans="2:6" ht="13.8" hidden="1" outlineLevel="1">
      <c r="B4774" s="187">
        <v>29290</v>
      </c>
      <c r="C4774" s="188">
        <v>12.63</v>
      </c>
      <c r="D4774" s="104">
        <f t="shared" si="74"/>
        <v>0.1263</v>
      </c>
      <c r="F4774" s="5"/>
    </row>
    <row r="4775" spans="2:6" ht="13.8" hidden="1" outlineLevel="1">
      <c r="B4775" s="187">
        <v>29291</v>
      </c>
      <c r="C4775" s="188">
        <v>12.41</v>
      </c>
      <c r="D4775" s="104">
        <f t="shared" si="74"/>
        <v>0.1241</v>
      </c>
      <c r="F4775" s="5"/>
    </row>
    <row r="4776" spans="2:6" ht="13.8" hidden="1" outlineLevel="1">
      <c r="B4776" s="187">
        <v>29292</v>
      </c>
      <c r="C4776" s="188">
        <v>12.62</v>
      </c>
      <c r="D4776" s="104">
        <f t="shared" si="74"/>
        <v>0.12619999999999998</v>
      </c>
      <c r="F4776" s="5"/>
    </row>
    <row r="4777" spans="2:6" ht="13.8" hidden="1" outlineLevel="1">
      <c r="B4777" s="187">
        <v>29293</v>
      </c>
      <c r="C4777" s="188">
        <v>12.5</v>
      </c>
      <c r="D4777" s="104">
        <f t="shared" si="74"/>
        <v>0.125</v>
      </c>
      <c r="F4777" s="5"/>
    </row>
    <row r="4778" spans="2:6" ht="13.8" hidden="1" outlineLevel="1">
      <c r="B4778" s="187">
        <v>29294</v>
      </c>
      <c r="C4778" s="188">
        <v>12.52</v>
      </c>
      <c r="D4778" s="104">
        <f t="shared" si="74"/>
        <v>0.12520000000000001</v>
      </c>
      <c r="F4778" s="5"/>
    </row>
    <row r="4779" spans="2:6" ht="13.8" hidden="1" outlineLevel="1">
      <c r="B4779" s="187">
        <v>29297</v>
      </c>
      <c r="C4779" s="188">
        <v>12.58</v>
      </c>
      <c r="D4779" s="104">
        <f t="shared" si="74"/>
        <v>0.1258</v>
      </c>
      <c r="F4779" s="5"/>
    </row>
    <row r="4780" spans="2:6" ht="13.8" hidden="1" outlineLevel="1">
      <c r="B4780" s="187">
        <v>29298</v>
      </c>
      <c r="C4780" s="188">
        <v>12.4</v>
      </c>
      <c r="D4780" s="104">
        <f t="shared" si="74"/>
        <v>0.124</v>
      </c>
      <c r="F4780" s="5"/>
    </row>
    <row r="4781" spans="2:6" ht="13.8" hidden="1" outlineLevel="1">
      <c r="B4781" s="187">
        <v>29299</v>
      </c>
      <c r="C4781" s="188">
        <v>12.35</v>
      </c>
      <c r="D4781" s="104">
        <f t="shared" si="74"/>
        <v>0.1235</v>
      </c>
      <c r="F4781" s="5"/>
    </row>
    <row r="4782" spans="2:6" ht="13.8" hidden="1" outlineLevel="1">
      <c r="B4782" s="187">
        <v>29300</v>
      </c>
      <c r="C4782" s="188">
        <v>12.62</v>
      </c>
      <c r="D4782" s="104">
        <f t="shared" si="74"/>
        <v>0.12619999999999998</v>
      </c>
      <c r="F4782" s="5"/>
    </row>
    <row r="4783" spans="2:6" ht="13.8" hidden="1" outlineLevel="1">
      <c r="B4783" s="187">
        <v>29301</v>
      </c>
      <c r="C4783" s="188">
        <v>12.75</v>
      </c>
      <c r="D4783" s="104">
        <f t="shared" si="74"/>
        <v>0.1275</v>
      </c>
      <c r="F4783" s="5"/>
    </row>
    <row r="4784" spans="2:6" ht="13.8" hidden="1" outlineLevel="1">
      <c r="B4784" s="187">
        <v>29304</v>
      </c>
      <c r="C4784" s="188">
        <v>13.17</v>
      </c>
      <c r="D4784" s="104">
        <f t="shared" si="74"/>
        <v>0.13170000000000001</v>
      </c>
      <c r="F4784" s="5"/>
    </row>
    <row r="4785" spans="2:6" ht="13.8" hidden="1" outlineLevel="1">
      <c r="B4785" s="187">
        <v>29305</v>
      </c>
      <c r="C4785" s="188">
        <v>13.1</v>
      </c>
      <c r="D4785" s="104">
        <f t="shared" si="74"/>
        <v>0.13100000000000001</v>
      </c>
      <c r="F4785" s="5"/>
    </row>
    <row r="4786" spans="2:6" ht="13.8" hidden="1" outlineLevel="1">
      <c r="B4786" s="187">
        <v>29306</v>
      </c>
      <c r="C4786" s="188">
        <v>13.03</v>
      </c>
      <c r="D4786" s="104">
        <f t="shared" si="74"/>
        <v>0.1303</v>
      </c>
      <c r="F4786" s="5"/>
    </row>
    <row r="4787" spans="2:6" ht="13.8" hidden="1" outlineLevel="1">
      <c r="B4787" s="187">
        <v>29307</v>
      </c>
      <c r="C4787" s="188">
        <v>12.97</v>
      </c>
      <c r="D4787" s="104">
        <f t="shared" si="74"/>
        <v>0.12970000000000001</v>
      </c>
      <c r="F4787" s="5"/>
    </row>
    <row r="4788" spans="2:6" ht="13.8" hidden="1" outlineLevel="1">
      <c r="B4788" s="187">
        <v>29308</v>
      </c>
      <c r="C4788" s="188">
        <v>12.72</v>
      </c>
      <c r="D4788" s="104">
        <f t="shared" si="74"/>
        <v>0.12720000000000001</v>
      </c>
      <c r="F4788" s="5"/>
    </row>
    <row r="4789" spans="2:6" ht="13.8" hidden="1" outlineLevel="1">
      <c r="B4789" s="187">
        <v>29311</v>
      </c>
      <c r="C4789" s="188">
        <v>12.64</v>
      </c>
      <c r="D4789" s="104">
        <f t="shared" si="74"/>
        <v>0.12640000000000001</v>
      </c>
      <c r="F4789" s="5"/>
    </row>
    <row r="4790" spans="2:6" ht="13.8" hidden="1" outlineLevel="1">
      <c r="B4790" s="187">
        <v>29312</v>
      </c>
      <c r="C4790" s="188">
        <v>12.69</v>
      </c>
      <c r="D4790" s="104">
        <f t="shared" si="74"/>
        <v>0.12689999999999999</v>
      </c>
      <c r="F4790" s="5"/>
    </row>
    <row r="4791" spans="2:6" ht="13.8" hidden="1" outlineLevel="1">
      <c r="B4791" s="187">
        <v>29313</v>
      </c>
      <c r="C4791" s="188">
        <v>12.63</v>
      </c>
      <c r="D4791" s="104">
        <f t="shared" si="74"/>
        <v>0.1263</v>
      </c>
      <c r="F4791" s="5"/>
    </row>
    <row r="4792" spans="2:6" ht="13.8" hidden="1" outlineLevel="1">
      <c r="B4792" s="187">
        <v>29314</v>
      </c>
      <c r="C4792" s="188">
        <v>12.52</v>
      </c>
      <c r="D4792" s="104">
        <f t="shared" si="74"/>
        <v>0.12520000000000001</v>
      </c>
      <c r="F4792" s="5"/>
    </row>
    <row r="4793" spans="2:6" ht="13.8" hidden="1" outlineLevel="1">
      <c r="B4793" s="187">
        <v>29315</v>
      </c>
      <c r="C4793" s="188" t="s">
        <v>380</v>
      </c>
      <c r="D4793" s="104">
        <f t="shared" si="74"/>
        <v>0.12520000000000001</v>
      </c>
      <c r="F4793" s="5"/>
    </row>
    <row r="4794" spans="2:6" ht="13.8" hidden="1" outlineLevel="1">
      <c r="B4794" s="187">
        <v>29318</v>
      </c>
      <c r="C4794" s="188">
        <v>12.13</v>
      </c>
      <c r="D4794" s="104">
        <f t="shared" si="74"/>
        <v>0.12130000000000001</v>
      </c>
      <c r="F4794" s="5"/>
    </row>
    <row r="4795" spans="2:6" ht="13.8" hidden="1" outlineLevel="1">
      <c r="B4795" s="187">
        <v>29319</v>
      </c>
      <c r="C4795" s="188">
        <v>12.21</v>
      </c>
      <c r="D4795" s="104">
        <f t="shared" si="74"/>
        <v>0.12210000000000001</v>
      </c>
      <c r="F4795" s="5"/>
    </row>
    <row r="4796" spans="2:6" ht="13.8" hidden="1" outlineLevel="1">
      <c r="B4796" s="187">
        <v>29320</v>
      </c>
      <c r="C4796" s="188">
        <v>12.06</v>
      </c>
      <c r="D4796" s="104">
        <f t="shared" si="74"/>
        <v>0.1206</v>
      </c>
      <c r="F4796" s="5"/>
    </row>
    <row r="4797" spans="2:6" ht="13.8" hidden="1" outlineLevel="1">
      <c r="B4797" s="187">
        <v>29321</v>
      </c>
      <c r="C4797" s="188">
        <v>12.06</v>
      </c>
      <c r="D4797" s="104">
        <f t="shared" si="74"/>
        <v>0.1206</v>
      </c>
      <c r="F4797" s="5"/>
    </row>
    <row r="4798" spans="2:6" ht="13.8" hidden="1" outlineLevel="1">
      <c r="B4798" s="187">
        <v>29322</v>
      </c>
      <c r="C4798" s="188">
        <v>11.79</v>
      </c>
      <c r="D4798" s="104">
        <f t="shared" si="74"/>
        <v>0.11789999999999999</v>
      </c>
      <c r="F4798" s="5"/>
    </row>
    <row r="4799" spans="2:6" ht="13.8" hidden="1" outlineLevel="1">
      <c r="B4799" s="187">
        <v>29325</v>
      </c>
      <c r="C4799" s="188">
        <v>11.62</v>
      </c>
      <c r="D4799" s="104">
        <f t="shared" si="74"/>
        <v>0.1162</v>
      </c>
      <c r="F4799" s="5"/>
    </row>
    <row r="4800" spans="2:6" ht="13.8" hidden="1" outlineLevel="1">
      <c r="B4800" s="187">
        <v>29326</v>
      </c>
      <c r="C4800" s="188">
        <v>11.57</v>
      </c>
      <c r="D4800" s="104">
        <f t="shared" si="74"/>
        <v>0.1157</v>
      </c>
      <c r="F4800" s="5"/>
    </row>
    <row r="4801" spans="2:6" ht="13.8" hidden="1" outlineLevel="1">
      <c r="B4801" s="187">
        <v>29327</v>
      </c>
      <c r="C4801" s="188">
        <v>10.9</v>
      </c>
      <c r="D4801" s="104">
        <f t="shared" si="74"/>
        <v>0.109</v>
      </c>
      <c r="F4801" s="5"/>
    </row>
    <row r="4802" spans="2:6" ht="13.8" hidden="1" outlineLevel="1">
      <c r="B4802" s="187">
        <v>29328</v>
      </c>
      <c r="C4802" s="188">
        <v>11.13</v>
      </c>
      <c r="D4802" s="104">
        <f t="shared" si="74"/>
        <v>0.11130000000000001</v>
      </c>
      <c r="F4802" s="5"/>
    </row>
    <row r="4803" spans="2:6" ht="13.8" hidden="1" outlineLevel="1">
      <c r="B4803" s="187">
        <v>29329</v>
      </c>
      <c r="C4803" s="188">
        <v>11.05</v>
      </c>
      <c r="D4803" s="104">
        <f t="shared" si="74"/>
        <v>0.1105</v>
      </c>
      <c r="F4803" s="5"/>
    </row>
    <row r="4804" spans="2:6" ht="13.8" hidden="1" outlineLevel="1">
      <c r="B4804" s="187">
        <v>29332</v>
      </c>
      <c r="C4804" s="188">
        <v>10.9</v>
      </c>
      <c r="D4804" s="104">
        <f t="shared" si="74"/>
        <v>0.109</v>
      </c>
      <c r="F4804" s="5"/>
    </row>
    <row r="4805" spans="2:6" ht="13.8" hidden="1" outlineLevel="1">
      <c r="B4805" s="187">
        <v>29333</v>
      </c>
      <c r="C4805" s="188">
        <v>10.82</v>
      </c>
      <c r="D4805" s="104">
        <f t="shared" si="74"/>
        <v>0.1082</v>
      </c>
      <c r="F4805" s="5"/>
    </row>
    <row r="4806" spans="2:6" ht="13.8" hidden="1" outlineLevel="1">
      <c r="B4806" s="187">
        <v>29334</v>
      </c>
      <c r="C4806" s="188">
        <v>10.89</v>
      </c>
      <c r="D4806" s="104">
        <f t="shared" si="74"/>
        <v>0.10890000000000001</v>
      </c>
      <c r="F4806" s="5"/>
    </row>
    <row r="4807" spans="2:6" ht="13.8" hidden="1" outlineLevel="1">
      <c r="B4807" s="187">
        <v>29335</v>
      </c>
      <c r="C4807" s="188">
        <v>10.96</v>
      </c>
      <c r="D4807" s="104">
        <f t="shared" si="74"/>
        <v>0.1096</v>
      </c>
      <c r="F4807" s="5"/>
    </row>
    <row r="4808" spans="2:6" ht="13.8" hidden="1" outlineLevel="1">
      <c r="B4808" s="187">
        <v>29336</v>
      </c>
      <c r="C4808" s="188">
        <v>10.95</v>
      </c>
      <c r="D4808" s="104">
        <f t="shared" si="74"/>
        <v>0.10949999999999999</v>
      </c>
      <c r="F4808" s="5"/>
    </row>
    <row r="4809" spans="2:6" ht="13.8" hidden="1" outlineLevel="1">
      <c r="B4809" s="187">
        <v>29339</v>
      </c>
      <c r="C4809" s="188">
        <v>10.63</v>
      </c>
      <c r="D4809" s="104">
        <f t="shared" si="74"/>
        <v>0.10630000000000001</v>
      </c>
      <c r="F4809" s="5"/>
    </row>
    <row r="4810" spans="2:6" ht="13.8" hidden="1" outlineLevel="1">
      <c r="B4810" s="187">
        <v>29340</v>
      </c>
      <c r="C4810" s="188">
        <v>10.67</v>
      </c>
      <c r="D4810" s="104">
        <f t="shared" si="74"/>
        <v>0.1067</v>
      </c>
      <c r="F4810" s="5"/>
    </row>
    <row r="4811" spans="2:6" ht="13.8" hidden="1" outlineLevel="1">
      <c r="B4811" s="187">
        <v>29341</v>
      </c>
      <c r="C4811" s="188">
        <v>10.76</v>
      </c>
      <c r="D4811" s="104">
        <f t="shared" si="74"/>
        <v>0.1076</v>
      </c>
      <c r="F4811" s="5"/>
    </row>
    <row r="4812" spans="2:6" ht="13.8" hidden="1" outlineLevel="1">
      <c r="B4812" s="187">
        <v>29342</v>
      </c>
      <c r="C4812" s="188">
        <v>10.57</v>
      </c>
      <c r="D4812" s="104">
        <f t="shared" si="74"/>
        <v>0.1057</v>
      </c>
      <c r="F4812" s="5"/>
    </row>
    <row r="4813" spans="2:6" ht="13.8" hidden="1" outlineLevel="1">
      <c r="B4813" s="187">
        <v>29343</v>
      </c>
      <c r="C4813" s="188">
        <v>10.24</v>
      </c>
      <c r="D4813" s="104">
        <f t="shared" si="74"/>
        <v>0.1024</v>
      </c>
      <c r="F4813" s="5"/>
    </row>
    <row r="4814" spans="2:6" ht="13.8" hidden="1" outlineLevel="1">
      <c r="B4814" s="187">
        <v>29346</v>
      </c>
      <c r="C4814" s="188">
        <v>10.18</v>
      </c>
      <c r="D4814" s="104">
        <f t="shared" si="74"/>
        <v>0.1018</v>
      </c>
      <c r="F4814" s="5"/>
    </row>
    <row r="4815" spans="2:6" ht="13.8" hidden="1" outlineLevel="1">
      <c r="B4815" s="187">
        <v>29347</v>
      </c>
      <c r="C4815" s="188">
        <v>9.8000000000000007</v>
      </c>
      <c r="D4815" s="104">
        <f t="shared" si="74"/>
        <v>9.8000000000000004E-2</v>
      </c>
      <c r="F4815" s="5"/>
    </row>
    <row r="4816" spans="2:6" ht="13.8" hidden="1" outlineLevel="1">
      <c r="B4816" s="187">
        <v>29348</v>
      </c>
      <c r="C4816" s="188">
        <v>9.9600000000000009</v>
      </c>
      <c r="D4816" s="104">
        <f t="shared" si="74"/>
        <v>9.9600000000000008E-2</v>
      </c>
      <c r="F4816" s="5"/>
    </row>
    <row r="4817" spans="2:6" ht="13.8" hidden="1" outlineLevel="1">
      <c r="B4817" s="187">
        <v>29349</v>
      </c>
      <c r="C4817" s="188">
        <v>10.18</v>
      </c>
      <c r="D4817" s="104">
        <f t="shared" si="74"/>
        <v>0.1018</v>
      </c>
      <c r="F4817" s="5"/>
    </row>
    <row r="4818" spans="2:6" ht="13.8" hidden="1" outlineLevel="1">
      <c r="B4818" s="187">
        <v>29350</v>
      </c>
      <c r="C4818" s="188">
        <v>10.3</v>
      </c>
      <c r="D4818" s="104">
        <f t="shared" si="74"/>
        <v>0.10300000000000001</v>
      </c>
      <c r="F4818" s="5"/>
    </row>
    <row r="4819" spans="2:6" ht="13.8" hidden="1" outlineLevel="1">
      <c r="B4819" s="187">
        <v>29353</v>
      </c>
      <c r="C4819" s="188">
        <v>10.3</v>
      </c>
      <c r="D4819" s="104">
        <f t="shared" si="74"/>
        <v>0.10300000000000001</v>
      </c>
      <c r="F4819" s="5"/>
    </row>
    <row r="4820" spans="2:6" ht="13.8" hidden="1" outlineLevel="1">
      <c r="B4820" s="187">
        <v>29354</v>
      </c>
      <c r="C4820" s="188">
        <v>10.130000000000001</v>
      </c>
      <c r="D4820" s="104">
        <f t="shared" si="74"/>
        <v>0.1013</v>
      </c>
      <c r="F4820" s="5"/>
    </row>
    <row r="4821" spans="2:6" ht="13.8" hidden="1" outlineLevel="1">
      <c r="B4821" s="187">
        <v>29355</v>
      </c>
      <c r="C4821" s="188">
        <v>10.14</v>
      </c>
      <c r="D4821" s="104">
        <f t="shared" si="74"/>
        <v>0.1014</v>
      </c>
      <c r="F4821" s="5"/>
    </row>
    <row r="4822" spans="2:6" ht="13.8" hidden="1" outlineLevel="1">
      <c r="B4822" s="187">
        <v>29356</v>
      </c>
      <c r="C4822" s="188">
        <v>10.31</v>
      </c>
      <c r="D4822" s="104">
        <f t="shared" si="74"/>
        <v>0.10310000000000001</v>
      </c>
      <c r="F4822" s="5"/>
    </row>
    <row r="4823" spans="2:6" ht="13.8" hidden="1" outlineLevel="1">
      <c r="B4823" s="187">
        <v>29357</v>
      </c>
      <c r="C4823" s="188">
        <v>10.37</v>
      </c>
      <c r="D4823" s="104">
        <f t="shared" si="74"/>
        <v>0.10369999999999999</v>
      </c>
      <c r="F4823" s="5"/>
    </row>
    <row r="4824" spans="2:6" ht="13.8" hidden="1" outlineLevel="1">
      <c r="B4824" s="187">
        <v>29360</v>
      </c>
      <c r="C4824" s="188">
        <v>10.53</v>
      </c>
      <c r="D4824" s="104">
        <f t="shared" si="74"/>
        <v>0.10529999999999999</v>
      </c>
      <c r="F4824" s="5"/>
    </row>
    <row r="4825" spans="2:6" ht="13.8" hidden="1" outlineLevel="1">
      <c r="B4825" s="187">
        <v>29361</v>
      </c>
      <c r="C4825" s="188">
        <v>10.220000000000001</v>
      </c>
      <c r="D4825" s="104">
        <f t="shared" si="74"/>
        <v>0.10220000000000001</v>
      </c>
      <c r="F4825" s="5"/>
    </row>
    <row r="4826" spans="2:6" ht="13.8" hidden="1" outlineLevel="1">
      <c r="B4826" s="187">
        <v>29362</v>
      </c>
      <c r="C4826" s="188">
        <v>10.08</v>
      </c>
      <c r="D4826" s="104">
        <f t="shared" si="74"/>
        <v>0.1008</v>
      </c>
      <c r="F4826" s="5"/>
    </row>
    <row r="4827" spans="2:6" ht="13.8" hidden="1" outlineLevel="1">
      <c r="B4827" s="187">
        <v>29363</v>
      </c>
      <c r="C4827" s="188">
        <v>10.1</v>
      </c>
      <c r="D4827" s="104">
        <f t="shared" si="74"/>
        <v>0.10099999999999999</v>
      </c>
      <c r="F4827" s="5"/>
    </row>
    <row r="4828" spans="2:6" ht="13.8" hidden="1" outlineLevel="1">
      <c r="B4828" s="187">
        <v>29364</v>
      </c>
      <c r="C4828" s="188">
        <v>9.85</v>
      </c>
      <c r="D4828" s="104">
        <f t="shared" si="74"/>
        <v>9.849999999999999E-2</v>
      </c>
      <c r="F4828" s="5"/>
    </row>
    <row r="4829" spans="2:6" ht="13.8" hidden="1" outlineLevel="1">
      <c r="B4829" s="187">
        <v>29367</v>
      </c>
      <c r="C4829" s="188" t="s">
        <v>380</v>
      </c>
      <c r="D4829" s="104">
        <f t="shared" si="74"/>
        <v>9.849999999999999E-2</v>
      </c>
      <c r="F4829" s="5"/>
    </row>
    <row r="4830" spans="2:6" ht="13.8" hidden="1" outlineLevel="1">
      <c r="B4830" s="187">
        <v>29368</v>
      </c>
      <c r="C4830" s="188">
        <v>9.9600000000000009</v>
      </c>
      <c r="D4830" s="104">
        <f t="shared" ref="D4830:D4893" si="75">IF( LEN( C4830 ) = 0, #N/A, IF( C4830 = "ND", D4829, C4830 / 100 ) )</f>
        <v>9.9600000000000008E-2</v>
      </c>
      <c r="F4830" s="5"/>
    </row>
    <row r="4831" spans="2:6" ht="13.8" hidden="1" outlineLevel="1">
      <c r="B4831" s="187">
        <v>29369</v>
      </c>
      <c r="C4831" s="188">
        <v>10.1</v>
      </c>
      <c r="D4831" s="104">
        <f t="shared" si="75"/>
        <v>0.10099999999999999</v>
      </c>
      <c r="F4831" s="5"/>
    </row>
    <row r="4832" spans="2:6" ht="13.8" hidden="1" outlineLevel="1">
      <c r="B4832" s="187">
        <v>29370</v>
      </c>
      <c r="C4832" s="188">
        <v>10.24</v>
      </c>
      <c r="D4832" s="104">
        <f t="shared" si="75"/>
        <v>0.1024</v>
      </c>
      <c r="F4832" s="5"/>
    </row>
    <row r="4833" spans="2:6" ht="13.8" hidden="1" outlineLevel="1">
      <c r="B4833" s="187">
        <v>29371</v>
      </c>
      <c r="C4833" s="188">
        <v>10.25</v>
      </c>
      <c r="D4833" s="104">
        <f t="shared" si="75"/>
        <v>0.10249999999999999</v>
      </c>
      <c r="F4833" s="5"/>
    </row>
    <row r="4834" spans="2:6" ht="13.8" hidden="1" outlineLevel="1">
      <c r="B4834" s="187">
        <v>29374</v>
      </c>
      <c r="C4834" s="188">
        <v>10.31</v>
      </c>
      <c r="D4834" s="104">
        <f t="shared" si="75"/>
        <v>0.10310000000000001</v>
      </c>
      <c r="F4834" s="5"/>
    </row>
    <row r="4835" spans="2:6" ht="13.8" hidden="1" outlineLevel="1">
      <c r="B4835" s="187">
        <v>29375</v>
      </c>
      <c r="C4835" s="188">
        <v>10.16</v>
      </c>
      <c r="D4835" s="104">
        <f t="shared" si="75"/>
        <v>0.1016</v>
      </c>
      <c r="F4835" s="5"/>
    </row>
    <row r="4836" spans="2:6" ht="13.8" hidden="1" outlineLevel="1">
      <c r="B4836" s="187">
        <v>29376</v>
      </c>
      <c r="C4836" s="188">
        <v>10.07</v>
      </c>
      <c r="D4836" s="104">
        <f t="shared" si="75"/>
        <v>0.1007</v>
      </c>
      <c r="F4836" s="5"/>
    </row>
    <row r="4837" spans="2:6" ht="13.8" hidden="1" outlineLevel="1">
      <c r="B4837" s="187">
        <v>29377</v>
      </c>
      <c r="C4837" s="188">
        <v>10.02</v>
      </c>
      <c r="D4837" s="104">
        <f t="shared" si="75"/>
        <v>0.1002</v>
      </c>
      <c r="F4837" s="5"/>
    </row>
    <row r="4838" spans="2:6" ht="13.8" hidden="1" outlineLevel="1">
      <c r="B4838" s="187">
        <v>29378</v>
      </c>
      <c r="C4838" s="188">
        <v>9.81</v>
      </c>
      <c r="D4838" s="104">
        <f t="shared" si="75"/>
        <v>9.8100000000000007E-2</v>
      </c>
      <c r="F4838" s="5"/>
    </row>
    <row r="4839" spans="2:6" ht="13.8" hidden="1" outlineLevel="1">
      <c r="B4839" s="187">
        <v>29381</v>
      </c>
      <c r="C4839" s="188">
        <v>9.73</v>
      </c>
      <c r="D4839" s="104">
        <f t="shared" si="75"/>
        <v>9.7299999999999998E-2</v>
      </c>
      <c r="F4839" s="5"/>
    </row>
    <row r="4840" spans="2:6" ht="13.8" hidden="1" outlineLevel="1">
      <c r="B4840" s="187">
        <v>29382</v>
      </c>
      <c r="C4840" s="188">
        <v>9.83</v>
      </c>
      <c r="D4840" s="104">
        <f t="shared" si="75"/>
        <v>9.8299999999999998E-2</v>
      </c>
      <c r="F4840" s="5"/>
    </row>
    <row r="4841" spans="2:6" ht="13.8" hidden="1" outlineLevel="1">
      <c r="B4841" s="187">
        <v>29383</v>
      </c>
      <c r="C4841" s="188">
        <v>9.6999999999999993</v>
      </c>
      <c r="D4841" s="104">
        <f t="shared" si="75"/>
        <v>9.6999999999999989E-2</v>
      </c>
      <c r="F4841" s="5"/>
    </row>
    <row r="4842" spans="2:6" ht="13.8" hidden="1" outlineLevel="1">
      <c r="B4842" s="187">
        <v>29384</v>
      </c>
      <c r="C4842" s="188">
        <v>9.5299999999999994</v>
      </c>
      <c r="D4842" s="104">
        <f t="shared" si="75"/>
        <v>9.5299999999999996E-2</v>
      </c>
      <c r="F4842" s="5"/>
    </row>
    <row r="4843" spans="2:6" ht="13.8" hidden="1" outlineLevel="1">
      <c r="B4843" s="187">
        <v>29385</v>
      </c>
      <c r="C4843" s="188">
        <v>9.51</v>
      </c>
      <c r="D4843" s="104">
        <f t="shared" si="75"/>
        <v>9.5100000000000004E-2</v>
      </c>
      <c r="F4843" s="5"/>
    </row>
    <row r="4844" spans="2:6" ht="13.8" hidden="1" outlineLevel="1">
      <c r="B4844" s="187">
        <v>29388</v>
      </c>
      <c r="C4844" s="188">
        <v>9.4700000000000006</v>
      </c>
      <c r="D4844" s="104">
        <f t="shared" si="75"/>
        <v>9.4700000000000006E-2</v>
      </c>
      <c r="F4844" s="5"/>
    </row>
    <row r="4845" spans="2:6" ht="13.8" hidden="1" outlineLevel="1">
      <c r="B4845" s="187">
        <v>29389</v>
      </c>
      <c r="C4845" s="188">
        <v>9.49</v>
      </c>
      <c r="D4845" s="104">
        <f t="shared" si="75"/>
        <v>9.4899999999999998E-2</v>
      </c>
      <c r="F4845" s="5"/>
    </row>
    <row r="4846" spans="2:6" ht="13.8" hidden="1" outlineLevel="1">
      <c r="B4846" s="187">
        <v>29390</v>
      </c>
      <c r="C4846" s="188">
        <v>9.56</v>
      </c>
      <c r="D4846" s="104">
        <f t="shared" si="75"/>
        <v>9.5600000000000004E-2</v>
      </c>
      <c r="F4846" s="5"/>
    </row>
    <row r="4847" spans="2:6" ht="13.8" hidden="1" outlineLevel="1">
      <c r="B4847" s="187">
        <v>29391</v>
      </c>
      <c r="C4847" s="188">
        <v>9.56</v>
      </c>
      <c r="D4847" s="104">
        <f t="shared" si="75"/>
        <v>9.5600000000000004E-2</v>
      </c>
      <c r="F4847" s="5"/>
    </row>
    <row r="4848" spans="2:6" ht="13.8" hidden="1" outlineLevel="1">
      <c r="B4848" s="187">
        <v>29392</v>
      </c>
      <c r="C4848" s="188">
        <v>9.49</v>
      </c>
      <c r="D4848" s="104">
        <f t="shared" si="75"/>
        <v>9.4899999999999998E-2</v>
      </c>
      <c r="F4848" s="5"/>
    </row>
    <row r="4849" spans="2:6" ht="13.8" hidden="1" outlineLevel="1">
      <c r="B4849" s="187">
        <v>29395</v>
      </c>
      <c r="C4849" s="188">
        <v>9.6300000000000008</v>
      </c>
      <c r="D4849" s="104">
        <f t="shared" si="75"/>
        <v>9.6300000000000011E-2</v>
      </c>
      <c r="F4849" s="5"/>
    </row>
    <row r="4850" spans="2:6" ht="13.8" hidden="1" outlineLevel="1">
      <c r="B4850" s="187">
        <v>29396</v>
      </c>
      <c r="C4850" s="188">
        <v>9.68</v>
      </c>
      <c r="D4850" s="104">
        <f t="shared" si="75"/>
        <v>9.6799999999999997E-2</v>
      </c>
      <c r="F4850" s="5"/>
    </row>
    <row r="4851" spans="2:6" ht="13.8" hidden="1" outlineLevel="1">
      <c r="B4851" s="187">
        <v>29397</v>
      </c>
      <c r="C4851" s="188">
        <v>9.7899999999999991</v>
      </c>
      <c r="D4851" s="104">
        <f t="shared" si="75"/>
        <v>9.7899999999999987E-2</v>
      </c>
      <c r="F4851" s="5"/>
    </row>
    <row r="4852" spans="2:6" ht="13.8" hidden="1" outlineLevel="1">
      <c r="B4852" s="187">
        <v>29398</v>
      </c>
      <c r="C4852" s="188">
        <v>9.8699999999999992</v>
      </c>
      <c r="D4852" s="104">
        <f t="shared" si="75"/>
        <v>9.8699999999999996E-2</v>
      </c>
      <c r="F4852" s="5"/>
    </row>
    <row r="4853" spans="2:6" ht="13.8" hidden="1" outlineLevel="1">
      <c r="B4853" s="187">
        <v>29399</v>
      </c>
      <c r="C4853" s="188">
        <v>10.039999999999999</v>
      </c>
      <c r="D4853" s="104">
        <f t="shared" si="75"/>
        <v>0.10039999999999999</v>
      </c>
      <c r="F4853" s="5"/>
    </row>
    <row r="4854" spans="2:6" ht="13.8" hidden="1" outlineLevel="1">
      <c r="B4854" s="187">
        <v>29402</v>
      </c>
      <c r="C4854" s="188">
        <v>10.09</v>
      </c>
      <c r="D4854" s="104">
        <f t="shared" si="75"/>
        <v>0.1009</v>
      </c>
      <c r="F4854" s="5"/>
    </row>
    <row r="4855" spans="2:6" ht="13.8" hidden="1" outlineLevel="1">
      <c r="B4855" s="187">
        <v>29403</v>
      </c>
      <c r="C4855" s="188">
        <v>10.130000000000001</v>
      </c>
      <c r="D4855" s="104">
        <f t="shared" si="75"/>
        <v>0.1013</v>
      </c>
      <c r="F4855" s="5"/>
    </row>
    <row r="4856" spans="2:6" ht="13.8" hidden="1" outlineLevel="1">
      <c r="B4856" s="187">
        <v>29404</v>
      </c>
      <c r="C4856" s="188">
        <v>10.19</v>
      </c>
      <c r="D4856" s="104">
        <f t="shared" si="75"/>
        <v>0.10189999999999999</v>
      </c>
      <c r="F4856" s="5"/>
    </row>
    <row r="4857" spans="2:6" ht="13.8" hidden="1" outlineLevel="1">
      <c r="B4857" s="187">
        <v>29405</v>
      </c>
      <c r="C4857" s="188">
        <v>10.01</v>
      </c>
      <c r="D4857" s="104">
        <f t="shared" si="75"/>
        <v>0.10009999999999999</v>
      </c>
      <c r="F4857" s="5"/>
    </row>
    <row r="4858" spans="2:6" ht="13.8" hidden="1" outlineLevel="1">
      <c r="B4858" s="187">
        <v>29406</v>
      </c>
      <c r="C4858" s="188" t="s">
        <v>380</v>
      </c>
      <c r="D4858" s="104">
        <f t="shared" si="75"/>
        <v>0.10009999999999999</v>
      </c>
      <c r="F4858" s="5"/>
    </row>
    <row r="4859" spans="2:6" ht="13.8" hidden="1" outlineLevel="1">
      <c r="B4859" s="187">
        <v>29409</v>
      </c>
      <c r="C4859" s="188">
        <v>10.199999999999999</v>
      </c>
      <c r="D4859" s="104">
        <f t="shared" si="75"/>
        <v>0.10199999999999999</v>
      </c>
      <c r="F4859" s="5"/>
    </row>
    <row r="4860" spans="2:6" ht="13.8" hidden="1" outlineLevel="1">
      <c r="B4860" s="187">
        <v>29410</v>
      </c>
      <c r="C4860" s="188">
        <v>10.09</v>
      </c>
      <c r="D4860" s="104">
        <f t="shared" si="75"/>
        <v>0.1009</v>
      </c>
      <c r="F4860" s="5"/>
    </row>
    <row r="4861" spans="2:6" ht="13.8" hidden="1" outlineLevel="1">
      <c r="B4861" s="187">
        <v>29411</v>
      </c>
      <c r="C4861" s="188">
        <v>10.14</v>
      </c>
      <c r="D4861" s="104">
        <f t="shared" si="75"/>
        <v>0.1014</v>
      </c>
      <c r="F4861" s="5"/>
    </row>
    <row r="4862" spans="2:6" ht="13.8" hidden="1" outlineLevel="1">
      <c r="B4862" s="187">
        <v>29412</v>
      </c>
      <c r="C4862" s="188">
        <v>10.210000000000001</v>
      </c>
      <c r="D4862" s="104">
        <f t="shared" si="75"/>
        <v>0.10210000000000001</v>
      </c>
      <c r="F4862" s="5"/>
    </row>
    <row r="4863" spans="2:6" ht="13.8" hidden="1" outlineLevel="1">
      <c r="B4863" s="187">
        <v>29413</v>
      </c>
      <c r="C4863" s="188">
        <v>10.28</v>
      </c>
      <c r="D4863" s="104">
        <f t="shared" si="75"/>
        <v>0.10279999999999999</v>
      </c>
      <c r="F4863" s="5"/>
    </row>
    <row r="4864" spans="2:6" ht="13.8" hidden="1" outlineLevel="1">
      <c r="B4864" s="187">
        <v>29416</v>
      </c>
      <c r="C4864" s="188">
        <v>10.33</v>
      </c>
      <c r="D4864" s="104">
        <f t="shared" si="75"/>
        <v>0.1033</v>
      </c>
      <c r="F4864" s="5"/>
    </row>
    <row r="4865" spans="2:6" ht="13.8" hidden="1" outlineLevel="1">
      <c r="B4865" s="187">
        <v>29417</v>
      </c>
      <c r="C4865" s="188">
        <v>10.17</v>
      </c>
      <c r="D4865" s="104">
        <f t="shared" si="75"/>
        <v>0.1017</v>
      </c>
      <c r="F4865" s="5"/>
    </row>
    <row r="4866" spans="2:6" ht="13.8" hidden="1" outlineLevel="1">
      <c r="B4866" s="187">
        <v>29418</v>
      </c>
      <c r="C4866" s="188">
        <v>10.07</v>
      </c>
      <c r="D4866" s="104">
        <f t="shared" si="75"/>
        <v>0.1007</v>
      </c>
      <c r="F4866" s="5"/>
    </row>
    <row r="4867" spans="2:6" ht="13.8" hidden="1" outlineLevel="1">
      <c r="B4867" s="187">
        <v>29419</v>
      </c>
      <c r="C4867" s="188">
        <v>10.210000000000001</v>
      </c>
      <c r="D4867" s="104">
        <f t="shared" si="75"/>
        <v>0.10210000000000001</v>
      </c>
      <c r="F4867" s="5"/>
    </row>
    <row r="4868" spans="2:6" ht="13.8" hidden="1" outlineLevel="1">
      <c r="B4868" s="187">
        <v>29420</v>
      </c>
      <c r="C4868" s="188">
        <v>10.199999999999999</v>
      </c>
      <c r="D4868" s="104">
        <f t="shared" si="75"/>
        <v>0.10199999999999999</v>
      </c>
      <c r="F4868" s="5"/>
    </row>
    <row r="4869" spans="2:6" ht="13.8" hidden="1" outlineLevel="1">
      <c r="B4869" s="187">
        <v>29423</v>
      </c>
      <c r="C4869" s="188">
        <v>10.130000000000001</v>
      </c>
      <c r="D4869" s="104">
        <f t="shared" si="75"/>
        <v>0.1013</v>
      </c>
      <c r="F4869" s="5"/>
    </row>
    <row r="4870" spans="2:6" ht="13.8" hidden="1" outlineLevel="1">
      <c r="B4870" s="187">
        <v>29424</v>
      </c>
      <c r="C4870" s="188">
        <v>10.18</v>
      </c>
      <c r="D4870" s="104">
        <f t="shared" si="75"/>
        <v>0.1018</v>
      </c>
      <c r="F4870" s="5"/>
    </row>
    <row r="4871" spans="2:6" ht="13.8" hidden="1" outlineLevel="1">
      <c r="B4871" s="187">
        <v>29425</v>
      </c>
      <c r="C4871" s="188">
        <v>10.119999999999999</v>
      </c>
      <c r="D4871" s="104">
        <f t="shared" si="75"/>
        <v>0.1012</v>
      </c>
      <c r="F4871" s="5"/>
    </row>
    <row r="4872" spans="2:6" ht="13.8" hidden="1" outlineLevel="1">
      <c r="B4872" s="187">
        <v>29426</v>
      </c>
      <c r="C4872" s="188">
        <v>10.24</v>
      </c>
      <c r="D4872" s="104">
        <f t="shared" si="75"/>
        <v>0.1024</v>
      </c>
      <c r="F4872" s="5"/>
    </row>
    <row r="4873" spans="2:6" ht="13.8" hidden="1" outlineLevel="1">
      <c r="B4873" s="187">
        <v>29427</v>
      </c>
      <c r="C4873" s="188">
        <v>10.35</v>
      </c>
      <c r="D4873" s="104">
        <f t="shared" si="75"/>
        <v>0.10349999999999999</v>
      </c>
      <c r="F4873" s="5"/>
    </row>
    <row r="4874" spans="2:6" ht="13.8" hidden="1" outlineLevel="1">
      <c r="B4874" s="187">
        <v>29430</v>
      </c>
      <c r="C4874" s="188">
        <v>10.46</v>
      </c>
      <c r="D4874" s="104">
        <f t="shared" si="75"/>
        <v>0.10460000000000001</v>
      </c>
      <c r="F4874" s="5"/>
    </row>
    <row r="4875" spans="2:6" ht="13.8" hidden="1" outlineLevel="1">
      <c r="B4875" s="187">
        <v>29431</v>
      </c>
      <c r="C4875" s="188">
        <v>10.45</v>
      </c>
      <c r="D4875" s="104">
        <f t="shared" si="75"/>
        <v>0.1045</v>
      </c>
      <c r="F4875" s="5"/>
    </row>
    <row r="4876" spans="2:6" ht="13.8" hidden="1" outlineLevel="1">
      <c r="B4876" s="187">
        <v>29432</v>
      </c>
      <c r="C4876" s="188">
        <v>10.53</v>
      </c>
      <c r="D4876" s="104">
        <f t="shared" si="75"/>
        <v>0.10529999999999999</v>
      </c>
      <c r="F4876" s="5"/>
    </row>
    <row r="4877" spans="2:6" ht="13.8" hidden="1" outlineLevel="1">
      <c r="B4877" s="187">
        <v>29433</v>
      </c>
      <c r="C4877" s="188">
        <v>10.76</v>
      </c>
      <c r="D4877" s="104">
        <f t="shared" si="75"/>
        <v>0.1076</v>
      </c>
      <c r="F4877" s="5"/>
    </row>
    <row r="4878" spans="2:6" ht="13.8" hidden="1" outlineLevel="1">
      <c r="B4878" s="187">
        <v>29434</v>
      </c>
      <c r="C4878" s="188">
        <v>10.76</v>
      </c>
      <c r="D4878" s="104">
        <f t="shared" si="75"/>
        <v>0.1076</v>
      </c>
      <c r="F4878" s="5"/>
    </row>
    <row r="4879" spans="2:6" ht="13.8" hidden="1" outlineLevel="1">
      <c r="B4879" s="187">
        <v>29437</v>
      </c>
      <c r="C4879" s="188">
        <v>10.69</v>
      </c>
      <c r="D4879" s="104">
        <f t="shared" si="75"/>
        <v>0.1069</v>
      </c>
      <c r="F4879" s="5"/>
    </row>
    <row r="4880" spans="2:6" ht="13.8" hidden="1" outlineLevel="1">
      <c r="B4880" s="187">
        <v>29438</v>
      </c>
      <c r="C4880" s="188">
        <v>10.7</v>
      </c>
      <c r="D4880" s="104">
        <f t="shared" si="75"/>
        <v>0.107</v>
      </c>
      <c r="F4880" s="5"/>
    </row>
    <row r="4881" spans="2:6" ht="13.8" hidden="1" outlineLevel="1">
      <c r="B4881" s="187">
        <v>29439</v>
      </c>
      <c r="C4881" s="188">
        <v>10.8</v>
      </c>
      <c r="D4881" s="104">
        <f t="shared" si="75"/>
        <v>0.10800000000000001</v>
      </c>
      <c r="F4881" s="5"/>
    </row>
    <row r="4882" spans="2:6" ht="13.8" hidden="1" outlineLevel="1">
      <c r="B4882" s="187">
        <v>29440</v>
      </c>
      <c r="C4882" s="188">
        <v>10.71</v>
      </c>
      <c r="D4882" s="104">
        <f t="shared" si="75"/>
        <v>0.10710000000000001</v>
      </c>
      <c r="F4882" s="5"/>
    </row>
    <row r="4883" spans="2:6" ht="13.8" hidden="1" outlineLevel="1">
      <c r="B4883" s="187">
        <v>29441</v>
      </c>
      <c r="C4883" s="188">
        <v>10.87</v>
      </c>
      <c r="D4883" s="104">
        <f t="shared" si="75"/>
        <v>0.10869999999999999</v>
      </c>
      <c r="F4883" s="5"/>
    </row>
    <row r="4884" spans="2:6" ht="13.8" hidden="1" outlineLevel="1">
      <c r="B4884" s="187">
        <v>29444</v>
      </c>
      <c r="C4884" s="188">
        <v>11.03</v>
      </c>
      <c r="D4884" s="104">
        <f t="shared" si="75"/>
        <v>0.1103</v>
      </c>
      <c r="F4884" s="5"/>
    </row>
    <row r="4885" spans="2:6" ht="13.8" hidden="1" outlineLevel="1">
      <c r="B4885" s="187">
        <v>29445</v>
      </c>
      <c r="C4885" s="188">
        <v>10.98</v>
      </c>
      <c r="D4885" s="104">
        <f t="shared" si="75"/>
        <v>0.10980000000000001</v>
      </c>
      <c r="F4885" s="5"/>
    </row>
    <row r="4886" spans="2:6" ht="13.8" hidden="1" outlineLevel="1">
      <c r="B4886" s="187">
        <v>29446</v>
      </c>
      <c r="C4886" s="188">
        <v>10.89</v>
      </c>
      <c r="D4886" s="104">
        <f t="shared" si="75"/>
        <v>0.10890000000000001</v>
      </c>
      <c r="F4886" s="5"/>
    </row>
    <row r="4887" spans="2:6" ht="13.8" hidden="1" outlineLevel="1">
      <c r="B4887" s="187">
        <v>29447</v>
      </c>
      <c r="C4887" s="188">
        <v>10.9</v>
      </c>
      <c r="D4887" s="104">
        <f t="shared" si="75"/>
        <v>0.109</v>
      </c>
      <c r="F4887" s="5"/>
    </row>
    <row r="4888" spans="2:6" ht="13.8" hidden="1" outlineLevel="1">
      <c r="B4888" s="187">
        <v>29448</v>
      </c>
      <c r="C4888" s="188">
        <v>10.86</v>
      </c>
      <c r="D4888" s="104">
        <f t="shared" si="75"/>
        <v>0.10859999999999999</v>
      </c>
      <c r="F4888" s="5"/>
    </row>
    <row r="4889" spans="2:6" ht="13.8" hidden="1" outlineLevel="1">
      <c r="B4889" s="187">
        <v>29451</v>
      </c>
      <c r="C4889" s="188">
        <v>11.13</v>
      </c>
      <c r="D4889" s="104">
        <f t="shared" si="75"/>
        <v>0.11130000000000001</v>
      </c>
      <c r="F4889" s="5"/>
    </row>
    <row r="4890" spans="2:6" ht="13.8" hidden="1" outlineLevel="1">
      <c r="B4890" s="187">
        <v>29452</v>
      </c>
      <c r="C4890" s="188">
        <v>11.24</v>
      </c>
      <c r="D4890" s="104">
        <f t="shared" si="75"/>
        <v>0.1124</v>
      </c>
      <c r="F4890" s="5"/>
    </row>
    <row r="4891" spans="2:6" ht="13.8" hidden="1" outlineLevel="1">
      <c r="B4891" s="187">
        <v>29453</v>
      </c>
      <c r="C4891" s="188">
        <v>11.22</v>
      </c>
      <c r="D4891" s="104">
        <f t="shared" si="75"/>
        <v>0.11220000000000001</v>
      </c>
      <c r="F4891" s="5"/>
    </row>
    <row r="4892" spans="2:6" ht="13.8" hidden="1" outlineLevel="1">
      <c r="B4892" s="187">
        <v>29454</v>
      </c>
      <c r="C4892" s="188">
        <v>11.3</v>
      </c>
      <c r="D4892" s="104">
        <f t="shared" si="75"/>
        <v>0.113</v>
      </c>
      <c r="F4892" s="5"/>
    </row>
    <row r="4893" spans="2:6" ht="13.8" hidden="1" outlineLevel="1">
      <c r="B4893" s="187">
        <v>29455</v>
      </c>
      <c r="C4893" s="188">
        <v>11.13</v>
      </c>
      <c r="D4893" s="104">
        <f t="shared" si="75"/>
        <v>0.11130000000000001</v>
      </c>
      <c r="F4893" s="5"/>
    </row>
    <row r="4894" spans="2:6" ht="13.8" hidden="1" outlineLevel="1">
      <c r="B4894" s="187">
        <v>29458</v>
      </c>
      <c r="C4894" s="188">
        <v>11.4</v>
      </c>
      <c r="D4894" s="104">
        <f t="shared" ref="D4894:D4957" si="76">IF( LEN( C4894 ) = 0, #N/A, IF( C4894 = "ND", D4893, C4894 / 100 ) )</f>
        <v>0.114</v>
      </c>
      <c r="F4894" s="5"/>
    </row>
    <row r="4895" spans="2:6" ht="13.8" hidden="1" outlineLevel="1">
      <c r="B4895" s="187">
        <v>29459</v>
      </c>
      <c r="C4895" s="188">
        <v>11.42</v>
      </c>
      <c r="D4895" s="104">
        <f t="shared" si="76"/>
        <v>0.1142</v>
      </c>
      <c r="F4895" s="5"/>
    </row>
    <row r="4896" spans="2:6" ht="13.8" hidden="1" outlineLevel="1">
      <c r="B4896" s="187">
        <v>29460</v>
      </c>
      <c r="C4896" s="188">
        <v>11.67</v>
      </c>
      <c r="D4896" s="104">
        <f t="shared" si="76"/>
        <v>0.1167</v>
      </c>
      <c r="F4896" s="5"/>
    </row>
    <row r="4897" spans="2:6" ht="13.8" hidden="1" outlineLevel="1">
      <c r="B4897" s="187">
        <v>29461</v>
      </c>
      <c r="C4897" s="188">
        <v>11.89</v>
      </c>
      <c r="D4897" s="104">
        <f t="shared" si="76"/>
        <v>0.11890000000000001</v>
      </c>
      <c r="F4897" s="5"/>
    </row>
    <row r="4898" spans="2:6" ht="13.8" hidden="1" outlineLevel="1">
      <c r="B4898" s="187">
        <v>29462</v>
      </c>
      <c r="C4898" s="188">
        <v>11.55</v>
      </c>
      <c r="D4898" s="104">
        <f t="shared" si="76"/>
        <v>0.11550000000000001</v>
      </c>
      <c r="F4898" s="5"/>
    </row>
    <row r="4899" spans="2:6" ht="13.8" hidden="1" outlineLevel="1">
      <c r="B4899" s="187">
        <v>29465</v>
      </c>
      <c r="C4899" s="188" t="s">
        <v>380</v>
      </c>
      <c r="D4899" s="104">
        <f t="shared" si="76"/>
        <v>0.11550000000000001</v>
      </c>
      <c r="F4899" s="5"/>
    </row>
    <row r="4900" spans="2:6" ht="13.8" hidden="1" outlineLevel="1">
      <c r="B4900" s="187">
        <v>29466</v>
      </c>
      <c r="C4900" s="188">
        <v>11.32</v>
      </c>
      <c r="D4900" s="104">
        <f t="shared" si="76"/>
        <v>0.11320000000000001</v>
      </c>
      <c r="F4900" s="5"/>
    </row>
    <row r="4901" spans="2:6" ht="13.8" hidden="1" outlineLevel="1">
      <c r="B4901" s="187">
        <v>29467</v>
      </c>
      <c r="C4901" s="188">
        <v>11.08</v>
      </c>
      <c r="D4901" s="104">
        <f t="shared" si="76"/>
        <v>0.1108</v>
      </c>
      <c r="F4901" s="5"/>
    </row>
    <row r="4902" spans="2:6" ht="13.8" hidden="1" outlineLevel="1">
      <c r="B4902" s="187">
        <v>29468</v>
      </c>
      <c r="C4902" s="188">
        <v>11.16</v>
      </c>
      <c r="D4902" s="104">
        <f t="shared" si="76"/>
        <v>0.1116</v>
      </c>
      <c r="F4902" s="5"/>
    </row>
    <row r="4903" spans="2:6" ht="13.8" hidden="1" outlineLevel="1">
      <c r="B4903" s="187">
        <v>29469</v>
      </c>
      <c r="C4903" s="188">
        <v>11.21</v>
      </c>
      <c r="D4903" s="104">
        <f t="shared" si="76"/>
        <v>0.11210000000000001</v>
      </c>
      <c r="F4903" s="5"/>
    </row>
    <row r="4904" spans="2:6" ht="13.8" hidden="1" outlineLevel="1">
      <c r="B4904" s="187">
        <v>29472</v>
      </c>
      <c r="C4904" s="188">
        <v>11.29</v>
      </c>
      <c r="D4904" s="104">
        <f t="shared" si="76"/>
        <v>0.11289999999999999</v>
      </c>
      <c r="F4904" s="5"/>
    </row>
    <row r="4905" spans="2:6" ht="13.8" hidden="1" outlineLevel="1">
      <c r="B4905" s="187">
        <v>29473</v>
      </c>
      <c r="C4905" s="188">
        <v>11.19</v>
      </c>
      <c r="D4905" s="104">
        <f t="shared" si="76"/>
        <v>0.1119</v>
      </c>
      <c r="F4905" s="5"/>
    </row>
    <row r="4906" spans="2:6" ht="13.8" hidden="1" outlineLevel="1">
      <c r="B4906" s="187">
        <v>29474</v>
      </c>
      <c r="C4906" s="188">
        <v>11.14</v>
      </c>
      <c r="D4906" s="104">
        <f t="shared" si="76"/>
        <v>0.1114</v>
      </c>
      <c r="F4906" s="5"/>
    </row>
    <row r="4907" spans="2:6" ht="13.8" hidden="1" outlineLevel="1">
      <c r="B4907" s="187">
        <v>29475</v>
      </c>
      <c r="C4907" s="188">
        <v>11.32</v>
      </c>
      <c r="D4907" s="104">
        <f t="shared" si="76"/>
        <v>0.11320000000000001</v>
      </c>
      <c r="F4907" s="5"/>
    </row>
    <row r="4908" spans="2:6" ht="13.8" hidden="1" outlineLevel="1">
      <c r="B4908" s="187">
        <v>29476</v>
      </c>
      <c r="C4908" s="188">
        <v>11.37</v>
      </c>
      <c r="D4908" s="104">
        <f t="shared" si="76"/>
        <v>0.1137</v>
      </c>
      <c r="F4908" s="5"/>
    </row>
    <row r="4909" spans="2:6" ht="13.8" hidden="1" outlineLevel="1">
      <c r="B4909" s="187">
        <v>29479</v>
      </c>
      <c r="C4909" s="188">
        <v>11.62</v>
      </c>
      <c r="D4909" s="104">
        <f t="shared" si="76"/>
        <v>0.1162</v>
      </c>
      <c r="F4909" s="5"/>
    </row>
    <row r="4910" spans="2:6" ht="13.8" hidden="1" outlineLevel="1">
      <c r="B4910" s="187">
        <v>29480</v>
      </c>
      <c r="C4910" s="188">
        <v>11.52</v>
      </c>
      <c r="D4910" s="104">
        <f t="shared" si="76"/>
        <v>0.1152</v>
      </c>
      <c r="F4910" s="5"/>
    </row>
    <row r="4911" spans="2:6" ht="13.8" hidden="1" outlineLevel="1">
      <c r="B4911" s="187">
        <v>29481</v>
      </c>
      <c r="C4911" s="188">
        <v>11.57</v>
      </c>
      <c r="D4911" s="104">
        <f t="shared" si="76"/>
        <v>0.1157</v>
      </c>
      <c r="F4911" s="5"/>
    </row>
    <row r="4912" spans="2:6" ht="13.8" hidden="1" outlineLevel="1">
      <c r="B4912" s="187">
        <v>29482</v>
      </c>
      <c r="C4912" s="188">
        <v>11.53</v>
      </c>
      <c r="D4912" s="104">
        <f t="shared" si="76"/>
        <v>0.1153</v>
      </c>
      <c r="F4912" s="5"/>
    </row>
    <row r="4913" spans="2:6" ht="13.8" hidden="1" outlineLevel="1">
      <c r="B4913" s="187">
        <v>29483</v>
      </c>
      <c r="C4913" s="188">
        <v>11.33</v>
      </c>
      <c r="D4913" s="104">
        <f t="shared" si="76"/>
        <v>0.1133</v>
      </c>
      <c r="F4913" s="5"/>
    </row>
    <row r="4914" spans="2:6" ht="13.8" hidden="1" outlineLevel="1">
      <c r="B4914" s="187">
        <v>29486</v>
      </c>
      <c r="C4914" s="188">
        <v>11.69</v>
      </c>
      <c r="D4914" s="104">
        <f t="shared" si="76"/>
        <v>0.11689999999999999</v>
      </c>
      <c r="F4914" s="5"/>
    </row>
    <row r="4915" spans="2:6" ht="13.8" hidden="1" outlineLevel="1">
      <c r="B4915" s="187">
        <v>29487</v>
      </c>
      <c r="C4915" s="188">
        <v>11.76</v>
      </c>
      <c r="D4915" s="104">
        <f t="shared" si="76"/>
        <v>0.1176</v>
      </c>
      <c r="F4915" s="5"/>
    </row>
    <row r="4916" spans="2:6" ht="13.8" hidden="1" outlineLevel="1">
      <c r="B4916" s="187">
        <v>29488</v>
      </c>
      <c r="C4916" s="188">
        <v>11.75</v>
      </c>
      <c r="D4916" s="104">
        <f t="shared" si="76"/>
        <v>0.11749999999999999</v>
      </c>
      <c r="F4916" s="5"/>
    </row>
    <row r="4917" spans="2:6" ht="13.8" hidden="1" outlineLevel="1">
      <c r="B4917" s="187">
        <v>29489</v>
      </c>
      <c r="C4917" s="188">
        <v>11.91</v>
      </c>
      <c r="D4917" s="104">
        <f t="shared" si="76"/>
        <v>0.1191</v>
      </c>
      <c r="F4917" s="5"/>
    </row>
    <row r="4918" spans="2:6" ht="13.8" hidden="1" outlineLevel="1">
      <c r="B4918" s="187">
        <v>29490</v>
      </c>
      <c r="C4918" s="188">
        <v>11.99</v>
      </c>
      <c r="D4918" s="104">
        <f t="shared" si="76"/>
        <v>0.11990000000000001</v>
      </c>
      <c r="F4918" s="5"/>
    </row>
    <row r="4919" spans="2:6" ht="13.8" hidden="1" outlineLevel="1">
      <c r="B4919" s="187">
        <v>29493</v>
      </c>
      <c r="C4919" s="188">
        <v>12.07</v>
      </c>
      <c r="D4919" s="104">
        <f t="shared" si="76"/>
        <v>0.1207</v>
      </c>
      <c r="F4919" s="5"/>
    </row>
    <row r="4920" spans="2:6" ht="13.8" hidden="1" outlineLevel="1">
      <c r="B4920" s="187">
        <v>29494</v>
      </c>
      <c r="C4920" s="188">
        <v>11.86</v>
      </c>
      <c r="D4920" s="104">
        <f t="shared" si="76"/>
        <v>0.1186</v>
      </c>
      <c r="F4920" s="5"/>
    </row>
    <row r="4921" spans="2:6" ht="13.8" hidden="1" outlineLevel="1">
      <c r="B4921" s="187">
        <v>29495</v>
      </c>
      <c r="C4921" s="188">
        <v>11.78</v>
      </c>
      <c r="D4921" s="104">
        <f t="shared" si="76"/>
        <v>0.11779999999999999</v>
      </c>
      <c r="F4921" s="5"/>
    </row>
    <row r="4922" spans="2:6" ht="13.8" hidden="1" outlineLevel="1">
      <c r="B4922" s="187">
        <v>29496</v>
      </c>
      <c r="C4922" s="188">
        <v>11.83</v>
      </c>
      <c r="D4922" s="104">
        <f t="shared" si="76"/>
        <v>0.1183</v>
      </c>
      <c r="F4922" s="5"/>
    </row>
    <row r="4923" spans="2:6" ht="13.8" hidden="1" outlineLevel="1">
      <c r="B4923" s="187">
        <v>29497</v>
      </c>
      <c r="C4923" s="188">
        <v>11.4</v>
      </c>
      <c r="D4923" s="104">
        <f t="shared" si="76"/>
        <v>0.114</v>
      </c>
      <c r="F4923" s="5"/>
    </row>
    <row r="4924" spans="2:6" ht="13.8" hidden="1" outlineLevel="1">
      <c r="B4924" s="187">
        <v>29500</v>
      </c>
      <c r="C4924" s="188">
        <v>11.35</v>
      </c>
      <c r="D4924" s="104">
        <f t="shared" si="76"/>
        <v>0.11349999999999999</v>
      </c>
      <c r="F4924" s="5"/>
    </row>
    <row r="4925" spans="2:6" ht="13.8" hidden="1" outlineLevel="1">
      <c r="B4925" s="187">
        <v>29501</v>
      </c>
      <c r="C4925" s="188">
        <v>11.43</v>
      </c>
      <c r="D4925" s="104">
        <f t="shared" si="76"/>
        <v>0.1143</v>
      </c>
      <c r="F4925" s="5"/>
    </row>
    <row r="4926" spans="2:6" ht="13.8" hidden="1" outlineLevel="1">
      <c r="B4926" s="187">
        <v>29502</v>
      </c>
      <c r="C4926" s="188">
        <v>11.51</v>
      </c>
      <c r="D4926" s="104">
        <f t="shared" si="76"/>
        <v>0.11509999999999999</v>
      </c>
      <c r="F4926" s="5"/>
    </row>
    <row r="4927" spans="2:6" ht="13.8" hidden="1" outlineLevel="1">
      <c r="B4927" s="187">
        <v>29503</v>
      </c>
      <c r="C4927" s="188">
        <v>11.39</v>
      </c>
      <c r="D4927" s="104">
        <f t="shared" si="76"/>
        <v>0.1139</v>
      </c>
      <c r="F4927" s="5"/>
    </row>
    <row r="4928" spans="2:6" ht="13.8" hidden="1" outlineLevel="1">
      <c r="B4928" s="187">
        <v>29504</v>
      </c>
      <c r="C4928" s="188">
        <v>11.44</v>
      </c>
      <c r="D4928" s="104">
        <f t="shared" si="76"/>
        <v>0.1144</v>
      </c>
      <c r="F4928" s="5"/>
    </row>
    <row r="4929" spans="2:6" ht="13.8" hidden="1" outlineLevel="1">
      <c r="B4929" s="187">
        <v>29507</v>
      </c>
      <c r="C4929" s="188" t="s">
        <v>380</v>
      </c>
      <c r="D4929" s="104">
        <f t="shared" si="76"/>
        <v>0.1144</v>
      </c>
      <c r="F4929" s="5"/>
    </row>
    <row r="4930" spans="2:6" ht="13.8" hidden="1" outlineLevel="1">
      <c r="B4930" s="187">
        <v>29508</v>
      </c>
      <c r="C4930" s="188">
        <v>11.37</v>
      </c>
      <c r="D4930" s="104">
        <f t="shared" si="76"/>
        <v>0.1137</v>
      </c>
      <c r="F4930" s="5"/>
    </row>
    <row r="4931" spans="2:6" ht="13.8" hidden="1" outlineLevel="1">
      <c r="B4931" s="187">
        <v>29509</v>
      </c>
      <c r="C4931" s="188">
        <v>11.29</v>
      </c>
      <c r="D4931" s="104">
        <f t="shared" si="76"/>
        <v>0.11289999999999999</v>
      </c>
      <c r="F4931" s="5"/>
    </row>
    <row r="4932" spans="2:6" ht="13.8" hidden="1" outlineLevel="1">
      <c r="B4932" s="187">
        <v>29510</v>
      </c>
      <c r="C4932" s="188">
        <v>11.47</v>
      </c>
      <c r="D4932" s="104">
        <f t="shared" si="76"/>
        <v>0.11470000000000001</v>
      </c>
      <c r="F4932" s="5"/>
    </row>
    <row r="4933" spans="2:6" ht="13.8" hidden="1" outlineLevel="1">
      <c r="B4933" s="187">
        <v>29511</v>
      </c>
      <c r="C4933" s="188">
        <v>11.62</v>
      </c>
      <c r="D4933" s="104">
        <f t="shared" si="76"/>
        <v>0.1162</v>
      </c>
      <c r="F4933" s="5"/>
    </row>
    <row r="4934" spans="2:6" ht="13.8" hidden="1" outlineLevel="1">
      <c r="B4934" s="187">
        <v>29514</v>
      </c>
      <c r="C4934" s="188">
        <v>11.64</v>
      </c>
      <c r="D4934" s="104">
        <f t="shared" si="76"/>
        <v>0.1164</v>
      </c>
      <c r="F4934" s="5"/>
    </row>
    <row r="4935" spans="2:6" ht="13.8" hidden="1" outlineLevel="1">
      <c r="B4935" s="187">
        <v>29515</v>
      </c>
      <c r="C4935" s="188">
        <v>11.7</v>
      </c>
      <c r="D4935" s="104">
        <f t="shared" si="76"/>
        <v>0.11699999999999999</v>
      </c>
      <c r="F4935" s="5"/>
    </row>
    <row r="4936" spans="2:6" ht="13.8" hidden="1" outlineLevel="1">
      <c r="B4936" s="187">
        <v>29516</v>
      </c>
      <c r="C4936" s="188">
        <v>11.88</v>
      </c>
      <c r="D4936" s="104">
        <f t="shared" si="76"/>
        <v>0.1188</v>
      </c>
      <c r="F4936" s="5"/>
    </row>
    <row r="4937" spans="2:6" ht="13.8" hidden="1" outlineLevel="1">
      <c r="B4937" s="187">
        <v>29517</v>
      </c>
      <c r="C4937" s="188">
        <v>11.82</v>
      </c>
      <c r="D4937" s="104">
        <f t="shared" si="76"/>
        <v>0.1182</v>
      </c>
      <c r="F4937" s="5"/>
    </row>
    <row r="4938" spans="2:6" ht="13.8" hidden="1" outlineLevel="1">
      <c r="B4938" s="187">
        <v>29518</v>
      </c>
      <c r="C4938" s="188">
        <v>11.74</v>
      </c>
      <c r="D4938" s="104">
        <f t="shared" si="76"/>
        <v>0.1174</v>
      </c>
      <c r="F4938" s="5"/>
    </row>
    <row r="4939" spans="2:6" ht="13.8" hidden="1" outlineLevel="1">
      <c r="B4939" s="187">
        <v>29521</v>
      </c>
      <c r="C4939" s="188">
        <v>12.13</v>
      </c>
      <c r="D4939" s="104">
        <f t="shared" si="76"/>
        <v>0.12130000000000001</v>
      </c>
      <c r="F4939" s="5"/>
    </row>
    <row r="4940" spans="2:6" ht="13.8" hidden="1" outlineLevel="1">
      <c r="B4940" s="187">
        <v>29522</v>
      </c>
      <c r="C4940" s="188">
        <v>12.32</v>
      </c>
      <c r="D4940" s="104">
        <f t="shared" si="76"/>
        <v>0.1232</v>
      </c>
      <c r="F4940" s="5"/>
    </row>
    <row r="4941" spans="2:6" ht="13.8" hidden="1" outlineLevel="1">
      <c r="B4941" s="187">
        <v>29523</v>
      </c>
      <c r="C4941" s="188">
        <v>12.48</v>
      </c>
      <c r="D4941" s="104">
        <f t="shared" si="76"/>
        <v>0.12480000000000001</v>
      </c>
      <c r="F4941" s="5"/>
    </row>
    <row r="4942" spans="2:6" ht="13.8" hidden="1" outlineLevel="1">
      <c r="B4942" s="187">
        <v>29524</v>
      </c>
      <c r="C4942" s="188">
        <v>12.48</v>
      </c>
      <c r="D4942" s="104">
        <f t="shared" si="76"/>
        <v>0.12480000000000001</v>
      </c>
      <c r="F4942" s="5"/>
    </row>
    <row r="4943" spans="2:6" ht="13.8" hidden="1" outlineLevel="1">
      <c r="B4943" s="187">
        <v>29525</v>
      </c>
      <c r="C4943" s="188">
        <v>12.46</v>
      </c>
      <c r="D4943" s="104">
        <f t="shared" si="76"/>
        <v>0.1246</v>
      </c>
      <c r="F4943" s="5"/>
    </row>
    <row r="4944" spans="2:6" ht="13.8" hidden="1" outlineLevel="1">
      <c r="B4944" s="187">
        <v>29528</v>
      </c>
      <c r="C4944" s="188">
        <v>12.46</v>
      </c>
      <c r="D4944" s="104">
        <f t="shared" si="76"/>
        <v>0.1246</v>
      </c>
      <c r="F4944" s="5"/>
    </row>
    <row r="4945" spans="2:6" ht="13.8" hidden="1" outlineLevel="1">
      <c r="B4945" s="187">
        <v>29529</v>
      </c>
      <c r="C4945" s="188" t="s">
        <v>380</v>
      </c>
      <c r="D4945" s="104">
        <f t="shared" si="76"/>
        <v>0.1246</v>
      </c>
      <c r="F4945" s="5"/>
    </row>
    <row r="4946" spans="2:6" ht="13.8" hidden="1" outlineLevel="1">
      <c r="B4946" s="187">
        <v>29530</v>
      </c>
      <c r="C4946" s="188">
        <v>12.61</v>
      </c>
      <c r="D4946" s="104">
        <f t="shared" si="76"/>
        <v>0.12609999999999999</v>
      </c>
      <c r="F4946" s="5"/>
    </row>
    <row r="4947" spans="2:6" ht="13.8" hidden="1" outlineLevel="1">
      <c r="B4947" s="187">
        <v>29531</v>
      </c>
      <c r="C4947" s="188">
        <v>13.04</v>
      </c>
      <c r="D4947" s="104">
        <f t="shared" si="76"/>
        <v>0.13039999999999999</v>
      </c>
      <c r="F4947" s="5"/>
    </row>
    <row r="4948" spans="2:6" ht="13.8" hidden="1" outlineLevel="1">
      <c r="B4948" s="187">
        <v>29532</v>
      </c>
      <c r="C4948" s="188">
        <v>12.66</v>
      </c>
      <c r="D4948" s="104">
        <f t="shared" si="76"/>
        <v>0.12659999999999999</v>
      </c>
      <c r="F4948" s="5"/>
    </row>
    <row r="4949" spans="2:6" ht="13.8" hidden="1" outlineLevel="1">
      <c r="B4949" s="187">
        <v>29535</v>
      </c>
      <c r="C4949" s="188">
        <v>12.78</v>
      </c>
      <c r="D4949" s="104">
        <f t="shared" si="76"/>
        <v>0.1278</v>
      </c>
      <c r="F4949" s="5"/>
    </row>
    <row r="4950" spans="2:6" ht="13.8" hidden="1" outlineLevel="1">
      <c r="B4950" s="187">
        <v>29536</v>
      </c>
      <c r="C4950" s="188" t="s">
        <v>380</v>
      </c>
      <c r="D4950" s="104">
        <f t="shared" si="76"/>
        <v>0.1278</v>
      </c>
      <c r="F4950" s="5"/>
    </row>
    <row r="4951" spans="2:6" ht="13.8" hidden="1" outlineLevel="1">
      <c r="B4951" s="187">
        <v>29537</v>
      </c>
      <c r="C4951" s="188">
        <v>12.47</v>
      </c>
      <c r="D4951" s="104">
        <f t="shared" si="76"/>
        <v>0.12470000000000001</v>
      </c>
      <c r="F4951" s="5"/>
    </row>
    <row r="4952" spans="2:6" ht="13.8" hidden="1" outlineLevel="1">
      <c r="B4952" s="187">
        <v>29538</v>
      </c>
      <c r="C4952" s="188">
        <v>12.49</v>
      </c>
      <c r="D4952" s="104">
        <f t="shared" si="76"/>
        <v>0.1249</v>
      </c>
      <c r="F4952" s="5"/>
    </row>
    <row r="4953" spans="2:6" ht="13.8" hidden="1" outlineLevel="1">
      <c r="B4953" s="187">
        <v>29539</v>
      </c>
      <c r="C4953" s="188">
        <v>12.79</v>
      </c>
      <c r="D4953" s="104">
        <f t="shared" si="76"/>
        <v>0.12789999999999999</v>
      </c>
      <c r="F4953" s="5"/>
    </row>
    <row r="4954" spans="2:6" ht="13.8" hidden="1" outlineLevel="1">
      <c r="B4954" s="187">
        <v>29542</v>
      </c>
      <c r="C4954" s="188">
        <v>12.95</v>
      </c>
      <c r="D4954" s="104">
        <f t="shared" si="76"/>
        <v>0.1295</v>
      </c>
      <c r="F4954" s="5"/>
    </row>
    <row r="4955" spans="2:6" ht="13.8" hidden="1" outlineLevel="1">
      <c r="B4955" s="187">
        <v>29543</v>
      </c>
      <c r="C4955" s="188">
        <v>12.62</v>
      </c>
      <c r="D4955" s="104">
        <f t="shared" si="76"/>
        <v>0.12619999999999998</v>
      </c>
      <c r="F4955" s="5"/>
    </row>
    <row r="4956" spans="2:6" ht="13.8" hidden="1" outlineLevel="1">
      <c r="B4956" s="187">
        <v>29544</v>
      </c>
      <c r="C4956" s="188">
        <v>12.51</v>
      </c>
      <c r="D4956" s="104">
        <f t="shared" si="76"/>
        <v>0.12509999999999999</v>
      </c>
      <c r="F4956" s="5"/>
    </row>
    <row r="4957" spans="2:6" ht="13.8" hidden="1" outlineLevel="1">
      <c r="B4957" s="187">
        <v>29545</v>
      </c>
      <c r="C4957" s="188">
        <v>12.59</v>
      </c>
      <c r="D4957" s="104">
        <f t="shared" si="76"/>
        <v>0.12590000000000001</v>
      </c>
      <c r="F4957" s="5"/>
    </row>
    <row r="4958" spans="2:6" ht="13.8" hidden="1" outlineLevel="1">
      <c r="B4958" s="187">
        <v>29546</v>
      </c>
      <c r="C4958" s="188">
        <v>12.8</v>
      </c>
      <c r="D4958" s="104">
        <f t="shared" ref="D4958:D5021" si="77">IF( LEN( C4958 ) = 0, #N/A, IF( C4958 = "ND", D4957, C4958 / 100 ) )</f>
        <v>0.128</v>
      </c>
      <c r="F4958" s="5"/>
    </row>
    <row r="4959" spans="2:6" ht="13.8" hidden="1" outlineLevel="1">
      <c r="B4959" s="187">
        <v>29549</v>
      </c>
      <c r="C4959" s="188">
        <v>12.76</v>
      </c>
      <c r="D4959" s="104">
        <f t="shared" si="77"/>
        <v>0.12759999999999999</v>
      </c>
      <c r="F4959" s="5"/>
    </row>
    <row r="4960" spans="2:6" ht="13.8" hidden="1" outlineLevel="1">
      <c r="B4960" s="187">
        <v>29550</v>
      </c>
      <c r="C4960" s="188">
        <v>12.74</v>
      </c>
      <c r="D4960" s="104">
        <f t="shared" si="77"/>
        <v>0.12740000000000001</v>
      </c>
      <c r="F4960" s="5"/>
    </row>
    <row r="4961" spans="2:6" ht="13.8" hidden="1" outlineLevel="1">
      <c r="B4961" s="187">
        <v>29551</v>
      </c>
      <c r="C4961" s="188">
        <v>12.65</v>
      </c>
      <c r="D4961" s="104">
        <f t="shared" si="77"/>
        <v>0.1265</v>
      </c>
      <c r="F4961" s="5"/>
    </row>
    <row r="4962" spans="2:6" ht="13.8" hidden="1" outlineLevel="1">
      <c r="B4962" s="187">
        <v>29552</v>
      </c>
      <c r="C4962" s="188" t="s">
        <v>380</v>
      </c>
      <c r="D4962" s="104">
        <f t="shared" si="77"/>
        <v>0.1265</v>
      </c>
      <c r="F4962" s="5"/>
    </row>
    <row r="4963" spans="2:6" ht="13.8" hidden="1" outlineLevel="1">
      <c r="B4963" s="187">
        <v>29553</v>
      </c>
      <c r="C4963" s="188">
        <v>12.72</v>
      </c>
      <c r="D4963" s="104">
        <f t="shared" si="77"/>
        <v>0.12720000000000001</v>
      </c>
      <c r="F4963" s="5"/>
    </row>
    <row r="4964" spans="2:6" ht="13.8" hidden="1" outlineLevel="1">
      <c r="B4964" s="187">
        <v>29556</v>
      </c>
      <c r="C4964" s="188">
        <v>12.92</v>
      </c>
      <c r="D4964" s="104">
        <f t="shared" si="77"/>
        <v>0.12920000000000001</v>
      </c>
      <c r="F4964" s="5"/>
    </row>
    <row r="4965" spans="2:6" ht="13.8" hidden="1" outlineLevel="1">
      <c r="B4965" s="187">
        <v>29557</v>
      </c>
      <c r="C4965" s="188">
        <v>12.95</v>
      </c>
      <c r="D4965" s="104">
        <f t="shared" si="77"/>
        <v>0.1295</v>
      </c>
      <c r="F4965" s="5"/>
    </row>
    <row r="4966" spans="2:6" ht="13.8" hidden="1" outlineLevel="1">
      <c r="B4966" s="187">
        <v>29558</v>
      </c>
      <c r="C4966" s="188">
        <v>12.92</v>
      </c>
      <c r="D4966" s="104">
        <f t="shared" si="77"/>
        <v>0.12920000000000001</v>
      </c>
      <c r="F4966" s="5"/>
    </row>
    <row r="4967" spans="2:6" ht="13.8" hidden="1" outlineLevel="1">
      <c r="B4967" s="187">
        <v>29559</v>
      </c>
      <c r="C4967" s="188">
        <v>12.91</v>
      </c>
      <c r="D4967" s="104">
        <f t="shared" si="77"/>
        <v>0.12909999999999999</v>
      </c>
      <c r="F4967" s="5"/>
    </row>
    <row r="4968" spans="2:6" ht="13.8" hidden="1" outlineLevel="1">
      <c r="B4968" s="187">
        <v>29560</v>
      </c>
      <c r="C4968" s="188">
        <v>12.85</v>
      </c>
      <c r="D4968" s="104">
        <f t="shared" si="77"/>
        <v>0.1285</v>
      </c>
      <c r="F4968" s="5"/>
    </row>
    <row r="4969" spans="2:6" ht="13.8" hidden="1" outlineLevel="1">
      <c r="B4969" s="187">
        <v>29563</v>
      </c>
      <c r="C4969" s="188">
        <v>12.91</v>
      </c>
      <c r="D4969" s="104">
        <f t="shared" si="77"/>
        <v>0.12909999999999999</v>
      </c>
      <c r="F4969" s="5"/>
    </row>
    <row r="4970" spans="2:6" ht="13.8" hidden="1" outlineLevel="1">
      <c r="B4970" s="187">
        <v>29564</v>
      </c>
      <c r="C4970" s="188">
        <v>13.1</v>
      </c>
      <c r="D4970" s="104">
        <f t="shared" si="77"/>
        <v>0.13100000000000001</v>
      </c>
      <c r="F4970" s="5"/>
    </row>
    <row r="4971" spans="2:6" ht="13.8" hidden="1" outlineLevel="1">
      <c r="B4971" s="187">
        <v>29565</v>
      </c>
      <c r="C4971" s="188">
        <v>13.15</v>
      </c>
      <c r="D4971" s="104">
        <f t="shared" si="77"/>
        <v>0.13150000000000001</v>
      </c>
      <c r="F4971" s="5"/>
    </row>
    <row r="4972" spans="2:6" ht="13.8" hidden="1" outlineLevel="1">
      <c r="B4972" s="187">
        <v>29566</v>
      </c>
      <c r="C4972" s="188">
        <v>13.57</v>
      </c>
      <c r="D4972" s="104">
        <f t="shared" si="77"/>
        <v>0.13570000000000002</v>
      </c>
      <c r="F4972" s="5"/>
    </row>
    <row r="4973" spans="2:6" ht="13.8" hidden="1" outlineLevel="1">
      <c r="B4973" s="187">
        <v>29567</v>
      </c>
      <c r="C4973" s="188">
        <v>13.21</v>
      </c>
      <c r="D4973" s="104">
        <f t="shared" si="77"/>
        <v>0.1321</v>
      </c>
      <c r="F4973" s="5"/>
    </row>
    <row r="4974" spans="2:6" ht="13.8" hidden="1" outlineLevel="1">
      <c r="B4974" s="187">
        <v>29570</v>
      </c>
      <c r="C4974" s="188">
        <v>13.25</v>
      </c>
      <c r="D4974" s="104">
        <f t="shared" si="77"/>
        <v>0.13250000000000001</v>
      </c>
      <c r="F4974" s="5"/>
    </row>
    <row r="4975" spans="2:6" ht="13.8" hidden="1" outlineLevel="1">
      <c r="B4975" s="187">
        <v>29571</v>
      </c>
      <c r="C4975" s="188">
        <v>13.51</v>
      </c>
      <c r="D4975" s="104">
        <f t="shared" si="77"/>
        <v>0.1351</v>
      </c>
      <c r="F4975" s="5"/>
    </row>
    <row r="4976" spans="2:6" ht="13.8" hidden="1" outlineLevel="1">
      <c r="B4976" s="187">
        <v>29572</v>
      </c>
      <c r="C4976" s="188">
        <v>13.28</v>
      </c>
      <c r="D4976" s="104">
        <f t="shared" si="77"/>
        <v>0.1328</v>
      </c>
      <c r="F4976" s="5"/>
    </row>
    <row r="4977" spans="2:6" ht="13.8" hidden="1" outlineLevel="1">
      <c r="B4977" s="187">
        <v>29573</v>
      </c>
      <c r="C4977" s="188">
        <v>13.22</v>
      </c>
      <c r="D4977" s="104">
        <f t="shared" si="77"/>
        <v>0.13220000000000001</v>
      </c>
      <c r="F4977" s="5"/>
    </row>
    <row r="4978" spans="2:6" ht="13.8" hidden="1" outlineLevel="1">
      <c r="B4978" s="187">
        <v>29574</v>
      </c>
      <c r="C4978" s="188">
        <v>12.64</v>
      </c>
      <c r="D4978" s="104">
        <f t="shared" si="77"/>
        <v>0.12640000000000001</v>
      </c>
      <c r="F4978" s="5"/>
    </row>
    <row r="4979" spans="2:6" ht="13.8" hidden="1" outlineLevel="1">
      <c r="B4979" s="187">
        <v>29577</v>
      </c>
      <c r="C4979" s="188">
        <v>12.14</v>
      </c>
      <c r="D4979" s="104">
        <f t="shared" si="77"/>
        <v>0.12140000000000001</v>
      </c>
      <c r="F4979" s="5"/>
    </row>
    <row r="4980" spans="2:6" ht="13.8" hidden="1" outlineLevel="1">
      <c r="B4980" s="187">
        <v>29578</v>
      </c>
      <c r="C4980" s="188">
        <v>12.35</v>
      </c>
      <c r="D4980" s="104">
        <f t="shared" si="77"/>
        <v>0.1235</v>
      </c>
      <c r="F4980" s="5"/>
    </row>
    <row r="4981" spans="2:6" ht="13.8" hidden="1" outlineLevel="1">
      <c r="B4981" s="187">
        <v>29579</v>
      </c>
      <c r="C4981" s="188">
        <v>12.42</v>
      </c>
      <c r="D4981" s="104">
        <f t="shared" si="77"/>
        <v>0.1242</v>
      </c>
      <c r="F4981" s="5"/>
    </row>
    <row r="4982" spans="2:6" ht="13.8" hidden="1" outlineLevel="1">
      <c r="B4982" s="187">
        <v>29580</v>
      </c>
      <c r="C4982" s="188" t="s">
        <v>380</v>
      </c>
      <c r="D4982" s="104">
        <f t="shared" si="77"/>
        <v>0.1242</v>
      </c>
      <c r="F4982" s="5"/>
    </row>
    <row r="4983" spans="2:6" ht="13.8" hidden="1" outlineLevel="1">
      <c r="B4983" s="187">
        <v>29581</v>
      </c>
      <c r="C4983" s="188">
        <v>12.25</v>
      </c>
      <c r="D4983" s="104">
        <f t="shared" si="77"/>
        <v>0.1225</v>
      </c>
      <c r="F4983" s="5"/>
    </row>
    <row r="4984" spans="2:6" ht="13.8" hidden="1" outlineLevel="1">
      <c r="B4984" s="187">
        <v>29584</v>
      </c>
      <c r="C4984" s="188">
        <v>12.2</v>
      </c>
      <c r="D4984" s="104">
        <f t="shared" si="77"/>
        <v>0.122</v>
      </c>
      <c r="F4984" s="5"/>
    </row>
    <row r="4985" spans="2:6" ht="13.8" hidden="1" outlineLevel="1">
      <c r="B4985" s="187">
        <v>29585</v>
      </c>
      <c r="C4985" s="188">
        <v>12.39</v>
      </c>
      <c r="D4985" s="104">
        <f t="shared" si="77"/>
        <v>0.12390000000000001</v>
      </c>
      <c r="F4985" s="5"/>
    </row>
    <row r="4986" spans="2:6" ht="13.8" hidden="1" outlineLevel="1">
      <c r="B4986" s="187">
        <v>29586</v>
      </c>
      <c r="C4986" s="188">
        <v>12.43</v>
      </c>
      <c r="D4986" s="104">
        <f t="shared" si="77"/>
        <v>0.12429999999999999</v>
      </c>
      <c r="F4986" s="5"/>
    </row>
    <row r="4987" spans="2:6" ht="13.8" hidden="1" outlineLevel="1">
      <c r="B4987" s="187">
        <v>29587</v>
      </c>
      <c r="C4987" s="188" t="s">
        <v>380</v>
      </c>
      <c r="D4987" s="104">
        <f t="shared" si="77"/>
        <v>0.12429999999999999</v>
      </c>
      <c r="F4987" s="5"/>
    </row>
    <row r="4988" spans="2:6" ht="13.8" hidden="1" outlineLevel="1">
      <c r="B4988" s="187">
        <v>29588</v>
      </c>
      <c r="C4988" s="188">
        <v>12.42</v>
      </c>
      <c r="D4988" s="104">
        <f t="shared" si="77"/>
        <v>0.1242</v>
      </c>
      <c r="F4988" s="5"/>
    </row>
    <row r="4989" spans="2:6" ht="13.8" hidden="1" outlineLevel="1">
      <c r="B4989" s="187">
        <v>29591</v>
      </c>
      <c r="C4989" s="188">
        <v>12.15</v>
      </c>
      <c r="D4989" s="104">
        <f t="shared" si="77"/>
        <v>0.1215</v>
      </c>
      <c r="F4989" s="5"/>
    </row>
    <row r="4990" spans="2:6" ht="13.8" hidden="1" outlineLevel="1">
      <c r="B4990" s="187">
        <v>29592</v>
      </c>
      <c r="C4990" s="188">
        <v>12.11</v>
      </c>
      <c r="D4990" s="104">
        <f t="shared" si="77"/>
        <v>0.1211</v>
      </c>
      <c r="F4990" s="5"/>
    </row>
    <row r="4991" spans="2:6" ht="13.8" hidden="1" outlineLevel="1">
      <c r="B4991" s="187">
        <v>29593</v>
      </c>
      <c r="C4991" s="188">
        <v>12.38</v>
      </c>
      <c r="D4991" s="104">
        <f t="shared" si="77"/>
        <v>0.12380000000000001</v>
      </c>
      <c r="F4991" s="5"/>
    </row>
    <row r="4992" spans="2:6" ht="13.8" hidden="1" outlineLevel="1">
      <c r="B4992" s="187">
        <v>29594</v>
      </c>
      <c r="C4992" s="188">
        <v>12.35</v>
      </c>
      <c r="D4992" s="104">
        <f t="shared" si="77"/>
        <v>0.1235</v>
      </c>
      <c r="F4992" s="5"/>
    </row>
    <row r="4993" spans="2:6" ht="13.8" hidden="1" outlineLevel="1">
      <c r="B4993" s="187">
        <v>29595</v>
      </c>
      <c r="C4993" s="188">
        <v>12.57</v>
      </c>
      <c r="D4993" s="104">
        <f t="shared" si="77"/>
        <v>0.12570000000000001</v>
      </c>
      <c r="F4993" s="5"/>
    </row>
    <row r="4994" spans="2:6" ht="13.8" hidden="1" outlineLevel="1">
      <c r="B4994" s="187">
        <v>29598</v>
      </c>
      <c r="C4994" s="188">
        <v>12.45</v>
      </c>
      <c r="D4994" s="104">
        <f t="shared" si="77"/>
        <v>0.1245</v>
      </c>
      <c r="F4994" s="5"/>
    </row>
    <row r="4995" spans="2:6" ht="13.8" hidden="1" outlineLevel="1">
      <c r="B4995" s="187">
        <v>29599</v>
      </c>
      <c r="C4995" s="188">
        <v>12.53</v>
      </c>
      <c r="D4995" s="104">
        <f t="shared" si="77"/>
        <v>0.12529999999999999</v>
      </c>
      <c r="F4995" s="5"/>
    </row>
    <row r="4996" spans="2:6" ht="13.8" hidden="1" outlineLevel="1">
      <c r="B4996" s="187">
        <v>29600</v>
      </c>
      <c r="C4996" s="188">
        <v>12.53</v>
      </c>
      <c r="D4996" s="104">
        <f t="shared" si="77"/>
        <v>0.12529999999999999</v>
      </c>
      <c r="F4996" s="5"/>
    </row>
    <row r="4997" spans="2:6" ht="13.8" hidden="1" outlineLevel="1">
      <c r="B4997" s="187">
        <v>29601</v>
      </c>
      <c r="C4997" s="188">
        <v>12.62</v>
      </c>
      <c r="D4997" s="104">
        <f t="shared" si="77"/>
        <v>0.12619999999999998</v>
      </c>
      <c r="F4997" s="5"/>
    </row>
    <row r="4998" spans="2:6" ht="13.8" hidden="1" outlineLevel="1">
      <c r="B4998" s="187">
        <v>29602</v>
      </c>
      <c r="C4998" s="188">
        <v>12.53</v>
      </c>
      <c r="D4998" s="104">
        <f t="shared" si="77"/>
        <v>0.12529999999999999</v>
      </c>
      <c r="F4998" s="5"/>
    </row>
    <row r="4999" spans="2:6" ht="13.8" hidden="1" outlineLevel="1">
      <c r="B4999" s="187">
        <v>29605</v>
      </c>
      <c r="C4999" s="188">
        <v>12.64</v>
      </c>
      <c r="D4999" s="104">
        <f t="shared" si="77"/>
        <v>0.12640000000000001</v>
      </c>
      <c r="F4999" s="5"/>
    </row>
    <row r="5000" spans="2:6" ht="13.8" hidden="1" outlineLevel="1">
      <c r="B5000" s="187">
        <v>29606</v>
      </c>
      <c r="C5000" s="188">
        <v>12.5</v>
      </c>
      <c r="D5000" s="104">
        <f t="shared" si="77"/>
        <v>0.125</v>
      </c>
      <c r="F5000" s="5"/>
    </row>
    <row r="5001" spans="2:6" ht="13.8" hidden="1" outlineLevel="1">
      <c r="B5001" s="187">
        <v>29607</v>
      </c>
      <c r="C5001" s="188">
        <v>12.77</v>
      </c>
      <c r="D5001" s="104">
        <f t="shared" si="77"/>
        <v>0.12770000000000001</v>
      </c>
      <c r="F5001" s="5"/>
    </row>
    <row r="5002" spans="2:6" ht="13.8" hidden="1" outlineLevel="1">
      <c r="B5002" s="187">
        <v>29608</v>
      </c>
      <c r="C5002" s="188">
        <v>12.87</v>
      </c>
      <c r="D5002" s="104">
        <f t="shared" si="77"/>
        <v>0.12869999999999998</v>
      </c>
      <c r="F5002" s="5"/>
    </row>
    <row r="5003" spans="2:6" ht="13.8" hidden="1" outlineLevel="1">
      <c r="B5003" s="187">
        <v>29609</v>
      </c>
      <c r="C5003" s="188">
        <v>12.84</v>
      </c>
      <c r="D5003" s="104">
        <f t="shared" si="77"/>
        <v>0.12839999999999999</v>
      </c>
      <c r="F5003" s="5"/>
    </row>
    <row r="5004" spans="2:6" ht="13.8" hidden="1" outlineLevel="1">
      <c r="B5004" s="187">
        <v>29612</v>
      </c>
      <c r="C5004" s="188">
        <v>12.7</v>
      </c>
      <c r="D5004" s="104">
        <f t="shared" si="77"/>
        <v>0.127</v>
      </c>
      <c r="F5004" s="5"/>
    </row>
    <row r="5005" spans="2:6" ht="13.8" hidden="1" outlineLevel="1">
      <c r="B5005" s="187">
        <v>29613</v>
      </c>
      <c r="C5005" s="188">
        <v>12.73</v>
      </c>
      <c r="D5005" s="104">
        <f t="shared" si="77"/>
        <v>0.1273</v>
      </c>
      <c r="F5005" s="5"/>
    </row>
    <row r="5006" spans="2:6" ht="13.8" hidden="1" outlineLevel="1">
      <c r="B5006" s="187">
        <v>29614</v>
      </c>
      <c r="C5006" s="188">
        <v>12.77</v>
      </c>
      <c r="D5006" s="104">
        <f t="shared" si="77"/>
        <v>0.12770000000000001</v>
      </c>
      <c r="F5006" s="5"/>
    </row>
    <row r="5007" spans="2:6" ht="13.8" hidden="1" outlineLevel="1">
      <c r="B5007" s="187">
        <v>29615</v>
      </c>
      <c r="C5007" s="188">
        <v>12.8</v>
      </c>
      <c r="D5007" s="104">
        <f t="shared" si="77"/>
        <v>0.128</v>
      </c>
      <c r="F5007" s="5"/>
    </row>
    <row r="5008" spans="2:6" ht="13.8" hidden="1" outlineLevel="1">
      <c r="B5008" s="187">
        <v>29616</v>
      </c>
      <c r="C5008" s="188">
        <v>12.68</v>
      </c>
      <c r="D5008" s="104">
        <f t="shared" si="77"/>
        <v>0.1268</v>
      </c>
      <c r="F5008" s="5"/>
    </row>
    <row r="5009" spans="2:6" ht="13.8" hidden="1" outlineLevel="1">
      <c r="B5009" s="187">
        <v>29619</v>
      </c>
      <c r="C5009" s="188">
        <v>12.86</v>
      </c>
      <c r="D5009" s="104">
        <f t="shared" si="77"/>
        <v>0.12859999999999999</v>
      </c>
      <c r="F5009" s="5"/>
    </row>
    <row r="5010" spans="2:6" ht="13.8" hidden="1" outlineLevel="1">
      <c r="B5010" s="187">
        <v>29620</v>
      </c>
      <c r="C5010" s="188">
        <v>12.98</v>
      </c>
      <c r="D5010" s="104">
        <f t="shared" si="77"/>
        <v>0.1298</v>
      </c>
      <c r="F5010" s="5"/>
    </row>
    <row r="5011" spans="2:6" ht="13.8" hidden="1" outlineLevel="1">
      <c r="B5011" s="187">
        <v>29621</v>
      </c>
      <c r="C5011" s="188">
        <v>12.86</v>
      </c>
      <c r="D5011" s="104">
        <f t="shared" si="77"/>
        <v>0.12859999999999999</v>
      </c>
      <c r="F5011" s="5"/>
    </row>
    <row r="5012" spans="2:6" ht="13.8" hidden="1" outlineLevel="1">
      <c r="B5012" s="187">
        <v>29622</v>
      </c>
      <c r="C5012" s="188">
        <v>12.95</v>
      </c>
      <c r="D5012" s="104">
        <f t="shared" si="77"/>
        <v>0.1295</v>
      </c>
      <c r="F5012" s="5"/>
    </row>
    <row r="5013" spans="2:6" ht="13.8" hidden="1" outlineLevel="1">
      <c r="B5013" s="187">
        <v>29623</v>
      </c>
      <c r="C5013" s="188">
        <v>13.09</v>
      </c>
      <c r="D5013" s="104">
        <f t="shared" si="77"/>
        <v>0.13089999999999999</v>
      </c>
      <c r="F5013" s="5"/>
    </row>
    <row r="5014" spans="2:6" ht="13.8" hidden="1" outlineLevel="1">
      <c r="B5014" s="187">
        <v>29626</v>
      </c>
      <c r="C5014" s="188">
        <v>13.21</v>
      </c>
      <c r="D5014" s="104">
        <f t="shared" si="77"/>
        <v>0.1321</v>
      </c>
      <c r="F5014" s="5"/>
    </row>
    <row r="5015" spans="2:6" ht="13.8" hidden="1" outlineLevel="1">
      <c r="B5015" s="187">
        <v>29627</v>
      </c>
      <c r="C5015" s="188">
        <v>13.27</v>
      </c>
      <c r="D5015" s="104">
        <f t="shared" si="77"/>
        <v>0.13269999999999998</v>
      </c>
      <c r="F5015" s="5"/>
    </row>
    <row r="5016" spans="2:6" ht="13.8" hidden="1" outlineLevel="1">
      <c r="B5016" s="187">
        <v>29628</v>
      </c>
      <c r="C5016" s="188">
        <v>13.42</v>
      </c>
      <c r="D5016" s="104">
        <f t="shared" si="77"/>
        <v>0.13419999999999999</v>
      </c>
      <c r="F5016" s="5"/>
    </row>
    <row r="5017" spans="2:6" ht="13.8" hidden="1" outlineLevel="1">
      <c r="B5017" s="187">
        <v>29629</v>
      </c>
      <c r="C5017" s="188" t="s">
        <v>380</v>
      </c>
      <c r="D5017" s="104">
        <f t="shared" si="77"/>
        <v>0.13419999999999999</v>
      </c>
      <c r="F5017" s="5"/>
    </row>
    <row r="5018" spans="2:6" ht="13.8" hidden="1" outlineLevel="1">
      <c r="B5018" s="187">
        <v>29630</v>
      </c>
      <c r="C5018" s="188">
        <v>13.65</v>
      </c>
      <c r="D5018" s="104">
        <f t="shared" si="77"/>
        <v>0.13650000000000001</v>
      </c>
      <c r="F5018" s="5"/>
    </row>
    <row r="5019" spans="2:6" ht="13.8" hidden="1" outlineLevel="1">
      <c r="B5019" s="187">
        <v>29633</v>
      </c>
      <c r="C5019" s="188" t="s">
        <v>380</v>
      </c>
      <c r="D5019" s="104">
        <f t="shared" si="77"/>
        <v>0.13650000000000001</v>
      </c>
      <c r="F5019" s="5"/>
    </row>
    <row r="5020" spans="2:6" ht="13.8" hidden="1" outlineLevel="1">
      <c r="B5020" s="187">
        <v>29634</v>
      </c>
      <c r="C5020" s="188">
        <v>13.33</v>
      </c>
      <c r="D5020" s="104">
        <f t="shared" si="77"/>
        <v>0.1333</v>
      </c>
      <c r="F5020" s="5"/>
    </row>
    <row r="5021" spans="2:6" ht="13.8" hidden="1" outlineLevel="1">
      <c r="B5021" s="187">
        <v>29635</v>
      </c>
      <c r="C5021" s="188">
        <v>13.3</v>
      </c>
      <c r="D5021" s="104">
        <f t="shared" si="77"/>
        <v>0.13300000000000001</v>
      </c>
      <c r="F5021" s="5"/>
    </row>
    <row r="5022" spans="2:6" ht="13.8" hidden="1" outlineLevel="1">
      <c r="B5022" s="187">
        <v>29636</v>
      </c>
      <c r="C5022" s="188">
        <v>13.09</v>
      </c>
      <c r="D5022" s="104">
        <f t="shared" ref="D5022:D5085" si="78">IF( LEN( C5022 ) = 0, #N/A, IF( C5022 = "ND", D5021, C5022 / 100 ) )</f>
        <v>0.13089999999999999</v>
      </c>
      <c r="F5022" s="5"/>
    </row>
    <row r="5023" spans="2:6" ht="13.8" hidden="1" outlineLevel="1">
      <c r="B5023" s="187">
        <v>29637</v>
      </c>
      <c r="C5023" s="188">
        <v>12.9</v>
      </c>
      <c r="D5023" s="104">
        <f t="shared" si="78"/>
        <v>0.129</v>
      </c>
      <c r="F5023" s="5"/>
    </row>
    <row r="5024" spans="2:6" ht="13.8" hidden="1" outlineLevel="1">
      <c r="B5024" s="187">
        <v>29640</v>
      </c>
      <c r="C5024" s="188">
        <v>13.19</v>
      </c>
      <c r="D5024" s="104">
        <f t="shared" si="78"/>
        <v>0.13189999999999999</v>
      </c>
      <c r="F5024" s="5"/>
    </row>
    <row r="5025" spans="2:6" ht="13.8" hidden="1" outlineLevel="1">
      <c r="B5025" s="187">
        <v>29641</v>
      </c>
      <c r="C5025" s="188">
        <v>13.21</v>
      </c>
      <c r="D5025" s="104">
        <f t="shared" si="78"/>
        <v>0.1321</v>
      </c>
      <c r="F5025" s="5"/>
    </row>
    <row r="5026" spans="2:6" ht="13.8" hidden="1" outlineLevel="1">
      <c r="B5026" s="187">
        <v>29642</v>
      </c>
      <c r="C5026" s="188">
        <v>13.29</v>
      </c>
      <c r="D5026" s="104">
        <f t="shared" si="78"/>
        <v>0.13289999999999999</v>
      </c>
      <c r="F5026" s="5"/>
    </row>
    <row r="5027" spans="2:6" ht="13.8" hidden="1" outlineLevel="1">
      <c r="B5027" s="187">
        <v>29643</v>
      </c>
      <c r="C5027" s="188">
        <v>13.47</v>
      </c>
      <c r="D5027" s="104">
        <f t="shared" si="78"/>
        <v>0.13470000000000001</v>
      </c>
      <c r="F5027" s="5"/>
    </row>
    <row r="5028" spans="2:6" ht="13.8" hidden="1" outlineLevel="1">
      <c r="B5028" s="187">
        <v>29644</v>
      </c>
      <c r="C5028" s="188">
        <v>13.43</v>
      </c>
      <c r="D5028" s="104">
        <f t="shared" si="78"/>
        <v>0.1343</v>
      </c>
      <c r="F5028" s="5"/>
    </row>
    <row r="5029" spans="2:6" ht="13.8" hidden="1" outlineLevel="1">
      <c r="B5029" s="187">
        <v>29647</v>
      </c>
      <c r="C5029" s="188">
        <v>13.62</v>
      </c>
      <c r="D5029" s="104">
        <f t="shared" si="78"/>
        <v>0.13619999999999999</v>
      </c>
      <c r="F5029" s="5"/>
    </row>
    <row r="5030" spans="2:6" ht="13.8" hidden="1" outlineLevel="1">
      <c r="B5030" s="187">
        <v>29648</v>
      </c>
      <c r="C5030" s="188">
        <v>13.43</v>
      </c>
      <c r="D5030" s="104">
        <f t="shared" si="78"/>
        <v>0.1343</v>
      </c>
      <c r="F5030" s="5"/>
    </row>
    <row r="5031" spans="2:6" ht="13.8" hidden="1" outlineLevel="1">
      <c r="B5031" s="187">
        <v>29649</v>
      </c>
      <c r="C5031" s="188">
        <v>13.45</v>
      </c>
      <c r="D5031" s="104">
        <f t="shared" si="78"/>
        <v>0.13449999999999998</v>
      </c>
      <c r="F5031" s="5"/>
    </row>
    <row r="5032" spans="2:6" ht="13.8" hidden="1" outlineLevel="1">
      <c r="B5032" s="187">
        <v>29650</v>
      </c>
      <c r="C5032" s="188">
        <v>13.43</v>
      </c>
      <c r="D5032" s="104">
        <f t="shared" si="78"/>
        <v>0.1343</v>
      </c>
      <c r="F5032" s="5"/>
    </row>
    <row r="5033" spans="2:6" ht="13.8" hidden="1" outlineLevel="1">
      <c r="B5033" s="187">
        <v>29651</v>
      </c>
      <c r="C5033" s="188">
        <v>13.2</v>
      </c>
      <c r="D5033" s="104">
        <f t="shared" si="78"/>
        <v>0.13200000000000001</v>
      </c>
      <c r="F5033" s="5"/>
    </row>
    <row r="5034" spans="2:6" ht="13.8" hidden="1" outlineLevel="1">
      <c r="B5034" s="187">
        <v>29654</v>
      </c>
      <c r="C5034" s="188">
        <v>13.09</v>
      </c>
      <c r="D5034" s="104">
        <f t="shared" si="78"/>
        <v>0.13089999999999999</v>
      </c>
      <c r="F5034" s="5"/>
    </row>
    <row r="5035" spans="2:6" ht="13.8" hidden="1" outlineLevel="1">
      <c r="B5035" s="187">
        <v>29655</v>
      </c>
      <c r="C5035" s="188">
        <v>13.08</v>
      </c>
      <c r="D5035" s="104">
        <f t="shared" si="78"/>
        <v>0.1308</v>
      </c>
      <c r="F5035" s="5"/>
    </row>
    <row r="5036" spans="2:6" ht="13.8" hidden="1" outlineLevel="1">
      <c r="B5036" s="187">
        <v>29656</v>
      </c>
      <c r="C5036" s="188">
        <v>13.12</v>
      </c>
      <c r="D5036" s="104">
        <f t="shared" si="78"/>
        <v>0.13119999999999998</v>
      </c>
      <c r="F5036" s="5"/>
    </row>
    <row r="5037" spans="2:6" ht="13.8" hidden="1" outlineLevel="1">
      <c r="B5037" s="187">
        <v>29657</v>
      </c>
      <c r="C5037" s="188">
        <v>13.03</v>
      </c>
      <c r="D5037" s="104">
        <f t="shared" si="78"/>
        <v>0.1303</v>
      </c>
      <c r="F5037" s="5"/>
    </row>
    <row r="5038" spans="2:6" ht="13.8" hidden="1" outlineLevel="1">
      <c r="B5038" s="187">
        <v>29658</v>
      </c>
      <c r="C5038" s="188">
        <v>12.86</v>
      </c>
      <c r="D5038" s="104">
        <f t="shared" si="78"/>
        <v>0.12859999999999999</v>
      </c>
      <c r="F5038" s="5"/>
    </row>
    <row r="5039" spans="2:6" ht="13.8" hidden="1" outlineLevel="1">
      <c r="B5039" s="187">
        <v>29661</v>
      </c>
      <c r="C5039" s="188">
        <v>12.85</v>
      </c>
      <c r="D5039" s="104">
        <f t="shared" si="78"/>
        <v>0.1285</v>
      </c>
      <c r="F5039" s="5"/>
    </row>
    <row r="5040" spans="2:6" ht="13.8" hidden="1" outlineLevel="1">
      <c r="B5040" s="187">
        <v>29662</v>
      </c>
      <c r="C5040" s="188">
        <v>12.68</v>
      </c>
      <c r="D5040" s="104">
        <f t="shared" si="78"/>
        <v>0.1268</v>
      </c>
      <c r="F5040" s="5"/>
    </row>
    <row r="5041" spans="2:6" ht="13.8" hidden="1" outlineLevel="1">
      <c r="B5041" s="187">
        <v>29663</v>
      </c>
      <c r="C5041" s="188">
        <v>12.58</v>
      </c>
      <c r="D5041" s="104">
        <f t="shared" si="78"/>
        <v>0.1258</v>
      </c>
      <c r="F5041" s="5"/>
    </row>
    <row r="5042" spans="2:6" ht="13.8" hidden="1" outlineLevel="1">
      <c r="B5042" s="187">
        <v>29664</v>
      </c>
      <c r="C5042" s="188">
        <v>12.67</v>
      </c>
      <c r="D5042" s="104">
        <f t="shared" si="78"/>
        <v>0.12670000000000001</v>
      </c>
      <c r="F5042" s="5"/>
    </row>
    <row r="5043" spans="2:6" ht="13.8" hidden="1" outlineLevel="1">
      <c r="B5043" s="187">
        <v>29665</v>
      </c>
      <c r="C5043" s="188">
        <v>12.77</v>
      </c>
      <c r="D5043" s="104">
        <f t="shared" si="78"/>
        <v>0.12770000000000001</v>
      </c>
      <c r="F5043" s="5"/>
    </row>
    <row r="5044" spans="2:6" ht="13.8" hidden="1" outlineLevel="1">
      <c r="B5044" s="187">
        <v>29668</v>
      </c>
      <c r="C5044" s="188">
        <v>13.13</v>
      </c>
      <c r="D5044" s="104">
        <f t="shared" si="78"/>
        <v>0.1313</v>
      </c>
      <c r="F5044" s="5"/>
    </row>
    <row r="5045" spans="2:6" ht="13.8" hidden="1" outlineLevel="1">
      <c r="B5045" s="187">
        <v>29669</v>
      </c>
      <c r="C5045" s="188">
        <v>13.3</v>
      </c>
      <c r="D5045" s="104">
        <f t="shared" si="78"/>
        <v>0.13300000000000001</v>
      </c>
      <c r="F5045" s="5"/>
    </row>
    <row r="5046" spans="2:6" ht="13.8" hidden="1" outlineLevel="1">
      <c r="B5046" s="187">
        <v>29670</v>
      </c>
      <c r="C5046" s="188">
        <v>13.21</v>
      </c>
      <c r="D5046" s="104">
        <f t="shared" si="78"/>
        <v>0.1321</v>
      </c>
      <c r="F5046" s="5"/>
    </row>
    <row r="5047" spans="2:6" ht="13.8" hidden="1" outlineLevel="1">
      <c r="B5047" s="187">
        <v>29671</v>
      </c>
      <c r="C5047" s="188">
        <v>13.34</v>
      </c>
      <c r="D5047" s="104">
        <f t="shared" si="78"/>
        <v>0.13339999999999999</v>
      </c>
      <c r="F5047" s="5"/>
    </row>
    <row r="5048" spans="2:6" ht="13.8" hidden="1" outlineLevel="1">
      <c r="B5048" s="187">
        <v>29672</v>
      </c>
      <c r="C5048" s="188">
        <v>13.36</v>
      </c>
      <c r="D5048" s="104">
        <f t="shared" si="78"/>
        <v>0.1336</v>
      </c>
      <c r="F5048" s="5"/>
    </row>
    <row r="5049" spans="2:6" ht="13.8" hidden="1" outlineLevel="1">
      <c r="B5049" s="187">
        <v>29675</v>
      </c>
      <c r="C5049" s="188">
        <v>13.22</v>
      </c>
      <c r="D5049" s="104">
        <f t="shared" si="78"/>
        <v>0.13220000000000001</v>
      </c>
      <c r="F5049" s="5"/>
    </row>
    <row r="5050" spans="2:6" ht="13.8" hidden="1" outlineLevel="1">
      <c r="B5050" s="187">
        <v>29676</v>
      </c>
      <c r="C5050" s="188">
        <v>13.13</v>
      </c>
      <c r="D5050" s="104">
        <f t="shared" si="78"/>
        <v>0.1313</v>
      </c>
      <c r="F5050" s="5"/>
    </row>
    <row r="5051" spans="2:6" ht="13.8" hidden="1" outlineLevel="1">
      <c r="B5051" s="187">
        <v>29677</v>
      </c>
      <c r="C5051" s="188">
        <v>13.14</v>
      </c>
      <c r="D5051" s="104">
        <f t="shared" si="78"/>
        <v>0.13140000000000002</v>
      </c>
      <c r="F5051" s="5"/>
    </row>
    <row r="5052" spans="2:6" ht="13.8" hidden="1" outlineLevel="1">
      <c r="B5052" s="187">
        <v>29678</v>
      </c>
      <c r="C5052" s="188">
        <v>13.25</v>
      </c>
      <c r="D5052" s="104">
        <f t="shared" si="78"/>
        <v>0.13250000000000001</v>
      </c>
      <c r="F5052" s="5"/>
    </row>
    <row r="5053" spans="2:6" ht="13.8" hidden="1" outlineLevel="1">
      <c r="B5053" s="187">
        <v>29679</v>
      </c>
      <c r="C5053" s="188">
        <v>13.4</v>
      </c>
      <c r="D5053" s="104">
        <f t="shared" si="78"/>
        <v>0.13400000000000001</v>
      </c>
      <c r="F5053" s="5"/>
    </row>
    <row r="5054" spans="2:6" ht="13.8" hidden="1" outlineLevel="1">
      <c r="B5054" s="187">
        <v>29682</v>
      </c>
      <c r="C5054" s="188">
        <v>13.74</v>
      </c>
      <c r="D5054" s="104">
        <f t="shared" si="78"/>
        <v>0.13739999999999999</v>
      </c>
      <c r="F5054" s="5"/>
    </row>
    <row r="5055" spans="2:6" ht="13.8" hidden="1" outlineLevel="1">
      <c r="B5055" s="187">
        <v>29683</v>
      </c>
      <c r="C5055" s="188">
        <v>13.41</v>
      </c>
      <c r="D5055" s="104">
        <f t="shared" si="78"/>
        <v>0.1341</v>
      </c>
      <c r="F5055" s="5"/>
    </row>
    <row r="5056" spans="2:6" ht="13.8" hidden="1" outlineLevel="1">
      <c r="B5056" s="187">
        <v>29684</v>
      </c>
      <c r="C5056" s="188">
        <v>13.61</v>
      </c>
      <c r="D5056" s="104">
        <f t="shared" si="78"/>
        <v>0.1361</v>
      </c>
      <c r="F5056" s="5"/>
    </row>
    <row r="5057" spans="2:6" ht="13.8" hidden="1" outlineLevel="1">
      <c r="B5057" s="187">
        <v>29685</v>
      </c>
      <c r="C5057" s="188">
        <v>13.45</v>
      </c>
      <c r="D5057" s="104">
        <f t="shared" si="78"/>
        <v>0.13449999999999998</v>
      </c>
      <c r="F5057" s="5"/>
    </row>
    <row r="5058" spans="2:6" ht="13.8" hidden="1" outlineLevel="1">
      <c r="B5058" s="187">
        <v>29686</v>
      </c>
      <c r="C5058" s="188">
        <v>13.59</v>
      </c>
      <c r="D5058" s="104">
        <f t="shared" si="78"/>
        <v>0.13589999999999999</v>
      </c>
      <c r="F5058" s="5"/>
    </row>
    <row r="5059" spans="2:6" ht="13.8" hidden="1" outlineLevel="1">
      <c r="B5059" s="187">
        <v>29689</v>
      </c>
      <c r="C5059" s="188">
        <v>13.68</v>
      </c>
      <c r="D5059" s="104">
        <f t="shared" si="78"/>
        <v>0.1368</v>
      </c>
      <c r="F5059" s="5"/>
    </row>
    <row r="5060" spans="2:6" ht="13.8" hidden="1" outlineLevel="1">
      <c r="B5060" s="187">
        <v>29690</v>
      </c>
      <c r="C5060" s="188">
        <v>13.58</v>
      </c>
      <c r="D5060" s="104">
        <f t="shared" si="78"/>
        <v>0.1358</v>
      </c>
      <c r="F5060" s="5"/>
    </row>
    <row r="5061" spans="2:6" ht="13.8" hidden="1" outlineLevel="1">
      <c r="B5061" s="187">
        <v>29691</v>
      </c>
      <c r="C5061" s="188">
        <v>13.74</v>
      </c>
      <c r="D5061" s="104">
        <f t="shared" si="78"/>
        <v>0.13739999999999999</v>
      </c>
      <c r="F5061" s="5"/>
    </row>
    <row r="5062" spans="2:6" ht="13.8" hidden="1" outlineLevel="1">
      <c r="B5062" s="187">
        <v>29692</v>
      </c>
      <c r="C5062" s="188">
        <v>13.79</v>
      </c>
      <c r="D5062" s="104">
        <f t="shared" si="78"/>
        <v>0.13789999999999999</v>
      </c>
      <c r="F5062" s="5"/>
    </row>
    <row r="5063" spans="2:6" ht="13.8" hidden="1" outlineLevel="1">
      <c r="B5063" s="187">
        <v>29693</v>
      </c>
      <c r="C5063" s="188" t="s">
        <v>380</v>
      </c>
      <c r="D5063" s="104">
        <f t="shared" si="78"/>
        <v>0.13789999999999999</v>
      </c>
      <c r="F5063" s="5"/>
    </row>
    <row r="5064" spans="2:6" ht="13.8" hidden="1" outlineLevel="1">
      <c r="B5064" s="187">
        <v>29696</v>
      </c>
      <c r="C5064" s="188">
        <v>13.69</v>
      </c>
      <c r="D5064" s="104">
        <f t="shared" si="78"/>
        <v>0.13689999999999999</v>
      </c>
      <c r="F5064" s="5"/>
    </row>
    <row r="5065" spans="2:6" ht="13.8" hidden="1" outlineLevel="1">
      <c r="B5065" s="187">
        <v>29697</v>
      </c>
      <c r="C5065" s="188">
        <v>13.73</v>
      </c>
      <c r="D5065" s="104">
        <f t="shared" si="78"/>
        <v>0.13730000000000001</v>
      </c>
      <c r="F5065" s="5"/>
    </row>
    <row r="5066" spans="2:6" ht="13.8" hidden="1" outlineLevel="1">
      <c r="B5066" s="187">
        <v>29698</v>
      </c>
      <c r="C5066" s="188">
        <v>13.78</v>
      </c>
      <c r="D5066" s="104">
        <f t="shared" si="78"/>
        <v>0.13780000000000001</v>
      </c>
      <c r="F5066" s="5"/>
    </row>
    <row r="5067" spans="2:6" ht="13.8" hidden="1" outlineLevel="1">
      <c r="B5067" s="187">
        <v>29699</v>
      </c>
      <c r="C5067" s="188">
        <v>13.8</v>
      </c>
      <c r="D5067" s="104">
        <f t="shared" si="78"/>
        <v>0.13800000000000001</v>
      </c>
      <c r="F5067" s="5"/>
    </row>
    <row r="5068" spans="2:6" ht="13.8" hidden="1" outlineLevel="1">
      <c r="B5068" s="187">
        <v>29700</v>
      </c>
      <c r="C5068" s="188">
        <v>13.88</v>
      </c>
      <c r="D5068" s="104">
        <f t="shared" si="78"/>
        <v>0.13880000000000001</v>
      </c>
      <c r="F5068" s="5"/>
    </row>
    <row r="5069" spans="2:6" ht="13.8" hidden="1" outlineLevel="1">
      <c r="B5069" s="187">
        <v>29703</v>
      </c>
      <c r="C5069" s="188">
        <v>13.92</v>
      </c>
      <c r="D5069" s="104">
        <f t="shared" si="78"/>
        <v>0.13919999999999999</v>
      </c>
      <c r="F5069" s="5"/>
    </row>
    <row r="5070" spans="2:6" ht="13.8" hidden="1" outlineLevel="1">
      <c r="B5070" s="187">
        <v>29704</v>
      </c>
      <c r="C5070" s="188">
        <v>13.93</v>
      </c>
      <c r="D5070" s="104">
        <f t="shared" si="78"/>
        <v>0.13930000000000001</v>
      </c>
      <c r="F5070" s="5"/>
    </row>
    <row r="5071" spans="2:6" ht="13.8" hidden="1" outlineLevel="1">
      <c r="B5071" s="187">
        <v>29705</v>
      </c>
      <c r="C5071" s="188">
        <v>14.05</v>
      </c>
      <c r="D5071" s="104">
        <f t="shared" si="78"/>
        <v>0.14050000000000001</v>
      </c>
      <c r="F5071" s="5"/>
    </row>
    <row r="5072" spans="2:6" ht="13.8" hidden="1" outlineLevel="1">
      <c r="B5072" s="187">
        <v>29706</v>
      </c>
      <c r="C5072" s="188">
        <v>14.11</v>
      </c>
      <c r="D5072" s="104">
        <f t="shared" si="78"/>
        <v>0.1411</v>
      </c>
      <c r="F5072" s="5"/>
    </row>
    <row r="5073" spans="2:6" ht="13.8" hidden="1" outlineLevel="1">
      <c r="B5073" s="187">
        <v>29707</v>
      </c>
      <c r="C5073" s="188">
        <v>14.05</v>
      </c>
      <c r="D5073" s="104">
        <f t="shared" si="78"/>
        <v>0.14050000000000001</v>
      </c>
      <c r="F5073" s="5"/>
    </row>
    <row r="5074" spans="2:6" ht="13.8" hidden="1" outlineLevel="1">
      <c r="B5074" s="187">
        <v>29710</v>
      </c>
      <c r="C5074" s="188">
        <v>14.47</v>
      </c>
      <c r="D5074" s="104">
        <f t="shared" si="78"/>
        <v>0.1447</v>
      </c>
      <c r="F5074" s="5"/>
    </row>
    <row r="5075" spans="2:6" ht="13.8" hidden="1" outlineLevel="1">
      <c r="B5075" s="187">
        <v>29711</v>
      </c>
      <c r="C5075" s="188">
        <v>14.69</v>
      </c>
      <c r="D5075" s="104">
        <f t="shared" si="78"/>
        <v>0.1469</v>
      </c>
      <c r="F5075" s="5"/>
    </row>
    <row r="5076" spans="2:6" ht="13.8" hidden="1" outlineLevel="1">
      <c r="B5076" s="187">
        <v>29712</v>
      </c>
      <c r="C5076" s="188">
        <v>14.56</v>
      </c>
      <c r="D5076" s="104">
        <f t="shared" si="78"/>
        <v>0.14560000000000001</v>
      </c>
      <c r="F5076" s="5"/>
    </row>
    <row r="5077" spans="2:6" ht="13.8" hidden="1" outlineLevel="1">
      <c r="B5077" s="187">
        <v>29713</v>
      </c>
      <c r="C5077" s="188">
        <v>14.33</v>
      </c>
      <c r="D5077" s="104">
        <f t="shared" si="78"/>
        <v>0.14330000000000001</v>
      </c>
      <c r="F5077" s="5"/>
    </row>
    <row r="5078" spans="2:6" ht="13.8" hidden="1" outlineLevel="1">
      <c r="B5078" s="187">
        <v>29714</v>
      </c>
      <c r="C5078" s="188">
        <v>14.23</v>
      </c>
      <c r="D5078" s="104">
        <f t="shared" si="78"/>
        <v>0.14230000000000001</v>
      </c>
      <c r="F5078" s="5"/>
    </row>
    <row r="5079" spans="2:6" ht="13.8" hidden="1" outlineLevel="1">
      <c r="B5079" s="187">
        <v>29717</v>
      </c>
      <c r="C5079" s="188">
        <v>14.34</v>
      </c>
      <c r="D5079" s="104">
        <f t="shared" si="78"/>
        <v>0.1434</v>
      </c>
      <c r="F5079" s="5"/>
    </row>
    <row r="5080" spans="2:6" ht="13.8" hidden="1" outlineLevel="1">
      <c r="B5080" s="187">
        <v>29718</v>
      </c>
      <c r="C5080" s="188">
        <v>14.46</v>
      </c>
      <c r="D5080" s="104">
        <f t="shared" si="78"/>
        <v>0.14460000000000001</v>
      </c>
      <c r="F5080" s="5"/>
    </row>
    <row r="5081" spans="2:6" ht="13.8" hidden="1" outlineLevel="1">
      <c r="B5081" s="187">
        <v>29719</v>
      </c>
      <c r="C5081" s="188">
        <v>14.49</v>
      </c>
      <c r="D5081" s="104">
        <f t="shared" si="78"/>
        <v>0.1449</v>
      </c>
      <c r="F5081" s="5"/>
    </row>
    <row r="5082" spans="2:6" ht="13.8" hidden="1" outlineLevel="1">
      <c r="B5082" s="187">
        <v>29720</v>
      </c>
      <c r="C5082" s="188">
        <v>14.24</v>
      </c>
      <c r="D5082" s="104">
        <f t="shared" si="78"/>
        <v>0.1424</v>
      </c>
      <c r="F5082" s="5"/>
    </row>
    <row r="5083" spans="2:6" ht="13.8" hidden="1" outlineLevel="1">
      <c r="B5083" s="187">
        <v>29721</v>
      </c>
      <c r="C5083" s="188">
        <v>14.07</v>
      </c>
      <c r="D5083" s="104">
        <f t="shared" si="78"/>
        <v>0.14069999999999999</v>
      </c>
      <c r="F5083" s="5"/>
    </row>
    <row r="5084" spans="2:6" ht="13.8" hidden="1" outlineLevel="1">
      <c r="B5084" s="187">
        <v>29724</v>
      </c>
      <c r="C5084" s="188">
        <v>13.8</v>
      </c>
      <c r="D5084" s="104">
        <f t="shared" si="78"/>
        <v>0.13800000000000001</v>
      </c>
      <c r="F5084" s="5"/>
    </row>
    <row r="5085" spans="2:6" ht="13.8" hidden="1" outlineLevel="1">
      <c r="B5085" s="187">
        <v>29725</v>
      </c>
      <c r="C5085" s="188">
        <v>13.95</v>
      </c>
      <c r="D5085" s="104">
        <f t="shared" si="78"/>
        <v>0.13949999999999999</v>
      </c>
      <c r="F5085" s="5"/>
    </row>
    <row r="5086" spans="2:6" ht="13.8" hidden="1" outlineLevel="1">
      <c r="B5086" s="187">
        <v>29726</v>
      </c>
      <c r="C5086" s="188">
        <v>14</v>
      </c>
      <c r="D5086" s="104">
        <f t="shared" ref="D5086:D5149" si="79">IF( LEN( C5086 ) = 0, #N/A, IF( C5086 = "ND", D5085, C5086 / 100 ) )</f>
        <v>0.14000000000000001</v>
      </c>
      <c r="F5086" s="5"/>
    </row>
    <row r="5087" spans="2:6" ht="13.8" hidden="1" outlineLevel="1">
      <c r="B5087" s="187">
        <v>29727</v>
      </c>
      <c r="C5087" s="188">
        <v>14.05</v>
      </c>
      <c r="D5087" s="104">
        <f t="shared" si="79"/>
        <v>0.14050000000000001</v>
      </c>
      <c r="F5087" s="5"/>
    </row>
    <row r="5088" spans="2:6" ht="13.8" hidden="1" outlineLevel="1">
      <c r="B5088" s="187">
        <v>29728</v>
      </c>
      <c r="C5088" s="188">
        <v>13.82</v>
      </c>
      <c r="D5088" s="104">
        <f t="shared" si="79"/>
        <v>0.13819999999999999</v>
      </c>
      <c r="F5088" s="5"/>
    </row>
    <row r="5089" spans="2:6" ht="13.8" hidden="1" outlineLevel="1">
      <c r="B5089" s="187">
        <v>29731</v>
      </c>
      <c r="C5089" s="188" t="s">
        <v>380</v>
      </c>
      <c r="D5089" s="104">
        <f t="shared" si="79"/>
        <v>0.13819999999999999</v>
      </c>
      <c r="F5089" s="5"/>
    </row>
    <row r="5090" spans="2:6" ht="13.8" hidden="1" outlineLevel="1">
      <c r="B5090" s="187">
        <v>29732</v>
      </c>
      <c r="C5090" s="188">
        <v>13.67</v>
      </c>
      <c r="D5090" s="104">
        <f t="shared" si="79"/>
        <v>0.13669999999999999</v>
      </c>
      <c r="F5090" s="5"/>
    </row>
    <row r="5091" spans="2:6" ht="13.8" hidden="1" outlineLevel="1">
      <c r="B5091" s="187">
        <v>29733</v>
      </c>
      <c r="C5091" s="188">
        <v>13.71</v>
      </c>
      <c r="D5091" s="104">
        <f t="shared" si="79"/>
        <v>0.1371</v>
      </c>
      <c r="F5091" s="5"/>
    </row>
    <row r="5092" spans="2:6" ht="13.8" hidden="1" outlineLevel="1">
      <c r="B5092" s="187">
        <v>29734</v>
      </c>
      <c r="C5092" s="188">
        <v>13.56</v>
      </c>
      <c r="D5092" s="104">
        <f t="shared" si="79"/>
        <v>0.1356</v>
      </c>
      <c r="F5092" s="5"/>
    </row>
    <row r="5093" spans="2:6" ht="13.8" hidden="1" outlineLevel="1">
      <c r="B5093" s="187">
        <v>29735</v>
      </c>
      <c r="C5093" s="188">
        <v>13.5</v>
      </c>
      <c r="D5093" s="104">
        <f t="shared" si="79"/>
        <v>0.13500000000000001</v>
      </c>
      <c r="F5093" s="5"/>
    </row>
    <row r="5094" spans="2:6" ht="13.8" hidden="1" outlineLevel="1">
      <c r="B5094" s="187">
        <v>29738</v>
      </c>
      <c r="C5094" s="188">
        <v>13.46</v>
      </c>
      <c r="D5094" s="104">
        <f t="shared" si="79"/>
        <v>0.1346</v>
      </c>
      <c r="F5094" s="5"/>
    </row>
    <row r="5095" spans="2:6" ht="13.8" hidden="1" outlineLevel="1">
      <c r="B5095" s="187">
        <v>29739</v>
      </c>
      <c r="C5095" s="188">
        <v>13.58</v>
      </c>
      <c r="D5095" s="104">
        <f t="shared" si="79"/>
        <v>0.1358</v>
      </c>
      <c r="F5095" s="5"/>
    </row>
    <row r="5096" spans="2:6" ht="13.8" hidden="1" outlineLevel="1">
      <c r="B5096" s="187">
        <v>29740</v>
      </c>
      <c r="C5096" s="188">
        <v>13.55</v>
      </c>
      <c r="D5096" s="104">
        <f t="shared" si="79"/>
        <v>0.13550000000000001</v>
      </c>
      <c r="F5096" s="5"/>
    </row>
    <row r="5097" spans="2:6" ht="13.8" hidden="1" outlineLevel="1">
      <c r="B5097" s="187">
        <v>29741</v>
      </c>
      <c r="C5097" s="188">
        <v>13.51</v>
      </c>
      <c r="D5097" s="104">
        <f t="shared" si="79"/>
        <v>0.1351</v>
      </c>
      <c r="F5097" s="5"/>
    </row>
    <row r="5098" spans="2:6" ht="13.8" hidden="1" outlineLevel="1">
      <c r="B5098" s="187">
        <v>29742</v>
      </c>
      <c r="C5098" s="188">
        <v>13.56</v>
      </c>
      <c r="D5098" s="104">
        <f t="shared" si="79"/>
        <v>0.1356</v>
      </c>
      <c r="F5098" s="5"/>
    </row>
    <row r="5099" spans="2:6" ht="13.8" hidden="1" outlineLevel="1">
      <c r="B5099" s="187">
        <v>29745</v>
      </c>
      <c r="C5099" s="188">
        <v>13.36</v>
      </c>
      <c r="D5099" s="104">
        <f t="shared" si="79"/>
        <v>0.1336</v>
      </c>
      <c r="F5099" s="5"/>
    </row>
    <row r="5100" spans="2:6" ht="13.8" hidden="1" outlineLevel="1">
      <c r="B5100" s="187">
        <v>29746</v>
      </c>
      <c r="C5100" s="188">
        <v>13.37</v>
      </c>
      <c r="D5100" s="104">
        <f t="shared" si="79"/>
        <v>0.13369999999999999</v>
      </c>
      <c r="F5100" s="5"/>
    </row>
    <row r="5101" spans="2:6" ht="13.8" hidden="1" outlineLevel="1">
      <c r="B5101" s="187">
        <v>29747</v>
      </c>
      <c r="C5101" s="188">
        <v>13.31</v>
      </c>
      <c r="D5101" s="104">
        <f t="shared" si="79"/>
        <v>0.1331</v>
      </c>
      <c r="F5101" s="5"/>
    </row>
    <row r="5102" spans="2:6" ht="13.8" hidden="1" outlineLevel="1">
      <c r="B5102" s="187">
        <v>29748</v>
      </c>
      <c r="C5102" s="188">
        <v>13.32</v>
      </c>
      <c r="D5102" s="104">
        <f t="shared" si="79"/>
        <v>0.13320000000000001</v>
      </c>
      <c r="F5102" s="5"/>
    </row>
    <row r="5103" spans="2:6" ht="13.8" hidden="1" outlineLevel="1">
      <c r="B5103" s="187">
        <v>29749</v>
      </c>
      <c r="C5103" s="188">
        <v>13.35</v>
      </c>
      <c r="D5103" s="104">
        <f t="shared" si="79"/>
        <v>0.13350000000000001</v>
      </c>
      <c r="F5103" s="5"/>
    </row>
    <row r="5104" spans="2:6" ht="13.8" hidden="1" outlineLevel="1">
      <c r="B5104" s="187">
        <v>29752</v>
      </c>
      <c r="C5104" s="188">
        <v>13.09</v>
      </c>
      <c r="D5104" s="104">
        <f t="shared" si="79"/>
        <v>0.13089999999999999</v>
      </c>
      <c r="F5104" s="5"/>
    </row>
    <row r="5105" spans="2:6" ht="13.8" hidden="1" outlineLevel="1">
      <c r="B5105" s="187">
        <v>29753</v>
      </c>
      <c r="C5105" s="188">
        <v>13.08</v>
      </c>
      <c r="D5105" s="104">
        <f t="shared" si="79"/>
        <v>0.1308</v>
      </c>
      <c r="F5105" s="5"/>
    </row>
    <row r="5106" spans="2:6" ht="13.8" hidden="1" outlineLevel="1">
      <c r="B5106" s="187">
        <v>29754</v>
      </c>
      <c r="C5106" s="188">
        <v>13.23</v>
      </c>
      <c r="D5106" s="104">
        <f t="shared" si="79"/>
        <v>0.1323</v>
      </c>
      <c r="F5106" s="5"/>
    </row>
    <row r="5107" spans="2:6" ht="13.8" hidden="1" outlineLevel="1">
      <c r="B5107" s="187">
        <v>29755</v>
      </c>
      <c r="C5107" s="188">
        <v>13.57</v>
      </c>
      <c r="D5107" s="104">
        <f t="shared" si="79"/>
        <v>0.13570000000000002</v>
      </c>
      <c r="F5107" s="5"/>
    </row>
    <row r="5108" spans="2:6" ht="13.8" hidden="1" outlineLevel="1">
      <c r="B5108" s="187">
        <v>29756</v>
      </c>
      <c r="C5108" s="188">
        <v>13.46</v>
      </c>
      <c r="D5108" s="104">
        <f t="shared" si="79"/>
        <v>0.1346</v>
      </c>
      <c r="F5108" s="5"/>
    </row>
    <row r="5109" spans="2:6" ht="13.8" hidden="1" outlineLevel="1">
      <c r="B5109" s="187">
        <v>29759</v>
      </c>
      <c r="C5109" s="188">
        <v>13.44</v>
      </c>
      <c r="D5109" s="104">
        <f t="shared" si="79"/>
        <v>0.13439999999999999</v>
      </c>
      <c r="F5109" s="5"/>
    </row>
    <row r="5110" spans="2:6" ht="13.8" hidden="1" outlineLevel="1">
      <c r="B5110" s="187">
        <v>29760</v>
      </c>
      <c r="C5110" s="188">
        <v>13.56</v>
      </c>
      <c r="D5110" s="104">
        <f t="shared" si="79"/>
        <v>0.1356</v>
      </c>
      <c r="F5110" s="5"/>
    </row>
    <row r="5111" spans="2:6" ht="13.8" hidden="1" outlineLevel="1">
      <c r="B5111" s="187">
        <v>29761</v>
      </c>
      <c r="C5111" s="188">
        <v>13.66</v>
      </c>
      <c r="D5111" s="104">
        <f t="shared" si="79"/>
        <v>0.1366</v>
      </c>
      <c r="F5111" s="5"/>
    </row>
    <row r="5112" spans="2:6" ht="13.8" hidden="1" outlineLevel="1">
      <c r="B5112" s="187">
        <v>29762</v>
      </c>
      <c r="C5112" s="188">
        <v>13.7</v>
      </c>
      <c r="D5112" s="104">
        <f t="shared" si="79"/>
        <v>0.13699999999999998</v>
      </c>
      <c r="F5112" s="5"/>
    </row>
    <row r="5113" spans="2:6" ht="13.8" hidden="1" outlineLevel="1">
      <c r="B5113" s="187">
        <v>29763</v>
      </c>
      <c r="C5113" s="188">
        <v>13.69</v>
      </c>
      <c r="D5113" s="104">
        <f t="shared" si="79"/>
        <v>0.13689999999999999</v>
      </c>
      <c r="F5113" s="5"/>
    </row>
    <row r="5114" spans="2:6" ht="13.8" hidden="1" outlineLevel="1">
      <c r="B5114" s="187">
        <v>29766</v>
      </c>
      <c r="C5114" s="188">
        <v>13.68</v>
      </c>
      <c r="D5114" s="104">
        <f t="shared" si="79"/>
        <v>0.1368</v>
      </c>
      <c r="F5114" s="5"/>
    </row>
    <row r="5115" spans="2:6" ht="13.8" hidden="1" outlineLevel="1">
      <c r="B5115" s="187">
        <v>29767</v>
      </c>
      <c r="C5115" s="188">
        <v>13.86</v>
      </c>
      <c r="D5115" s="104">
        <f t="shared" si="79"/>
        <v>0.1386</v>
      </c>
      <c r="F5115" s="5"/>
    </row>
    <row r="5116" spans="2:6" ht="13.8" hidden="1" outlineLevel="1">
      <c r="B5116" s="187">
        <v>29768</v>
      </c>
      <c r="C5116" s="188">
        <v>14.04</v>
      </c>
      <c r="D5116" s="104">
        <f t="shared" si="79"/>
        <v>0.1404</v>
      </c>
      <c r="F5116" s="5"/>
    </row>
    <row r="5117" spans="2:6" ht="13.8" hidden="1" outlineLevel="1">
      <c r="B5117" s="187">
        <v>29769</v>
      </c>
      <c r="C5117" s="188">
        <v>13.95</v>
      </c>
      <c r="D5117" s="104">
        <f t="shared" si="79"/>
        <v>0.13949999999999999</v>
      </c>
      <c r="F5117" s="5"/>
    </row>
    <row r="5118" spans="2:6" ht="13.8" hidden="1" outlineLevel="1">
      <c r="B5118" s="187">
        <v>29770</v>
      </c>
      <c r="C5118" s="188" t="s">
        <v>380</v>
      </c>
      <c r="D5118" s="104">
        <f t="shared" si="79"/>
        <v>0.13949999999999999</v>
      </c>
      <c r="F5118" s="5"/>
    </row>
    <row r="5119" spans="2:6" ht="13.8" hidden="1" outlineLevel="1">
      <c r="B5119" s="187">
        <v>29773</v>
      </c>
      <c r="C5119" s="188">
        <v>13.81</v>
      </c>
      <c r="D5119" s="104">
        <f t="shared" si="79"/>
        <v>0.1381</v>
      </c>
      <c r="F5119" s="5"/>
    </row>
    <row r="5120" spans="2:6" ht="13.8" hidden="1" outlineLevel="1">
      <c r="B5120" s="187">
        <v>29774</v>
      </c>
      <c r="C5120" s="188">
        <v>14.04</v>
      </c>
      <c r="D5120" s="104">
        <f t="shared" si="79"/>
        <v>0.1404</v>
      </c>
      <c r="F5120" s="5"/>
    </row>
    <row r="5121" spans="2:6" ht="13.8" hidden="1" outlineLevel="1">
      <c r="B5121" s="187">
        <v>29775</v>
      </c>
      <c r="C5121" s="188">
        <v>14.11</v>
      </c>
      <c r="D5121" s="104">
        <f t="shared" si="79"/>
        <v>0.1411</v>
      </c>
      <c r="F5121" s="5"/>
    </row>
    <row r="5122" spans="2:6" ht="13.8" hidden="1" outlineLevel="1">
      <c r="B5122" s="187">
        <v>29776</v>
      </c>
      <c r="C5122" s="188">
        <v>14.12</v>
      </c>
      <c r="D5122" s="104">
        <f t="shared" si="79"/>
        <v>0.14119999999999999</v>
      </c>
      <c r="F5122" s="5"/>
    </row>
    <row r="5123" spans="2:6" ht="13.8" hidden="1" outlineLevel="1">
      <c r="B5123" s="187">
        <v>29777</v>
      </c>
      <c r="C5123" s="188">
        <v>13.94</v>
      </c>
      <c r="D5123" s="104">
        <f t="shared" si="79"/>
        <v>0.1394</v>
      </c>
      <c r="F5123" s="5"/>
    </row>
    <row r="5124" spans="2:6" ht="13.8" hidden="1" outlineLevel="1">
      <c r="B5124" s="187">
        <v>29780</v>
      </c>
      <c r="C5124" s="188">
        <v>13.99</v>
      </c>
      <c r="D5124" s="104">
        <f t="shared" si="79"/>
        <v>0.1399</v>
      </c>
      <c r="F5124" s="5"/>
    </row>
    <row r="5125" spans="2:6" ht="13.8" hidden="1" outlineLevel="1">
      <c r="B5125" s="187">
        <v>29781</v>
      </c>
      <c r="C5125" s="188">
        <v>14.15</v>
      </c>
      <c r="D5125" s="104">
        <f t="shared" si="79"/>
        <v>0.14150000000000001</v>
      </c>
      <c r="F5125" s="5"/>
    </row>
    <row r="5126" spans="2:6" ht="13.8" hidden="1" outlineLevel="1">
      <c r="B5126" s="187">
        <v>29782</v>
      </c>
      <c r="C5126" s="188">
        <v>14.07</v>
      </c>
      <c r="D5126" s="104">
        <f t="shared" si="79"/>
        <v>0.14069999999999999</v>
      </c>
      <c r="F5126" s="5"/>
    </row>
    <row r="5127" spans="2:6" ht="13.8" hidden="1" outlineLevel="1">
      <c r="B5127" s="187">
        <v>29783</v>
      </c>
      <c r="C5127" s="188">
        <v>14.11</v>
      </c>
      <c r="D5127" s="104">
        <f t="shared" si="79"/>
        <v>0.1411</v>
      </c>
      <c r="F5127" s="5"/>
    </row>
    <row r="5128" spans="2:6" ht="13.8" hidden="1" outlineLevel="1">
      <c r="B5128" s="187">
        <v>29784</v>
      </c>
      <c r="C5128" s="188">
        <v>14.09</v>
      </c>
      <c r="D5128" s="104">
        <f t="shared" si="79"/>
        <v>0.1409</v>
      </c>
      <c r="F5128" s="5"/>
    </row>
    <row r="5129" spans="2:6" ht="13.8" hidden="1" outlineLevel="1">
      <c r="B5129" s="187">
        <v>29787</v>
      </c>
      <c r="C5129" s="188">
        <v>14.59</v>
      </c>
      <c r="D5129" s="104">
        <f t="shared" si="79"/>
        <v>0.1459</v>
      </c>
      <c r="F5129" s="5"/>
    </row>
    <row r="5130" spans="2:6" ht="13.8" hidden="1" outlineLevel="1">
      <c r="B5130" s="187">
        <v>29788</v>
      </c>
      <c r="C5130" s="188">
        <v>14.61</v>
      </c>
      <c r="D5130" s="104">
        <f t="shared" si="79"/>
        <v>0.14610000000000001</v>
      </c>
      <c r="F5130" s="5"/>
    </row>
    <row r="5131" spans="2:6" ht="13.8" hidden="1" outlineLevel="1">
      <c r="B5131" s="187">
        <v>29789</v>
      </c>
      <c r="C5131" s="188">
        <v>14.63</v>
      </c>
      <c r="D5131" s="104">
        <f t="shared" si="79"/>
        <v>0.14630000000000001</v>
      </c>
      <c r="F5131" s="5"/>
    </row>
    <row r="5132" spans="2:6" ht="13.8" hidden="1" outlineLevel="1">
      <c r="B5132" s="187">
        <v>29790</v>
      </c>
      <c r="C5132" s="188">
        <v>14.57</v>
      </c>
      <c r="D5132" s="104">
        <f t="shared" si="79"/>
        <v>0.1457</v>
      </c>
      <c r="F5132" s="5"/>
    </row>
    <row r="5133" spans="2:6" ht="13.8" hidden="1" outlineLevel="1">
      <c r="B5133" s="187">
        <v>29791</v>
      </c>
      <c r="C5133" s="188">
        <v>14.41</v>
      </c>
      <c r="D5133" s="104">
        <f t="shared" si="79"/>
        <v>0.14410000000000001</v>
      </c>
      <c r="F5133" s="5"/>
    </row>
    <row r="5134" spans="2:6" ht="13.8" hidden="1" outlineLevel="1">
      <c r="B5134" s="187">
        <v>29794</v>
      </c>
      <c r="C5134" s="188">
        <v>14.43</v>
      </c>
      <c r="D5134" s="104">
        <f t="shared" si="79"/>
        <v>0.14429999999999998</v>
      </c>
      <c r="F5134" s="5"/>
    </row>
    <row r="5135" spans="2:6" ht="13.8" hidden="1" outlineLevel="1">
      <c r="B5135" s="187">
        <v>29795</v>
      </c>
      <c r="C5135" s="188">
        <v>14.53</v>
      </c>
      <c r="D5135" s="104">
        <f t="shared" si="79"/>
        <v>0.14529999999999998</v>
      </c>
      <c r="F5135" s="5"/>
    </row>
    <row r="5136" spans="2:6" ht="13.8" hidden="1" outlineLevel="1">
      <c r="B5136" s="187">
        <v>29796</v>
      </c>
      <c r="C5136" s="188">
        <v>14.61</v>
      </c>
      <c r="D5136" s="104">
        <f t="shared" si="79"/>
        <v>0.14610000000000001</v>
      </c>
      <c r="F5136" s="5"/>
    </row>
    <row r="5137" spans="2:6" ht="13.8" hidden="1" outlineLevel="1">
      <c r="B5137" s="187">
        <v>29797</v>
      </c>
      <c r="C5137" s="188">
        <v>14.71</v>
      </c>
      <c r="D5137" s="104">
        <f t="shared" si="79"/>
        <v>0.14710000000000001</v>
      </c>
      <c r="F5137" s="5"/>
    </row>
    <row r="5138" spans="2:6" ht="13.8" hidden="1" outlineLevel="1">
      <c r="B5138" s="187">
        <v>29798</v>
      </c>
      <c r="C5138" s="188">
        <v>14.67</v>
      </c>
      <c r="D5138" s="104">
        <f t="shared" si="79"/>
        <v>0.1467</v>
      </c>
      <c r="F5138" s="5"/>
    </row>
    <row r="5139" spans="2:6" ht="13.8" hidden="1" outlineLevel="1">
      <c r="B5139" s="187">
        <v>29801</v>
      </c>
      <c r="C5139" s="188">
        <v>14.95</v>
      </c>
      <c r="D5139" s="104">
        <f t="shared" si="79"/>
        <v>0.14949999999999999</v>
      </c>
      <c r="F5139" s="5"/>
    </row>
    <row r="5140" spans="2:6" ht="13.8" hidden="1" outlineLevel="1">
      <c r="B5140" s="187">
        <v>29802</v>
      </c>
      <c r="C5140" s="188">
        <v>14.95</v>
      </c>
      <c r="D5140" s="104">
        <f t="shared" si="79"/>
        <v>0.14949999999999999</v>
      </c>
      <c r="F5140" s="5"/>
    </row>
    <row r="5141" spans="2:6" ht="13.8" hidden="1" outlineLevel="1">
      <c r="B5141" s="187">
        <v>29803</v>
      </c>
      <c r="C5141" s="188">
        <v>14.91</v>
      </c>
      <c r="D5141" s="104">
        <f t="shared" si="79"/>
        <v>0.14910000000000001</v>
      </c>
      <c r="F5141" s="5"/>
    </row>
    <row r="5142" spans="2:6" ht="13.8" hidden="1" outlineLevel="1">
      <c r="B5142" s="187">
        <v>29804</v>
      </c>
      <c r="C5142" s="188">
        <v>14.86</v>
      </c>
      <c r="D5142" s="104">
        <f t="shared" si="79"/>
        <v>0.14859999999999998</v>
      </c>
      <c r="F5142" s="5"/>
    </row>
    <row r="5143" spans="2:6" ht="13.8" hidden="1" outlineLevel="1">
      <c r="B5143" s="187">
        <v>29805</v>
      </c>
      <c r="C5143" s="188">
        <v>14.83</v>
      </c>
      <c r="D5143" s="104">
        <f t="shared" si="79"/>
        <v>0.14829999999999999</v>
      </c>
      <c r="F5143" s="5"/>
    </row>
    <row r="5144" spans="2:6" ht="13.8" hidden="1" outlineLevel="1">
      <c r="B5144" s="187">
        <v>29808</v>
      </c>
      <c r="C5144" s="188">
        <v>14.65</v>
      </c>
      <c r="D5144" s="104">
        <f t="shared" si="79"/>
        <v>0.14649999999999999</v>
      </c>
      <c r="F5144" s="5"/>
    </row>
    <row r="5145" spans="2:6" ht="13.8" hidden="1" outlineLevel="1">
      <c r="B5145" s="187">
        <v>29809</v>
      </c>
      <c r="C5145" s="188">
        <v>14.4</v>
      </c>
      <c r="D5145" s="104">
        <f t="shared" si="79"/>
        <v>0.14400000000000002</v>
      </c>
      <c r="F5145" s="5"/>
    </row>
    <row r="5146" spans="2:6" ht="13.8" hidden="1" outlineLevel="1">
      <c r="B5146" s="187">
        <v>29810</v>
      </c>
      <c r="C5146" s="188">
        <v>14.61</v>
      </c>
      <c r="D5146" s="104">
        <f t="shared" si="79"/>
        <v>0.14610000000000001</v>
      </c>
      <c r="F5146" s="5"/>
    </row>
    <row r="5147" spans="2:6" ht="13.8" hidden="1" outlineLevel="1">
      <c r="B5147" s="187">
        <v>29811</v>
      </c>
      <c r="C5147" s="188">
        <v>14.65</v>
      </c>
      <c r="D5147" s="104">
        <f t="shared" si="79"/>
        <v>0.14649999999999999</v>
      </c>
      <c r="F5147" s="5"/>
    </row>
    <row r="5148" spans="2:6" ht="13.8" hidden="1" outlineLevel="1">
      <c r="B5148" s="187">
        <v>29812</v>
      </c>
      <c r="C5148" s="188">
        <v>14.74</v>
      </c>
      <c r="D5148" s="104">
        <f t="shared" si="79"/>
        <v>0.1474</v>
      </c>
      <c r="F5148" s="5"/>
    </row>
    <row r="5149" spans="2:6" ht="13.8" hidden="1" outlineLevel="1">
      <c r="B5149" s="187">
        <v>29815</v>
      </c>
      <c r="C5149" s="188">
        <v>14.71</v>
      </c>
      <c r="D5149" s="104">
        <f t="shared" si="79"/>
        <v>0.14710000000000001</v>
      </c>
      <c r="F5149" s="5"/>
    </row>
    <row r="5150" spans="2:6" ht="13.8" hidden="1" outlineLevel="1">
      <c r="B5150" s="187">
        <v>29816</v>
      </c>
      <c r="C5150" s="188">
        <v>14.79</v>
      </c>
      <c r="D5150" s="104">
        <f t="shared" ref="D5150:D5213" si="80">IF( LEN( C5150 ) = 0, #N/A, IF( C5150 = "ND", D5149, C5150 / 100 ) )</f>
        <v>0.1479</v>
      </c>
      <c r="F5150" s="5"/>
    </row>
    <row r="5151" spans="2:6" ht="13.8" hidden="1" outlineLevel="1">
      <c r="B5151" s="187">
        <v>29817</v>
      </c>
      <c r="C5151" s="188">
        <v>14.77</v>
      </c>
      <c r="D5151" s="104">
        <f t="shared" si="80"/>
        <v>0.1477</v>
      </c>
      <c r="F5151" s="5"/>
    </row>
    <row r="5152" spans="2:6" ht="13.8" hidden="1" outlineLevel="1">
      <c r="B5152" s="187">
        <v>29818</v>
      </c>
      <c r="C5152" s="188">
        <v>14.89</v>
      </c>
      <c r="D5152" s="104">
        <f t="shared" si="80"/>
        <v>0.1489</v>
      </c>
      <c r="F5152" s="5"/>
    </row>
    <row r="5153" spans="2:6" ht="13.8" hidden="1" outlineLevel="1">
      <c r="B5153" s="187">
        <v>29819</v>
      </c>
      <c r="C5153" s="188">
        <v>14.97</v>
      </c>
      <c r="D5153" s="104">
        <f t="shared" si="80"/>
        <v>0.1497</v>
      </c>
      <c r="F5153" s="5"/>
    </row>
    <row r="5154" spans="2:6" ht="13.8" hidden="1" outlineLevel="1">
      <c r="B5154" s="187">
        <v>29822</v>
      </c>
      <c r="C5154" s="188">
        <v>15.32</v>
      </c>
      <c r="D5154" s="104">
        <f t="shared" si="80"/>
        <v>0.1532</v>
      </c>
      <c r="F5154" s="5"/>
    </row>
    <row r="5155" spans="2:6" ht="13.8" hidden="1" outlineLevel="1">
      <c r="B5155" s="187">
        <v>29823</v>
      </c>
      <c r="C5155" s="188">
        <v>15.35</v>
      </c>
      <c r="D5155" s="104">
        <f t="shared" si="80"/>
        <v>0.1535</v>
      </c>
      <c r="F5155" s="5"/>
    </row>
    <row r="5156" spans="2:6" ht="13.8" hidden="1" outlineLevel="1">
      <c r="B5156" s="187">
        <v>29824</v>
      </c>
      <c r="C5156" s="188">
        <v>15.31</v>
      </c>
      <c r="D5156" s="104">
        <f t="shared" si="80"/>
        <v>0.15310000000000001</v>
      </c>
      <c r="F5156" s="5"/>
    </row>
    <row r="5157" spans="2:6" ht="13.8" hidden="1" outlineLevel="1">
      <c r="B5157" s="187">
        <v>29825</v>
      </c>
      <c r="C5157" s="188">
        <v>15.36</v>
      </c>
      <c r="D5157" s="104">
        <f t="shared" si="80"/>
        <v>0.15359999999999999</v>
      </c>
      <c r="F5157" s="5"/>
    </row>
    <row r="5158" spans="2:6" ht="13.8" hidden="1" outlineLevel="1">
      <c r="B5158" s="187">
        <v>29826</v>
      </c>
      <c r="C5158" s="188">
        <v>15.25</v>
      </c>
      <c r="D5158" s="104">
        <f t="shared" si="80"/>
        <v>0.1525</v>
      </c>
      <c r="F5158" s="5"/>
    </row>
    <row r="5159" spans="2:6" ht="13.8" hidden="1" outlineLevel="1">
      <c r="B5159" s="187">
        <v>29829</v>
      </c>
      <c r="C5159" s="188">
        <v>15.41</v>
      </c>
      <c r="D5159" s="104">
        <f t="shared" si="80"/>
        <v>0.15410000000000001</v>
      </c>
      <c r="F5159" s="5"/>
    </row>
    <row r="5160" spans="2:6" ht="13.8" hidden="1" outlineLevel="1">
      <c r="B5160" s="187">
        <v>29830</v>
      </c>
      <c r="C5160" s="188">
        <v>15.41</v>
      </c>
      <c r="D5160" s="104">
        <f t="shared" si="80"/>
        <v>0.15410000000000001</v>
      </c>
      <c r="F5160" s="5"/>
    </row>
    <row r="5161" spans="2:6" ht="13.8" hidden="1" outlineLevel="1">
      <c r="B5161" s="187">
        <v>29831</v>
      </c>
      <c r="C5161" s="188">
        <v>15.4</v>
      </c>
      <c r="D5161" s="104">
        <f t="shared" si="80"/>
        <v>0.154</v>
      </c>
      <c r="F5161" s="5"/>
    </row>
    <row r="5162" spans="2:6" ht="13.8" hidden="1" outlineLevel="1">
      <c r="B5162" s="187">
        <v>29832</v>
      </c>
      <c r="C5162" s="188">
        <v>15.48</v>
      </c>
      <c r="D5162" s="104">
        <f t="shared" si="80"/>
        <v>0.15479999999999999</v>
      </c>
      <c r="F5162" s="5"/>
    </row>
    <row r="5163" spans="2:6" ht="13.8" hidden="1" outlineLevel="1">
      <c r="B5163" s="187">
        <v>29833</v>
      </c>
      <c r="C5163" s="188">
        <v>15.51</v>
      </c>
      <c r="D5163" s="104">
        <f t="shared" si="80"/>
        <v>0.15509999999999999</v>
      </c>
      <c r="F5163" s="5"/>
    </row>
    <row r="5164" spans="2:6" ht="13.8" hidden="1" outlineLevel="1">
      <c r="B5164" s="187">
        <v>29836</v>
      </c>
      <c r="C5164" s="188" t="s">
        <v>380</v>
      </c>
      <c r="D5164" s="104">
        <f t="shared" si="80"/>
        <v>0.15509999999999999</v>
      </c>
      <c r="F5164" s="5"/>
    </row>
    <row r="5165" spans="2:6" ht="13.8" hidden="1" outlineLevel="1">
      <c r="B5165" s="187">
        <v>29837</v>
      </c>
      <c r="C5165" s="188">
        <v>15.59</v>
      </c>
      <c r="D5165" s="104">
        <f t="shared" si="80"/>
        <v>0.15590000000000001</v>
      </c>
      <c r="F5165" s="5"/>
    </row>
    <row r="5166" spans="2:6" ht="13.8" hidden="1" outlineLevel="1">
      <c r="B5166" s="187">
        <v>29838</v>
      </c>
      <c r="C5166" s="188">
        <v>15.53</v>
      </c>
      <c r="D5166" s="104">
        <f t="shared" si="80"/>
        <v>0.15529999999999999</v>
      </c>
      <c r="F5166" s="5"/>
    </row>
    <row r="5167" spans="2:6" ht="13.8" hidden="1" outlineLevel="1">
      <c r="B5167" s="187">
        <v>29839</v>
      </c>
      <c r="C5167" s="188">
        <v>15.3</v>
      </c>
      <c r="D5167" s="104">
        <f t="shared" si="80"/>
        <v>0.153</v>
      </c>
      <c r="F5167" s="5"/>
    </row>
    <row r="5168" spans="2:6" ht="13.8" hidden="1" outlineLevel="1">
      <c r="B5168" s="187">
        <v>29840</v>
      </c>
      <c r="C5168" s="188">
        <v>15.05</v>
      </c>
      <c r="D5168" s="104">
        <f t="shared" si="80"/>
        <v>0.15049999999999999</v>
      </c>
      <c r="F5168" s="5"/>
    </row>
    <row r="5169" spans="2:6" ht="13.8" hidden="1" outlineLevel="1">
      <c r="B5169" s="187">
        <v>29843</v>
      </c>
      <c r="C5169" s="188">
        <v>15.2</v>
      </c>
      <c r="D5169" s="104">
        <f t="shared" si="80"/>
        <v>0.152</v>
      </c>
      <c r="F5169" s="5"/>
    </row>
    <row r="5170" spans="2:6" ht="13.8" hidden="1" outlineLevel="1">
      <c r="B5170" s="187">
        <v>29844</v>
      </c>
      <c r="C5170" s="188">
        <v>15.08</v>
      </c>
      <c r="D5170" s="104">
        <f t="shared" si="80"/>
        <v>0.15079999999999999</v>
      </c>
      <c r="F5170" s="5"/>
    </row>
    <row r="5171" spans="2:6" ht="13.8" hidden="1" outlineLevel="1">
      <c r="B5171" s="187">
        <v>29845</v>
      </c>
      <c r="C5171" s="188">
        <v>15.11</v>
      </c>
      <c r="D5171" s="104">
        <f t="shared" si="80"/>
        <v>0.15109999999999998</v>
      </c>
      <c r="F5171" s="5"/>
    </row>
    <row r="5172" spans="2:6" ht="13.8" hidden="1" outlineLevel="1">
      <c r="B5172" s="187">
        <v>29846</v>
      </c>
      <c r="C5172" s="188">
        <v>14.95</v>
      </c>
      <c r="D5172" s="104">
        <f t="shared" si="80"/>
        <v>0.14949999999999999</v>
      </c>
      <c r="F5172" s="5"/>
    </row>
    <row r="5173" spans="2:6" ht="13.8" hidden="1" outlineLevel="1">
      <c r="B5173" s="187">
        <v>29847</v>
      </c>
      <c r="C5173" s="188">
        <v>14.91</v>
      </c>
      <c r="D5173" s="104">
        <f t="shared" si="80"/>
        <v>0.14910000000000001</v>
      </c>
      <c r="F5173" s="5"/>
    </row>
    <row r="5174" spans="2:6" ht="13.8" hidden="1" outlineLevel="1">
      <c r="B5174" s="187">
        <v>29850</v>
      </c>
      <c r="C5174" s="188">
        <v>14.78</v>
      </c>
      <c r="D5174" s="104">
        <f t="shared" si="80"/>
        <v>0.14779999999999999</v>
      </c>
      <c r="F5174" s="5"/>
    </row>
    <row r="5175" spans="2:6" ht="13.8" hidden="1" outlineLevel="1">
      <c r="B5175" s="187">
        <v>29851</v>
      </c>
      <c r="C5175" s="188">
        <v>15.03</v>
      </c>
      <c r="D5175" s="104">
        <f t="shared" si="80"/>
        <v>0.15029999999999999</v>
      </c>
      <c r="F5175" s="5"/>
    </row>
    <row r="5176" spans="2:6" ht="13.8" hidden="1" outlineLevel="1">
      <c r="B5176" s="187">
        <v>29852</v>
      </c>
      <c r="C5176" s="188">
        <v>15.23</v>
      </c>
      <c r="D5176" s="104">
        <f t="shared" si="80"/>
        <v>0.15229999999999999</v>
      </c>
      <c r="F5176" s="5"/>
    </row>
    <row r="5177" spans="2:6" ht="13.8" hidden="1" outlineLevel="1">
      <c r="B5177" s="187">
        <v>29853</v>
      </c>
      <c r="C5177" s="188">
        <v>15.31</v>
      </c>
      <c r="D5177" s="104">
        <f t="shared" si="80"/>
        <v>0.15310000000000001</v>
      </c>
      <c r="F5177" s="5"/>
    </row>
    <row r="5178" spans="2:6" ht="13.8" hidden="1" outlineLevel="1">
      <c r="B5178" s="187">
        <v>29854</v>
      </c>
      <c r="C5178" s="188">
        <v>15.68</v>
      </c>
      <c r="D5178" s="104">
        <f t="shared" si="80"/>
        <v>0.15679999999999999</v>
      </c>
      <c r="F5178" s="5"/>
    </row>
    <row r="5179" spans="2:6" ht="13.8" hidden="1" outlineLevel="1">
      <c r="B5179" s="187">
        <v>29857</v>
      </c>
      <c r="C5179" s="188">
        <v>15.65</v>
      </c>
      <c r="D5179" s="104">
        <f t="shared" si="80"/>
        <v>0.1565</v>
      </c>
      <c r="F5179" s="5"/>
    </row>
    <row r="5180" spans="2:6" ht="13.8" hidden="1" outlineLevel="1">
      <c r="B5180" s="187">
        <v>29858</v>
      </c>
      <c r="C5180" s="188">
        <v>15.76</v>
      </c>
      <c r="D5180" s="104">
        <f t="shared" si="80"/>
        <v>0.15759999999999999</v>
      </c>
      <c r="F5180" s="5"/>
    </row>
    <row r="5181" spans="2:6" ht="13.8" hidden="1" outlineLevel="1">
      <c r="B5181" s="187">
        <v>29859</v>
      </c>
      <c r="C5181" s="188">
        <v>15.84</v>
      </c>
      <c r="D5181" s="104">
        <f t="shared" si="80"/>
        <v>0.15839999999999999</v>
      </c>
      <c r="F5181" s="5"/>
    </row>
    <row r="5182" spans="2:6" ht="13.8" hidden="1" outlineLevel="1">
      <c r="B5182" s="187">
        <v>29860</v>
      </c>
      <c r="C5182" s="188">
        <v>15.75</v>
      </c>
      <c r="D5182" s="104">
        <f t="shared" si="80"/>
        <v>0.1575</v>
      </c>
      <c r="F5182" s="5"/>
    </row>
    <row r="5183" spans="2:6" ht="13.8" hidden="1" outlineLevel="1">
      <c r="B5183" s="187">
        <v>29861</v>
      </c>
      <c r="C5183" s="188">
        <v>15.41</v>
      </c>
      <c r="D5183" s="104">
        <f t="shared" si="80"/>
        <v>0.15410000000000001</v>
      </c>
      <c r="F5183" s="5"/>
    </row>
    <row r="5184" spans="2:6" ht="13.8" hidden="1" outlineLevel="1">
      <c r="B5184" s="187">
        <v>29864</v>
      </c>
      <c r="C5184" s="188">
        <v>15.19</v>
      </c>
      <c r="D5184" s="104">
        <f t="shared" si="80"/>
        <v>0.15190000000000001</v>
      </c>
      <c r="F5184" s="5"/>
    </row>
    <row r="5185" spans="2:6" ht="13.8" hidden="1" outlineLevel="1">
      <c r="B5185" s="187">
        <v>29865</v>
      </c>
      <c r="C5185" s="188">
        <v>15.14</v>
      </c>
      <c r="D5185" s="104">
        <f t="shared" si="80"/>
        <v>0.15140000000000001</v>
      </c>
      <c r="F5185" s="5"/>
    </row>
    <row r="5186" spans="2:6" ht="13.8" hidden="1" outlineLevel="1">
      <c r="B5186" s="187">
        <v>29866</v>
      </c>
      <c r="C5186" s="188">
        <v>15.04</v>
      </c>
      <c r="D5186" s="104">
        <f t="shared" si="80"/>
        <v>0.15039999999999998</v>
      </c>
      <c r="F5186" s="5"/>
    </row>
    <row r="5187" spans="2:6" ht="13.8" hidden="1" outlineLevel="1">
      <c r="B5187" s="187">
        <v>29867</v>
      </c>
      <c r="C5187" s="188">
        <v>15</v>
      </c>
      <c r="D5187" s="104">
        <f t="shared" si="80"/>
        <v>0.15</v>
      </c>
      <c r="F5187" s="5"/>
    </row>
    <row r="5188" spans="2:6" ht="13.8" hidden="1" outlineLevel="1">
      <c r="B5188" s="187">
        <v>29868</v>
      </c>
      <c r="C5188" s="188">
        <v>14.73</v>
      </c>
      <c r="D5188" s="104">
        <f t="shared" si="80"/>
        <v>0.14730000000000001</v>
      </c>
      <c r="F5188" s="5"/>
    </row>
    <row r="5189" spans="2:6" ht="13.8" hidden="1" outlineLevel="1">
      <c r="B5189" s="187">
        <v>29871</v>
      </c>
      <c r="C5189" s="188" t="s">
        <v>380</v>
      </c>
      <c r="D5189" s="104">
        <f t="shared" si="80"/>
        <v>0.14730000000000001</v>
      </c>
      <c r="F5189" s="5"/>
    </row>
    <row r="5190" spans="2:6" ht="13.8" hidden="1" outlineLevel="1">
      <c r="B5190" s="187">
        <v>29872</v>
      </c>
      <c r="C5190" s="188">
        <v>14.83</v>
      </c>
      <c r="D5190" s="104">
        <f t="shared" si="80"/>
        <v>0.14829999999999999</v>
      </c>
      <c r="F5190" s="5"/>
    </row>
    <row r="5191" spans="2:6" ht="13.8" hidden="1" outlineLevel="1">
      <c r="B5191" s="187">
        <v>29873</v>
      </c>
      <c r="C5191" s="188">
        <v>14.87</v>
      </c>
      <c r="D5191" s="104">
        <f t="shared" si="80"/>
        <v>0.1487</v>
      </c>
      <c r="F5191" s="5"/>
    </row>
    <row r="5192" spans="2:6" ht="13.8" hidden="1" outlineLevel="1">
      <c r="B5192" s="187">
        <v>29874</v>
      </c>
      <c r="C5192" s="188">
        <v>14.88</v>
      </c>
      <c r="D5192" s="104">
        <f t="shared" si="80"/>
        <v>0.14880000000000002</v>
      </c>
      <c r="F5192" s="5"/>
    </row>
    <row r="5193" spans="2:6" ht="13.8" hidden="1" outlineLevel="1">
      <c r="B5193" s="187">
        <v>29875</v>
      </c>
      <c r="C5193" s="188">
        <v>14.94</v>
      </c>
      <c r="D5193" s="104">
        <f t="shared" si="80"/>
        <v>0.14940000000000001</v>
      </c>
      <c r="F5193" s="5"/>
    </row>
    <row r="5194" spans="2:6" ht="13.8" hidden="1" outlineLevel="1">
      <c r="B5194" s="187">
        <v>29878</v>
      </c>
      <c r="C5194" s="188">
        <v>14.95</v>
      </c>
      <c r="D5194" s="104">
        <f t="shared" si="80"/>
        <v>0.14949999999999999</v>
      </c>
      <c r="F5194" s="5"/>
    </row>
    <row r="5195" spans="2:6" ht="13.8" hidden="1" outlineLevel="1">
      <c r="B5195" s="187">
        <v>29879</v>
      </c>
      <c r="C5195" s="188">
        <v>15.09</v>
      </c>
      <c r="D5195" s="104">
        <f t="shared" si="80"/>
        <v>0.15090000000000001</v>
      </c>
      <c r="F5195" s="5"/>
    </row>
    <row r="5196" spans="2:6" ht="13.8" hidden="1" outlineLevel="1">
      <c r="B5196" s="187">
        <v>29880</v>
      </c>
      <c r="C5196" s="188">
        <v>15.34</v>
      </c>
      <c r="D5196" s="104">
        <f t="shared" si="80"/>
        <v>0.15340000000000001</v>
      </c>
      <c r="F5196" s="5"/>
    </row>
    <row r="5197" spans="2:6" ht="13.8" hidden="1" outlineLevel="1">
      <c r="B5197" s="187">
        <v>29881</v>
      </c>
      <c r="C5197" s="188">
        <v>15.38</v>
      </c>
      <c r="D5197" s="104">
        <f t="shared" si="80"/>
        <v>0.15380000000000002</v>
      </c>
      <c r="F5197" s="5"/>
    </row>
    <row r="5198" spans="2:6" ht="13.8" hidden="1" outlineLevel="1">
      <c r="B5198" s="187">
        <v>29882</v>
      </c>
      <c r="C5198" s="188">
        <v>15.3</v>
      </c>
      <c r="D5198" s="104">
        <f t="shared" si="80"/>
        <v>0.153</v>
      </c>
      <c r="F5198" s="5"/>
    </row>
    <row r="5199" spans="2:6" ht="13.8" hidden="1" outlineLevel="1">
      <c r="B5199" s="187">
        <v>29885</v>
      </c>
      <c r="C5199" s="188">
        <v>15.6</v>
      </c>
      <c r="D5199" s="104">
        <f t="shared" si="80"/>
        <v>0.156</v>
      </c>
      <c r="F5199" s="5"/>
    </row>
    <row r="5200" spans="2:6" ht="13.8" hidden="1" outlineLevel="1">
      <c r="B5200" s="187">
        <v>29886</v>
      </c>
      <c r="C5200" s="188">
        <v>15.54</v>
      </c>
      <c r="D5200" s="104">
        <f t="shared" si="80"/>
        <v>0.15539999999999998</v>
      </c>
      <c r="F5200" s="5"/>
    </row>
    <row r="5201" spans="2:6" ht="13.8" hidden="1" outlineLevel="1">
      <c r="B5201" s="187">
        <v>29887</v>
      </c>
      <c r="C5201" s="188">
        <v>15.44</v>
      </c>
      <c r="D5201" s="104">
        <f t="shared" si="80"/>
        <v>0.15439999999999998</v>
      </c>
      <c r="F5201" s="5"/>
    </row>
    <row r="5202" spans="2:6" ht="13.8" hidden="1" outlineLevel="1">
      <c r="B5202" s="187">
        <v>29888</v>
      </c>
      <c r="C5202" s="188">
        <v>15.06</v>
      </c>
      <c r="D5202" s="104">
        <f t="shared" si="80"/>
        <v>0.15060000000000001</v>
      </c>
      <c r="F5202" s="5"/>
    </row>
    <row r="5203" spans="2:6" ht="13.8" hidden="1" outlineLevel="1">
      <c r="B5203" s="187">
        <v>29889</v>
      </c>
      <c r="C5203" s="188">
        <v>14.63</v>
      </c>
      <c r="D5203" s="104">
        <f t="shared" si="80"/>
        <v>0.14630000000000001</v>
      </c>
      <c r="F5203" s="5"/>
    </row>
    <row r="5204" spans="2:6" ht="13.8" hidden="1" outlineLevel="1">
      <c r="B5204" s="187">
        <v>29892</v>
      </c>
      <c r="C5204" s="188">
        <v>14.57</v>
      </c>
      <c r="D5204" s="104">
        <f t="shared" si="80"/>
        <v>0.1457</v>
      </c>
      <c r="F5204" s="5"/>
    </row>
    <row r="5205" spans="2:6" ht="13.8" hidden="1" outlineLevel="1">
      <c r="B5205" s="187">
        <v>29893</v>
      </c>
      <c r="C5205" s="188" t="s">
        <v>380</v>
      </c>
      <c r="D5205" s="104">
        <f t="shared" si="80"/>
        <v>0.1457</v>
      </c>
      <c r="F5205" s="5"/>
    </row>
    <row r="5206" spans="2:6" ht="13.8" hidden="1" outlineLevel="1">
      <c r="B5206" s="187">
        <v>29894</v>
      </c>
      <c r="C5206" s="188">
        <v>14.18</v>
      </c>
      <c r="D5206" s="104">
        <f t="shared" si="80"/>
        <v>0.14180000000000001</v>
      </c>
      <c r="F5206" s="5"/>
    </row>
    <row r="5207" spans="2:6" ht="13.8" hidden="1" outlineLevel="1">
      <c r="B5207" s="187">
        <v>29895</v>
      </c>
      <c r="C5207" s="188">
        <v>14.19</v>
      </c>
      <c r="D5207" s="104">
        <f t="shared" si="80"/>
        <v>0.1419</v>
      </c>
      <c r="F5207" s="5"/>
    </row>
    <row r="5208" spans="2:6" ht="13.8" hidden="1" outlineLevel="1">
      <c r="B5208" s="187">
        <v>29896</v>
      </c>
      <c r="C5208" s="188">
        <v>13.94</v>
      </c>
      <c r="D5208" s="104">
        <f t="shared" si="80"/>
        <v>0.1394</v>
      </c>
      <c r="F5208" s="5"/>
    </row>
    <row r="5209" spans="2:6" ht="13.8" hidden="1" outlineLevel="1">
      <c r="B5209" s="187">
        <v>29899</v>
      </c>
      <c r="C5209" s="188">
        <v>13.39</v>
      </c>
      <c r="D5209" s="104">
        <f t="shared" si="80"/>
        <v>0.13390000000000002</v>
      </c>
      <c r="F5209" s="5"/>
    </row>
    <row r="5210" spans="2:6" ht="13.8" hidden="1" outlineLevel="1">
      <c r="B5210" s="187">
        <v>29900</v>
      </c>
      <c r="C5210" s="188">
        <v>13.4</v>
      </c>
      <c r="D5210" s="104">
        <f t="shared" si="80"/>
        <v>0.13400000000000001</v>
      </c>
      <c r="F5210" s="5"/>
    </row>
    <row r="5211" spans="2:6" ht="13.8" hidden="1" outlineLevel="1">
      <c r="B5211" s="187">
        <v>29901</v>
      </c>
      <c r="C5211" s="188" t="s">
        <v>380</v>
      </c>
      <c r="D5211" s="104">
        <f t="shared" si="80"/>
        <v>0.13400000000000001</v>
      </c>
      <c r="F5211" s="5"/>
    </row>
    <row r="5212" spans="2:6" ht="13.8" hidden="1" outlineLevel="1">
      <c r="B5212" s="187">
        <v>29902</v>
      </c>
      <c r="C5212" s="188">
        <v>13.19</v>
      </c>
      <c r="D5212" s="104">
        <f t="shared" si="80"/>
        <v>0.13189999999999999</v>
      </c>
      <c r="F5212" s="5"/>
    </row>
    <row r="5213" spans="2:6" ht="13.8" hidden="1" outlineLevel="1">
      <c r="B5213" s="187">
        <v>29903</v>
      </c>
      <c r="C5213" s="188">
        <v>13.18</v>
      </c>
      <c r="D5213" s="104">
        <f t="shared" si="80"/>
        <v>0.1318</v>
      </c>
      <c r="F5213" s="5"/>
    </row>
    <row r="5214" spans="2:6" ht="13.8" hidden="1" outlineLevel="1">
      <c r="B5214" s="187">
        <v>29906</v>
      </c>
      <c r="C5214" s="188">
        <v>13.07</v>
      </c>
      <c r="D5214" s="104">
        <f t="shared" ref="D5214:D5277" si="81">IF( LEN( C5214 ) = 0, #N/A, IF( C5214 = "ND", D5213, C5214 / 100 ) )</f>
        <v>0.13070000000000001</v>
      </c>
      <c r="F5214" s="5"/>
    </row>
    <row r="5215" spans="2:6" ht="13.8" hidden="1" outlineLevel="1">
      <c r="B5215" s="187">
        <v>29907</v>
      </c>
      <c r="C5215" s="188">
        <v>13.18</v>
      </c>
      <c r="D5215" s="104">
        <f t="shared" si="81"/>
        <v>0.1318</v>
      </c>
      <c r="F5215" s="5"/>
    </row>
    <row r="5216" spans="2:6" ht="13.8" hidden="1" outlineLevel="1">
      <c r="B5216" s="187">
        <v>29908</v>
      </c>
      <c r="C5216" s="188">
        <v>13</v>
      </c>
      <c r="D5216" s="104">
        <f t="shared" si="81"/>
        <v>0.13</v>
      </c>
      <c r="F5216" s="5"/>
    </row>
    <row r="5217" spans="2:6" ht="13.8" hidden="1" outlineLevel="1">
      <c r="B5217" s="187">
        <v>29909</v>
      </c>
      <c r="C5217" s="188">
        <v>13.04</v>
      </c>
      <c r="D5217" s="104">
        <f t="shared" si="81"/>
        <v>0.13039999999999999</v>
      </c>
      <c r="F5217" s="5"/>
    </row>
    <row r="5218" spans="2:6" ht="13.8" hidden="1" outlineLevel="1">
      <c r="B5218" s="187">
        <v>29910</v>
      </c>
      <c r="C5218" s="188">
        <v>13.14</v>
      </c>
      <c r="D5218" s="104">
        <f t="shared" si="81"/>
        <v>0.13140000000000002</v>
      </c>
      <c r="F5218" s="5"/>
    </row>
    <row r="5219" spans="2:6" ht="13.8" hidden="1" outlineLevel="1">
      <c r="B5219" s="187">
        <v>29913</v>
      </c>
      <c r="C5219" s="188">
        <v>13.44</v>
      </c>
      <c r="D5219" s="104">
        <f t="shared" si="81"/>
        <v>0.13439999999999999</v>
      </c>
      <c r="F5219" s="5"/>
    </row>
    <row r="5220" spans="2:6" ht="13.8" hidden="1" outlineLevel="1">
      <c r="B5220" s="187">
        <v>29914</v>
      </c>
      <c r="C5220" s="188">
        <v>13.13</v>
      </c>
      <c r="D5220" s="104">
        <f t="shared" si="81"/>
        <v>0.1313</v>
      </c>
      <c r="F5220" s="5"/>
    </row>
    <row r="5221" spans="2:6" ht="13.8" hidden="1" outlineLevel="1">
      <c r="B5221" s="187">
        <v>29915</v>
      </c>
      <c r="C5221" s="188">
        <v>12.98</v>
      </c>
      <c r="D5221" s="104">
        <f t="shared" si="81"/>
        <v>0.1298</v>
      </c>
      <c r="F5221" s="5"/>
    </row>
    <row r="5222" spans="2:6" ht="13.8" hidden="1" outlineLevel="1">
      <c r="B5222" s="187">
        <v>29916</v>
      </c>
      <c r="C5222" s="188" t="s">
        <v>380</v>
      </c>
      <c r="D5222" s="104">
        <f t="shared" si="81"/>
        <v>0.1298</v>
      </c>
      <c r="F5222" s="5"/>
    </row>
    <row r="5223" spans="2:6" ht="13.8" hidden="1" outlineLevel="1">
      <c r="B5223" s="187">
        <v>29917</v>
      </c>
      <c r="C5223" s="188">
        <v>12.92</v>
      </c>
      <c r="D5223" s="104">
        <f t="shared" si="81"/>
        <v>0.12920000000000001</v>
      </c>
      <c r="F5223" s="5"/>
    </row>
    <row r="5224" spans="2:6" ht="13.8" hidden="1" outlineLevel="1">
      <c r="B5224" s="187">
        <v>29920</v>
      </c>
      <c r="C5224" s="188">
        <v>13.13</v>
      </c>
      <c r="D5224" s="104">
        <f t="shared" si="81"/>
        <v>0.1313</v>
      </c>
      <c r="F5224" s="5"/>
    </row>
    <row r="5225" spans="2:6" ht="13.8" hidden="1" outlineLevel="1">
      <c r="B5225" s="187">
        <v>29921</v>
      </c>
      <c r="C5225" s="188">
        <v>13.37</v>
      </c>
      <c r="D5225" s="104">
        <f t="shared" si="81"/>
        <v>0.13369999999999999</v>
      </c>
      <c r="F5225" s="5"/>
    </row>
    <row r="5226" spans="2:6" ht="13.8" hidden="1" outlineLevel="1">
      <c r="B5226" s="187">
        <v>29922</v>
      </c>
      <c r="C5226" s="188">
        <v>13.49</v>
      </c>
      <c r="D5226" s="104">
        <f t="shared" si="81"/>
        <v>0.13489999999999999</v>
      </c>
      <c r="F5226" s="5"/>
    </row>
    <row r="5227" spans="2:6" ht="13.8" hidden="1" outlineLevel="1">
      <c r="B5227" s="187">
        <v>29923</v>
      </c>
      <c r="C5227" s="188">
        <v>13.45</v>
      </c>
      <c r="D5227" s="104">
        <f t="shared" si="81"/>
        <v>0.13449999999999998</v>
      </c>
      <c r="F5227" s="5"/>
    </row>
    <row r="5228" spans="2:6" ht="13.8" hidden="1" outlineLevel="1">
      <c r="B5228" s="187">
        <v>29924</v>
      </c>
      <c r="C5228" s="188">
        <v>13.15</v>
      </c>
      <c r="D5228" s="104">
        <f t="shared" si="81"/>
        <v>0.13150000000000001</v>
      </c>
      <c r="F5228" s="5"/>
    </row>
    <row r="5229" spans="2:6" ht="13.8" hidden="1" outlineLevel="1">
      <c r="B5229" s="187">
        <v>29927</v>
      </c>
      <c r="C5229" s="188">
        <v>13.5</v>
      </c>
      <c r="D5229" s="104">
        <f t="shared" si="81"/>
        <v>0.13500000000000001</v>
      </c>
      <c r="F5229" s="5"/>
    </row>
    <row r="5230" spans="2:6" ht="13.8" hidden="1" outlineLevel="1">
      <c r="B5230" s="187">
        <v>29928</v>
      </c>
      <c r="C5230" s="188">
        <v>13.5</v>
      </c>
      <c r="D5230" s="104">
        <f t="shared" si="81"/>
        <v>0.13500000000000001</v>
      </c>
      <c r="F5230" s="5"/>
    </row>
    <row r="5231" spans="2:6" ht="13.8" hidden="1" outlineLevel="1">
      <c r="B5231" s="187">
        <v>29929</v>
      </c>
      <c r="C5231" s="188">
        <v>13.64</v>
      </c>
      <c r="D5231" s="104">
        <f t="shared" si="81"/>
        <v>0.13639999999999999</v>
      </c>
      <c r="F5231" s="5"/>
    </row>
    <row r="5232" spans="2:6" ht="13.8" hidden="1" outlineLevel="1">
      <c r="B5232" s="187">
        <v>29930</v>
      </c>
      <c r="C5232" s="188">
        <v>13.8</v>
      </c>
      <c r="D5232" s="104">
        <f t="shared" si="81"/>
        <v>0.13800000000000001</v>
      </c>
      <c r="F5232" s="5"/>
    </row>
    <row r="5233" spans="2:6" ht="13.8" hidden="1" outlineLevel="1">
      <c r="B5233" s="187">
        <v>29931</v>
      </c>
      <c r="C5233" s="188">
        <v>13.84</v>
      </c>
      <c r="D5233" s="104">
        <f t="shared" si="81"/>
        <v>0.1384</v>
      </c>
      <c r="F5233" s="5"/>
    </row>
    <row r="5234" spans="2:6" ht="13.8" hidden="1" outlineLevel="1">
      <c r="B5234" s="187">
        <v>29934</v>
      </c>
      <c r="C5234" s="188">
        <v>13.62</v>
      </c>
      <c r="D5234" s="104">
        <f t="shared" si="81"/>
        <v>0.13619999999999999</v>
      </c>
      <c r="F5234" s="5"/>
    </row>
    <row r="5235" spans="2:6" ht="13.8" hidden="1" outlineLevel="1">
      <c r="B5235" s="187">
        <v>29935</v>
      </c>
      <c r="C5235" s="188">
        <v>13.55</v>
      </c>
      <c r="D5235" s="104">
        <f t="shared" si="81"/>
        <v>0.13550000000000001</v>
      </c>
      <c r="F5235" s="5"/>
    </row>
    <row r="5236" spans="2:6" ht="13.8" hidden="1" outlineLevel="1">
      <c r="B5236" s="187">
        <v>29936</v>
      </c>
      <c r="C5236" s="188">
        <v>13.53</v>
      </c>
      <c r="D5236" s="104">
        <f t="shared" si="81"/>
        <v>0.1353</v>
      </c>
      <c r="F5236" s="5"/>
    </row>
    <row r="5237" spans="2:6" ht="13.8" hidden="1" outlineLevel="1">
      <c r="B5237" s="187">
        <v>29937</v>
      </c>
      <c r="C5237" s="188">
        <v>13.71</v>
      </c>
      <c r="D5237" s="104">
        <f t="shared" si="81"/>
        <v>0.1371</v>
      </c>
      <c r="F5237" s="5"/>
    </row>
    <row r="5238" spans="2:6" ht="13.8" hidden="1" outlineLevel="1">
      <c r="B5238" s="187">
        <v>29938</v>
      </c>
      <c r="C5238" s="188">
        <v>13.51</v>
      </c>
      <c r="D5238" s="104">
        <f t="shared" si="81"/>
        <v>0.1351</v>
      </c>
      <c r="F5238" s="5"/>
    </row>
    <row r="5239" spans="2:6" ht="13.8" hidden="1" outlineLevel="1">
      <c r="B5239" s="187">
        <v>29941</v>
      </c>
      <c r="C5239" s="188">
        <v>13.83</v>
      </c>
      <c r="D5239" s="104">
        <f t="shared" si="81"/>
        <v>0.13830000000000001</v>
      </c>
      <c r="F5239" s="5"/>
    </row>
    <row r="5240" spans="2:6" ht="13.8" hidden="1" outlineLevel="1">
      <c r="B5240" s="187">
        <v>29942</v>
      </c>
      <c r="C5240" s="188">
        <v>14.02</v>
      </c>
      <c r="D5240" s="104">
        <f t="shared" si="81"/>
        <v>0.14019999999999999</v>
      </c>
      <c r="F5240" s="5"/>
    </row>
    <row r="5241" spans="2:6" ht="13.8" hidden="1" outlineLevel="1">
      <c r="B5241" s="187">
        <v>29943</v>
      </c>
      <c r="C5241" s="188">
        <v>14.14</v>
      </c>
      <c r="D5241" s="104">
        <f t="shared" si="81"/>
        <v>0.1414</v>
      </c>
      <c r="F5241" s="5"/>
    </row>
    <row r="5242" spans="2:6" ht="13.8" hidden="1" outlineLevel="1">
      <c r="B5242" s="187">
        <v>29944</v>
      </c>
      <c r="C5242" s="188">
        <v>14.01</v>
      </c>
      <c r="D5242" s="104">
        <f t="shared" si="81"/>
        <v>0.1401</v>
      </c>
      <c r="F5242" s="5"/>
    </row>
    <row r="5243" spans="2:6" ht="13.8" hidden="1" outlineLevel="1">
      <c r="B5243" s="187">
        <v>29945</v>
      </c>
      <c r="C5243" s="188" t="s">
        <v>380</v>
      </c>
      <c r="D5243" s="104">
        <f t="shared" si="81"/>
        <v>0.1401</v>
      </c>
      <c r="F5243" s="5"/>
    </row>
    <row r="5244" spans="2:6" ht="13.8" hidden="1" outlineLevel="1">
      <c r="B5244" s="187">
        <v>29948</v>
      </c>
      <c r="C5244" s="188">
        <v>14.01</v>
      </c>
      <c r="D5244" s="104">
        <f t="shared" si="81"/>
        <v>0.1401</v>
      </c>
      <c r="F5244" s="5"/>
    </row>
    <row r="5245" spans="2:6" ht="13.8" hidden="1" outlineLevel="1">
      <c r="B5245" s="187">
        <v>29949</v>
      </c>
      <c r="C5245" s="188">
        <v>14.12</v>
      </c>
      <c r="D5245" s="104">
        <f t="shared" si="81"/>
        <v>0.14119999999999999</v>
      </c>
      <c r="F5245" s="5"/>
    </row>
    <row r="5246" spans="2:6" ht="13.8" hidden="1" outlineLevel="1">
      <c r="B5246" s="187">
        <v>29950</v>
      </c>
      <c r="C5246" s="188">
        <v>14.17</v>
      </c>
      <c r="D5246" s="104">
        <f t="shared" si="81"/>
        <v>0.14169999999999999</v>
      </c>
      <c r="F5246" s="5"/>
    </row>
    <row r="5247" spans="2:6" ht="13.8" hidden="1" outlineLevel="1">
      <c r="B5247" s="187">
        <v>29951</v>
      </c>
      <c r="C5247" s="188">
        <v>13.98</v>
      </c>
      <c r="D5247" s="104">
        <f t="shared" si="81"/>
        <v>0.13980000000000001</v>
      </c>
      <c r="F5247" s="5"/>
    </row>
    <row r="5248" spans="2:6" ht="13.8" hidden="1" outlineLevel="1">
      <c r="B5248" s="187">
        <v>29952</v>
      </c>
      <c r="C5248" s="188" t="s">
        <v>380</v>
      </c>
      <c r="D5248" s="104">
        <f t="shared" si="81"/>
        <v>0.13980000000000001</v>
      </c>
      <c r="F5248" s="5"/>
    </row>
    <row r="5249" spans="2:6" ht="13.8" hidden="1" outlineLevel="1">
      <c r="B5249" s="187">
        <v>29955</v>
      </c>
      <c r="C5249" s="188">
        <v>14.19</v>
      </c>
      <c r="D5249" s="104">
        <f t="shared" si="81"/>
        <v>0.1419</v>
      </c>
      <c r="F5249" s="5"/>
    </row>
    <row r="5250" spans="2:6" ht="13.8" hidden="1" outlineLevel="1">
      <c r="B5250" s="187">
        <v>29956</v>
      </c>
      <c r="C5250" s="188">
        <v>14.44</v>
      </c>
      <c r="D5250" s="104">
        <f t="shared" si="81"/>
        <v>0.1444</v>
      </c>
      <c r="F5250" s="5"/>
    </row>
    <row r="5251" spans="2:6" ht="13.8" hidden="1" outlineLevel="1">
      <c r="B5251" s="187">
        <v>29957</v>
      </c>
      <c r="C5251" s="188">
        <v>14.59</v>
      </c>
      <c r="D5251" s="104">
        <f t="shared" si="81"/>
        <v>0.1459</v>
      </c>
      <c r="F5251" s="5"/>
    </row>
    <row r="5252" spans="2:6" ht="13.8" hidden="1" outlineLevel="1">
      <c r="B5252" s="187">
        <v>29958</v>
      </c>
      <c r="C5252" s="188">
        <v>14.63</v>
      </c>
      <c r="D5252" s="104">
        <f t="shared" si="81"/>
        <v>0.14630000000000001</v>
      </c>
      <c r="F5252" s="5"/>
    </row>
    <row r="5253" spans="2:6" ht="13.8" hidden="1" outlineLevel="1">
      <c r="B5253" s="187">
        <v>29959</v>
      </c>
      <c r="C5253" s="188">
        <v>14.48</v>
      </c>
      <c r="D5253" s="104">
        <f t="shared" si="81"/>
        <v>0.14480000000000001</v>
      </c>
      <c r="F5253" s="5"/>
    </row>
    <row r="5254" spans="2:6" ht="13.8" hidden="1" outlineLevel="1">
      <c r="B5254" s="187">
        <v>29962</v>
      </c>
      <c r="C5254" s="188">
        <v>14.81</v>
      </c>
      <c r="D5254" s="104">
        <f t="shared" si="81"/>
        <v>0.14810000000000001</v>
      </c>
      <c r="F5254" s="5"/>
    </row>
    <row r="5255" spans="2:6" ht="13.8" hidden="1" outlineLevel="1">
      <c r="B5255" s="187">
        <v>29963</v>
      </c>
      <c r="C5255" s="188">
        <v>14.62</v>
      </c>
      <c r="D5255" s="104">
        <f t="shared" si="81"/>
        <v>0.1462</v>
      </c>
      <c r="F5255" s="5"/>
    </row>
    <row r="5256" spans="2:6" ht="13.8" hidden="1" outlineLevel="1">
      <c r="B5256" s="187">
        <v>29964</v>
      </c>
      <c r="C5256" s="188">
        <v>14.83</v>
      </c>
      <c r="D5256" s="104">
        <f t="shared" si="81"/>
        <v>0.14829999999999999</v>
      </c>
      <c r="F5256" s="5"/>
    </row>
    <row r="5257" spans="2:6" ht="13.8" hidden="1" outlineLevel="1">
      <c r="B5257" s="187">
        <v>29965</v>
      </c>
      <c r="C5257" s="188">
        <v>14.7</v>
      </c>
      <c r="D5257" s="104">
        <f t="shared" si="81"/>
        <v>0.14699999999999999</v>
      </c>
      <c r="F5257" s="5"/>
    </row>
    <row r="5258" spans="2:6" ht="13.8" hidden="1" outlineLevel="1">
      <c r="B5258" s="187">
        <v>29966</v>
      </c>
      <c r="C5258" s="188">
        <v>14.82</v>
      </c>
      <c r="D5258" s="104">
        <f t="shared" si="81"/>
        <v>0.1482</v>
      </c>
      <c r="F5258" s="5"/>
    </row>
    <row r="5259" spans="2:6" ht="13.8" hidden="1" outlineLevel="1">
      <c r="B5259" s="187">
        <v>29969</v>
      </c>
      <c r="C5259" s="188">
        <v>14.75</v>
      </c>
      <c r="D5259" s="104">
        <f t="shared" si="81"/>
        <v>0.14749999999999999</v>
      </c>
      <c r="F5259" s="5"/>
    </row>
    <row r="5260" spans="2:6" ht="13.8" hidden="1" outlineLevel="1">
      <c r="B5260" s="187">
        <v>29970</v>
      </c>
      <c r="C5260" s="188">
        <v>14.8</v>
      </c>
      <c r="D5260" s="104">
        <f t="shared" si="81"/>
        <v>0.14800000000000002</v>
      </c>
      <c r="F5260" s="5"/>
    </row>
    <row r="5261" spans="2:6" ht="13.8" hidden="1" outlineLevel="1">
      <c r="B5261" s="187">
        <v>29971</v>
      </c>
      <c r="C5261" s="188">
        <v>14.81</v>
      </c>
      <c r="D5261" s="104">
        <f t="shared" si="81"/>
        <v>0.14810000000000001</v>
      </c>
      <c r="F5261" s="5"/>
    </row>
    <row r="5262" spans="2:6" ht="13.8" hidden="1" outlineLevel="1">
      <c r="B5262" s="187">
        <v>29972</v>
      </c>
      <c r="C5262" s="188">
        <v>14.62</v>
      </c>
      <c r="D5262" s="104">
        <f t="shared" si="81"/>
        <v>0.1462</v>
      </c>
      <c r="F5262" s="5"/>
    </row>
    <row r="5263" spans="2:6" ht="13.8" hidden="1" outlineLevel="1">
      <c r="B5263" s="187">
        <v>29973</v>
      </c>
      <c r="C5263" s="188">
        <v>14.69</v>
      </c>
      <c r="D5263" s="104">
        <f t="shared" si="81"/>
        <v>0.1469</v>
      </c>
      <c r="F5263" s="5"/>
    </row>
    <row r="5264" spans="2:6" ht="13.8" hidden="1" outlineLevel="1">
      <c r="B5264" s="187">
        <v>29976</v>
      </c>
      <c r="C5264" s="188">
        <v>14.62</v>
      </c>
      <c r="D5264" s="104">
        <f t="shared" si="81"/>
        <v>0.1462</v>
      </c>
      <c r="F5264" s="5"/>
    </row>
    <row r="5265" spans="2:6" ht="13.8" hidden="1" outlineLevel="1">
      <c r="B5265" s="187">
        <v>29977</v>
      </c>
      <c r="C5265" s="188">
        <v>14.54</v>
      </c>
      <c r="D5265" s="104">
        <f t="shared" si="81"/>
        <v>0.1454</v>
      </c>
      <c r="F5265" s="5"/>
    </row>
    <row r="5266" spans="2:6" ht="13.8" hidden="1" outlineLevel="1">
      <c r="B5266" s="187">
        <v>29978</v>
      </c>
      <c r="C5266" s="188">
        <v>14.51</v>
      </c>
      <c r="D5266" s="104">
        <f t="shared" si="81"/>
        <v>0.14510000000000001</v>
      </c>
      <c r="F5266" s="5"/>
    </row>
    <row r="5267" spans="2:6" ht="13.8" hidden="1" outlineLevel="1">
      <c r="B5267" s="187">
        <v>29979</v>
      </c>
      <c r="C5267" s="188">
        <v>14.29</v>
      </c>
      <c r="D5267" s="104">
        <f t="shared" si="81"/>
        <v>0.1429</v>
      </c>
      <c r="F5267" s="5"/>
    </row>
    <row r="5268" spans="2:6" ht="13.8" hidden="1" outlineLevel="1">
      <c r="B5268" s="187">
        <v>29980</v>
      </c>
      <c r="C5268" s="188">
        <v>14.14</v>
      </c>
      <c r="D5268" s="104">
        <f t="shared" si="81"/>
        <v>0.1414</v>
      </c>
      <c r="F5268" s="5"/>
    </row>
    <row r="5269" spans="2:6" ht="13.8" hidden="1" outlineLevel="1">
      <c r="B5269" s="187">
        <v>29983</v>
      </c>
      <c r="C5269" s="188">
        <v>14.58</v>
      </c>
      <c r="D5269" s="104">
        <f t="shared" si="81"/>
        <v>0.14580000000000001</v>
      </c>
      <c r="F5269" s="5"/>
    </row>
    <row r="5270" spans="2:6" ht="13.8" hidden="1" outlineLevel="1">
      <c r="B5270" s="187">
        <v>29984</v>
      </c>
      <c r="C5270" s="188">
        <v>14.47</v>
      </c>
      <c r="D5270" s="104">
        <f t="shared" si="81"/>
        <v>0.1447</v>
      </c>
      <c r="F5270" s="5"/>
    </row>
    <row r="5271" spans="2:6" ht="13.8" hidden="1" outlineLevel="1">
      <c r="B5271" s="187">
        <v>29985</v>
      </c>
      <c r="C5271" s="188">
        <v>14.69</v>
      </c>
      <c r="D5271" s="104">
        <f t="shared" si="81"/>
        <v>0.1469</v>
      </c>
      <c r="F5271" s="5"/>
    </row>
    <row r="5272" spans="2:6" ht="13.8" hidden="1" outlineLevel="1">
      <c r="B5272" s="187">
        <v>29986</v>
      </c>
      <c r="C5272" s="188">
        <v>14.76</v>
      </c>
      <c r="D5272" s="104">
        <f t="shared" si="81"/>
        <v>0.14760000000000001</v>
      </c>
      <c r="F5272" s="5"/>
    </row>
    <row r="5273" spans="2:6" ht="13.8" hidden="1" outlineLevel="1">
      <c r="B5273" s="187">
        <v>29987</v>
      </c>
      <c r="C5273" s="188">
        <v>14.65</v>
      </c>
      <c r="D5273" s="104">
        <f t="shared" si="81"/>
        <v>0.14649999999999999</v>
      </c>
      <c r="F5273" s="5"/>
    </row>
    <row r="5274" spans="2:6" ht="13.8" hidden="1" outlineLevel="1">
      <c r="B5274" s="187">
        <v>29990</v>
      </c>
      <c r="C5274" s="188">
        <v>14.88</v>
      </c>
      <c r="D5274" s="104">
        <f t="shared" si="81"/>
        <v>0.14880000000000002</v>
      </c>
      <c r="F5274" s="5"/>
    </row>
    <row r="5275" spans="2:6" ht="13.8" hidden="1" outlineLevel="1">
      <c r="B5275" s="187">
        <v>29991</v>
      </c>
      <c r="C5275" s="188">
        <v>14.95</v>
      </c>
      <c r="D5275" s="104">
        <f t="shared" si="81"/>
        <v>0.14949999999999999</v>
      </c>
      <c r="F5275" s="5"/>
    </row>
    <row r="5276" spans="2:6" ht="13.8" hidden="1" outlineLevel="1">
      <c r="B5276" s="187">
        <v>29992</v>
      </c>
      <c r="C5276" s="188">
        <v>14.81</v>
      </c>
      <c r="D5276" s="104">
        <f t="shared" si="81"/>
        <v>0.14810000000000001</v>
      </c>
      <c r="F5276" s="5"/>
    </row>
    <row r="5277" spans="2:6" ht="13.8" hidden="1" outlineLevel="1">
      <c r="B5277" s="187">
        <v>29993</v>
      </c>
      <c r="C5277" s="188">
        <v>14.71</v>
      </c>
      <c r="D5277" s="104">
        <f t="shared" si="81"/>
        <v>0.14710000000000001</v>
      </c>
      <c r="F5277" s="5"/>
    </row>
    <row r="5278" spans="2:6" ht="13.8" hidden="1" outlineLevel="1">
      <c r="B5278" s="187">
        <v>29994</v>
      </c>
      <c r="C5278" s="188" t="s">
        <v>380</v>
      </c>
      <c r="D5278" s="104">
        <f t="shared" ref="D5278:D5341" si="82">IF( LEN( C5278 ) = 0, #N/A, IF( C5278 = "ND", D5277, C5278 / 100 ) )</f>
        <v>0.14710000000000001</v>
      </c>
      <c r="F5278" s="5"/>
    </row>
    <row r="5279" spans="2:6" ht="13.8" hidden="1" outlineLevel="1">
      <c r="B5279" s="187">
        <v>29997</v>
      </c>
      <c r="C5279" s="188" t="s">
        <v>380</v>
      </c>
      <c r="D5279" s="104">
        <f t="shared" si="82"/>
        <v>0.14710000000000001</v>
      </c>
      <c r="F5279" s="5"/>
    </row>
    <row r="5280" spans="2:6" ht="13.8" hidden="1" outlineLevel="1">
      <c r="B5280" s="187">
        <v>29998</v>
      </c>
      <c r="C5280" s="188">
        <v>14.53</v>
      </c>
      <c r="D5280" s="104">
        <f t="shared" si="82"/>
        <v>0.14529999999999998</v>
      </c>
      <c r="F5280" s="5"/>
    </row>
    <row r="5281" spans="2:6" ht="13.8" hidden="1" outlineLevel="1">
      <c r="B5281" s="187">
        <v>29999</v>
      </c>
      <c r="C5281" s="188">
        <v>14.5</v>
      </c>
      <c r="D5281" s="104">
        <f t="shared" si="82"/>
        <v>0.14499999999999999</v>
      </c>
      <c r="F5281" s="5"/>
    </row>
    <row r="5282" spans="2:6" ht="13.8" hidden="1" outlineLevel="1">
      <c r="B5282" s="187">
        <v>30000</v>
      </c>
      <c r="C5282" s="188">
        <v>14.28</v>
      </c>
      <c r="D5282" s="104">
        <f t="shared" si="82"/>
        <v>0.14279999999999998</v>
      </c>
      <c r="F5282" s="5"/>
    </row>
    <row r="5283" spans="2:6" ht="13.8" hidden="1" outlineLevel="1">
      <c r="B5283" s="187">
        <v>30001</v>
      </c>
      <c r="C5283" s="188">
        <v>14.24</v>
      </c>
      <c r="D5283" s="104">
        <f t="shared" si="82"/>
        <v>0.1424</v>
      </c>
      <c r="F5283" s="5"/>
    </row>
    <row r="5284" spans="2:6" ht="13.8" hidden="1" outlineLevel="1">
      <c r="B5284" s="187">
        <v>30004</v>
      </c>
      <c r="C5284" s="188">
        <v>13.87</v>
      </c>
      <c r="D5284" s="104">
        <f t="shared" si="82"/>
        <v>0.13869999999999999</v>
      </c>
      <c r="F5284" s="5"/>
    </row>
    <row r="5285" spans="2:6" ht="13.8" hidden="1" outlineLevel="1">
      <c r="B5285" s="187">
        <v>30005</v>
      </c>
      <c r="C5285" s="188">
        <v>13.93</v>
      </c>
      <c r="D5285" s="104">
        <f t="shared" si="82"/>
        <v>0.13930000000000001</v>
      </c>
      <c r="F5285" s="5"/>
    </row>
    <row r="5286" spans="2:6" ht="13.8" hidden="1" outlineLevel="1">
      <c r="B5286" s="187">
        <v>30006</v>
      </c>
      <c r="C5286" s="188">
        <v>13.87</v>
      </c>
      <c r="D5286" s="104">
        <f t="shared" si="82"/>
        <v>0.13869999999999999</v>
      </c>
      <c r="F5286" s="5"/>
    </row>
    <row r="5287" spans="2:6" ht="13.8" hidden="1" outlineLevel="1">
      <c r="B5287" s="187">
        <v>30007</v>
      </c>
      <c r="C5287" s="188">
        <v>13.91</v>
      </c>
      <c r="D5287" s="104">
        <f t="shared" si="82"/>
        <v>0.1391</v>
      </c>
      <c r="F5287" s="5"/>
    </row>
    <row r="5288" spans="2:6" ht="13.8" hidden="1" outlineLevel="1">
      <c r="B5288" s="187">
        <v>30008</v>
      </c>
      <c r="C5288" s="188">
        <v>14.03</v>
      </c>
      <c r="D5288" s="104">
        <f t="shared" si="82"/>
        <v>0.14029999999999998</v>
      </c>
      <c r="F5288" s="5"/>
    </row>
    <row r="5289" spans="2:6" ht="13.8" hidden="1" outlineLevel="1">
      <c r="B5289" s="187">
        <v>30011</v>
      </c>
      <c r="C5289" s="188">
        <v>13.85</v>
      </c>
      <c r="D5289" s="104">
        <f t="shared" si="82"/>
        <v>0.13849999999999998</v>
      </c>
      <c r="F5289" s="5"/>
    </row>
    <row r="5290" spans="2:6" ht="13.8" hidden="1" outlineLevel="1">
      <c r="B5290" s="187">
        <v>30012</v>
      </c>
      <c r="C5290" s="188">
        <v>13.74</v>
      </c>
      <c r="D5290" s="104">
        <f t="shared" si="82"/>
        <v>0.13739999999999999</v>
      </c>
      <c r="F5290" s="5"/>
    </row>
    <row r="5291" spans="2:6" ht="13.8" hidden="1" outlineLevel="1">
      <c r="B5291" s="187">
        <v>30013</v>
      </c>
      <c r="C5291" s="188">
        <v>13.69</v>
      </c>
      <c r="D5291" s="104">
        <f t="shared" si="82"/>
        <v>0.13689999999999999</v>
      </c>
      <c r="F5291" s="5"/>
    </row>
    <row r="5292" spans="2:6" ht="13.8" hidden="1" outlineLevel="1">
      <c r="B5292" s="187">
        <v>30014</v>
      </c>
      <c r="C5292" s="188">
        <v>13.61</v>
      </c>
      <c r="D5292" s="104">
        <f t="shared" si="82"/>
        <v>0.1361</v>
      </c>
      <c r="F5292" s="5"/>
    </row>
    <row r="5293" spans="2:6" ht="13.8" hidden="1" outlineLevel="1">
      <c r="B5293" s="187">
        <v>30015</v>
      </c>
      <c r="C5293" s="188">
        <v>13.59</v>
      </c>
      <c r="D5293" s="104">
        <f t="shared" si="82"/>
        <v>0.13589999999999999</v>
      </c>
      <c r="F5293" s="5"/>
    </row>
    <row r="5294" spans="2:6" ht="13.8" hidden="1" outlineLevel="1">
      <c r="B5294" s="187">
        <v>30018</v>
      </c>
      <c r="C5294" s="188">
        <v>13.67</v>
      </c>
      <c r="D5294" s="104">
        <f t="shared" si="82"/>
        <v>0.13669999999999999</v>
      </c>
      <c r="F5294" s="5"/>
    </row>
    <row r="5295" spans="2:6" ht="13.8" hidden="1" outlineLevel="1">
      <c r="B5295" s="187">
        <v>30019</v>
      </c>
      <c r="C5295" s="188">
        <v>13.69</v>
      </c>
      <c r="D5295" s="104">
        <f t="shared" si="82"/>
        <v>0.13689999999999999</v>
      </c>
      <c r="F5295" s="5"/>
    </row>
    <row r="5296" spans="2:6" ht="13.8" hidden="1" outlineLevel="1">
      <c r="B5296" s="187">
        <v>30020</v>
      </c>
      <c r="C5296" s="188">
        <v>13.73</v>
      </c>
      <c r="D5296" s="104">
        <f t="shared" si="82"/>
        <v>0.13730000000000001</v>
      </c>
      <c r="F5296" s="5"/>
    </row>
    <row r="5297" spans="2:6" ht="13.8" hidden="1" outlineLevel="1">
      <c r="B5297" s="187">
        <v>30021</v>
      </c>
      <c r="C5297" s="188">
        <v>13.95</v>
      </c>
      <c r="D5297" s="104">
        <f t="shared" si="82"/>
        <v>0.13949999999999999</v>
      </c>
      <c r="F5297" s="5"/>
    </row>
    <row r="5298" spans="2:6" ht="13.8" hidden="1" outlineLevel="1">
      <c r="B5298" s="187">
        <v>30022</v>
      </c>
      <c r="C5298" s="188">
        <v>13.97</v>
      </c>
      <c r="D5298" s="104">
        <f t="shared" si="82"/>
        <v>0.13970000000000002</v>
      </c>
      <c r="F5298" s="5"/>
    </row>
    <row r="5299" spans="2:6" ht="13.8" hidden="1" outlineLevel="1">
      <c r="B5299" s="187">
        <v>30025</v>
      </c>
      <c r="C5299" s="188">
        <v>13.96</v>
      </c>
      <c r="D5299" s="104">
        <f t="shared" si="82"/>
        <v>0.1396</v>
      </c>
      <c r="F5299" s="5"/>
    </row>
    <row r="5300" spans="2:6" ht="13.8" hidden="1" outlineLevel="1">
      <c r="B5300" s="187">
        <v>30026</v>
      </c>
      <c r="C5300" s="188">
        <v>13.91</v>
      </c>
      <c r="D5300" s="104">
        <f t="shared" si="82"/>
        <v>0.1391</v>
      </c>
      <c r="F5300" s="5"/>
    </row>
    <row r="5301" spans="2:6" ht="13.8" hidden="1" outlineLevel="1">
      <c r="B5301" s="187">
        <v>30027</v>
      </c>
      <c r="C5301" s="188">
        <v>13.88</v>
      </c>
      <c r="D5301" s="104">
        <f t="shared" si="82"/>
        <v>0.13880000000000001</v>
      </c>
      <c r="F5301" s="5"/>
    </row>
    <row r="5302" spans="2:6" ht="13.8" hidden="1" outlineLevel="1">
      <c r="B5302" s="187">
        <v>30028</v>
      </c>
      <c r="C5302" s="188">
        <v>13.87</v>
      </c>
      <c r="D5302" s="104">
        <f t="shared" si="82"/>
        <v>0.13869999999999999</v>
      </c>
      <c r="F5302" s="5"/>
    </row>
    <row r="5303" spans="2:6" ht="13.8" hidden="1" outlineLevel="1">
      <c r="B5303" s="187">
        <v>30029</v>
      </c>
      <c r="C5303" s="188">
        <v>13.89</v>
      </c>
      <c r="D5303" s="104">
        <f t="shared" si="82"/>
        <v>0.1389</v>
      </c>
      <c r="F5303" s="5"/>
    </row>
    <row r="5304" spans="2:6" ht="13.8" hidden="1" outlineLevel="1">
      <c r="B5304" s="187">
        <v>30032</v>
      </c>
      <c r="C5304" s="188">
        <v>13.74</v>
      </c>
      <c r="D5304" s="104">
        <f t="shared" si="82"/>
        <v>0.13739999999999999</v>
      </c>
      <c r="F5304" s="5"/>
    </row>
    <row r="5305" spans="2:6" ht="13.8" hidden="1" outlineLevel="1">
      <c r="B5305" s="187">
        <v>30033</v>
      </c>
      <c r="C5305" s="188">
        <v>13.72</v>
      </c>
      <c r="D5305" s="104">
        <f t="shared" si="82"/>
        <v>0.13720000000000002</v>
      </c>
      <c r="F5305" s="5"/>
    </row>
    <row r="5306" spans="2:6" ht="13.8" hidden="1" outlineLevel="1">
      <c r="B5306" s="187">
        <v>30034</v>
      </c>
      <c r="C5306" s="188">
        <v>13.91</v>
      </c>
      <c r="D5306" s="104">
        <f t="shared" si="82"/>
        <v>0.1391</v>
      </c>
      <c r="F5306" s="5"/>
    </row>
    <row r="5307" spans="2:6" ht="13.8" hidden="1" outlineLevel="1">
      <c r="B5307" s="187">
        <v>30035</v>
      </c>
      <c r="C5307" s="188">
        <v>13.9</v>
      </c>
      <c r="D5307" s="104">
        <f t="shared" si="82"/>
        <v>0.13900000000000001</v>
      </c>
      <c r="F5307" s="5"/>
    </row>
    <row r="5308" spans="2:6" ht="13.8" hidden="1" outlineLevel="1">
      <c r="B5308" s="187">
        <v>30036</v>
      </c>
      <c r="C5308" s="188">
        <v>14.01</v>
      </c>
      <c r="D5308" s="104">
        <f t="shared" si="82"/>
        <v>0.1401</v>
      </c>
      <c r="F5308" s="5"/>
    </row>
    <row r="5309" spans="2:6" ht="13.8" hidden="1" outlineLevel="1">
      <c r="B5309" s="187">
        <v>30039</v>
      </c>
      <c r="C5309" s="188">
        <v>14.16</v>
      </c>
      <c r="D5309" s="104">
        <f t="shared" si="82"/>
        <v>0.1416</v>
      </c>
      <c r="F5309" s="5"/>
    </row>
    <row r="5310" spans="2:6" ht="13.8" hidden="1" outlineLevel="1">
      <c r="B5310" s="187">
        <v>30040</v>
      </c>
      <c r="C5310" s="188">
        <v>14.19</v>
      </c>
      <c r="D5310" s="104">
        <f t="shared" si="82"/>
        <v>0.1419</v>
      </c>
      <c r="F5310" s="5"/>
    </row>
    <row r="5311" spans="2:6" ht="13.8" hidden="1" outlineLevel="1">
      <c r="B5311" s="187">
        <v>30041</v>
      </c>
      <c r="C5311" s="188">
        <v>14.18</v>
      </c>
      <c r="D5311" s="104">
        <f t="shared" si="82"/>
        <v>0.14180000000000001</v>
      </c>
      <c r="F5311" s="5"/>
    </row>
    <row r="5312" spans="2:6" ht="13.8" hidden="1" outlineLevel="1">
      <c r="B5312" s="187">
        <v>30042</v>
      </c>
      <c r="C5312" s="188">
        <v>14.1</v>
      </c>
      <c r="D5312" s="104">
        <f t="shared" si="82"/>
        <v>0.14099999999999999</v>
      </c>
      <c r="F5312" s="5"/>
    </row>
    <row r="5313" spans="2:6" ht="13.8" hidden="1" outlineLevel="1">
      <c r="B5313" s="187">
        <v>30043</v>
      </c>
      <c r="C5313" s="188">
        <v>14.1</v>
      </c>
      <c r="D5313" s="104">
        <f t="shared" si="82"/>
        <v>0.14099999999999999</v>
      </c>
      <c r="F5313" s="5"/>
    </row>
    <row r="5314" spans="2:6" ht="13.8" hidden="1" outlineLevel="1">
      <c r="B5314" s="187">
        <v>30046</v>
      </c>
      <c r="C5314" s="188">
        <v>14.16</v>
      </c>
      <c r="D5314" s="104">
        <f t="shared" si="82"/>
        <v>0.1416</v>
      </c>
      <c r="F5314" s="5"/>
    </row>
    <row r="5315" spans="2:6" ht="13.8" hidden="1" outlineLevel="1">
      <c r="B5315" s="187">
        <v>30047</v>
      </c>
      <c r="C5315" s="188">
        <v>14.18</v>
      </c>
      <c r="D5315" s="104">
        <f t="shared" si="82"/>
        <v>0.14180000000000001</v>
      </c>
      <c r="F5315" s="5"/>
    </row>
    <row r="5316" spans="2:6" ht="13.8" hidden="1" outlineLevel="1">
      <c r="B5316" s="187">
        <v>30048</v>
      </c>
      <c r="C5316" s="188">
        <v>14.18</v>
      </c>
      <c r="D5316" s="104">
        <f t="shared" si="82"/>
        <v>0.14180000000000001</v>
      </c>
      <c r="F5316" s="5"/>
    </row>
    <row r="5317" spans="2:6" ht="13.8" hidden="1" outlineLevel="1">
      <c r="B5317" s="187">
        <v>30049</v>
      </c>
      <c r="C5317" s="188">
        <v>13.98</v>
      </c>
      <c r="D5317" s="104">
        <f t="shared" si="82"/>
        <v>0.13980000000000001</v>
      </c>
      <c r="F5317" s="5"/>
    </row>
    <row r="5318" spans="2:6" ht="13.8" hidden="1" outlineLevel="1">
      <c r="B5318" s="187">
        <v>30050</v>
      </c>
      <c r="C5318" s="188" t="s">
        <v>380</v>
      </c>
      <c r="D5318" s="104">
        <f t="shared" si="82"/>
        <v>0.13980000000000001</v>
      </c>
      <c r="F5318" s="5"/>
    </row>
    <row r="5319" spans="2:6" ht="13.8" hidden="1" outlineLevel="1">
      <c r="B5319" s="187">
        <v>30053</v>
      </c>
      <c r="C5319" s="188">
        <v>13.83</v>
      </c>
      <c r="D5319" s="104">
        <f t="shared" si="82"/>
        <v>0.13830000000000001</v>
      </c>
      <c r="F5319" s="5"/>
    </row>
    <row r="5320" spans="2:6" ht="13.8" hidden="1" outlineLevel="1">
      <c r="B5320" s="187">
        <v>30054</v>
      </c>
      <c r="C5320" s="188">
        <v>13.83</v>
      </c>
      <c r="D5320" s="104">
        <f t="shared" si="82"/>
        <v>0.13830000000000001</v>
      </c>
      <c r="F5320" s="5"/>
    </row>
    <row r="5321" spans="2:6" ht="13.8" hidden="1" outlineLevel="1">
      <c r="B5321" s="187">
        <v>30055</v>
      </c>
      <c r="C5321" s="188">
        <v>13.95</v>
      </c>
      <c r="D5321" s="104">
        <f t="shared" si="82"/>
        <v>0.13949999999999999</v>
      </c>
      <c r="F5321" s="5"/>
    </row>
    <row r="5322" spans="2:6" ht="13.8" hidden="1" outlineLevel="1">
      <c r="B5322" s="187">
        <v>30056</v>
      </c>
      <c r="C5322" s="188">
        <v>13.91</v>
      </c>
      <c r="D5322" s="104">
        <f t="shared" si="82"/>
        <v>0.1391</v>
      </c>
      <c r="F5322" s="5"/>
    </row>
    <row r="5323" spans="2:6" ht="13.8" hidden="1" outlineLevel="1">
      <c r="B5323" s="187">
        <v>30057</v>
      </c>
      <c r="C5323" s="188">
        <v>13.71</v>
      </c>
      <c r="D5323" s="104">
        <f t="shared" si="82"/>
        <v>0.1371</v>
      </c>
      <c r="F5323" s="5"/>
    </row>
    <row r="5324" spans="2:6" ht="13.8" hidden="1" outlineLevel="1">
      <c r="B5324" s="187">
        <v>30060</v>
      </c>
      <c r="C5324" s="188">
        <v>13.66</v>
      </c>
      <c r="D5324" s="104">
        <f t="shared" si="82"/>
        <v>0.1366</v>
      </c>
      <c r="F5324" s="5"/>
    </row>
    <row r="5325" spans="2:6" ht="13.8" hidden="1" outlineLevel="1">
      <c r="B5325" s="187">
        <v>30061</v>
      </c>
      <c r="C5325" s="188">
        <v>13.72</v>
      </c>
      <c r="D5325" s="104">
        <f t="shared" si="82"/>
        <v>0.13720000000000002</v>
      </c>
      <c r="F5325" s="5"/>
    </row>
    <row r="5326" spans="2:6" ht="13.8" hidden="1" outlineLevel="1">
      <c r="B5326" s="187">
        <v>30062</v>
      </c>
      <c r="C5326" s="188">
        <v>13.69</v>
      </c>
      <c r="D5326" s="104">
        <f t="shared" si="82"/>
        <v>0.13689999999999999</v>
      </c>
      <c r="F5326" s="5"/>
    </row>
    <row r="5327" spans="2:6" ht="13.8" hidden="1" outlineLevel="1">
      <c r="B5327" s="187">
        <v>30063</v>
      </c>
      <c r="C5327" s="188">
        <v>13.71</v>
      </c>
      <c r="D5327" s="104">
        <f t="shared" si="82"/>
        <v>0.1371</v>
      </c>
      <c r="F5327" s="5"/>
    </row>
    <row r="5328" spans="2:6" ht="13.8" hidden="1" outlineLevel="1">
      <c r="B5328" s="187">
        <v>30064</v>
      </c>
      <c r="C5328" s="188">
        <v>13.69</v>
      </c>
      <c r="D5328" s="104">
        <f t="shared" si="82"/>
        <v>0.13689999999999999</v>
      </c>
      <c r="F5328" s="5"/>
    </row>
    <row r="5329" spans="2:6" ht="13.8" hidden="1" outlineLevel="1">
      <c r="B5329" s="187">
        <v>30067</v>
      </c>
      <c r="C5329" s="188">
        <v>13.7</v>
      </c>
      <c r="D5329" s="104">
        <f t="shared" si="82"/>
        <v>0.13699999999999998</v>
      </c>
      <c r="F5329" s="5"/>
    </row>
    <row r="5330" spans="2:6" ht="13.8" hidden="1" outlineLevel="1">
      <c r="B5330" s="187">
        <v>30068</v>
      </c>
      <c r="C5330" s="188">
        <v>13.7</v>
      </c>
      <c r="D5330" s="104">
        <f t="shared" si="82"/>
        <v>0.13699999999999998</v>
      </c>
      <c r="F5330" s="5"/>
    </row>
    <row r="5331" spans="2:6" ht="13.8" hidden="1" outlineLevel="1">
      <c r="B5331" s="187">
        <v>30069</v>
      </c>
      <c r="C5331" s="188">
        <v>13.77</v>
      </c>
      <c r="D5331" s="104">
        <f t="shared" si="82"/>
        <v>0.13769999999999999</v>
      </c>
      <c r="F5331" s="5"/>
    </row>
    <row r="5332" spans="2:6" ht="13.8" hidden="1" outlineLevel="1">
      <c r="B5332" s="187">
        <v>30070</v>
      </c>
      <c r="C5332" s="188">
        <v>13.87</v>
      </c>
      <c r="D5332" s="104">
        <f t="shared" si="82"/>
        <v>0.13869999999999999</v>
      </c>
      <c r="F5332" s="5"/>
    </row>
    <row r="5333" spans="2:6" ht="13.8" hidden="1" outlineLevel="1">
      <c r="B5333" s="187">
        <v>30071</v>
      </c>
      <c r="C5333" s="188">
        <v>13.87</v>
      </c>
      <c r="D5333" s="104">
        <f t="shared" si="82"/>
        <v>0.13869999999999999</v>
      </c>
      <c r="F5333" s="5"/>
    </row>
    <row r="5334" spans="2:6" ht="13.8" hidden="1" outlineLevel="1">
      <c r="B5334" s="187">
        <v>30074</v>
      </c>
      <c r="C5334" s="188">
        <v>13.95</v>
      </c>
      <c r="D5334" s="104">
        <f t="shared" si="82"/>
        <v>0.13949999999999999</v>
      </c>
      <c r="F5334" s="5"/>
    </row>
    <row r="5335" spans="2:6" ht="13.8" hidden="1" outlineLevel="1">
      <c r="B5335" s="187">
        <v>30075</v>
      </c>
      <c r="C5335" s="188">
        <v>13.87</v>
      </c>
      <c r="D5335" s="104">
        <f t="shared" si="82"/>
        <v>0.13869999999999999</v>
      </c>
      <c r="F5335" s="5"/>
    </row>
    <row r="5336" spans="2:6" ht="13.8" hidden="1" outlineLevel="1">
      <c r="B5336" s="187">
        <v>30076</v>
      </c>
      <c r="C5336" s="188">
        <v>13.8</v>
      </c>
      <c r="D5336" s="104">
        <f t="shared" si="82"/>
        <v>0.13800000000000001</v>
      </c>
      <c r="F5336" s="5"/>
    </row>
    <row r="5337" spans="2:6" ht="13.8" hidden="1" outlineLevel="1">
      <c r="B5337" s="187">
        <v>30077</v>
      </c>
      <c r="C5337" s="188">
        <v>13.54</v>
      </c>
      <c r="D5337" s="104">
        <f t="shared" si="82"/>
        <v>0.13539999999999999</v>
      </c>
      <c r="F5337" s="5"/>
    </row>
    <row r="5338" spans="2:6" ht="13.8" hidden="1" outlineLevel="1">
      <c r="B5338" s="187">
        <v>30078</v>
      </c>
      <c r="C5338" s="188">
        <v>13.48</v>
      </c>
      <c r="D5338" s="104">
        <f t="shared" si="82"/>
        <v>0.1348</v>
      </c>
      <c r="F5338" s="5"/>
    </row>
    <row r="5339" spans="2:6" ht="13.8" hidden="1" outlineLevel="1">
      <c r="B5339" s="187">
        <v>30081</v>
      </c>
      <c r="C5339" s="188">
        <v>13.49</v>
      </c>
      <c r="D5339" s="104">
        <f t="shared" si="82"/>
        <v>0.13489999999999999</v>
      </c>
      <c r="F5339" s="5"/>
    </row>
    <row r="5340" spans="2:6" ht="13.8" hidden="1" outlineLevel="1">
      <c r="B5340" s="187">
        <v>30082</v>
      </c>
      <c r="C5340" s="188">
        <v>13.46</v>
      </c>
      <c r="D5340" s="104">
        <f t="shared" si="82"/>
        <v>0.1346</v>
      </c>
      <c r="F5340" s="5"/>
    </row>
    <row r="5341" spans="2:6" ht="13.8" hidden="1" outlineLevel="1">
      <c r="B5341" s="187">
        <v>30083</v>
      </c>
      <c r="C5341" s="188">
        <v>13.59</v>
      </c>
      <c r="D5341" s="104">
        <f t="shared" si="82"/>
        <v>0.13589999999999999</v>
      </c>
      <c r="F5341" s="5"/>
    </row>
    <row r="5342" spans="2:6" ht="13.8" hidden="1" outlineLevel="1">
      <c r="B5342" s="187">
        <v>30084</v>
      </c>
      <c r="C5342" s="188">
        <v>13.62</v>
      </c>
      <c r="D5342" s="104">
        <f t="shared" ref="D5342:D5405" si="83">IF( LEN( C5342 ) = 0, #N/A, IF( C5342 = "ND", D5341, C5342 / 100 ) )</f>
        <v>0.13619999999999999</v>
      </c>
      <c r="F5342" s="5"/>
    </row>
    <row r="5343" spans="2:6" ht="13.8" hidden="1" outlineLevel="1">
      <c r="B5343" s="187">
        <v>30085</v>
      </c>
      <c r="C5343" s="188">
        <v>13.48</v>
      </c>
      <c r="D5343" s="104">
        <f t="shared" si="83"/>
        <v>0.1348</v>
      </c>
      <c r="F5343" s="5"/>
    </row>
    <row r="5344" spans="2:6" ht="13.8" hidden="1" outlineLevel="1">
      <c r="B5344" s="187">
        <v>30088</v>
      </c>
      <c r="C5344" s="188">
        <v>13.57</v>
      </c>
      <c r="D5344" s="104">
        <f t="shared" si="83"/>
        <v>0.13570000000000002</v>
      </c>
      <c r="F5344" s="5"/>
    </row>
    <row r="5345" spans="2:6" ht="13.8" hidden="1" outlineLevel="1">
      <c r="B5345" s="187">
        <v>30089</v>
      </c>
      <c r="C5345" s="188">
        <v>13.6</v>
      </c>
      <c r="D5345" s="104">
        <f t="shared" si="83"/>
        <v>0.13600000000000001</v>
      </c>
      <c r="F5345" s="5"/>
    </row>
    <row r="5346" spans="2:6" ht="13.8" hidden="1" outlineLevel="1">
      <c r="B5346" s="187">
        <v>30090</v>
      </c>
      <c r="C5346" s="188">
        <v>13.64</v>
      </c>
      <c r="D5346" s="104">
        <f t="shared" si="83"/>
        <v>0.13639999999999999</v>
      </c>
      <c r="F5346" s="5"/>
    </row>
    <row r="5347" spans="2:6" ht="13.8" hidden="1" outlineLevel="1">
      <c r="B5347" s="187">
        <v>30091</v>
      </c>
      <c r="C5347" s="188">
        <v>13.53</v>
      </c>
      <c r="D5347" s="104">
        <f t="shared" si="83"/>
        <v>0.1353</v>
      </c>
      <c r="F5347" s="5"/>
    </row>
    <row r="5348" spans="2:6" ht="13.8" hidden="1" outlineLevel="1">
      <c r="B5348" s="187">
        <v>30092</v>
      </c>
      <c r="C5348" s="188">
        <v>13.52</v>
      </c>
      <c r="D5348" s="104">
        <f t="shared" si="83"/>
        <v>0.13519999999999999</v>
      </c>
      <c r="F5348" s="5"/>
    </row>
    <row r="5349" spans="2:6" ht="13.8" hidden="1" outlineLevel="1">
      <c r="B5349" s="187">
        <v>30095</v>
      </c>
      <c r="C5349" s="188">
        <v>13.58</v>
      </c>
      <c r="D5349" s="104">
        <f t="shared" si="83"/>
        <v>0.1358</v>
      </c>
      <c r="F5349" s="5"/>
    </row>
    <row r="5350" spans="2:6" ht="13.8" hidden="1" outlineLevel="1">
      <c r="B5350" s="187">
        <v>30096</v>
      </c>
      <c r="C5350" s="188">
        <v>13.62</v>
      </c>
      <c r="D5350" s="104">
        <f t="shared" si="83"/>
        <v>0.13619999999999999</v>
      </c>
      <c r="F5350" s="5"/>
    </row>
    <row r="5351" spans="2:6" ht="13.8" hidden="1" outlineLevel="1">
      <c r="B5351" s="187">
        <v>30097</v>
      </c>
      <c r="C5351" s="188">
        <v>13.68</v>
      </c>
      <c r="D5351" s="104">
        <f t="shared" si="83"/>
        <v>0.1368</v>
      </c>
      <c r="F5351" s="5"/>
    </row>
    <row r="5352" spans="2:6" ht="13.8" hidden="1" outlineLevel="1">
      <c r="B5352" s="187">
        <v>30098</v>
      </c>
      <c r="C5352" s="188">
        <v>13.72</v>
      </c>
      <c r="D5352" s="104">
        <f t="shared" si="83"/>
        <v>0.13720000000000002</v>
      </c>
      <c r="F5352" s="5"/>
    </row>
    <row r="5353" spans="2:6" ht="13.8" hidden="1" outlineLevel="1">
      <c r="B5353" s="187">
        <v>30099</v>
      </c>
      <c r="C5353" s="188">
        <v>13.71</v>
      </c>
      <c r="D5353" s="104">
        <f t="shared" si="83"/>
        <v>0.1371</v>
      </c>
      <c r="F5353" s="5"/>
    </row>
    <row r="5354" spans="2:6" ht="13.8" hidden="1" outlineLevel="1">
      <c r="B5354" s="187">
        <v>30102</v>
      </c>
      <c r="C5354" s="188" t="s">
        <v>380</v>
      </c>
      <c r="D5354" s="104">
        <f t="shared" si="83"/>
        <v>0.1371</v>
      </c>
      <c r="F5354" s="5"/>
    </row>
    <row r="5355" spans="2:6" ht="13.8" hidden="1" outlineLevel="1">
      <c r="B5355" s="187">
        <v>30103</v>
      </c>
      <c r="C5355" s="188">
        <v>13.93</v>
      </c>
      <c r="D5355" s="104">
        <f t="shared" si="83"/>
        <v>0.13930000000000001</v>
      </c>
      <c r="F5355" s="5"/>
    </row>
    <row r="5356" spans="2:6" ht="13.8" hidden="1" outlineLevel="1">
      <c r="B5356" s="187">
        <v>30104</v>
      </c>
      <c r="C5356" s="188">
        <v>13.86</v>
      </c>
      <c r="D5356" s="104">
        <f t="shared" si="83"/>
        <v>0.1386</v>
      </c>
      <c r="F5356" s="5"/>
    </row>
    <row r="5357" spans="2:6" ht="13.8" hidden="1" outlineLevel="1">
      <c r="B5357" s="187">
        <v>30105</v>
      </c>
      <c r="C5357" s="188">
        <v>13.9</v>
      </c>
      <c r="D5357" s="104">
        <f t="shared" si="83"/>
        <v>0.13900000000000001</v>
      </c>
      <c r="F5357" s="5"/>
    </row>
    <row r="5358" spans="2:6" ht="13.8" hidden="1" outlineLevel="1">
      <c r="B5358" s="187">
        <v>30106</v>
      </c>
      <c r="C5358" s="188">
        <v>13.98</v>
      </c>
      <c r="D5358" s="104">
        <f t="shared" si="83"/>
        <v>0.13980000000000001</v>
      </c>
      <c r="F5358" s="5"/>
    </row>
    <row r="5359" spans="2:6" ht="13.8" hidden="1" outlineLevel="1">
      <c r="B5359" s="187">
        <v>30109</v>
      </c>
      <c r="C5359" s="188">
        <v>13.94</v>
      </c>
      <c r="D5359" s="104">
        <f t="shared" si="83"/>
        <v>0.1394</v>
      </c>
      <c r="F5359" s="5"/>
    </row>
    <row r="5360" spans="2:6" ht="13.8" hidden="1" outlineLevel="1">
      <c r="B5360" s="187">
        <v>30110</v>
      </c>
      <c r="C5360" s="188">
        <v>13.98</v>
      </c>
      <c r="D5360" s="104">
        <f t="shared" si="83"/>
        <v>0.13980000000000001</v>
      </c>
      <c r="F5360" s="5"/>
    </row>
    <row r="5361" spans="2:6" ht="13.8" hidden="1" outlineLevel="1">
      <c r="B5361" s="187">
        <v>30111</v>
      </c>
      <c r="C5361" s="188">
        <v>13.99</v>
      </c>
      <c r="D5361" s="104">
        <f t="shared" si="83"/>
        <v>0.1399</v>
      </c>
      <c r="F5361" s="5"/>
    </row>
    <row r="5362" spans="2:6" ht="13.8" hidden="1" outlineLevel="1">
      <c r="B5362" s="187">
        <v>30112</v>
      </c>
      <c r="C5362" s="188">
        <v>14.02</v>
      </c>
      <c r="D5362" s="104">
        <f t="shared" si="83"/>
        <v>0.14019999999999999</v>
      </c>
      <c r="F5362" s="5"/>
    </row>
    <row r="5363" spans="2:6" ht="13.8" hidden="1" outlineLevel="1">
      <c r="B5363" s="187">
        <v>30113</v>
      </c>
      <c r="C5363" s="188">
        <v>13.93</v>
      </c>
      <c r="D5363" s="104">
        <f t="shared" si="83"/>
        <v>0.13930000000000001</v>
      </c>
      <c r="F5363" s="5"/>
    </row>
    <row r="5364" spans="2:6" ht="13.8" hidden="1" outlineLevel="1">
      <c r="B5364" s="187">
        <v>30116</v>
      </c>
      <c r="C5364" s="188">
        <v>14.21</v>
      </c>
      <c r="D5364" s="104">
        <f t="shared" si="83"/>
        <v>0.1421</v>
      </c>
      <c r="F5364" s="5"/>
    </row>
    <row r="5365" spans="2:6" ht="13.8" hidden="1" outlineLevel="1">
      <c r="B5365" s="187">
        <v>30117</v>
      </c>
      <c r="C5365" s="188">
        <v>14.21</v>
      </c>
      <c r="D5365" s="104">
        <f t="shared" si="83"/>
        <v>0.1421</v>
      </c>
      <c r="F5365" s="5"/>
    </row>
    <row r="5366" spans="2:6" ht="13.8" hidden="1" outlineLevel="1">
      <c r="B5366" s="187">
        <v>30118</v>
      </c>
      <c r="C5366" s="188">
        <v>14.26</v>
      </c>
      <c r="D5366" s="104">
        <f t="shared" si="83"/>
        <v>0.1426</v>
      </c>
      <c r="F5366" s="5"/>
    </row>
    <row r="5367" spans="2:6" ht="13.8" hidden="1" outlineLevel="1">
      <c r="B5367" s="187">
        <v>30119</v>
      </c>
      <c r="C5367" s="188">
        <v>14.48</v>
      </c>
      <c r="D5367" s="104">
        <f t="shared" si="83"/>
        <v>0.14480000000000001</v>
      </c>
      <c r="F5367" s="5"/>
    </row>
    <row r="5368" spans="2:6" ht="13.8" hidden="1" outlineLevel="1">
      <c r="B5368" s="187">
        <v>30120</v>
      </c>
      <c r="C5368" s="188">
        <v>14.62</v>
      </c>
      <c r="D5368" s="104">
        <f t="shared" si="83"/>
        <v>0.1462</v>
      </c>
      <c r="F5368" s="5"/>
    </row>
    <row r="5369" spans="2:6" ht="13.8" hidden="1" outlineLevel="1">
      <c r="B5369" s="187">
        <v>30123</v>
      </c>
      <c r="C5369" s="188">
        <v>14.63</v>
      </c>
      <c r="D5369" s="104">
        <f t="shared" si="83"/>
        <v>0.14630000000000001</v>
      </c>
      <c r="F5369" s="5"/>
    </row>
    <row r="5370" spans="2:6" ht="13.8" hidden="1" outlineLevel="1">
      <c r="B5370" s="187">
        <v>30124</v>
      </c>
      <c r="C5370" s="188">
        <v>14.66</v>
      </c>
      <c r="D5370" s="104">
        <f t="shared" si="83"/>
        <v>0.14660000000000001</v>
      </c>
      <c r="F5370" s="5"/>
    </row>
    <row r="5371" spans="2:6" ht="13.8" hidden="1" outlineLevel="1">
      <c r="B5371" s="187">
        <v>30125</v>
      </c>
      <c r="C5371" s="188">
        <v>14.74</v>
      </c>
      <c r="D5371" s="104">
        <f t="shared" si="83"/>
        <v>0.1474</v>
      </c>
      <c r="F5371" s="5"/>
    </row>
    <row r="5372" spans="2:6" ht="13.8" hidden="1" outlineLevel="1">
      <c r="B5372" s="187">
        <v>30126</v>
      </c>
      <c r="C5372" s="188">
        <v>14.71</v>
      </c>
      <c r="D5372" s="104">
        <f t="shared" si="83"/>
        <v>0.14710000000000001</v>
      </c>
      <c r="F5372" s="5"/>
    </row>
    <row r="5373" spans="2:6" ht="13.8" hidden="1" outlineLevel="1">
      <c r="B5373" s="187">
        <v>30127</v>
      </c>
      <c r="C5373" s="188">
        <v>14.76</v>
      </c>
      <c r="D5373" s="104">
        <f t="shared" si="83"/>
        <v>0.14760000000000001</v>
      </c>
      <c r="F5373" s="5"/>
    </row>
    <row r="5374" spans="2:6" ht="13.8" hidden="1" outlineLevel="1">
      <c r="B5374" s="187">
        <v>30130</v>
      </c>
      <c r="C5374" s="188">
        <v>14.73</v>
      </c>
      <c r="D5374" s="104">
        <f t="shared" si="83"/>
        <v>0.14730000000000001</v>
      </c>
      <c r="F5374" s="5"/>
    </row>
    <row r="5375" spans="2:6" ht="13.8" hidden="1" outlineLevel="1">
      <c r="B5375" s="187">
        <v>30131</v>
      </c>
      <c r="C5375" s="188">
        <v>14.61</v>
      </c>
      <c r="D5375" s="104">
        <f t="shared" si="83"/>
        <v>0.14610000000000001</v>
      </c>
      <c r="F5375" s="5"/>
    </row>
    <row r="5376" spans="2:6" ht="13.8" hidden="1" outlineLevel="1">
      <c r="B5376" s="187">
        <v>30132</v>
      </c>
      <c r="C5376" s="188">
        <v>14.44</v>
      </c>
      <c r="D5376" s="104">
        <f t="shared" si="83"/>
        <v>0.1444</v>
      </c>
      <c r="F5376" s="5"/>
    </row>
    <row r="5377" spans="2:6" ht="13.8" hidden="1" outlineLevel="1">
      <c r="B5377" s="187">
        <v>30133</v>
      </c>
      <c r="C5377" s="188">
        <v>14.4</v>
      </c>
      <c r="D5377" s="104">
        <f t="shared" si="83"/>
        <v>0.14400000000000002</v>
      </c>
      <c r="F5377" s="5"/>
    </row>
    <row r="5378" spans="2:6" ht="13.8" hidden="1" outlineLevel="1">
      <c r="B5378" s="187">
        <v>30134</v>
      </c>
      <c r="C5378" s="188">
        <v>14.5</v>
      </c>
      <c r="D5378" s="104">
        <f t="shared" si="83"/>
        <v>0.14499999999999999</v>
      </c>
      <c r="F5378" s="5"/>
    </row>
    <row r="5379" spans="2:6" ht="13.8" hidden="1" outlineLevel="1">
      <c r="B5379" s="187">
        <v>30137</v>
      </c>
      <c r="C5379" s="188" t="s">
        <v>380</v>
      </c>
      <c r="D5379" s="104">
        <f t="shared" si="83"/>
        <v>0.14499999999999999</v>
      </c>
      <c r="F5379" s="5"/>
    </row>
    <row r="5380" spans="2:6" ht="13.8" hidden="1" outlineLevel="1">
      <c r="B5380" s="187">
        <v>30138</v>
      </c>
      <c r="C5380" s="188">
        <v>14.48</v>
      </c>
      <c r="D5380" s="104">
        <f t="shared" si="83"/>
        <v>0.14480000000000001</v>
      </c>
      <c r="F5380" s="5"/>
    </row>
    <row r="5381" spans="2:6" ht="13.8" hidden="1" outlineLevel="1">
      <c r="B5381" s="187">
        <v>30139</v>
      </c>
      <c r="C5381" s="188">
        <v>14.49</v>
      </c>
      <c r="D5381" s="104">
        <f t="shared" si="83"/>
        <v>0.1449</v>
      </c>
      <c r="F5381" s="5"/>
    </row>
    <row r="5382" spans="2:6" ht="13.8" hidden="1" outlineLevel="1">
      <c r="B5382" s="187">
        <v>30140</v>
      </c>
      <c r="C5382" s="188">
        <v>14.19</v>
      </c>
      <c r="D5382" s="104">
        <f t="shared" si="83"/>
        <v>0.1419</v>
      </c>
      <c r="F5382" s="5"/>
    </row>
    <row r="5383" spans="2:6" ht="13.8" hidden="1" outlineLevel="1">
      <c r="B5383" s="187">
        <v>30141</v>
      </c>
      <c r="C5383" s="188">
        <v>14.03</v>
      </c>
      <c r="D5383" s="104">
        <f t="shared" si="83"/>
        <v>0.14029999999999998</v>
      </c>
      <c r="F5383" s="5"/>
    </row>
    <row r="5384" spans="2:6" ht="13.8" hidden="1" outlineLevel="1">
      <c r="B5384" s="187">
        <v>30144</v>
      </c>
      <c r="C5384" s="188">
        <v>13.87</v>
      </c>
      <c r="D5384" s="104">
        <f t="shared" si="83"/>
        <v>0.13869999999999999</v>
      </c>
      <c r="F5384" s="5"/>
    </row>
    <row r="5385" spans="2:6" ht="13.8" hidden="1" outlineLevel="1">
      <c r="B5385" s="187">
        <v>30145</v>
      </c>
      <c r="C5385" s="188">
        <v>14.02</v>
      </c>
      <c r="D5385" s="104">
        <f t="shared" si="83"/>
        <v>0.14019999999999999</v>
      </c>
      <c r="F5385" s="5"/>
    </row>
    <row r="5386" spans="2:6" ht="13.8" hidden="1" outlineLevel="1">
      <c r="B5386" s="187">
        <v>30146</v>
      </c>
      <c r="C5386" s="188">
        <v>14.1</v>
      </c>
      <c r="D5386" s="104">
        <f t="shared" si="83"/>
        <v>0.14099999999999999</v>
      </c>
      <c r="F5386" s="5"/>
    </row>
    <row r="5387" spans="2:6" ht="13.8" hidden="1" outlineLevel="1">
      <c r="B5387" s="187">
        <v>30147</v>
      </c>
      <c r="C5387" s="188">
        <v>13.96</v>
      </c>
      <c r="D5387" s="104">
        <f t="shared" si="83"/>
        <v>0.1396</v>
      </c>
      <c r="F5387" s="5"/>
    </row>
    <row r="5388" spans="2:6" ht="13.8" hidden="1" outlineLevel="1">
      <c r="B5388" s="187">
        <v>30148</v>
      </c>
      <c r="C5388" s="188">
        <v>13.7</v>
      </c>
      <c r="D5388" s="104">
        <f t="shared" si="83"/>
        <v>0.13699999999999998</v>
      </c>
      <c r="F5388" s="5"/>
    </row>
    <row r="5389" spans="2:6" ht="13.8" hidden="1" outlineLevel="1">
      <c r="B5389" s="187">
        <v>30151</v>
      </c>
      <c r="C5389" s="188">
        <v>13.68</v>
      </c>
      <c r="D5389" s="104">
        <f t="shared" si="83"/>
        <v>0.1368</v>
      </c>
      <c r="F5389" s="5"/>
    </row>
    <row r="5390" spans="2:6" ht="13.8" hidden="1" outlineLevel="1">
      <c r="B5390" s="187">
        <v>30152</v>
      </c>
      <c r="C5390" s="188">
        <v>13.53</v>
      </c>
      <c r="D5390" s="104">
        <f t="shared" si="83"/>
        <v>0.1353</v>
      </c>
      <c r="F5390" s="5"/>
    </row>
    <row r="5391" spans="2:6" ht="13.8" hidden="1" outlineLevel="1">
      <c r="B5391" s="187">
        <v>30153</v>
      </c>
      <c r="C5391" s="188">
        <v>13.6</v>
      </c>
      <c r="D5391" s="104">
        <f t="shared" si="83"/>
        <v>0.13600000000000001</v>
      </c>
      <c r="F5391" s="5"/>
    </row>
    <row r="5392" spans="2:6" ht="13.8" hidden="1" outlineLevel="1">
      <c r="B5392" s="187">
        <v>30154</v>
      </c>
      <c r="C5392" s="188">
        <v>13.51</v>
      </c>
      <c r="D5392" s="104">
        <f t="shared" si="83"/>
        <v>0.1351</v>
      </c>
      <c r="F5392" s="5"/>
    </row>
    <row r="5393" spans="2:6" ht="13.8" hidden="1" outlineLevel="1">
      <c r="B5393" s="187">
        <v>30155</v>
      </c>
      <c r="C5393" s="188">
        <v>13.56</v>
      </c>
      <c r="D5393" s="104">
        <f t="shared" si="83"/>
        <v>0.1356</v>
      </c>
      <c r="F5393" s="5"/>
    </row>
    <row r="5394" spans="2:6" ht="13.8" hidden="1" outlineLevel="1">
      <c r="B5394" s="187">
        <v>30158</v>
      </c>
      <c r="C5394" s="188">
        <v>13.91</v>
      </c>
      <c r="D5394" s="104">
        <f t="shared" si="83"/>
        <v>0.1391</v>
      </c>
      <c r="F5394" s="5"/>
    </row>
    <row r="5395" spans="2:6" ht="13.8" hidden="1" outlineLevel="1">
      <c r="B5395" s="187">
        <v>30159</v>
      </c>
      <c r="C5395" s="188">
        <v>13.86</v>
      </c>
      <c r="D5395" s="104">
        <f t="shared" si="83"/>
        <v>0.1386</v>
      </c>
      <c r="F5395" s="5"/>
    </row>
    <row r="5396" spans="2:6" ht="13.8" hidden="1" outlineLevel="1">
      <c r="B5396" s="187">
        <v>30160</v>
      </c>
      <c r="C5396" s="188">
        <v>13.97</v>
      </c>
      <c r="D5396" s="104">
        <f t="shared" si="83"/>
        <v>0.13970000000000002</v>
      </c>
      <c r="F5396" s="5"/>
    </row>
    <row r="5397" spans="2:6" ht="13.8" hidden="1" outlineLevel="1">
      <c r="B5397" s="187">
        <v>30161</v>
      </c>
      <c r="C5397" s="188">
        <v>13.83</v>
      </c>
      <c r="D5397" s="104">
        <f t="shared" si="83"/>
        <v>0.13830000000000001</v>
      </c>
      <c r="F5397" s="5"/>
    </row>
    <row r="5398" spans="2:6" ht="13.8" hidden="1" outlineLevel="1">
      <c r="B5398" s="187">
        <v>30162</v>
      </c>
      <c r="C5398" s="188">
        <v>13.68</v>
      </c>
      <c r="D5398" s="104">
        <f t="shared" si="83"/>
        <v>0.1368</v>
      </c>
      <c r="F5398" s="5"/>
    </row>
    <row r="5399" spans="2:6" ht="13.8" hidden="1" outlineLevel="1">
      <c r="B5399" s="187">
        <v>30165</v>
      </c>
      <c r="C5399" s="188">
        <v>13.41</v>
      </c>
      <c r="D5399" s="104">
        <f t="shared" si="83"/>
        <v>0.1341</v>
      </c>
      <c r="F5399" s="5"/>
    </row>
    <row r="5400" spans="2:6" ht="13.8" hidden="1" outlineLevel="1">
      <c r="B5400" s="187">
        <v>30166</v>
      </c>
      <c r="C5400" s="188">
        <v>13.51</v>
      </c>
      <c r="D5400" s="104">
        <f t="shared" si="83"/>
        <v>0.1351</v>
      </c>
      <c r="F5400" s="5"/>
    </row>
    <row r="5401" spans="2:6" ht="13.8" hidden="1" outlineLevel="1">
      <c r="B5401" s="187">
        <v>30167</v>
      </c>
      <c r="C5401" s="188">
        <v>13.68</v>
      </c>
      <c r="D5401" s="104">
        <f t="shared" si="83"/>
        <v>0.1368</v>
      </c>
      <c r="F5401" s="5"/>
    </row>
    <row r="5402" spans="2:6" ht="13.8" hidden="1" outlineLevel="1">
      <c r="B5402" s="187">
        <v>30168</v>
      </c>
      <c r="C5402" s="188">
        <v>13.7</v>
      </c>
      <c r="D5402" s="104">
        <f t="shared" si="83"/>
        <v>0.13699999999999998</v>
      </c>
      <c r="F5402" s="5"/>
    </row>
    <row r="5403" spans="2:6" ht="13.8" hidden="1" outlineLevel="1">
      <c r="B5403" s="187">
        <v>30169</v>
      </c>
      <c r="C5403" s="188">
        <v>13.85</v>
      </c>
      <c r="D5403" s="104">
        <f t="shared" si="83"/>
        <v>0.13849999999999998</v>
      </c>
      <c r="F5403" s="5"/>
    </row>
    <row r="5404" spans="2:6" ht="13.8" hidden="1" outlineLevel="1">
      <c r="B5404" s="187">
        <v>30172</v>
      </c>
      <c r="C5404" s="188">
        <v>13.7</v>
      </c>
      <c r="D5404" s="104">
        <f t="shared" si="83"/>
        <v>0.13699999999999998</v>
      </c>
      <c r="F5404" s="5"/>
    </row>
    <row r="5405" spans="2:6" ht="13.8" hidden="1" outlineLevel="1">
      <c r="B5405" s="187">
        <v>30173</v>
      </c>
      <c r="C5405" s="188">
        <v>13.69</v>
      </c>
      <c r="D5405" s="104">
        <f t="shared" si="83"/>
        <v>0.13689999999999999</v>
      </c>
      <c r="F5405" s="5"/>
    </row>
    <row r="5406" spans="2:6" ht="13.8" hidden="1" outlineLevel="1">
      <c r="B5406" s="187">
        <v>30174</v>
      </c>
      <c r="C5406" s="188">
        <v>13.71</v>
      </c>
      <c r="D5406" s="104">
        <f t="shared" ref="D5406:D5469" si="84">IF( LEN( C5406 ) = 0, #N/A, IF( C5406 = "ND", D5405, C5406 / 100 ) )</f>
        <v>0.1371</v>
      </c>
      <c r="F5406" s="5"/>
    </row>
    <row r="5407" spans="2:6" ht="13.8" hidden="1" outlineLevel="1">
      <c r="B5407" s="187">
        <v>30175</v>
      </c>
      <c r="C5407" s="188">
        <v>13.55</v>
      </c>
      <c r="D5407" s="104">
        <f t="shared" si="84"/>
        <v>0.13550000000000001</v>
      </c>
      <c r="F5407" s="5"/>
    </row>
    <row r="5408" spans="2:6" ht="13.8" hidden="1" outlineLevel="1">
      <c r="B5408" s="187">
        <v>30176</v>
      </c>
      <c r="C5408" s="188">
        <v>13.2</v>
      </c>
      <c r="D5408" s="104">
        <f t="shared" si="84"/>
        <v>0.13200000000000001</v>
      </c>
      <c r="F5408" s="5"/>
    </row>
    <row r="5409" spans="2:6" ht="13.8" hidden="1" outlineLevel="1">
      <c r="B5409" s="187">
        <v>30179</v>
      </c>
      <c r="C5409" s="188">
        <v>13.09</v>
      </c>
      <c r="D5409" s="104">
        <f t="shared" si="84"/>
        <v>0.13089999999999999</v>
      </c>
      <c r="F5409" s="5"/>
    </row>
    <row r="5410" spans="2:6" ht="13.8" hidden="1" outlineLevel="1">
      <c r="B5410" s="187">
        <v>30180</v>
      </c>
      <c r="C5410" s="188">
        <v>12.65</v>
      </c>
      <c r="D5410" s="104">
        <f t="shared" si="84"/>
        <v>0.1265</v>
      </c>
      <c r="F5410" s="5"/>
    </row>
    <row r="5411" spans="2:6" ht="13.8" hidden="1" outlineLevel="1">
      <c r="B5411" s="187">
        <v>30181</v>
      </c>
      <c r="C5411" s="188">
        <v>12.57</v>
      </c>
      <c r="D5411" s="104">
        <f t="shared" si="84"/>
        <v>0.12570000000000001</v>
      </c>
      <c r="F5411" s="5"/>
    </row>
    <row r="5412" spans="2:6" ht="13.8" hidden="1" outlineLevel="1">
      <c r="B5412" s="187">
        <v>30182</v>
      </c>
      <c r="C5412" s="188">
        <v>12.47</v>
      </c>
      <c r="D5412" s="104">
        <f t="shared" si="84"/>
        <v>0.12470000000000001</v>
      </c>
      <c r="F5412" s="5"/>
    </row>
    <row r="5413" spans="2:6" ht="13.8" hidden="1" outlineLevel="1">
      <c r="B5413" s="187">
        <v>30183</v>
      </c>
      <c r="C5413" s="188">
        <v>12.24</v>
      </c>
      <c r="D5413" s="104">
        <f t="shared" si="84"/>
        <v>0.12240000000000001</v>
      </c>
      <c r="F5413" s="5"/>
    </row>
    <row r="5414" spans="2:6" ht="13.8" hidden="1" outlineLevel="1">
      <c r="B5414" s="187">
        <v>30186</v>
      </c>
      <c r="C5414" s="188">
        <v>12.47</v>
      </c>
      <c r="D5414" s="104">
        <f t="shared" si="84"/>
        <v>0.12470000000000001</v>
      </c>
      <c r="F5414" s="5"/>
    </row>
    <row r="5415" spans="2:6" ht="13.8" hidden="1" outlineLevel="1">
      <c r="B5415" s="187">
        <v>30187</v>
      </c>
      <c r="C5415" s="188">
        <v>12.35</v>
      </c>
      <c r="D5415" s="104">
        <f t="shared" si="84"/>
        <v>0.1235</v>
      </c>
      <c r="F5415" s="5"/>
    </row>
    <row r="5416" spans="2:6" ht="13.8" hidden="1" outlineLevel="1">
      <c r="B5416" s="187">
        <v>30188</v>
      </c>
      <c r="C5416" s="188">
        <v>12.43</v>
      </c>
      <c r="D5416" s="104">
        <f t="shared" si="84"/>
        <v>0.12429999999999999</v>
      </c>
      <c r="F5416" s="5"/>
    </row>
    <row r="5417" spans="2:6" ht="13.8" hidden="1" outlineLevel="1">
      <c r="B5417" s="187">
        <v>30189</v>
      </c>
      <c r="C5417" s="188">
        <v>12.55</v>
      </c>
      <c r="D5417" s="104">
        <f t="shared" si="84"/>
        <v>0.1255</v>
      </c>
      <c r="F5417" s="5"/>
    </row>
    <row r="5418" spans="2:6" ht="13.8" hidden="1" outlineLevel="1">
      <c r="B5418" s="187">
        <v>30190</v>
      </c>
      <c r="C5418" s="188">
        <v>12.77</v>
      </c>
      <c r="D5418" s="104">
        <f t="shared" si="84"/>
        <v>0.12770000000000001</v>
      </c>
      <c r="F5418" s="5"/>
    </row>
    <row r="5419" spans="2:6" ht="13.8" hidden="1" outlineLevel="1">
      <c r="B5419" s="187">
        <v>30193</v>
      </c>
      <c r="C5419" s="188">
        <v>12.81</v>
      </c>
      <c r="D5419" s="104">
        <f t="shared" si="84"/>
        <v>0.12809999999999999</v>
      </c>
      <c r="F5419" s="5"/>
    </row>
    <row r="5420" spans="2:6" ht="13.8" hidden="1" outlineLevel="1">
      <c r="B5420" s="187">
        <v>30194</v>
      </c>
      <c r="C5420" s="188">
        <v>12.81</v>
      </c>
      <c r="D5420" s="104">
        <f t="shared" si="84"/>
        <v>0.12809999999999999</v>
      </c>
      <c r="F5420" s="5"/>
    </row>
    <row r="5421" spans="2:6" ht="13.8" hidden="1" outlineLevel="1">
      <c r="B5421" s="187">
        <v>30195</v>
      </c>
      <c r="C5421" s="188">
        <v>12.76</v>
      </c>
      <c r="D5421" s="104">
        <f t="shared" si="84"/>
        <v>0.12759999999999999</v>
      </c>
      <c r="F5421" s="5"/>
    </row>
    <row r="5422" spans="2:6" ht="13.8" hidden="1" outlineLevel="1">
      <c r="B5422" s="187">
        <v>30196</v>
      </c>
      <c r="C5422" s="188">
        <v>12.6</v>
      </c>
      <c r="D5422" s="104">
        <f t="shared" si="84"/>
        <v>0.126</v>
      </c>
      <c r="F5422" s="5"/>
    </row>
    <row r="5423" spans="2:6" ht="13.8" hidden="1" outlineLevel="1">
      <c r="B5423" s="187">
        <v>30197</v>
      </c>
      <c r="C5423" s="188">
        <v>12.47</v>
      </c>
      <c r="D5423" s="104">
        <f t="shared" si="84"/>
        <v>0.12470000000000001</v>
      </c>
      <c r="F5423" s="5"/>
    </row>
    <row r="5424" spans="2:6" ht="13.8" hidden="1" outlineLevel="1">
      <c r="B5424" s="187">
        <v>30200</v>
      </c>
      <c r="C5424" s="188" t="s">
        <v>380</v>
      </c>
      <c r="D5424" s="104">
        <f t="shared" si="84"/>
        <v>0.12470000000000001</v>
      </c>
      <c r="F5424" s="5"/>
    </row>
    <row r="5425" spans="2:6" ht="13.8" hidden="1" outlineLevel="1">
      <c r="B5425" s="187">
        <v>30201</v>
      </c>
      <c r="C5425" s="188">
        <v>12.53</v>
      </c>
      <c r="D5425" s="104">
        <f t="shared" si="84"/>
        <v>0.12529999999999999</v>
      </c>
      <c r="F5425" s="5"/>
    </row>
    <row r="5426" spans="2:6" ht="13.8" hidden="1" outlineLevel="1">
      <c r="B5426" s="187">
        <v>30202</v>
      </c>
      <c r="C5426" s="188">
        <v>12.51</v>
      </c>
      <c r="D5426" s="104">
        <f t="shared" si="84"/>
        <v>0.12509999999999999</v>
      </c>
      <c r="F5426" s="5"/>
    </row>
    <row r="5427" spans="2:6" ht="13.8" hidden="1" outlineLevel="1">
      <c r="B5427" s="187">
        <v>30203</v>
      </c>
      <c r="C5427" s="188">
        <v>12.53</v>
      </c>
      <c r="D5427" s="104">
        <f t="shared" si="84"/>
        <v>0.12529999999999999</v>
      </c>
      <c r="F5427" s="5"/>
    </row>
    <row r="5428" spans="2:6" ht="13.8" hidden="1" outlineLevel="1">
      <c r="B5428" s="187">
        <v>30204</v>
      </c>
      <c r="C5428" s="188">
        <v>12.73</v>
      </c>
      <c r="D5428" s="104">
        <f t="shared" si="84"/>
        <v>0.1273</v>
      </c>
      <c r="F5428" s="5"/>
    </row>
    <row r="5429" spans="2:6" ht="13.8" hidden="1" outlineLevel="1">
      <c r="B5429" s="187">
        <v>30207</v>
      </c>
      <c r="C5429" s="188">
        <v>12.63</v>
      </c>
      <c r="D5429" s="104">
        <f t="shared" si="84"/>
        <v>0.1263</v>
      </c>
      <c r="F5429" s="5"/>
    </row>
    <row r="5430" spans="2:6" ht="13.8" hidden="1" outlineLevel="1">
      <c r="B5430" s="187">
        <v>30208</v>
      </c>
      <c r="C5430" s="188">
        <v>12.56</v>
      </c>
      <c r="D5430" s="104">
        <f t="shared" si="84"/>
        <v>0.12560000000000002</v>
      </c>
      <c r="F5430" s="5"/>
    </row>
    <row r="5431" spans="2:6" ht="13.8" hidden="1" outlineLevel="1">
      <c r="B5431" s="187">
        <v>30209</v>
      </c>
      <c r="C5431" s="188">
        <v>12.6</v>
      </c>
      <c r="D5431" s="104">
        <f t="shared" si="84"/>
        <v>0.126</v>
      </c>
      <c r="F5431" s="5"/>
    </row>
    <row r="5432" spans="2:6" ht="13.8" hidden="1" outlineLevel="1">
      <c r="B5432" s="187">
        <v>30210</v>
      </c>
      <c r="C5432" s="188">
        <v>12.6</v>
      </c>
      <c r="D5432" s="104">
        <f t="shared" si="84"/>
        <v>0.126</v>
      </c>
      <c r="F5432" s="5"/>
    </row>
    <row r="5433" spans="2:6" ht="13.8" hidden="1" outlineLevel="1">
      <c r="B5433" s="187">
        <v>30211</v>
      </c>
      <c r="C5433" s="188">
        <v>12.51</v>
      </c>
      <c r="D5433" s="104">
        <f t="shared" si="84"/>
        <v>0.12509999999999999</v>
      </c>
      <c r="F5433" s="5"/>
    </row>
    <row r="5434" spans="2:6" ht="13.8" hidden="1" outlineLevel="1">
      <c r="B5434" s="187">
        <v>30214</v>
      </c>
      <c r="C5434" s="188">
        <v>12.47</v>
      </c>
      <c r="D5434" s="104">
        <f t="shared" si="84"/>
        <v>0.12470000000000001</v>
      </c>
      <c r="F5434" s="5"/>
    </row>
    <row r="5435" spans="2:6" ht="13.8" hidden="1" outlineLevel="1">
      <c r="B5435" s="187">
        <v>30215</v>
      </c>
      <c r="C5435" s="188">
        <v>12.18</v>
      </c>
      <c r="D5435" s="104">
        <f t="shared" si="84"/>
        <v>0.12179999999999999</v>
      </c>
      <c r="F5435" s="5"/>
    </row>
    <row r="5436" spans="2:6" ht="13.8" hidden="1" outlineLevel="1">
      <c r="B5436" s="187">
        <v>30216</v>
      </c>
      <c r="C5436" s="188">
        <v>12.04</v>
      </c>
      <c r="D5436" s="104">
        <f t="shared" si="84"/>
        <v>0.12039999999999999</v>
      </c>
      <c r="F5436" s="5"/>
    </row>
    <row r="5437" spans="2:6" ht="13.8" hidden="1" outlineLevel="1">
      <c r="B5437" s="187">
        <v>30217</v>
      </c>
      <c r="C5437" s="188">
        <v>11.94</v>
      </c>
      <c r="D5437" s="104">
        <f t="shared" si="84"/>
        <v>0.11939999999999999</v>
      </c>
      <c r="F5437" s="5"/>
    </row>
    <row r="5438" spans="2:6" ht="13.8" hidden="1" outlineLevel="1">
      <c r="B5438" s="187">
        <v>30218</v>
      </c>
      <c r="C5438" s="188">
        <v>12.09</v>
      </c>
      <c r="D5438" s="104">
        <f t="shared" si="84"/>
        <v>0.12089999999999999</v>
      </c>
      <c r="F5438" s="5"/>
    </row>
    <row r="5439" spans="2:6" ht="13.8" hidden="1" outlineLevel="1">
      <c r="B5439" s="187">
        <v>30221</v>
      </c>
      <c r="C5439" s="188">
        <v>11.99</v>
      </c>
      <c r="D5439" s="104">
        <f t="shared" si="84"/>
        <v>0.11990000000000001</v>
      </c>
      <c r="F5439" s="5"/>
    </row>
    <row r="5440" spans="2:6" ht="13.8" hidden="1" outlineLevel="1">
      <c r="B5440" s="187">
        <v>30222</v>
      </c>
      <c r="C5440" s="188">
        <v>11.85</v>
      </c>
      <c r="D5440" s="104">
        <f t="shared" si="84"/>
        <v>0.11849999999999999</v>
      </c>
      <c r="F5440" s="5"/>
    </row>
    <row r="5441" spans="2:6" ht="13.8" hidden="1" outlineLevel="1">
      <c r="B5441" s="187">
        <v>30223</v>
      </c>
      <c r="C5441" s="188">
        <v>11.8</v>
      </c>
      <c r="D5441" s="104">
        <f t="shared" si="84"/>
        <v>0.11800000000000001</v>
      </c>
      <c r="F5441" s="5"/>
    </row>
    <row r="5442" spans="2:6" ht="13.8" hidden="1" outlineLevel="1">
      <c r="B5442" s="187">
        <v>30224</v>
      </c>
      <c r="C5442" s="188">
        <v>11.73</v>
      </c>
      <c r="D5442" s="104">
        <f t="shared" si="84"/>
        <v>0.1173</v>
      </c>
      <c r="F5442" s="5"/>
    </row>
    <row r="5443" spans="2:6" ht="13.8" hidden="1" outlineLevel="1">
      <c r="B5443" s="187">
        <v>30225</v>
      </c>
      <c r="C5443" s="188">
        <v>11.51</v>
      </c>
      <c r="D5443" s="104">
        <f t="shared" si="84"/>
        <v>0.11509999999999999</v>
      </c>
      <c r="F5443" s="5"/>
    </row>
    <row r="5444" spans="2:6" ht="13.8" hidden="1" outlineLevel="1">
      <c r="B5444" s="187">
        <v>30228</v>
      </c>
      <c r="C5444" s="188">
        <v>11.72</v>
      </c>
      <c r="D5444" s="104">
        <f t="shared" si="84"/>
        <v>0.11720000000000001</v>
      </c>
      <c r="F5444" s="5"/>
    </row>
    <row r="5445" spans="2:6" ht="13.8" hidden="1" outlineLevel="1">
      <c r="B5445" s="187">
        <v>30229</v>
      </c>
      <c r="C5445" s="188">
        <v>11.69</v>
      </c>
      <c r="D5445" s="104">
        <f t="shared" si="84"/>
        <v>0.11689999999999999</v>
      </c>
      <c r="F5445" s="5"/>
    </row>
    <row r="5446" spans="2:6" ht="13.8" hidden="1" outlineLevel="1">
      <c r="B5446" s="187">
        <v>30230</v>
      </c>
      <c r="C5446" s="188">
        <v>11.5</v>
      </c>
      <c r="D5446" s="104">
        <f t="shared" si="84"/>
        <v>0.115</v>
      </c>
      <c r="F5446" s="5"/>
    </row>
    <row r="5447" spans="2:6" ht="13.8" hidden="1" outlineLevel="1">
      <c r="B5447" s="187">
        <v>30231</v>
      </c>
      <c r="C5447" s="188">
        <v>10.91</v>
      </c>
      <c r="D5447" s="104">
        <f t="shared" si="84"/>
        <v>0.1091</v>
      </c>
      <c r="F5447" s="5"/>
    </row>
    <row r="5448" spans="2:6" ht="13.8" hidden="1" outlineLevel="1">
      <c r="B5448" s="187">
        <v>30232</v>
      </c>
      <c r="C5448" s="188">
        <v>10.83</v>
      </c>
      <c r="D5448" s="104">
        <f t="shared" si="84"/>
        <v>0.10830000000000001</v>
      </c>
      <c r="F5448" s="5"/>
    </row>
    <row r="5449" spans="2:6" ht="13.8" hidden="1" outlineLevel="1">
      <c r="B5449" s="187">
        <v>30235</v>
      </c>
      <c r="C5449" s="188" t="s">
        <v>380</v>
      </c>
      <c r="D5449" s="104">
        <f t="shared" si="84"/>
        <v>0.10830000000000001</v>
      </c>
      <c r="F5449" s="5"/>
    </row>
    <row r="5450" spans="2:6" ht="13.8" hidden="1" outlineLevel="1">
      <c r="B5450" s="187">
        <v>30236</v>
      </c>
      <c r="C5450" s="188">
        <v>10.53</v>
      </c>
      <c r="D5450" s="104">
        <f t="shared" si="84"/>
        <v>0.10529999999999999</v>
      </c>
      <c r="F5450" s="5"/>
    </row>
    <row r="5451" spans="2:6" ht="13.8" hidden="1" outlineLevel="1">
      <c r="B5451" s="187">
        <v>30237</v>
      </c>
      <c r="C5451" s="188">
        <v>10.39</v>
      </c>
      <c r="D5451" s="104">
        <f t="shared" si="84"/>
        <v>0.10390000000000001</v>
      </c>
      <c r="F5451" s="5"/>
    </row>
    <row r="5452" spans="2:6" ht="13.8" hidden="1" outlineLevel="1">
      <c r="B5452" s="187">
        <v>30238</v>
      </c>
      <c r="C5452" s="188">
        <v>10.61</v>
      </c>
      <c r="D5452" s="104">
        <f t="shared" si="84"/>
        <v>0.1061</v>
      </c>
      <c r="F5452" s="5"/>
    </row>
    <row r="5453" spans="2:6" ht="13.8" hidden="1" outlineLevel="1">
      <c r="B5453" s="187">
        <v>30239</v>
      </c>
      <c r="C5453" s="188">
        <v>10.75</v>
      </c>
      <c r="D5453" s="104">
        <f t="shared" si="84"/>
        <v>0.1075</v>
      </c>
      <c r="F5453" s="5"/>
    </row>
    <row r="5454" spans="2:6" ht="13.8" hidden="1" outlineLevel="1">
      <c r="B5454" s="187">
        <v>30242</v>
      </c>
      <c r="C5454" s="188">
        <v>10.58</v>
      </c>
      <c r="D5454" s="104">
        <f t="shared" si="84"/>
        <v>0.10580000000000001</v>
      </c>
      <c r="F5454" s="5"/>
    </row>
    <row r="5455" spans="2:6" ht="13.8" hidden="1" outlineLevel="1">
      <c r="B5455" s="187">
        <v>30243</v>
      </c>
      <c r="C5455" s="188">
        <v>10.56</v>
      </c>
      <c r="D5455" s="104">
        <f t="shared" si="84"/>
        <v>0.1056</v>
      </c>
      <c r="F5455" s="5"/>
    </row>
    <row r="5456" spans="2:6" ht="13.8" hidden="1" outlineLevel="1">
      <c r="B5456" s="187">
        <v>30244</v>
      </c>
      <c r="C5456" s="188">
        <v>10.69</v>
      </c>
      <c r="D5456" s="104">
        <f t="shared" si="84"/>
        <v>0.1069</v>
      </c>
      <c r="F5456" s="5"/>
    </row>
    <row r="5457" spans="2:6" ht="13.8" hidden="1" outlineLevel="1">
      <c r="B5457" s="187">
        <v>30245</v>
      </c>
      <c r="C5457" s="188">
        <v>10.69</v>
      </c>
      <c r="D5457" s="104">
        <f t="shared" si="84"/>
        <v>0.1069</v>
      </c>
      <c r="F5457" s="5"/>
    </row>
    <row r="5458" spans="2:6" ht="13.8" hidden="1" outlineLevel="1">
      <c r="B5458" s="187">
        <v>30246</v>
      </c>
      <c r="C5458" s="188">
        <v>10.81</v>
      </c>
      <c r="D5458" s="104">
        <f t="shared" si="84"/>
        <v>0.1081</v>
      </c>
      <c r="F5458" s="5"/>
    </row>
    <row r="5459" spans="2:6" ht="13.8" hidden="1" outlineLevel="1">
      <c r="B5459" s="187">
        <v>30249</v>
      </c>
      <c r="C5459" s="188">
        <v>11.11</v>
      </c>
      <c r="D5459" s="104">
        <f t="shared" si="84"/>
        <v>0.11109999999999999</v>
      </c>
      <c r="F5459" s="5"/>
    </row>
    <row r="5460" spans="2:6" ht="13.8" hidden="1" outlineLevel="1">
      <c r="B5460" s="187">
        <v>30250</v>
      </c>
      <c r="C5460" s="188">
        <v>10.87</v>
      </c>
      <c r="D5460" s="104">
        <f t="shared" si="84"/>
        <v>0.10869999999999999</v>
      </c>
      <c r="F5460" s="5"/>
    </row>
    <row r="5461" spans="2:6" ht="13.8" hidden="1" outlineLevel="1">
      <c r="B5461" s="187">
        <v>30251</v>
      </c>
      <c r="C5461" s="188">
        <v>10.9</v>
      </c>
      <c r="D5461" s="104">
        <f t="shared" si="84"/>
        <v>0.109</v>
      </c>
      <c r="F5461" s="5"/>
    </row>
    <row r="5462" spans="2:6" ht="13.8" hidden="1" outlineLevel="1">
      <c r="B5462" s="187">
        <v>30252</v>
      </c>
      <c r="C5462" s="188">
        <v>10.77</v>
      </c>
      <c r="D5462" s="104">
        <f t="shared" si="84"/>
        <v>0.10769999999999999</v>
      </c>
      <c r="F5462" s="5"/>
    </row>
    <row r="5463" spans="2:6" ht="13.8" hidden="1" outlineLevel="1">
      <c r="B5463" s="187">
        <v>30253</v>
      </c>
      <c r="C5463" s="188">
        <v>10.71</v>
      </c>
      <c r="D5463" s="104">
        <f t="shared" si="84"/>
        <v>0.10710000000000001</v>
      </c>
      <c r="F5463" s="5"/>
    </row>
    <row r="5464" spans="2:6" ht="13.8" hidden="1" outlineLevel="1">
      <c r="B5464" s="187">
        <v>30256</v>
      </c>
      <c r="C5464" s="188">
        <v>10.56</v>
      </c>
      <c r="D5464" s="104">
        <f t="shared" si="84"/>
        <v>0.1056</v>
      </c>
      <c r="F5464" s="5"/>
    </row>
    <row r="5465" spans="2:6" ht="13.8" hidden="1" outlineLevel="1">
      <c r="B5465" s="187">
        <v>30257</v>
      </c>
      <c r="C5465" s="188" t="s">
        <v>380</v>
      </c>
      <c r="D5465" s="104">
        <f t="shared" si="84"/>
        <v>0.1056</v>
      </c>
      <c r="F5465" s="5"/>
    </row>
    <row r="5466" spans="2:6" ht="13.8" hidden="1" outlineLevel="1">
      <c r="B5466" s="187">
        <v>30258</v>
      </c>
      <c r="C5466" s="188">
        <v>10.46</v>
      </c>
      <c r="D5466" s="104">
        <f t="shared" si="84"/>
        <v>0.10460000000000001</v>
      </c>
      <c r="F5466" s="5"/>
    </row>
    <row r="5467" spans="2:6" ht="13.8" hidden="1" outlineLevel="1">
      <c r="B5467" s="187">
        <v>30259</v>
      </c>
      <c r="C5467" s="188">
        <v>10.42</v>
      </c>
      <c r="D5467" s="104">
        <f t="shared" si="84"/>
        <v>0.1042</v>
      </c>
      <c r="F5467" s="5"/>
    </row>
    <row r="5468" spans="2:6" ht="13.8" hidden="1" outlineLevel="1">
      <c r="B5468" s="187">
        <v>30260</v>
      </c>
      <c r="C5468" s="188">
        <v>10.48</v>
      </c>
      <c r="D5468" s="104">
        <f t="shared" si="84"/>
        <v>0.1048</v>
      </c>
      <c r="F5468" s="5"/>
    </row>
    <row r="5469" spans="2:6" ht="13.8" hidden="1" outlineLevel="1">
      <c r="B5469" s="187">
        <v>30263</v>
      </c>
      <c r="C5469" s="188">
        <v>10.55</v>
      </c>
      <c r="D5469" s="104">
        <f t="shared" si="84"/>
        <v>0.10550000000000001</v>
      </c>
      <c r="F5469" s="5"/>
    </row>
    <row r="5470" spans="2:6" ht="13.8" hidden="1" outlineLevel="1">
      <c r="B5470" s="187">
        <v>30264</v>
      </c>
      <c r="C5470" s="188">
        <v>10.51</v>
      </c>
      <c r="D5470" s="104">
        <f t="shared" ref="D5470:D5533" si="85">IF( LEN( C5470 ) = 0, #N/A, IF( C5470 = "ND", D5469, C5470 / 100 ) )</f>
        <v>0.1051</v>
      </c>
      <c r="F5470" s="5"/>
    </row>
    <row r="5471" spans="2:6" ht="13.8" hidden="1" outlineLevel="1">
      <c r="B5471" s="187">
        <v>30265</v>
      </c>
      <c r="C5471" s="188">
        <v>10.48</v>
      </c>
      <c r="D5471" s="104">
        <f t="shared" si="85"/>
        <v>0.1048</v>
      </c>
      <c r="F5471" s="5"/>
    </row>
    <row r="5472" spans="2:6" ht="13.8" hidden="1" outlineLevel="1">
      <c r="B5472" s="187">
        <v>30266</v>
      </c>
      <c r="C5472" s="188" t="s">
        <v>380</v>
      </c>
      <c r="D5472" s="104">
        <f t="shared" si="85"/>
        <v>0.1048</v>
      </c>
      <c r="F5472" s="5"/>
    </row>
    <row r="5473" spans="2:6" ht="13.8" hidden="1" outlineLevel="1">
      <c r="B5473" s="187">
        <v>30267</v>
      </c>
      <c r="C5473" s="188">
        <v>10.58</v>
      </c>
      <c r="D5473" s="104">
        <f t="shared" si="85"/>
        <v>0.10580000000000001</v>
      </c>
      <c r="F5473" s="5"/>
    </row>
    <row r="5474" spans="2:6" ht="13.8" hidden="1" outlineLevel="1">
      <c r="B5474" s="187">
        <v>30270</v>
      </c>
      <c r="C5474" s="188">
        <v>10.65</v>
      </c>
      <c r="D5474" s="104">
        <f t="shared" si="85"/>
        <v>0.1065</v>
      </c>
      <c r="F5474" s="5"/>
    </row>
    <row r="5475" spans="2:6" ht="13.8" hidden="1" outlineLevel="1">
      <c r="B5475" s="187">
        <v>30271</v>
      </c>
      <c r="C5475" s="188">
        <v>10.67</v>
      </c>
      <c r="D5475" s="104">
        <f t="shared" si="85"/>
        <v>0.1067</v>
      </c>
      <c r="F5475" s="5"/>
    </row>
    <row r="5476" spans="2:6" ht="13.8" hidden="1" outlineLevel="1">
      <c r="B5476" s="187">
        <v>30272</v>
      </c>
      <c r="C5476" s="188">
        <v>10.59</v>
      </c>
      <c r="D5476" s="104">
        <f t="shared" si="85"/>
        <v>0.10589999999999999</v>
      </c>
      <c r="F5476" s="5"/>
    </row>
    <row r="5477" spans="2:6" ht="13.8" hidden="1" outlineLevel="1">
      <c r="B5477" s="187">
        <v>30273</v>
      </c>
      <c r="C5477" s="188">
        <v>10.46</v>
      </c>
      <c r="D5477" s="104">
        <f t="shared" si="85"/>
        <v>0.10460000000000001</v>
      </c>
      <c r="F5477" s="5"/>
    </row>
    <row r="5478" spans="2:6" ht="13.8" hidden="1" outlineLevel="1">
      <c r="B5478" s="187">
        <v>30274</v>
      </c>
      <c r="C5478" s="188">
        <v>10.42</v>
      </c>
      <c r="D5478" s="104">
        <f t="shared" si="85"/>
        <v>0.1042</v>
      </c>
      <c r="F5478" s="5"/>
    </row>
    <row r="5479" spans="2:6" ht="13.8" hidden="1" outlineLevel="1">
      <c r="B5479" s="187">
        <v>30277</v>
      </c>
      <c r="C5479" s="188">
        <v>10.43</v>
      </c>
      <c r="D5479" s="104">
        <f t="shared" si="85"/>
        <v>0.1043</v>
      </c>
      <c r="F5479" s="5"/>
    </row>
    <row r="5480" spans="2:6" ht="13.8" hidden="1" outlineLevel="1">
      <c r="B5480" s="187">
        <v>30278</v>
      </c>
      <c r="C5480" s="188">
        <v>10.53</v>
      </c>
      <c r="D5480" s="104">
        <f t="shared" si="85"/>
        <v>0.10529999999999999</v>
      </c>
      <c r="F5480" s="5"/>
    </row>
    <row r="5481" spans="2:6" ht="13.8" hidden="1" outlineLevel="1">
      <c r="B5481" s="187">
        <v>30279</v>
      </c>
      <c r="C5481" s="188">
        <v>10.59</v>
      </c>
      <c r="D5481" s="104">
        <f t="shared" si="85"/>
        <v>0.10589999999999999</v>
      </c>
      <c r="F5481" s="5"/>
    </row>
    <row r="5482" spans="2:6" ht="13.8" hidden="1" outlineLevel="1">
      <c r="B5482" s="187">
        <v>30280</v>
      </c>
      <c r="C5482" s="188" t="s">
        <v>380</v>
      </c>
      <c r="D5482" s="104">
        <f t="shared" si="85"/>
        <v>0.10589999999999999</v>
      </c>
      <c r="F5482" s="5"/>
    </row>
    <row r="5483" spans="2:6" ht="13.8" hidden="1" outlineLevel="1">
      <c r="B5483" s="187">
        <v>30281</v>
      </c>
      <c r="C5483" s="188">
        <v>10.51</v>
      </c>
      <c r="D5483" s="104">
        <f t="shared" si="85"/>
        <v>0.1051</v>
      </c>
      <c r="F5483" s="5"/>
    </row>
    <row r="5484" spans="2:6" ht="13.8" hidden="1" outlineLevel="1">
      <c r="B5484" s="187">
        <v>30284</v>
      </c>
      <c r="C5484" s="188">
        <v>10.78</v>
      </c>
      <c r="D5484" s="104">
        <f t="shared" si="85"/>
        <v>0.10779999999999999</v>
      </c>
      <c r="F5484" s="5"/>
    </row>
    <row r="5485" spans="2:6" ht="13.8" hidden="1" outlineLevel="1">
      <c r="B5485" s="187">
        <v>30285</v>
      </c>
      <c r="C5485" s="188">
        <v>10.79</v>
      </c>
      <c r="D5485" s="104">
        <f t="shared" si="85"/>
        <v>0.1079</v>
      </c>
      <c r="F5485" s="5"/>
    </row>
    <row r="5486" spans="2:6" ht="13.8" hidden="1" outlineLevel="1">
      <c r="B5486" s="187">
        <v>30286</v>
      </c>
      <c r="C5486" s="188">
        <v>10.74</v>
      </c>
      <c r="D5486" s="104">
        <f t="shared" si="85"/>
        <v>0.1074</v>
      </c>
      <c r="F5486" s="5"/>
    </row>
    <row r="5487" spans="2:6" ht="13.8" hidden="1" outlineLevel="1">
      <c r="B5487" s="187">
        <v>30287</v>
      </c>
      <c r="C5487" s="188">
        <v>10.68</v>
      </c>
      <c r="D5487" s="104">
        <f t="shared" si="85"/>
        <v>0.10679999999999999</v>
      </c>
      <c r="F5487" s="5"/>
    </row>
    <row r="5488" spans="2:6" ht="13.8" hidden="1" outlineLevel="1">
      <c r="B5488" s="187">
        <v>30288</v>
      </c>
      <c r="C5488" s="188">
        <v>10.47</v>
      </c>
      <c r="D5488" s="104">
        <f t="shared" si="85"/>
        <v>0.1047</v>
      </c>
      <c r="F5488" s="5"/>
    </row>
    <row r="5489" spans="2:6" ht="13.8" hidden="1" outlineLevel="1">
      <c r="B5489" s="187">
        <v>30291</v>
      </c>
      <c r="C5489" s="188">
        <v>10.46</v>
      </c>
      <c r="D5489" s="104">
        <f t="shared" si="85"/>
        <v>0.10460000000000001</v>
      </c>
      <c r="F5489" s="5"/>
    </row>
    <row r="5490" spans="2:6" ht="13.8" hidden="1" outlineLevel="1">
      <c r="B5490" s="187">
        <v>30292</v>
      </c>
      <c r="C5490" s="188">
        <v>10.48</v>
      </c>
      <c r="D5490" s="104">
        <f t="shared" si="85"/>
        <v>0.1048</v>
      </c>
      <c r="F5490" s="5"/>
    </row>
    <row r="5491" spans="2:6" ht="13.8" hidden="1" outlineLevel="1">
      <c r="B5491" s="187">
        <v>30293</v>
      </c>
      <c r="C5491" s="188">
        <v>10.62</v>
      </c>
      <c r="D5491" s="104">
        <f t="shared" si="85"/>
        <v>0.10619999999999999</v>
      </c>
      <c r="F5491" s="5"/>
    </row>
    <row r="5492" spans="2:6" ht="13.8" hidden="1" outlineLevel="1">
      <c r="B5492" s="187">
        <v>30294</v>
      </c>
      <c r="C5492" s="188">
        <v>10.58</v>
      </c>
      <c r="D5492" s="104">
        <f t="shared" si="85"/>
        <v>0.10580000000000001</v>
      </c>
      <c r="F5492" s="5"/>
    </row>
    <row r="5493" spans="2:6" ht="13.8" hidden="1" outlineLevel="1">
      <c r="B5493" s="187">
        <v>30295</v>
      </c>
      <c r="C5493" s="188">
        <v>10.66</v>
      </c>
      <c r="D5493" s="104">
        <f t="shared" si="85"/>
        <v>0.1066</v>
      </c>
      <c r="F5493" s="5"/>
    </row>
    <row r="5494" spans="2:6" ht="13.8" hidden="1" outlineLevel="1">
      <c r="B5494" s="187">
        <v>30298</v>
      </c>
      <c r="C5494" s="188">
        <v>10.61</v>
      </c>
      <c r="D5494" s="104">
        <f t="shared" si="85"/>
        <v>0.1061</v>
      </c>
      <c r="F5494" s="5"/>
    </row>
    <row r="5495" spans="2:6" ht="13.8" hidden="1" outlineLevel="1">
      <c r="B5495" s="187">
        <v>30299</v>
      </c>
      <c r="C5495" s="188">
        <v>10.46</v>
      </c>
      <c r="D5495" s="104">
        <f t="shared" si="85"/>
        <v>0.10460000000000001</v>
      </c>
      <c r="F5495" s="5"/>
    </row>
    <row r="5496" spans="2:6" ht="13.8" hidden="1" outlineLevel="1">
      <c r="B5496" s="187">
        <v>30300</v>
      </c>
      <c r="C5496" s="188">
        <v>10.5</v>
      </c>
      <c r="D5496" s="104">
        <f t="shared" si="85"/>
        <v>0.105</v>
      </c>
      <c r="F5496" s="5"/>
    </row>
    <row r="5497" spans="2:6" ht="13.8" hidden="1" outlineLevel="1">
      <c r="B5497" s="187">
        <v>30301</v>
      </c>
      <c r="C5497" s="188">
        <v>10.59</v>
      </c>
      <c r="D5497" s="104">
        <f t="shared" si="85"/>
        <v>0.10589999999999999</v>
      </c>
      <c r="F5497" s="5"/>
    </row>
    <row r="5498" spans="2:6" ht="13.8" hidden="1" outlineLevel="1">
      <c r="B5498" s="187">
        <v>30302</v>
      </c>
      <c r="C5498" s="188">
        <v>10.64</v>
      </c>
      <c r="D5498" s="104">
        <f t="shared" si="85"/>
        <v>0.10640000000000001</v>
      </c>
      <c r="F5498" s="5"/>
    </row>
    <row r="5499" spans="2:6" ht="13.8" hidden="1" outlineLevel="1">
      <c r="B5499" s="187">
        <v>30305</v>
      </c>
      <c r="C5499" s="188">
        <v>10.7</v>
      </c>
      <c r="D5499" s="104">
        <f t="shared" si="85"/>
        <v>0.107</v>
      </c>
      <c r="F5499" s="5"/>
    </row>
    <row r="5500" spans="2:6" ht="13.8" hidden="1" outlineLevel="1">
      <c r="B5500" s="187">
        <v>30306</v>
      </c>
      <c r="C5500" s="188">
        <v>10.54</v>
      </c>
      <c r="D5500" s="104">
        <f t="shared" si="85"/>
        <v>0.10539999999999999</v>
      </c>
      <c r="F5500" s="5"/>
    </row>
    <row r="5501" spans="2:6" ht="13.8" hidden="1" outlineLevel="1">
      <c r="B5501" s="187">
        <v>30307</v>
      </c>
      <c r="C5501" s="188">
        <v>10.53</v>
      </c>
      <c r="D5501" s="104">
        <f t="shared" si="85"/>
        <v>0.10529999999999999</v>
      </c>
      <c r="F5501" s="5"/>
    </row>
    <row r="5502" spans="2:6" ht="13.8" hidden="1" outlineLevel="1">
      <c r="B5502" s="187">
        <v>30308</v>
      </c>
      <c r="C5502" s="188">
        <v>10.47</v>
      </c>
      <c r="D5502" s="104">
        <f t="shared" si="85"/>
        <v>0.1047</v>
      </c>
      <c r="F5502" s="5"/>
    </row>
    <row r="5503" spans="2:6" ht="13.8" hidden="1" outlineLevel="1">
      <c r="B5503" s="187">
        <v>30309</v>
      </c>
      <c r="C5503" s="188" t="s">
        <v>380</v>
      </c>
      <c r="D5503" s="104">
        <f t="shared" si="85"/>
        <v>0.1047</v>
      </c>
      <c r="F5503" s="5"/>
    </row>
    <row r="5504" spans="2:6" ht="13.8" hidden="1" outlineLevel="1">
      <c r="B5504" s="187">
        <v>30312</v>
      </c>
      <c r="C5504" s="188">
        <v>10.44</v>
      </c>
      <c r="D5504" s="104">
        <f t="shared" si="85"/>
        <v>0.10439999999999999</v>
      </c>
      <c r="F5504" s="5"/>
    </row>
    <row r="5505" spans="2:6" ht="13.8" hidden="1" outlineLevel="1">
      <c r="B5505" s="187">
        <v>30313</v>
      </c>
      <c r="C5505" s="188">
        <v>10.44</v>
      </c>
      <c r="D5505" s="104">
        <f t="shared" si="85"/>
        <v>0.10439999999999999</v>
      </c>
      <c r="F5505" s="5"/>
    </row>
    <row r="5506" spans="2:6" ht="13.8" hidden="1" outlineLevel="1">
      <c r="B5506" s="187">
        <v>30314</v>
      </c>
      <c r="C5506" s="188">
        <v>10.47</v>
      </c>
      <c r="D5506" s="104">
        <f t="shared" si="85"/>
        <v>0.1047</v>
      </c>
      <c r="F5506" s="5"/>
    </row>
    <row r="5507" spans="2:6" ht="13.8" hidden="1" outlineLevel="1">
      <c r="B5507" s="187">
        <v>30315</v>
      </c>
      <c r="C5507" s="188">
        <v>10.44</v>
      </c>
      <c r="D5507" s="104">
        <f t="shared" si="85"/>
        <v>0.10439999999999999</v>
      </c>
      <c r="F5507" s="5"/>
    </row>
    <row r="5508" spans="2:6" ht="13.8" hidden="1" outlineLevel="1">
      <c r="B5508" s="187">
        <v>30316</v>
      </c>
      <c r="C5508" s="188">
        <v>10.36</v>
      </c>
      <c r="D5508" s="104">
        <f t="shared" si="85"/>
        <v>0.1036</v>
      </c>
      <c r="F5508" s="5"/>
    </row>
    <row r="5509" spans="2:6" ht="13.8" hidden="1" outlineLevel="1">
      <c r="B5509" s="187">
        <v>30319</v>
      </c>
      <c r="C5509" s="188">
        <v>10.32</v>
      </c>
      <c r="D5509" s="104">
        <f t="shared" si="85"/>
        <v>0.1032</v>
      </c>
      <c r="F5509" s="5"/>
    </row>
    <row r="5510" spans="2:6" ht="13.8" hidden="1" outlineLevel="1">
      <c r="B5510" s="187">
        <v>30320</v>
      </c>
      <c r="C5510" s="188">
        <v>10.37</v>
      </c>
      <c r="D5510" s="104">
        <f t="shared" si="85"/>
        <v>0.10369999999999999</v>
      </c>
      <c r="F5510" s="5"/>
    </row>
    <row r="5511" spans="2:6" ht="13.8" hidden="1" outlineLevel="1">
      <c r="B5511" s="187">
        <v>30321</v>
      </c>
      <c r="C5511" s="188">
        <v>10.35</v>
      </c>
      <c r="D5511" s="104">
        <f t="shared" si="85"/>
        <v>0.10349999999999999</v>
      </c>
      <c r="F5511" s="5"/>
    </row>
    <row r="5512" spans="2:6" ht="13.8" hidden="1" outlineLevel="1">
      <c r="B5512" s="187">
        <v>30322</v>
      </c>
      <c r="C5512" s="188">
        <v>10.39</v>
      </c>
      <c r="D5512" s="104">
        <f t="shared" si="85"/>
        <v>0.10390000000000001</v>
      </c>
      <c r="F5512" s="5"/>
    </row>
    <row r="5513" spans="2:6" ht="13.8" hidden="1" outlineLevel="1">
      <c r="B5513" s="187">
        <v>30323</v>
      </c>
      <c r="C5513" s="188">
        <v>10.36</v>
      </c>
      <c r="D5513" s="104">
        <f t="shared" si="85"/>
        <v>0.1036</v>
      </c>
      <c r="F5513" s="5"/>
    </row>
    <row r="5514" spans="2:6" ht="13.8" hidden="1" outlineLevel="1">
      <c r="B5514" s="187">
        <v>30326</v>
      </c>
      <c r="C5514" s="188">
        <v>10.38</v>
      </c>
      <c r="D5514" s="104">
        <f t="shared" si="85"/>
        <v>0.1038</v>
      </c>
      <c r="F5514" s="5"/>
    </row>
    <row r="5515" spans="2:6" ht="13.8" hidden="1" outlineLevel="1">
      <c r="B5515" s="187">
        <v>30327</v>
      </c>
      <c r="C5515" s="188">
        <v>10.34</v>
      </c>
      <c r="D5515" s="104">
        <f t="shared" si="85"/>
        <v>0.10339999999999999</v>
      </c>
      <c r="F5515" s="5"/>
    </row>
    <row r="5516" spans="2:6" ht="13.8" hidden="1" outlineLevel="1">
      <c r="B5516" s="187">
        <v>30328</v>
      </c>
      <c r="C5516" s="188">
        <v>10.32</v>
      </c>
      <c r="D5516" s="104">
        <f t="shared" si="85"/>
        <v>0.1032</v>
      </c>
      <c r="F5516" s="5"/>
    </row>
    <row r="5517" spans="2:6" ht="13.8" hidden="1" outlineLevel="1">
      <c r="B5517" s="187">
        <v>30329</v>
      </c>
      <c r="C5517" s="188">
        <v>10.27</v>
      </c>
      <c r="D5517" s="104">
        <f t="shared" si="85"/>
        <v>0.1027</v>
      </c>
      <c r="F5517" s="5"/>
    </row>
    <row r="5518" spans="2:6" ht="13.8" hidden="1" outlineLevel="1">
      <c r="B5518" s="187">
        <v>30330</v>
      </c>
      <c r="C5518" s="188">
        <v>10.28</v>
      </c>
      <c r="D5518" s="104">
        <f t="shared" si="85"/>
        <v>0.10279999999999999</v>
      </c>
      <c r="F5518" s="5"/>
    </row>
    <row r="5519" spans="2:6" ht="13.8" hidden="1" outlineLevel="1">
      <c r="B5519" s="187">
        <v>30333</v>
      </c>
      <c r="C5519" s="188">
        <v>10.28</v>
      </c>
      <c r="D5519" s="104">
        <f t="shared" si="85"/>
        <v>0.10279999999999999</v>
      </c>
      <c r="F5519" s="5"/>
    </row>
    <row r="5520" spans="2:6" ht="13.8" hidden="1" outlineLevel="1">
      <c r="B5520" s="187">
        <v>30334</v>
      </c>
      <c r="C5520" s="188">
        <v>10.3</v>
      </c>
      <c r="D5520" s="104">
        <f t="shared" si="85"/>
        <v>0.10300000000000001</v>
      </c>
      <c r="F5520" s="5"/>
    </row>
    <row r="5521" spans="2:6" ht="13.8" hidden="1" outlineLevel="1">
      <c r="B5521" s="187">
        <v>30335</v>
      </c>
      <c r="C5521" s="188">
        <v>10.41</v>
      </c>
      <c r="D5521" s="104">
        <f t="shared" si="85"/>
        <v>0.1041</v>
      </c>
      <c r="F5521" s="5"/>
    </row>
    <row r="5522" spans="2:6" ht="13.8" hidden="1" outlineLevel="1">
      <c r="B5522" s="187">
        <v>30336</v>
      </c>
      <c r="C5522" s="188">
        <v>10.43</v>
      </c>
      <c r="D5522" s="104">
        <f t="shared" si="85"/>
        <v>0.1043</v>
      </c>
      <c r="F5522" s="5"/>
    </row>
    <row r="5523" spans="2:6" ht="13.8" hidden="1" outlineLevel="1">
      <c r="B5523" s="187">
        <v>30337</v>
      </c>
      <c r="C5523" s="188">
        <v>10.61</v>
      </c>
      <c r="D5523" s="104">
        <f t="shared" si="85"/>
        <v>0.1061</v>
      </c>
      <c r="F5523" s="5"/>
    </row>
    <row r="5524" spans="2:6" ht="13.8" hidden="1" outlineLevel="1">
      <c r="B5524" s="187">
        <v>30340</v>
      </c>
      <c r="C5524" s="188">
        <v>10.7</v>
      </c>
      <c r="D5524" s="104">
        <f t="shared" si="85"/>
        <v>0.107</v>
      </c>
      <c r="F5524" s="5"/>
    </row>
    <row r="5525" spans="2:6" ht="13.8" hidden="1" outlineLevel="1">
      <c r="B5525" s="187">
        <v>30341</v>
      </c>
      <c r="C5525" s="188">
        <v>10.62</v>
      </c>
      <c r="D5525" s="104">
        <f t="shared" si="85"/>
        <v>0.10619999999999999</v>
      </c>
      <c r="F5525" s="5"/>
    </row>
    <row r="5526" spans="2:6" ht="13.8" hidden="1" outlineLevel="1">
      <c r="B5526" s="187">
        <v>30342</v>
      </c>
      <c r="C5526" s="188">
        <v>10.69</v>
      </c>
      <c r="D5526" s="104">
        <f t="shared" si="85"/>
        <v>0.1069</v>
      </c>
      <c r="F5526" s="5"/>
    </row>
    <row r="5527" spans="2:6" ht="13.8" hidden="1" outlineLevel="1">
      <c r="B5527" s="187">
        <v>30343</v>
      </c>
      <c r="C5527" s="188">
        <v>10.67</v>
      </c>
      <c r="D5527" s="104">
        <f t="shared" si="85"/>
        <v>0.1067</v>
      </c>
      <c r="F5527" s="5"/>
    </row>
    <row r="5528" spans="2:6" ht="13.8" hidden="1" outlineLevel="1">
      <c r="B5528" s="187">
        <v>30344</v>
      </c>
      <c r="C5528" s="188">
        <v>10.71</v>
      </c>
      <c r="D5528" s="104">
        <f t="shared" si="85"/>
        <v>0.10710000000000001</v>
      </c>
      <c r="F5528" s="5"/>
    </row>
    <row r="5529" spans="2:6" ht="13.8" hidden="1" outlineLevel="1">
      <c r="B5529" s="187">
        <v>30347</v>
      </c>
      <c r="C5529" s="188">
        <v>10.8</v>
      </c>
      <c r="D5529" s="104">
        <f t="shared" si="85"/>
        <v>0.10800000000000001</v>
      </c>
      <c r="F5529" s="5"/>
    </row>
    <row r="5530" spans="2:6" ht="13.8" hidden="1" outlineLevel="1">
      <c r="B5530" s="187">
        <v>30348</v>
      </c>
      <c r="C5530" s="188">
        <v>10.78</v>
      </c>
      <c r="D5530" s="104">
        <f t="shared" si="85"/>
        <v>0.10779999999999999</v>
      </c>
      <c r="F5530" s="5"/>
    </row>
    <row r="5531" spans="2:6" ht="13.8" hidden="1" outlineLevel="1">
      <c r="B5531" s="187">
        <v>30349</v>
      </c>
      <c r="C5531" s="188">
        <v>10.88</v>
      </c>
      <c r="D5531" s="104">
        <f t="shared" si="85"/>
        <v>0.10880000000000001</v>
      </c>
      <c r="F5531" s="5"/>
    </row>
    <row r="5532" spans="2:6" ht="13.8" hidden="1" outlineLevel="1">
      <c r="B5532" s="187">
        <v>30350</v>
      </c>
      <c r="C5532" s="188">
        <v>10.93</v>
      </c>
      <c r="D5532" s="104">
        <f t="shared" si="85"/>
        <v>0.10929999999999999</v>
      </c>
      <c r="F5532" s="5"/>
    </row>
    <row r="5533" spans="2:6" ht="13.8" hidden="1" outlineLevel="1">
      <c r="B5533" s="187">
        <v>30351</v>
      </c>
      <c r="C5533" s="188">
        <v>10.99</v>
      </c>
      <c r="D5533" s="104">
        <f t="shared" si="85"/>
        <v>0.1099</v>
      </c>
      <c r="F5533" s="5"/>
    </row>
    <row r="5534" spans="2:6" ht="13.8" hidden="1" outlineLevel="1">
      <c r="B5534" s="187">
        <v>30354</v>
      </c>
      <c r="C5534" s="188">
        <v>10.96</v>
      </c>
      <c r="D5534" s="104">
        <f t="shared" ref="D5534:D5597" si="86">IF( LEN( C5534 ) = 0, #N/A, IF( C5534 = "ND", D5533, C5534 / 100 ) )</f>
        <v>0.1096</v>
      </c>
      <c r="F5534" s="5"/>
    </row>
    <row r="5535" spans="2:6" ht="13.8" hidden="1" outlineLevel="1">
      <c r="B5535" s="187">
        <v>30355</v>
      </c>
      <c r="C5535" s="188">
        <v>10.99</v>
      </c>
      <c r="D5535" s="104">
        <f t="shared" si="86"/>
        <v>0.1099</v>
      </c>
      <c r="F5535" s="5"/>
    </row>
    <row r="5536" spans="2:6" ht="13.8" hidden="1" outlineLevel="1">
      <c r="B5536" s="187">
        <v>30356</v>
      </c>
      <c r="C5536" s="188">
        <v>11</v>
      </c>
      <c r="D5536" s="104">
        <f t="shared" si="86"/>
        <v>0.11</v>
      </c>
      <c r="F5536" s="5"/>
    </row>
    <row r="5537" spans="2:6" ht="13.8" hidden="1" outlineLevel="1">
      <c r="B5537" s="187">
        <v>30357</v>
      </c>
      <c r="C5537" s="188">
        <v>10.83</v>
      </c>
      <c r="D5537" s="104">
        <f t="shared" si="86"/>
        <v>0.10830000000000001</v>
      </c>
      <c r="F5537" s="5"/>
    </row>
    <row r="5538" spans="2:6" ht="13.8" hidden="1" outlineLevel="1">
      <c r="B5538" s="187">
        <v>30358</v>
      </c>
      <c r="C5538" s="188">
        <v>10.8</v>
      </c>
      <c r="D5538" s="104">
        <f t="shared" si="86"/>
        <v>0.10800000000000001</v>
      </c>
      <c r="F5538" s="5"/>
    </row>
    <row r="5539" spans="2:6" ht="13.8" hidden="1" outlineLevel="1">
      <c r="B5539" s="187">
        <v>30361</v>
      </c>
      <c r="C5539" s="188">
        <v>10.8</v>
      </c>
      <c r="D5539" s="104">
        <f t="shared" si="86"/>
        <v>0.10800000000000001</v>
      </c>
      <c r="F5539" s="5"/>
    </row>
    <row r="5540" spans="2:6" ht="13.8" hidden="1" outlineLevel="1">
      <c r="B5540" s="187">
        <v>30362</v>
      </c>
      <c r="C5540" s="188">
        <v>10.84</v>
      </c>
      <c r="D5540" s="104">
        <f t="shared" si="86"/>
        <v>0.1084</v>
      </c>
      <c r="F5540" s="5"/>
    </row>
    <row r="5541" spans="2:6" ht="13.8" hidden="1" outlineLevel="1">
      <c r="B5541" s="187">
        <v>30363</v>
      </c>
      <c r="C5541" s="188">
        <v>10.81</v>
      </c>
      <c r="D5541" s="104">
        <f t="shared" si="86"/>
        <v>0.1081</v>
      </c>
      <c r="F5541" s="5"/>
    </row>
    <row r="5542" spans="2:6" ht="13.8" hidden="1" outlineLevel="1">
      <c r="B5542" s="187">
        <v>30364</v>
      </c>
      <c r="C5542" s="188">
        <v>10.71</v>
      </c>
      <c r="D5542" s="104">
        <f t="shared" si="86"/>
        <v>0.10710000000000001</v>
      </c>
      <c r="F5542" s="5"/>
    </row>
    <row r="5543" spans="2:6" ht="13.8" hidden="1" outlineLevel="1">
      <c r="B5543" s="187">
        <v>30365</v>
      </c>
      <c r="C5543" s="188">
        <v>10.6</v>
      </c>
      <c r="D5543" s="104">
        <f t="shared" si="86"/>
        <v>0.106</v>
      </c>
      <c r="F5543" s="5"/>
    </row>
    <row r="5544" spans="2:6" ht="13.8" hidden="1" outlineLevel="1">
      <c r="B5544" s="187">
        <v>30368</v>
      </c>
      <c r="C5544" s="188" t="s">
        <v>380</v>
      </c>
      <c r="D5544" s="104">
        <f t="shared" si="86"/>
        <v>0.106</v>
      </c>
      <c r="F5544" s="5"/>
    </row>
    <row r="5545" spans="2:6" ht="13.8" hidden="1" outlineLevel="1">
      <c r="B5545" s="187">
        <v>30369</v>
      </c>
      <c r="C5545" s="188">
        <v>10.46</v>
      </c>
      <c r="D5545" s="104">
        <f t="shared" si="86"/>
        <v>0.10460000000000001</v>
      </c>
      <c r="F5545" s="5"/>
    </row>
    <row r="5546" spans="2:6" ht="13.8" hidden="1" outlineLevel="1">
      <c r="B5546" s="187">
        <v>30370</v>
      </c>
      <c r="C5546" s="188">
        <v>10.44</v>
      </c>
      <c r="D5546" s="104">
        <f t="shared" si="86"/>
        <v>0.10439999999999999</v>
      </c>
      <c r="F5546" s="5"/>
    </row>
    <row r="5547" spans="2:6" ht="13.8" hidden="1" outlineLevel="1">
      <c r="B5547" s="187">
        <v>30371</v>
      </c>
      <c r="C5547" s="188">
        <v>10.42</v>
      </c>
      <c r="D5547" s="104">
        <f t="shared" si="86"/>
        <v>0.1042</v>
      </c>
      <c r="F5547" s="5"/>
    </row>
    <row r="5548" spans="2:6" ht="13.8" hidden="1" outlineLevel="1">
      <c r="B5548" s="187">
        <v>30372</v>
      </c>
      <c r="C5548" s="188">
        <v>10.26</v>
      </c>
      <c r="D5548" s="104">
        <f t="shared" si="86"/>
        <v>0.1026</v>
      </c>
      <c r="F5548" s="5"/>
    </row>
    <row r="5549" spans="2:6" ht="13.8" hidden="1" outlineLevel="1">
      <c r="B5549" s="187">
        <v>30375</v>
      </c>
      <c r="C5549" s="188">
        <v>10.27</v>
      </c>
      <c r="D5549" s="104">
        <f t="shared" si="86"/>
        <v>0.1027</v>
      </c>
      <c r="F5549" s="5"/>
    </row>
    <row r="5550" spans="2:6" ht="13.8" hidden="1" outlineLevel="1">
      <c r="B5550" s="187">
        <v>30376</v>
      </c>
      <c r="C5550" s="188">
        <v>10.220000000000001</v>
      </c>
      <c r="D5550" s="104">
        <f t="shared" si="86"/>
        <v>0.10220000000000001</v>
      </c>
      <c r="F5550" s="5"/>
    </row>
    <row r="5551" spans="2:6" ht="13.8" hidden="1" outlineLevel="1">
      <c r="B5551" s="187">
        <v>30377</v>
      </c>
      <c r="C5551" s="188">
        <v>10.26</v>
      </c>
      <c r="D5551" s="104">
        <f t="shared" si="86"/>
        <v>0.1026</v>
      </c>
      <c r="F5551" s="5"/>
    </row>
    <row r="5552" spans="2:6" ht="13.8" hidden="1" outlineLevel="1">
      <c r="B5552" s="187">
        <v>30378</v>
      </c>
      <c r="C5552" s="188">
        <v>10.23</v>
      </c>
      <c r="D5552" s="104">
        <f t="shared" si="86"/>
        <v>0.1023</v>
      </c>
      <c r="F5552" s="5"/>
    </row>
    <row r="5553" spans="2:6" ht="13.8" hidden="1" outlineLevel="1">
      <c r="B5553" s="187">
        <v>30379</v>
      </c>
      <c r="C5553" s="188">
        <v>10.27</v>
      </c>
      <c r="D5553" s="104">
        <f t="shared" si="86"/>
        <v>0.1027</v>
      </c>
      <c r="F5553" s="5"/>
    </row>
    <row r="5554" spans="2:6" ht="13.8" hidden="1" outlineLevel="1">
      <c r="B5554" s="187">
        <v>30382</v>
      </c>
      <c r="C5554" s="188">
        <v>10.43</v>
      </c>
      <c r="D5554" s="104">
        <f t="shared" si="86"/>
        <v>0.1043</v>
      </c>
      <c r="F5554" s="5"/>
    </row>
    <row r="5555" spans="2:6" ht="13.8" hidden="1" outlineLevel="1">
      <c r="B5555" s="187">
        <v>30383</v>
      </c>
      <c r="C5555" s="188">
        <v>10.52</v>
      </c>
      <c r="D5555" s="104">
        <f t="shared" si="86"/>
        <v>0.1052</v>
      </c>
      <c r="F5555" s="5"/>
    </row>
    <row r="5556" spans="2:6" ht="13.8" hidden="1" outlineLevel="1">
      <c r="B5556" s="187">
        <v>30384</v>
      </c>
      <c r="C5556" s="188">
        <v>10.48</v>
      </c>
      <c r="D5556" s="104">
        <f t="shared" si="86"/>
        <v>0.1048</v>
      </c>
      <c r="F5556" s="5"/>
    </row>
    <row r="5557" spans="2:6" ht="13.8" hidden="1" outlineLevel="1">
      <c r="B5557" s="187">
        <v>30385</v>
      </c>
      <c r="C5557" s="188">
        <v>10.55</v>
      </c>
      <c r="D5557" s="104">
        <f t="shared" si="86"/>
        <v>0.10550000000000001</v>
      </c>
      <c r="F5557" s="5"/>
    </row>
    <row r="5558" spans="2:6" ht="13.8" hidden="1" outlineLevel="1">
      <c r="B5558" s="187">
        <v>30386</v>
      </c>
      <c r="C5558" s="188">
        <v>10.59</v>
      </c>
      <c r="D5558" s="104">
        <f t="shared" si="86"/>
        <v>0.10589999999999999</v>
      </c>
      <c r="F5558" s="5"/>
    </row>
    <row r="5559" spans="2:6" ht="13.8" hidden="1" outlineLevel="1">
      <c r="B5559" s="187">
        <v>30389</v>
      </c>
      <c r="C5559" s="188">
        <v>10.48</v>
      </c>
      <c r="D5559" s="104">
        <f t="shared" si="86"/>
        <v>0.1048</v>
      </c>
      <c r="F5559" s="5"/>
    </row>
    <row r="5560" spans="2:6" ht="13.8" hidden="1" outlineLevel="1">
      <c r="B5560" s="187">
        <v>30390</v>
      </c>
      <c r="C5560" s="188">
        <v>10.46</v>
      </c>
      <c r="D5560" s="104">
        <f t="shared" si="86"/>
        <v>0.10460000000000001</v>
      </c>
      <c r="F5560" s="5"/>
    </row>
    <row r="5561" spans="2:6" ht="13.8" hidden="1" outlineLevel="1">
      <c r="B5561" s="187">
        <v>30391</v>
      </c>
      <c r="C5561" s="188">
        <v>10.53</v>
      </c>
      <c r="D5561" s="104">
        <f t="shared" si="86"/>
        <v>0.10529999999999999</v>
      </c>
      <c r="F5561" s="5"/>
    </row>
    <row r="5562" spans="2:6" ht="13.8" hidden="1" outlineLevel="1">
      <c r="B5562" s="187">
        <v>30392</v>
      </c>
      <c r="C5562" s="188">
        <v>10.56</v>
      </c>
      <c r="D5562" s="104">
        <f t="shared" si="86"/>
        <v>0.1056</v>
      </c>
      <c r="F5562" s="5"/>
    </row>
    <row r="5563" spans="2:6" ht="13.8" hidden="1" outlineLevel="1">
      <c r="B5563" s="187">
        <v>30393</v>
      </c>
      <c r="C5563" s="188">
        <v>10.58</v>
      </c>
      <c r="D5563" s="104">
        <f t="shared" si="86"/>
        <v>0.10580000000000001</v>
      </c>
      <c r="F5563" s="5"/>
    </row>
    <row r="5564" spans="2:6" ht="13.8" hidden="1" outlineLevel="1">
      <c r="B5564" s="187">
        <v>30396</v>
      </c>
      <c r="C5564" s="188">
        <v>10.6</v>
      </c>
      <c r="D5564" s="104">
        <f t="shared" si="86"/>
        <v>0.106</v>
      </c>
      <c r="F5564" s="5"/>
    </row>
    <row r="5565" spans="2:6" ht="13.8" hidden="1" outlineLevel="1">
      <c r="B5565" s="187">
        <v>30397</v>
      </c>
      <c r="C5565" s="188">
        <v>10.62</v>
      </c>
      <c r="D5565" s="104">
        <f t="shared" si="86"/>
        <v>0.10619999999999999</v>
      </c>
      <c r="F5565" s="5"/>
    </row>
    <row r="5566" spans="2:6" ht="13.8" hidden="1" outlineLevel="1">
      <c r="B5566" s="187">
        <v>30398</v>
      </c>
      <c r="C5566" s="188">
        <v>10.58</v>
      </c>
      <c r="D5566" s="104">
        <f t="shared" si="86"/>
        <v>0.10580000000000001</v>
      </c>
      <c r="F5566" s="5"/>
    </row>
    <row r="5567" spans="2:6" ht="13.8" hidden="1" outlineLevel="1">
      <c r="B5567" s="187">
        <v>30399</v>
      </c>
      <c r="C5567" s="188">
        <v>10.58</v>
      </c>
      <c r="D5567" s="104">
        <f t="shared" si="86"/>
        <v>0.10580000000000001</v>
      </c>
      <c r="F5567" s="5"/>
    </row>
    <row r="5568" spans="2:6" ht="13.8" hidden="1" outlineLevel="1">
      <c r="B5568" s="187">
        <v>30400</v>
      </c>
      <c r="C5568" s="188">
        <v>10.64</v>
      </c>
      <c r="D5568" s="104">
        <f t="shared" si="86"/>
        <v>0.10640000000000001</v>
      </c>
      <c r="F5568" s="5"/>
    </row>
    <row r="5569" spans="2:6" ht="13.8" hidden="1" outlineLevel="1">
      <c r="B5569" s="187">
        <v>30403</v>
      </c>
      <c r="C5569" s="188">
        <v>10.66</v>
      </c>
      <c r="D5569" s="104">
        <f t="shared" si="86"/>
        <v>0.1066</v>
      </c>
      <c r="F5569" s="5"/>
    </row>
    <row r="5570" spans="2:6" ht="13.8" hidden="1" outlineLevel="1">
      <c r="B5570" s="187">
        <v>30404</v>
      </c>
      <c r="C5570" s="188">
        <v>10.6</v>
      </c>
      <c r="D5570" s="104">
        <f t="shared" si="86"/>
        <v>0.106</v>
      </c>
      <c r="F5570" s="5"/>
    </row>
    <row r="5571" spans="2:6" ht="13.8" hidden="1" outlineLevel="1">
      <c r="B5571" s="187">
        <v>30405</v>
      </c>
      <c r="C5571" s="188">
        <v>10.59</v>
      </c>
      <c r="D5571" s="104">
        <f t="shared" si="86"/>
        <v>0.10589999999999999</v>
      </c>
      <c r="F5571" s="5"/>
    </row>
    <row r="5572" spans="2:6" ht="13.8" hidden="1" outlineLevel="1">
      <c r="B5572" s="187">
        <v>30406</v>
      </c>
      <c r="C5572" s="188">
        <v>10.62</v>
      </c>
      <c r="D5572" s="104">
        <f t="shared" si="86"/>
        <v>0.10619999999999999</v>
      </c>
      <c r="F5572" s="5"/>
    </row>
    <row r="5573" spans="2:6" ht="13.8" hidden="1" outlineLevel="1">
      <c r="B5573" s="187">
        <v>30407</v>
      </c>
      <c r="C5573" s="188" t="s">
        <v>380</v>
      </c>
      <c r="D5573" s="104">
        <f t="shared" si="86"/>
        <v>0.10619999999999999</v>
      </c>
      <c r="F5573" s="5"/>
    </row>
    <row r="5574" spans="2:6" ht="13.8" hidden="1" outlineLevel="1">
      <c r="B5574" s="187">
        <v>30410</v>
      </c>
      <c r="C5574" s="188">
        <v>10.6</v>
      </c>
      <c r="D5574" s="104">
        <f t="shared" si="86"/>
        <v>0.106</v>
      </c>
      <c r="F5574" s="5"/>
    </row>
    <row r="5575" spans="2:6" ht="13.8" hidden="1" outlineLevel="1">
      <c r="B5575" s="187">
        <v>30411</v>
      </c>
      <c r="C5575" s="188">
        <v>10.49</v>
      </c>
      <c r="D5575" s="104">
        <f t="shared" si="86"/>
        <v>0.10490000000000001</v>
      </c>
      <c r="F5575" s="5"/>
    </row>
    <row r="5576" spans="2:6" ht="13.8" hidden="1" outlineLevel="1">
      <c r="B5576" s="187">
        <v>30412</v>
      </c>
      <c r="C5576" s="188">
        <v>10.49</v>
      </c>
      <c r="D5576" s="104">
        <f t="shared" si="86"/>
        <v>0.10490000000000001</v>
      </c>
      <c r="F5576" s="5"/>
    </row>
    <row r="5577" spans="2:6" ht="13.8" hidden="1" outlineLevel="1">
      <c r="B5577" s="187">
        <v>30413</v>
      </c>
      <c r="C5577" s="188">
        <v>10.51</v>
      </c>
      <c r="D5577" s="104">
        <f t="shared" si="86"/>
        <v>0.1051</v>
      </c>
      <c r="F5577" s="5"/>
    </row>
    <row r="5578" spans="2:6" ht="13.8" hidden="1" outlineLevel="1">
      <c r="B5578" s="187">
        <v>30414</v>
      </c>
      <c r="C5578" s="188">
        <v>10.51</v>
      </c>
      <c r="D5578" s="104">
        <f t="shared" si="86"/>
        <v>0.1051</v>
      </c>
      <c r="F5578" s="5"/>
    </row>
    <row r="5579" spans="2:6" ht="13.8" hidden="1" outlineLevel="1">
      <c r="B5579" s="187">
        <v>30417</v>
      </c>
      <c r="C5579" s="188">
        <v>10.41</v>
      </c>
      <c r="D5579" s="104">
        <f t="shared" si="86"/>
        <v>0.1041</v>
      </c>
      <c r="F5579" s="5"/>
    </row>
    <row r="5580" spans="2:6" ht="13.8" hidden="1" outlineLevel="1">
      <c r="B5580" s="187">
        <v>30418</v>
      </c>
      <c r="C5580" s="188">
        <v>10.42</v>
      </c>
      <c r="D5580" s="104">
        <f t="shared" si="86"/>
        <v>0.1042</v>
      </c>
      <c r="F5580" s="5"/>
    </row>
    <row r="5581" spans="2:6" ht="13.8" hidden="1" outlineLevel="1">
      <c r="B5581" s="187">
        <v>30419</v>
      </c>
      <c r="C5581" s="188">
        <v>10.39</v>
      </c>
      <c r="D5581" s="104">
        <f t="shared" si="86"/>
        <v>0.10390000000000001</v>
      </c>
      <c r="F5581" s="5"/>
    </row>
    <row r="5582" spans="2:6" ht="13.8" hidden="1" outlineLevel="1">
      <c r="B5582" s="187">
        <v>30420</v>
      </c>
      <c r="C5582" s="188">
        <v>10.29</v>
      </c>
      <c r="D5582" s="104">
        <f t="shared" si="86"/>
        <v>0.10289999999999999</v>
      </c>
      <c r="F5582" s="5"/>
    </row>
    <row r="5583" spans="2:6" ht="13.8" hidden="1" outlineLevel="1">
      <c r="B5583" s="187">
        <v>30421</v>
      </c>
      <c r="C5583" s="188">
        <v>10.33</v>
      </c>
      <c r="D5583" s="104">
        <f t="shared" si="86"/>
        <v>0.1033</v>
      </c>
      <c r="F5583" s="5"/>
    </row>
    <row r="5584" spans="2:6" ht="13.8" hidden="1" outlineLevel="1">
      <c r="B5584" s="187">
        <v>30424</v>
      </c>
      <c r="C5584" s="188">
        <v>10.29</v>
      </c>
      <c r="D5584" s="104">
        <f t="shared" si="86"/>
        <v>0.10289999999999999</v>
      </c>
      <c r="F5584" s="5"/>
    </row>
    <row r="5585" spans="2:6" ht="13.8" hidden="1" outlineLevel="1">
      <c r="B5585" s="187">
        <v>30425</v>
      </c>
      <c r="C5585" s="188">
        <v>10.39</v>
      </c>
      <c r="D5585" s="104">
        <f t="shared" si="86"/>
        <v>0.10390000000000001</v>
      </c>
      <c r="F5585" s="5"/>
    </row>
    <row r="5586" spans="2:6" ht="13.8" hidden="1" outlineLevel="1">
      <c r="B5586" s="187">
        <v>30426</v>
      </c>
      <c r="C5586" s="188">
        <v>10.39</v>
      </c>
      <c r="D5586" s="104">
        <f t="shared" si="86"/>
        <v>0.10390000000000001</v>
      </c>
      <c r="F5586" s="5"/>
    </row>
    <row r="5587" spans="2:6" ht="13.8" hidden="1" outlineLevel="1">
      <c r="B5587" s="187">
        <v>30427</v>
      </c>
      <c r="C5587" s="188">
        <v>10.43</v>
      </c>
      <c r="D5587" s="104">
        <f t="shared" si="86"/>
        <v>0.1043</v>
      </c>
      <c r="F5587" s="5"/>
    </row>
    <row r="5588" spans="2:6" ht="13.8" hidden="1" outlineLevel="1">
      <c r="B5588" s="187">
        <v>30428</v>
      </c>
      <c r="C5588" s="188">
        <v>10.42</v>
      </c>
      <c r="D5588" s="104">
        <f t="shared" si="86"/>
        <v>0.1042</v>
      </c>
      <c r="F5588" s="5"/>
    </row>
    <row r="5589" spans="2:6" ht="13.8" hidden="1" outlineLevel="1">
      <c r="B5589" s="187">
        <v>30431</v>
      </c>
      <c r="C5589" s="188">
        <v>10.4</v>
      </c>
      <c r="D5589" s="104">
        <f t="shared" si="86"/>
        <v>0.10400000000000001</v>
      </c>
      <c r="F5589" s="5"/>
    </row>
    <row r="5590" spans="2:6" ht="13.8" hidden="1" outlineLevel="1">
      <c r="B5590" s="187">
        <v>30432</v>
      </c>
      <c r="C5590" s="188">
        <v>10.37</v>
      </c>
      <c r="D5590" s="104">
        <f t="shared" si="86"/>
        <v>0.10369999999999999</v>
      </c>
      <c r="F5590" s="5"/>
    </row>
    <row r="5591" spans="2:6" ht="13.8" hidden="1" outlineLevel="1">
      <c r="B5591" s="187">
        <v>30433</v>
      </c>
      <c r="C5591" s="188">
        <v>10.29</v>
      </c>
      <c r="D5591" s="104">
        <f t="shared" si="86"/>
        <v>0.10289999999999999</v>
      </c>
      <c r="F5591" s="5"/>
    </row>
    <row r="5592" spans="2:6" ht="13.8" hidden="1" outlineLevel="1">
      <c r="B5592" s="187">
        <v>30434</v>
      </c>
      <c r="C5592" s="188">
        <v>10.31</v>
      </c>
      <c r="D5592" s="104">
        <f t="shared" si="86"/>
        <v>0.10310000000000001</v>
      </c>
      <c r="F5592" s="5"/>
    </row>
    <row r="5593" spans="2:6" ht="13.8" hidden="1" outlineLevel="1">
      <c r="B5593" s="187">
        <v>30435</v>
      </c>
      <c r="C5593" s="188">
        <v>10.27</v>
      </c>
      <c r="D5593" s="104">
        <f t="shared" si="86"/>
        <v>0.1027</v>
      </c>
      <c r="F5593" s="5"/>
    </row>
    <row r="5594" spans="2:6" ht="13.8" hidden="1" outlineLevel="1">
      <c r="B5594" s="187">
        <v>30438</v>
      </c>
      <c r="C5594" s="188">
        <v>10.26</v>
      </c>
      <c r="D5594" s="104">
        <f t="shared" si="86"/>
        <v>0.1026</v>
      </c>
      <c r="F5594" s="5"/>
    </row>
    <row r="5595" spans="2:6" ht="13.8" hidden="1" outlineLevel="1">
      <c r="B5595" s="187">
        <v>30439</v>
      </c>
      <c r="C5595" s="188">
        <v>10.26</v>
      </c>
      <c r="D5595" s="104">
        <f t="shared" si="86"/>
        <v>0.1026</v>
      </c>
      <c r="F5595" s="5"/>
    </row>
    <row r="5596" spans="2:6" ht="13.8" hidden="1" outlineLevel="1">
      <c r="B5596" s="187">
        <v>30440</v>
      </c>
      <c r="C5596" s="188">
        <v>10.119999999999999</v>
      </c>
      <c r="D5596" s="104">
        <f t="shared" si="86"/>
        <v>0.1012</v>
      </c>
      <c r="F5596" s="5"/>
    </row>
    <row r="5597" spans="2:6" ht="13.8" hidden="1" outlineLevel="1">
      <c r="B5597" s="187">
        <v>30441</v>
      </c>
      <c r="C5597" s="188">
        <v>10.16</v>
      </c>
      <c r="D5597" s="104">
        <f t="shared" si="86"/>
        <v>0.1016</v>
      </c>
      <c r="F5597" s="5"/>
    </row>
    <row r="5598" spans="2:6" ht="13.8" hidden="1" outlineLevel="1">
      <c r="B5598" s="187">
        <v>30442</v>
      </c>
      <c r="C5598" s="188">
        <v>10.130000000000001</v>
      </c>
      <c r="D5598" s="104">
        <f t="shared" ref="D5598:D5661" si="87">IF( LEN( C5598 ) = 0, #N/A, IF( C5598 = "ND", D5597, C5598 / 100 ) )</f>
        <v>0.1013</v>
      </c>
      <c r="F5598" s="5"/>
    </row>
    <row r="5599" spans="2:6" ht="13.8" hidden="1" outlineLevel="1">
      <c r="B5599" s="187">
        <v>30445</v>
      </c>
      <c r="C5599" s="188">
        <v>10.25</v>
      </c>
      <c r="D5599" s="104">
        <f t="shared" si="87"/>
        <v>0.10249999999999999</v>
      </c>
      <c r="F5599" s="5"/>
    </row>
    <row r="5600" spans="2:6" ht="13.8" hidden="1" outlineLevel="1">
      <c r="B5600" s="187">
        <v>30446</v>
      </c>
      <c r="C5600" s="188">
        <v>10.16</v>
      </c>
      <c r="D5600" s="104">
        <f t="shared" si="87"/>
        <v>0.1016</v>
      </c>
      <c r="F5600" s="5"/>
    </row>
    <row r="5601" spans="2:6" ht="13.8" hidden="1" outlineLevel="1">
      <c r="B5601" s="187">
        <v>30447</v>
      </c>
      <c r="C5601" s="188">
        <v>10.18</v>
      </c>
      <c r="D5601" s="104">
        <f t="shared" si="87"/>
        <v>0.1018</v>
      </c>
      <c r="F5601" s="5"/>
    </row>
    <row r="5602" spans="2:6" ht="13.8" hidden="1" outlineLevel="1">
      <c r="B5602" s="187">
        <v>30448</v>
      </c>
      <c r="C5602" s="188">
        <v>10.23</v>
      </c>
      <c r="D5602" s="104">
        <f t="shared" si="87"/>
        <v>0.1023</v>
      </c>
      <c r="F5602" s="5"/>
    </row>
    <row r="5603" spans="2:6" ht="13.8" hidden="1" outlineLevel="1">
      <c r="B5603" s="187">
        <v>30449</v>
      </c>
      <c r="C5603" s="188">
        <v>10.220000000000001</v>
      </c>
      <c r="D5603" s="104">
        <f t="shared" si="87"/>
        <v>0.10220000000000001</v>
      </c>
      <c r="F5603" s="5"/>
    </row>
    <row r="5604" spans="2:6" ht="13.8" hidden="1" outlineLevel="1">
      <c r="B5604" s="187">
        <v>30452</v>
      </c>
      <c r="C5604" s="188">
        <v>10.37</v>
      </c>
      <c r="D5604" s="104">
        <f t="shared" si="87"/>
        <v>0.10369999999999999</v>
      </c>
      <c r="F5604" s="5"/>
    </row>
    <row r="5605" spans="2:6" ht="13.8" hidden="1" outlineLevel="1">
      <c r="B5605" s="187">
        <v>30453</v>
      </c>
      <c r="C5605" s="188">
        <v>10.41</v>
      </c>
      <c r="D5605" s="104">
        <f t="shared" si="87"/>
        <v>0.1041</v>
      </c>
      <c r="F5605" s="5"/>
    </row>
    <row r="5606" spans="2:6" ht="13.8" hidden="1" outlineLevel="1">
      <c r="B5606" s="187">
        <v>30454</v>
      </c>
      <c r="C5606" s="188">
        <v>10.43</v>
      </c>
      <c r="D5606" s="104">
        <f t="shared" si="87"/>
        <v>0.1043</v>
      </c>
      <c r="F5606" s="5"/>
    </row>
    <row r="5607" spans="2:6" ht="13.8" hidden="1" outlineLevel="1">
      <c r="B5607" s="187">
        <v>30455</v>
      </c>
      <c r="C5607" s="188">
        <v>10.49</v>
      </c>
      <c r="D5607" s="104">
        <f t="shared" si="87"/>
        <v>0.10490000000000001</v>
      </c>
      <c r="F5607" s="5"/>
    </row>
    <row r="5608" spans="2:6" ht="13.8" hidden="1" outlineLevel="1">
      <c r="B5608" s="187">
        <v>30456</v>
      </c>
      <c r="C5608" s="188">
        <v>10.54</v>
      </c>
      <c r="D5608" s="104">
        <f t="shared" si="87"/>
        <v>0.10539999999999999</v>
      </c>
      <c r="F5608" s="5"/>
    </row>
    <row r="5609" spans="2:6" ht="13.8" hidden="1" outlineLevel="1">
      <c r="B5609" s="187">
        <v>30459</v>
      </c>
      <c r="C5609" s="188">
        <v>10.57</v>
      </c>
      <c r="D5609" s="104">
        <f t="shared" si="87"/>
        <v>0.1057</v>
      </c>
      <c r="F5609" s="5"/>
    </row>
    <row r="5610" spans="2:6" ht="13.8" hidden="1" outlineLevel="1">
      <c r="B5610" s="187">
        <v>30460</v>
      </c>
      <c r="C5610" s="188">
        <v>10.56</v>
      </c>
      <c r="D5610" s="104">
        <f t="shared" si="87"/>
        <v>0.1056</v>
      </c>
      <c r="F5610" s="5"/>
    </row>
    <row r="5611" spans="2:6" ht="13.8" hidden="1" outlineLevel="1">
      <c r="B5611" s="187">
        <v>30461</v>
      </c>
      <c r="C5611" s="188">
        <v>10.58</v>
      </c>
      <c r="D5611" s="104">
        <f t="shared" si="87"/>
        <v>0.10580000000000001</v>
      </c>
      <c r="F5611" s="5"/>
    </row>
    <row r="5612" spans="2:6" ht="13.8" hidden="1" outlineLevel="1">
      <c r="B5612" s="187">
        <v>30462</v>
      </c>
      <c r="C5612" s="188">
        <v>10.63</v>
      </c>
      <c r="D5612" s="104">
        <f t="shared" si="87"/>
        <v>0.10630000000000001</v>
      </c>
      <c r="F5612" s="5"/>
    </row>
    <row r="5613" spans="2:6" ht="13.8" hidden="1" outlineLevel="1">
      <c r="B5613" s="187">
        <v>30463</v>
      </c>
      <c r="C5613" s="188">
        <v>10.62</v>
      </c>
      <c r="D5613" s="104">
        <f t="shared" si="87"/>
        <v>0.10619999999999999</v>
      </c>
      <c r="F5613" s="5"/>
    </row>
    <row r="5614" spans="2:6" ht="13.8" hidden="1" outlineLevel="1">
      <c r="B5614" s="187">
        <v>30466</v>
      </c>
      <c r="C5614" s="188" t="s">
        <v>380</v>
      </c>
      <c r="D5614" s="104">
        <f t="shared" si="87"/>
        <v>0.10619999999999999</v>
      </c>
      <c r="F5614" s="5"/>
    </row>
    <row r="5615" spans="2:6" ht="13.8" hidden="1" outlineLevel="1">
      <c r="B5615" s="187">
        <v>30467</v>
      </c>
      <c r="C5615" s="188">
        <v>10.81</v>
      </c>
      <c r="D5615" s="104">
        <f t="shared" si="87"/>
        <v>0.1081</v>
      </c>
      <c r="F5615" s="5"/>
    </row>
    <row r="5616" spans="2:6" ht="13.8" hidden="1" outlineLevel="1">
      <c r="B5616" s="187">
        <v>30468</v>
      </c>
      <c r="C5616" s="188">
        <v>10.77</v>
      </c>
      <c r="D5616" s="104">
        <f t="shared" si="87"/>
        <v>0.10769999999999999</v>
      </c>
      <c r="F5616" s="5"/>
    </row>
    <row r="5617" spans="2:6" ht="13.8" hidden="1" outlineLevel="1">
      <c r="B5617" s="187">
        <v>30469</v>
      </c>
      <c r="C5617" s="188">
        <v>10.78</v>
      </c>
      <c r="D5617" s="104">
        <f t="shared" si="87"/>
        <v>0.10779999999999999</v>
      </c>
      <c r="F5617" s="5"/>
    </row>
    <row r="5618" spans="2:6" ht="13.8" hidden="1" outlineLevel="1">
      <c r="B5618" s="187">
        <v>30470</v>
      </c>
      <c r="C5618" s="188">
        <v>10.79</v>
      </c>
      <c r="D5618" s="104">
        <f t="shared" si="87"/>
        <v>0.1079</v>
      </c>
      <c r="F5618" s="5"/>
    </row>
    <row r="5619" spans="2:6" ht="13.8" hidden="1" outlineLevel="1">
      <c r="B5619" s="187">
        <v>30473</v>
      </c>
      <c r="C5619" s="188">
        <v>10.79</v>
      </c>
      <c r="D5619" s="104">
        <f t="shared" si="87"/>
        <v>0.1079</v>
      </c>
      <c r="F5619" s="5"/>
    </row>
    <row r="5620" spans="2:6" ht="13.8" hidden="1" outlineLevel="1">
      <c r="B5620" s="187">
        <v>30474</v>
      </c>
      <c r="C5620" s="188">
        <v>10.85</v>
      </c>
      <c r="D5620" s="104">
        <f t="shared" si="87"/>
        <v>0.1085</v>
      </c>
      <c r="F5620" s="5"/>
    </row>
    <row r="5621" spans="2:6" ht="13.8" hidden="1" outlineLevel="1">
      <c r="B5621" s="187">
        <v>30475</v>
      </c>
      <c r="C5621" s="188">
        <v>10.92</v>
      </c>
      <c r="D5621" s="104">
        <f t="shared" si="87"/>
        <v>0.10920000000000001</v>
      </c>
      <c r="F5621" s="5"/>
    </row>
    <row r="5622" spans="2:6" ht="13.8" hidden="1" outlineLevel="1">
      <c r="B5622" s="187">
        <v>30476</v>
      </c>
      <c r="C5622" s="188">
        <v>10.88</v>
      </c>
      <c r="D5622" s="104">
        <f t="shared" si="87"/>
        <v>0.10880000000000001</v>
      </c>
      <c r="F5622" s="5"/>
    </row>
    <row r="5623" spans="2:6" ht="13.8" hidden="1" outlineLevel="1">
      <c r="B5623" s="187">
        <v>30477</v>
      </c>
      <c r="C5623" s="188">
        <v>10.89</v>
      </c>
      <c r="D5623" s="104">
        <f t="shared" si="87"/>
        <v>0.10890000000000001</v>
      </c>
      <c r="F5623" s="5"/>
    </row>
    <row r="5624" spans="2:6" ht="13.8" hidden="1" outlineLevel="1">
      <c r="B5624" s="187">
        <v>30480</v>
      </c>
      <c r="C5624" s="188">
        <v>10.75</v>
      </c>
      <c r="D5624" s="104">
        <f t="shared" si="87"/>
        <v>0.1075</v>
      </c>
      <c r="F5624" s="5"/>
    </row>
    <row r="5625" spans="2:6" ht="13.8" hidden="1" outlineLevel="1">
      <c r="B5625" s="187">
        <v>30481</v>
      </c>
      <c r="C5625" s="188">
        <v>10.77</v>
      </c>
      <c r="D5625" s="104">
        <f t="shared" si="87"/>
        <v>0.10769999999999999</v>
      </c>
      <c r="F5625" s="5"/>
    </row>
    <row r="5626" spans="2:6" ht="13.8" hidden="1" outlineLevel="1">
      <c r="B5626" s="187">
        <v>30482</v>
      </c>
      <c r="C5626" s="188">
        <v>10.72</v>
      </c>
      <c r="D5626" s="104">
        <f t="shared" si="87"/>
        <v>0.1072</v>
      </c>
      <c r="F5626" s="5"/>
    </row>
    <row r="5627" spans="2:6" ht="13.8" hidden="1" outlineLevel="1">
      <c r="B5627" s="187">
        <v>30483</v>
      </c>
      <c r="C5627" s="188">
        <v>10.64</v>
      </c>
      <c r="D5627" s="104">
        <f t="shared" si="87"/>
        <v>0.10640000000000001</v>
      </c>
      <c r="F5627" s="5"/>
    </row>
    <row r="5628" spans="2:6" ht="13.8" hidden="1" outlineLevel="1">
      <c r="B5628" s="187">
        <v>30484</v>
      </c>
      <c r="C5628" s="188">
        <v>10.68</v>
      </c>
      <c r="D5628" s="104">
        <f t="shared" si="87"/>
        <v>0.10679999999999999</v>
      </c>
      <c r="F5628" s="5"/>
    </row>
    <row r="5629" spans="2:6" ht="13.8" hidden="1" outlineLevel="1">
      <c r="B5629" s="187">
        <v>30487</v>
      </c>
      <c r="C5629" s="188">
        <v>10.8</v>
      </c>
      <c r="D5629" s="104">
        <f t="shared" si="87"/>
        <v>0.10800000000000001</v>
      </c>
      <c r="F5629" s="5"/>
    </row>
    <row r="5630" spans="2:6" ht="13.8" hidden="1" outlineLevel="1">
      <c r="B5630" s="187">
        <v>30488</v>
      </c>
      <c r="C5630" s="188">
        <v>10.79</v>
      </c>
      <c r="D5630" s="104">
        <f t="shared" si="87"/>
        <v>0.1079</v>
      </c>
      <c r="F5630" s="5"/>
    </row>
    <row r="5631" spans="2:6" ht="13.8" hidden="1" outlineLevel="1">
      <c r="B5631" s="187">
        <v>30489</v>
      </c>
      <c r="C5631" s="188">
        <v>10.83</v>
      </c>
      <c r="D5631" s="104">
        <f t="shared" si="87"/>
        <v>0.10830000000000001</v>
      </c>
      <c r="F5631" s="5"/>
    </row>
    <row r="5632" spans="2:6" ht="13.8" hidden="1" outlineLevel="1">
      <c r="B5632" s="187">
        <v>30490</v>
      </c>
      <c r="C5632" s="188">
        <v>10.9</v>
      </c>
      <c r="D5632" s="104">
        <f t="shared" si="87"/>
        <v>0.109</v>
      </c>
      <c r="F5632" s="5"/>
    </row>
    <row r="5633" spans="2:6" ht="13.8" hidden="1" outlineLevel="1">
      <c r="B5633" s="187">
        <v>30491</v>
      </c>
      <c r="C5633" s="188">
        <v>11.02</v>
      </c>
      <c r="D5633" s="104">
        <f t="shared" si="87"/>
        <v>0.11019999999999999</v>
      </c>
      <c r="F5633" s="5"/>
    </row>
    <row r="5634" spans="2:6" ht="13.8" hidden="1" outlineLevel="1">
      <c r="B5634" s="187">
        <v>30494</v>
      </c>
      <c r="C5634" s="188">
        <v>11.11</v>
      </c>
      <c r="D5634" s="104">
        <f t="shared" si="87"/>
        <v>0.11109999999999999</v>
      </c>
      <c r="F5634" s="5"/>
    </row>
    <row r="5635" spans="2:6" ht="13.8" hidden="1" outlineLevel="1">
      <c r="B5635" s="187">
        <v>30495</v>
      </c>
      <c r="C5635" s="188">
        <v>11.04</v>
      </c>
      <c r="D5635" s="104">
        <f t="shared" si="87"/>
        <v>0.1104</v>
      </c>
      <c r="F5635" s="5"/>
    </row>
    <row r="5636" spans="2:6" ht="13.8" hidden="1" outlineLevel="1">
      <c r="B5636" s="187">
        <v>30496</v>
      </c>
      <c r="C5636" s="188">
        <v>10.99</v>
      </c>
      <c r="D5636" s="104">
        <f t="shared" si="87"/>
        <v>0.1099</v>
      </c>
      <c r="F5636" s="5"/>
    </row>
    <row r="5637" spans="2:6" ht="13.8" hidden="1" outlineLevel="1">
      <c r="B5637" s="187">
        <v>30497</v>
      </c>
      <c r="C5637" s="188">
        <v>10.96</v>
      </c>
      <c r="D5637" s="104">
        <f t="shared" si="87"/>
        <v>0.1096</v>
      </c>
      <c r="F5637" s="5"/>
    </row>
    <row r="5638" spans="2:6" ht="13.8" hidden="1" outlineLevel="1">
      <c r="B5638" s="187">
        <v>30498</v>
      </c>
      <c r="C5638" s="188">
        <v>10.93</v>
      </c>
      <c r="D5638" s="104">
        <f t="shared" si="87"/>
        <v>0.10929999999999999</v>
      </c>
      <c r="F5638" s="5"/>
    </row>
    <row r="5639" spans="2:6" ht="13.8" hidden="1" outlineLevel="1">
      <c r="B5639" s="187">
        <v>30501</v>
      </c>
      <c r="C5639" s="188" t="s">
        <v>380</v>
      </c>
      <c r="D5639" s="104">
        <f t="shared" si="87"/>
        <v>0.10929999999999999</v>
      </c>
      <c r="F5639" s="5"/>
    </row>
    <row r="5640" spans="2:6" ht="13.8" hidden="1" outlineLevel="1">
      <c r="B5640" s="187">
        <v>30502</v>
      </c>
      <c r="C5640" s="188">
        <v>11.21</v>
      </c>
      <c r="D5640" s="104">
        <f t="shared" si="87"/>
        <v>0.11210000000000001</v>
      </c>
      <c r="F5640" s="5"/>
    </row>
    <row r="5641" spans="2:6" ht="13.8" hidden="1" outlineLevel="1">
      <c r="B5641" s="187">
        <v>30503</v>
      </c>
      <c r="C5641" s="188">
        <v>11.16</v>
      </c>
      <c r="D5641" s="104">
        <f t="shared" si="87"/>
        <v>0.1116</v>
      </c>
      <c r="F5641" s="5"/>
    </row>
    <row r="5642" spans="2:6" ht="13.8" hidden="1" outlineLevel="1">
      <c r="B5642" s="187">
        <v>30504</v>
      </c>
      <c r="C5642" s="188">
        <v>11.29</v>
      </c>
      <c r="D5642" s="104">
        <f t="shared" si="87"/>
        <v>0.11289999999999999</v>
      </c>
      <c r="F5642" s="5"/>
    </row>
    <row r="5643" spans="2:6" ht="13.8" hidden="1" outlineLevel="1">
      <c r="B5643" s="187">
        <v>30505</v>
      </c>
      <c r="C5643" s="188">
        <v>11.33</v>
      </c>
      <c r="D5643" s="104">
        <f t="shared" si="87"/>
        <v>0.1133</v>
      </c>
      <c r="F5643" s="5"/>
    </row>
    <row r="5644" spans="2:6" ht="13.8" hidden="1" outlineLevel="1">
      <c r="B5644" s="187">
        <v>30508</v>
      </c>
      <c r="C5644" s="188">
        <v>11.28</v>
      </c>
      <c r="D5644" s="104">
        <f t="shared" si="87"/>
        <v>0.1128</v>
      </c>
      <c r="F5644" s="5"/>
    </row>
    <row r="5645" spans="2:6" ht="13.8" hidden="1" outlineLevel="1">
      <c r="B5645" s="187">
        <v>30509</v>
      </c>
      <c r="C5645" s="188">
        <v>11.42</v>
      </c>
      <c r="D5645" s="104">
        <f t="shared" si="87"/>
        <v>0.1142</v>
      </c>
      <c r="F5645" s="5"/>
    </row>
    <row r="5646" spans="2:6" ht="13.8" hidden="1" outlineLevel="1">
      <c r="B5646" s="187">
        <v>30510</v>
      </c>
      <c r="C5646" s="188">
        <v>11.4</v>
      </c>
      <c r="D5646" s="104">
        <f t="shared" si="87"/>
        <v>0.114</v>
      </c>
      <c r="F5646" s="5"/>
    </row>
    <row r="5647" spans="2:6" ht="13.8" hidden="1" outlineLevel="1">
      <c r="B5647" s="187">
        <v>30511</v>
      </c>
      <c r="C5647" s="188">
        <v>11.38</v>
      </c>
      <c r="D5647" s="104">
        <f t="shared" si="87"/>
        <v>0.11380000000000001</v>
      </c>
      <c r="F5647" s="5"/>
    </row>
    <row r="5648" spans="2:6" ht="13.8" hidden="1" outlineLevel="1">
      <c r="B5648" s="187">
        <v>30512</v>
      </c>
      <c r="C5648" s="188">
        <v>11.51</v>
      </c>
      <c r="D5648" s="104">
        <f t="shared" si="87"/>
        <v>0.11509999999999999</v>
      </c>
      <c r="F5648" s="5"/>
    </row>
    <row r="5649" spans="2:6" ht="13.8" hidden="1" outlineLevel="1">
      <c r="B5649" s="187">
        <v>30515</v>
      </c>
      <c r="C5649" s="188">
        <v>11.41</v>
      </c>
      <c r="D5649" s="104">
        <f t="shared" si="87"/>
        <v>0.11410000000000001</v>
      </c>
      <c r="F5649" s="5"/>
    </row>
    <row r="5650" spans="2:6" ht="13.8" hidden="1" outlineLevel="1">
      <c r="B5650" s="187">
        <v>30516</v>
      </c>
      <c r="C5650" s="188">
        <v>11.36</v>
      </c>
      <c r="D5650" s="104">
        <f t="shared" si="87"/>
        <v>0.11359999999999999</v>
      </c>
      <c r="F5650" s="5"/>
    </row>
    <row r="5651" spans="2:6" ht="13.8" hidden="1" outlineLevel="1">
      <c r="B5651" s="187">
        <v>30517</v>
      </c>
      <c r="C5651" s="188">
        <v>11.28</v>
      </c>
      <c r="D5651" s="104">
        <f t="shared" si="87"/>
        <v>0.1128</v>
      </c>
      <c r="F5651" s="5"/>
    </row>
    <row r="5652" spans="2:6" ht="13.8" hidden="1" outlineLevel="1">
      <c r="B5652" s="187">
        <v>30518</v>
      </c>
      <c r="C5652" s="188">
        <v>11.32</v>
      </c>
      <c r="D5652" s="104">
        <f t="shared" si="87"/>
        <v>0.11320000000000001</v>
      </c>
      <c r="F5652" s="5"/>
    </row>
    <row r="5653" spans="2:6" ht="13.8" hidden="1" outlineLevel="1">
      <c r="B5653" s="187">
        <v>30519</v>
      </c>
      <c r="C5653" s="188">
        <v>11.43</v>
      </c>
      <c r="D5653" s="104">
        <f t="shared" si="87"/>
        <v>0.1143</v>
      </c>
      <c r="F5653" s="5"/>
    </row>
    <row r="5654" spans="2:6" ht="13.8" hidden="1" outlineLevel="1">
      <c r="B5654" s="187">
        <v>30522</v>
      </c>
      <c r="C5654" s="188">
        <v>11.41</v>
      </c>
      <c r="D5654" s="104">
        <f t="shared" si="87"/>
        <v>0.11410000000000001</v>
      </c>
      <c r="F5654" s="5"/>
    </row>
    <row r="5655" spans="2:6" ht="13.8" hidden="1" outlineLevel="1">
      <c r="B5655" s="187">
        <v>30523</v>
      </c>
      <c r="C5655" s="188">
        <v>11.49</v>
      </c>
      <c r="D5655" s="104">
        <f t="shared" si="87"/>
        <v>0.1149</v>
      </c>
      <c r="F5655" s="5"/>
    </row>
    <row r="5656" spans="2:6" ht="13.8" hidden="1" outlineLevel="1">
      <c r="B5656" s="187">
        <v>30524</v>
      </c>
      <c r="C5656" s="188">
        <v>11.51</v>
      </c>
      <c r="D5656" s="104">
        <f t="shared" si="87"/>
        <v>0.11509999999999999</v>
      </c>
      <c r="F5656" s="5"/>
    </row>
    <row r="5657" spans="2:6" ht="13.8" hidden="1" outlineLevel="1">
      <c r="B5657" s="187">
        <v>30525</v>
      </c>
      <c r="C5657" s="188">
        <v>11.66</v>
      </c>
      <c r="D5657" s="104">
        <f t="shared" si="87"/>
        <v>0.1166</v>
      </c>
      <c r="F5657" s="5"/>
    </row>
    <row r="5658" spans="2:6" ht="13.8" hidden="1" outlineLevel="1">
      <c r="B5658" s="187">
        <v>30526</v>
      </c>
      <c r="C5658" s="188">
        <v>11.76</v>
      </c>
      <c r="D5658" s="104">
        <f t="shared" si="87"/>
        <v>0.1176</v>
      </c>
      <c r="F5658" s="5"/>
    </row>
    <row r="5659" spans="2:6" ht="13.8" hidden="1" outlineLevel="1">
      <c r="B5659" s="187">
        <v>30529</v>
      </c>
      <c r="C5659" s="188">
        <v>11.8</v>
      </c>
      <c r="D5659" s="104">
        <f t="shared" si="87"/>
        <v>0.11800000000000001</v>
      </c>
      <c r="F5659" s="5"/>
    </row>
    <row r="5660" spans="2:6" ht="13.8" hidden="1" outlineLevel="1">
      <c r="B5660" s="187">
        <v>30530</v>
      </c>
      <c r="C5660" s="188">
        <v>11.82</v>
      </c>
      <c r="D5660" s="104">
        <f t="shared" si="87"/>
        <v>0.1182</v>
      </c>
      <c r="F5660" s="5"/>
    </row>
    <row r="5661" spans="2:6" ht="13.8" hidden="1" outlineLevel="1">
      <c r="B5661" s="187">
        <v>30531</v>
      </c>
      <c r="C5661" s="188">
        <v>11.92</v>
      </c>
      <c r="D5661" s="104">
        <f t="shared" si="87"/>
        <v>0.1192</v>
      </c>
      <c r="F5661" s="5"/>
    </row>
    <row r="5662" spans="2:6" ht="13.8" hidden="1" outlineLevel="1">
      <c r="B5662" s="187">
        <v>30532</v>
      </c>
      <c r="C5662" s="188">
        <v>12.12</v>
      </c>
      <c r="D5662" s="104">
        <f t="shared" ref="D5662:D5725" si="88">IF( LEN( C5662 ) = 0, #N/A, IF( C5662 = "ND", D5661, C5662 / 100 ) )</f>
        <v>0.12119999999999999</v>
      </c>
      <c r="F5662" s="5"/>
    </row>
    <row r="5663" spans="2:6" ht="13.8" hidden="1" outlineLevel="1">
      <c r="B5663" s="187">
        <v>30533</v>
      </c>
      <c r="C5663" s="188">
        <v>12.1</v>
      </c>
      <c r="D5663" s="104">
        <f t="shared" si="88"/>
        <v>0.121</v>
      </c>
      <c r="F5663" s="5"/>
    </row>
    <row r="5664" spans="2:6" ht="13.8" hidden="1" outlineLevel="1">
      <c r="B5664" s="187">
        <v>30536</v>
      </c>
      <c r="C5664" s="188">
        <v>12.2</v>
      </c>
      <c r="D5664" s="104">
        <f t="shared" si="88"/>
        <v>0.122</v>
      </c>
      <c r="F5664" s="5"/>
    </row>
    <row r="5665" spans="2:6" ht="13.8" hidden="1" outlineLevel="1">
      <c r="B5665" s="187">
        <v>30537</v>
      </c>
      <c r="C5665" s="188">
        <v>12.13</v>
      </c>
      <c r="D5665" s="104">
        <f t="shared" si="88"/>
        <v>0.12130000000000001</v>
      </c>
      <c r="F5665" s="5"/>
    </row>
    <row r="5666" spans="2:6" ht="13.8" hidden="1" outlineLevel="1">
      <c r="B5666" s="187">
        <v>30538</v>
      </c>
      <c r="C5666" s="188">
        <v>12.17</v>
      </c>
      <c r="D5666" s="104">
        <f t="shared" si="88"/>
        <v>0.1217</v>
      </c>
      <c r="F5666" s="5"/>
    </row>
    <row r="5667" spans="2:6" ht="13.8" hidden="1" outlineLevel="1">
      <c r="B5667" s="187">
        <v>30539</v>
      </c>
      <c r="C5667" s="188">
        <v>12.04</v>
      </c>
      <c r="D5667" s="104">
        <f t="shared" si="88"/>
        <v>0.12039999999999999</v>
      </c>
      <c r="F5667" s="5"/>
    </row>
    <row r="5668" spans="2:6" ht="13.8" hidden="1" outlineLevel="1">
      <c r="B5668" s="187">
        <v>30540</v>
      </c>
      <c r="C5668" s="188">
        <v>11.96</v>
      </c>
      <c r="D5668" s="104">
        <f t="shared" si="88"/>
        <v>0.11960000000000001</v>
      </c>
      <c r="F5668" s="5"/>
    </row>
    <row r="5669" spans="2:6" ht="13.8" hidden="1" outlineLevel="1">
      <c r="B5669" s="187">
        <v>30543</v>
      </c>
      <c r="C5669" s="188">
        <v>11.76</v>
      </c>
      <c r="D5669" s="104">
        <f t="shared" si="88"/>
        <v>0.1176</v>
      </c>
      <c r="F5669" s="5"/>
    </row>
    <row r="5670" spans="2:6" ht="13.8" hidden="1" outlineLevel="1">
      <c r="B5670" s="187">
        <v>30544</v>
      </c>
      <c r="C5670" s="188">
        <v>11.71</v>
      </c>
      <c r="D5670" s="104">
        <f t="shared" si="88"/>
        <v>0.11710000000000001</v>
      </c>
      <c r="F5670" s="5"/>
    </row>
    <row r="5671" spans="2:6" ht="13.8" hidden="1" outlineLevel="1">
      <c r="B5671" s="187">
        <v>30545</v>
      </c>
      <c r="C5671" s="188">
        <v>11.65</v>
      </c>
      <c r="D5671" s="104">
        <f t="shared" si="88"/>
        <v>0.11650000000000001</v>
      </c>
      <c r="F5671" s="5"/>
    </row>
    <row r="5672" spans="2:6" ht="13.8" hidden="1" outlineLevel="1">
      <c r="B5672" s="187">
        <v>30546</v>
      </c>
      <c r="C5672" s="188">
        <v>11.7</v>
      </c>
      <c r="D5672" s="104">
        <f t="shared" si="88"/>
        <v>0.11699999999999999</v>
      </c>
      <c r="F5672" s="5"/>
    </row>
    <row r="5673" spans="2:6" ht="13.8" hidden="1" outlineLevel="1">
      <c r="B5673" s="187">
        <v>30547</v>
      </c>
      <c r="C5673" s="188">
        <v>11.72</v>
      </c>
      <c r="D5673" s="104">
        <f t="shared" si="88"/>
        <v>0.11720000000000001</v>
      </c>
      <c r="F5673" s="5"/>
    </row>
    <row r="5674" spans="2:6" ht="13.8" hidden="1" outlineLevel="1">
      <c r="B5674" s="187">
        <v>30550</v>
      </c>
      <c r="C5674" s="188">
        <v>11.54</v>
      </c>
      <c r="D5674" s="104">
        <f t="shared" si="88"/>
        <v>0.11539999999999999</v>
      </c>
      <c r="F5674" s="5"/>
    </row>
    <row r="5675" spans="2:6" ht="13.8" hidden="1" outlineLevel="1">
      <c r="B5675" s="187">
        <v>30551</v>
      </c>
      <c r="C5675" s="188">
        <v>11.57</v>
      </c>
      <c r="D5675" s="104">
        <f t="shared" si="88"/>
        <v>0.1157</v>
      </c>
      <c r="F5675" s="5"/>
    </row>
    <row r="5676" spans="2:6" ht="13.8" hidden="1" outlineLevel="1">
      <c r="B5676" s="187">
        <v>30552</v>
      </c>
      <c r="C5676" s="188">
        <v>11.54</v>
      </c>
      <c r="D5676" s="104">
        <f t="shared" si="88"/>
        <v>0.11539999999999999</v>
      </c>
      <c r="F5676" s="5"/>
    </row>
    <row r="5677" spans="2:6" ht="13.8" hidden="1" outlineLevel="1">
      <c r="B5677" s="187">
        <v>30553</v>
      </c>
      <c r="C5677" s="188">
        <v>11.62</v>
      </c>
      <c r="D5677" s="104">
        <f t="shared" si="88"/>
        <v>0.1162</v>
      </c>
      <c r="F5677" s="5"/>
    </row>
    <row r="5678" spans="2:6" ht="13.8" hidden="1" outlineLevel="1">
      <c r="B5678" s="187">
        <v>30554</v>
      </c>
      <c r="C5678" s="188">
        <v>11.65</v>
      </c>
      <c r="D5678" s="104">
        <f t="shared" si="88"/>
        <v>0.11650000000000001</v>
      </c>
      <c r="F5678" s="5"/>
    </row>
    <row r="5679" spans="2:6" ht="13.8" hidden="1" outlineLevel="1">
      <c r="B5679" s="187">
        <v>30557</v>
      </c>
      <c r="C5679" s="188">
        <v>11.86</v>
      </c>
      <c r="D5679" s="104">
        <f t="shared" si="88"/>
        <v>0.1186</v>
      </c>
      <c r="F5679" s="5"/>
    </row>
    <row r="5680" spans="2:6" ht="13.8" hidden="1" outlineLevel="1">
      <c r="B5680" s="187">
        <v>30558</v>
      </c>
      <c r="C5680" s="188">
        <v>11.9</v>
      </c>
      <c r="D5680" s="104">
        <f t="shared" si="88"/>
        <v>0.11900000000000001</v>
      </c>
      <c r="F5680" s="5"/>
    </row>
    <row r="5681" spans="2:6" ht="13.8" hidden="1" outlineLevel="1">
      <c r="B5681" s="187">
        <v>30559</v>
      </c>
      <c r="C5681" s="188">
        <v>11.98</v>
      </c>
      <c r="D5681" s="104">
        <f t="shared" si="88"/>
        <v>0.1198</v>
      </c>
      <c r="F5681" s="5"/>
    </row>
    <row r="5682" spans="2:6" ht="13.8" hidden="1" outlineLevel="1">
      <c r="B5682" s="187">
        <v>30560</v>
      </c>
      <c r="C5682" s="188">
        <v>11.97</v>
      </c>
      <c r="D5682" s="104">
        <f t="shared" si="88"/>
        <v>0.1197</v>
      </c>
      <c r="F5682" s="5"/>
    </row>
    <row r="5683" spans="2:6" ht="13.8" hidden="1" outlineLevel="1">
      <c r="B5683" s="187">
        <v>30561</v>
      </c>
      <c r="C5683" s="188">
        <v>12.01</v>
      </c>
      <c r="D5683" s="104">
        <f t="shared" si="88"/>
        <v>0.1201</v>
      </c>
      <c r="F5683" s="5"/>
    </row>
    <row r="5684" spans="2:6" ht="13.8" hidden="1" outlineLevel="1">
      <c r="B5684" s="187">
        <v>30564</v>
      </c>
      <c r="C5684" s="188" t="s">
        <v>380</v>
      </c>
      <c r="D5684" s="104">
        <f t="shared" si="88"/>
        <v>0.1201</v>
      </c>
      <c r="F5684" s="5"/>
    </row>
    <row r="5685" spans="2:6" ht="13.8" hidden="1" outlineLevel="1">
      <c r="B5685" s="187">
        <v>30565</v>
      </c>
      <c r="C5685" s="188">
        <v>11.85</v>
      </c>
      <c r="D5685" s="104">
        <f t="shared" si="88"/>
        <v>0.11849999999999999</v>
      </c>
      <c r="F5685" s="5"/>
    </row>
    <row r="5686" spans="2:6" ht="13.8" hidden="1" outlineLevel="1">
      <c r="B5686" s="187">
        <v>30566</v>
      </c>
      <c r="C5686" s="188">
        <v>11.7</v>
      </c>
      <c r="D5686" s="104">
        <f t="shared" si="88"/>
        <v>0.11699999999999999</v>
      </c>
      <c r="F5686" s="5"/>
    </row>
    <row r="5687" spans="2:6" ht="13.8" hidden="1" outlineLevel="1">
      <c r="B5687" s="187">
        <v>30567</v>
      </c>
      <c r="C5687" s="188">
        <v>11.77</v>
      </c>
      <c r="D5687" s="104">
        <f t="shared" si="88"/>
        <v>0.1177</v>
      </c>
      <c r="F5687" s="5"/>
    </row>
    <row r="5688" spans="2:6" ht="13.8" hidden="1" outlineLevel="1">
      <c r="B5688" s="187">
        <v>30568</v>
      </c>
      <c r="C5688" s="188">
        <v>11.73</v>
      </c>
      <c r="D5688" s="104">
        <f t="shared" si="88"/>
        <v>0.1173</v>
      </c>
      <c r="F5688" s="5"/>
    </row>
    <row r="5689" spans="2:6" ht="13.8" hidden="1" outlineLevel="1">
      <c r="B5689" s="187">
        <v>30571</v>
      </c>
      <c r="C5689" s="188">
        <v>11.56</v>
      </c>
      <c r="D5689" s="104">
        <f t="shared" si="88"/>
        <v>0.11560000000000001</v>
      </c>
      <c r="F5689" s="5"/>
    </row>
    <row r="5690" spans="2:6" ht="13.8" hidden="1" outlineLevel="1">
      <c r="B5690" s="187">
        <v>30572</v>
      </c>
      <c r="C5690" s="188">
        <v>11.63</v>
      </c>
      <c r="D5690" s="104">
        <f t="shared" si="88"/>
        <v>0.11630000000000001</v>
      </c>
      <c r="F5690" s="5"/>
    </row>
    <row r="5691" spans="2:6" ht="13.8" hidden="1" outlineLevel="1">
      <c r="B5691" s="187">
        <v>30573</v>
      </c>
      <c r="C5691" s="188">
        <v>11.76</v>
      </c>
      <c r="D5691" s="104">
        <f t="shared" si="88"/>
        <v>0.1176</v>
      </c>
      <c r="F5691" s="5"/>
    </row>
    <row r="5692" spans="2:6" ht="13.8" hidden="1" outlineLevel="1">
      <c r="B5692" s="187">
        <v>30574</v>
      </c>
      <c r="C5692" s="188">
        <v>11.82</v>
      </c>
      <c r="D5692" s="104">
        <f t="shared" si="88"/>
        <v>0.1182</v>
      </c>
      <c r="F5692" s="5"/>
    </row>
    <row r="5693" spans="2:6" ht="13.8" hidden="1" outlineLevel="1">
      <c r="B5693" s="187">
        <v>30575</v>
      </c>
      <c r="C5693" s="188">
        <v>11.68</v>
      </c>
      <c r="D5693" s="104">
        <f t="shared" si="88"/>
        <v>0.1168</v>
      </c>
      <c r="F5693" s="5"/>
    </row>
    <row r="5694" spans="2:6" ht="13.8" hidden="1" outlineLevel="1">
      <c r="B5694" s="187">
        <v>30578</v>
      </c>
      <c r="C5694" s="188">
        <v>11.66</v>
      </c>
      <c r="D5694" s="104">
        <f t="shared" si="88"/>
        <v>0.1166</v>
      </c>
      <c r="F5694" s="5"/>
    </row>
    <row r="5695" spans="2:6" ht="13.8" hidden="1" outlineLevel="1">
      <c r="B5695" s="187">
        <v>30579</v>
      </c>
      <c r="C5695" s="188">
        <v>11.57</v>
      </c>
      <c r="D5695" s="104">
        <f t="shared" si="88"/>
        <v>0.1157</v>
      </c>
      <c r="F5695" s="5"/>
    </row>
    <row r="5696" spans="2:6" ht="13.8" hidden="1" outlineLevel="1">
      <c r="B5696" s="187">
        <v>30580</v>
      </c>
      <c r="C5696" s="188">
        <v>11.64</v>
      </c>
      <c r="D5696" s="104">
        <f t="shared" si="88"/>
        <v>0.1164</v>
      </c>
      <c r="F5696" s="5"/>
    </row>
    <row r="5697" spans="2:6" ht="13.8" hidden="1" outlineLevel="1">
      <c r="B5697" s="187">
        <v>30581</v>
      </c>
      <c r="C5697" s="188">
        <v>11.6</v>
      </c>
      <c r="D5697" s="104">
        <f t="shared" si="88"/>
        <v>0.11599999999999999</v>
      </c>
      <c r="F5697" s="5"/>
    </row>
    <row r="5698" spans="2:6" ht="13.8" hidden="1" outlineLevel="1">
      <c r="B5698" s="187">
        <v>30582</v>
      </c>
      <c r="C5698" s="188">
        <v>11.49</v>
      </c>
      <c r="D5698" s="104">
        <f t="shared" si="88"/>
        <v>0.1149</v>
      </c>
      <c r="F5698" s="5"/>
    </row>
    <row r="5699" spans="2:6" ht="13.8" hidden="1" outlineLevel="1">
      <c r="B5699" s="187">
        <v>30585</v>
      </c>
      <c r="C5699" s="188">
        <v>11.41</v>
      </c>
      <c r="D5699" s="104">
        <f t="shared" si="88"/>
        <v>0.11410000000000001</v>
      </c>
      <c r="F5699" s="5"/>
    </row>
    <row r="5700" spans="2:6" ht="13.8" hidden="1" outlineLevel="1">
      <c r="B5700" s="187">
        <v>30586</v>
      </c>
      <c r="C5700" s="188">
        <v>11.45</v>
      </c>
      <c r="D5700" s="104">
        <f t="shared" si="88"/>
        <v>0.11449999999999999</v>
      </c>
      <c r="F5700" s="5"/>
    </row>
    <row r="5701" spans="2:6" ht="13.8" hidden="1" outlineLevel="1">
      <c r="B5701" s="187">
        <v>30587</v>
      </c>
      <c r="C5701" s="188">
        <v>11.49</v>
      </c>
      <c r="D5701" s="104">
        <f t="shared" si="88"/>
        <v>0.1149</v>
      </c>
      <c r="F5701" s="5"/>
    </row>
    <row r="5702" spans="2:6" ht="13.8" hidden="1" outlineLevel="1">
      <c r="B5702" s="187">
        <v>30588</v>
      </c>
      <c r="C5702" s="188">
        <v>11.5</v>
      </c>
      <c r="D5702" s="104">
        <f t="shared" si="88"/>
        <v>0.115</v>
      </c>
      <c r="F5702" s="5"/>
    </row>
    <row r="5703" spans="2:6" ht="13.8" hidden="1" outlineLevel="1">
      <c r="B5703" s="187">
        <v>30589</v>
      </c>
      <c r="C5703" s="188">
        <v>11.44</v>
      </c>
      <c r="D5703" s="104">
        <f t="shared" si="88"/>
        <v>0.1144</v>
      </c>
      <c r="F5703" s="5"/>
    </row>
    <row r="5704" spans="2:6" ht="13.8" hidden="1" outlineLevel="1">
      <c r="B5704" s="187">
        <v>30592</v>
      </c>
      <c r="C5704" s="188">
        <v>11.47</v>
      </c>
      <c r="D5704" s="104">
        <f t="shared" si="88"/>
        <v>0.11470000000000001</v>
      </c>
      <c r="F5704" s="5"/>
    </row>
    <row r="5705" spans="2:6" ht="13.8" hidden="1" outlineLevel="1">
      <c r="B5705" s="187">
        <v>30593</v>
      </c>
      <c r="C5705" s="188">
        <v>11.46</v>
      </c>
      <c r="D5705" s="104">
        <f t="shared" si="88"/>
        <v>0.11460000000000001</v>
      </c>
      <c r="F5705" s="5"/>
    </row>
    <row r="5706" spans="2:6" ht="13.8" hidden="1" outlineLevel="1">
      <c r="B5706" s="187">
        <v>30594</v>
      </c>
      <c r="C5706" s="188">
        <v>11.35</v>
      </c>
      <c r="D5706" s="104">
        <f t="shared" si="88"/>
        <v>0.11349999999999999</v>
      </c>
      <c r="F5706" s="5"/>
    </row>
    <row r="5707" spans="2:6" ht="13.8" hidden="1" outlineLevel="1">
      <c r="B5707" s="187">
        <v>30595</v>
      </c>
      <c r="C5707" s="188">
        <v>11.31</v>
      </c>
      <c r="D5707" s="104">
        <f t="shared" si="88"/>
        <v>0.11310000000000001</v>
      </c>
      <c r="F5707" s="5"/>
    </row>
    <row r="5708" spans="2:6" ht="13.8" hidden="1" outlineLevel="1">
      <c r="B5708" s="187">
        <v>30596</v>
      </c>
      <c r="C5708" s="188">
        <v>11.33</v>
      </c>
      <c r="D5708" s="104">
        <f t="shared" si="88"/>
        <v>0.1133</v>
      </c>
      <c r="F5708" s="5"/>
    </row>
    <row r="5709" spans="2:6" ht="13.8" hidden="1" outlineLevel="1">
      <c r="B5709" s="187">
        <v>30599</v>
      </c>
      <c r="C5709" s="188" t="s">
        <v>380</v>
      </c>
      <c r="D5709" s="104">
        <f t="shared" si="88"/>
        <v>0.1133</v>
      </c>
      <c r="F5709" s="5"/>
    </row>
    <row r="5710" spans="2:6" ht="13.8" hidden="1" outlineLevel="1">
      <c r="B5710" s="187">
        <v>30600</v>
      </c>
      <c r="C5710" s="188">
        <v>11.57</v>
      </c>
      <c r="D5710" s="104">
        <f t="shared" si="88"/>
        <v>0.1157</v>
      </c>
      <c r="F5710" s="5"/>
    </row>
    <row r="5711" spans="2:6" ht="13.8" hidden="1" outlineLevel="1">
      <c r="B5711" s="187">
        <v>30601</v>
      </c>
      <c r="C5711" s="188">
        <v>11.59</v>
      </c>
      <c r="D5711" s="104">
        <f t="shared" si="88"/>
        <v>0.1159</v>
      </c>
      <c r="F5711" s="5"/>
    </row>
    <row r="5712" spans="2:6" ht="13.8" hidden="1" outlineLevel="1">
      <c r="B5712" s="187">
        <v>30602</v>
      </c>
      <c r="C5712" s="188">
        <v>11.65</v>
      </c>
      <c r="D5712" s="104">
        <f t="shared" si="88"/>
        <v>0.11650000000000001</v>
      </c>
      <c r="F5712" s="5"/>
    </row>
    <row r="5713" spans="2:6" ht="13.8" hidden="1" outlineLevel="1">
      <c r="B5713" s="187">
        <v>30603</v>
      </c>
      <c r="C5713" s="188">
        <v>11.58</v>
      </c>
      <c r="D5713" s="104">
        <f t="shared" si="88"/>
        <v>0.1158</v>
      </c>
      <c r="F5713" s="5"/>
    </row>
    <row r="5714" spans="2:6" ht="13.8" hidden="1" outlineLevel="1">
      <c r="B5714" s="187">
        <v>30606</v>
      </c>
      <c r="C5714" s="188">
        <v>11.47</v>
      </c>
      <c r="D5714" s="104">
        <f t="shared" si="88"/>
        <v>0.11470000000000001</v>
      </c>
      <c r="F5714" s="5"/>
    </row>
    <row r="5715" spans="2:6" ht="13.8" hidden="1" outlineLevel="1">
      <c r="B5715" s="187">
        <v>30607</v>
      </c>
      <c r="C5715" s="188">
        <v>11.49</v>
      </c>
      <c r="D5715" s="104">
        <f t="shared" si="88"/>
        <v>0.1149</v>
      </c>
      <c r="F5715" s="5"/>
    </row>
    <row r="5716" spans="2:6" ht="13.8" hidden="1" outlineLevel="1">
      <c r="B5716" s="187">
        <v>30608</v>
      </c>
      <c r="C5716" s="188">
        <v>11.49</v>
      </c>
      <c r="D5716" s="104">
        <f t="shared" si="88"/>
        <v>0.1149</v>
      </c>
      <c r="F5716" s="5"/>
    </row>
    <row r="5717" spans="2:6" ht="13.8" hidden="1" outlineLevel="1">
      <c r="B5717" s="187">
        <v>30609</v>
      </c>
      <c r="C5717" s="188">
        <v>11.47</v>
      </c>
      <c r="D5717" s="104">
        <f t="shared" si="88"/>
        <v>0.11470000000000001</v>
      </c>
      <c r="F5717" s="5"/>
    </row>
    <row r="5718" spans="2:6" ht="13.8" hidden="1" outlineLevel="1">
      <c r="B5718" s="187">
        <v>30610</v>
      </c>
      <c r="C5718" s="188">
        <v>11.43</v>
      </c>
      <c r="D5718" s="104">
        <f t="shared" si="88"/>
        <v>0.1143</v>
      </c>
      <c r="F5718" s="5"/>
    </row>
    <row r="5719" spans="2:6" ht="13.8" hidden="1" outlineLevel="1">
      <c r="B5719" s="187">
        <v>30613</v>
      </c>
      <c r="C5719" s="188">
        <v>11.66</v>
      </c>
      <c r="D5719" s="104">
        <f t="shared" si="88"/>
        <v>0.1166</v>
      </c>
      <c r="F5719" s="5"/>
    </row>
    <row r="5720" spans="2:6" ht="13.8" hidden="1" outlineLevel="1">
      <c r="B5720" s="187">
        <v>30614</v>
      </c>
      <c r="C5720" s="188">
        <v>11.7</v>
      </c>
      <c r="D5720" s="104">
        <f t="shared" si="88"/>
        <v>0.11699999999999999</v>
      </c>
      <c r="F5720" s="5"/>
    </row>
    <row r="5721" spans="2:6" ht="13.8" hidden="1" outlineLevel="1">
      <c r="B5721" s="187">
        <v>30615</v>
      </c>
      <c r="C5721" s="188">
        <v>11.72</v>
      </c>
      <c r="D5721" s="104">
        <f t="shared" si="88"/>
        <v>0.11720000000000001</v>
      </c>
      <c r="F5721" s="5"/>
    </row>
    <row r="5722" spans="2:6" ht="13.8" hidden="1" outlineLevel="1">
      <c r="B5722" s="187">
        <v>30616</v>
      </c>
      <c r="C5722" s="188">
        <v>11.66</v>
      </c>
      <c r="D5722" s="104">
        <f t="shared" si="88"/>
        <v>0.1166</v>
      </c>
      <c r="F5722" s="5"/>
    </row>
    <row r="5723" spans="2:6" ht="13.8" hidden="1" outlineLevel="1">
      <c r="B5723" s="187">
        <v>30617</v>
      </c>
      <c r="C5723" s="188">
        <v>11.68</v>
      </c>
      <c r="D5723" s="104">
        <f t="shared" si="88"/>
        <v>0.1168</v>
      </c>
      <c r="F5723" s="5"/>
    </row>
    <row r="5724" spans="2:6" ht="13.8" hidden="1" outlineLevel="1">
      <c r="B5724" s="187">
        <v>30620</v>
      </c>
      <c r="C5724" s="188">
        <v>11.74</v>
      </c>
      <c r="D5724" s="104">
        <f t="shared" si="88"/>
        <v>0.1174</v>
      </c>
      <c r="F5724" s="5"/>
    </row>
    <row r="5725" spans="2:6" ht="13.8" hidden="1" outlineLevel="1">
      <c r="B5725" s="187">
        <v>30621</v>
      </c>
      <c r="C5725" s="188">
        <v>11.69</v>
      </c>
      <c r="D5725" s="104">
        <f t="shared" si="88"/>
        <v>0.11689999999999999</v>
      </c>
      <c r="F5725" s="5"/>
    </row>
    <row r="5726" spans="2:6" ht="13.8" hidden="1" outlineLevel="1">
      <c r="B5726" s="187">
        <v>30622</v>
      </c>
      <c r="C5726" s="188">
        <v>11.7</v>
      </c>
      <c r="D5726" s="104">
        <f t="shared" ref="D5726:D5789" si="89">IF( LEN( C5726 ) = 0, #N/A, IF( C5726 = "ND", D5725, C5726 / 100 ) )</f>
        <v>0.11699999999999999</v>
      </c>
      <c r="F5726" s="5"/>
    </row>
    <row r="5727" spans="2:6" ht="13.8" hidden="1" outlineLevel="1">
      <c r="B5727" s="187">
        <v>30623</v>
      </c>
      <c r="C5727" s="188">
        <v>11.75</v>
      </c>
      <c r="D5727" s="104">
        <f t="shared" si="89"/>
        <v>0.11749999999999999</v>
      </c>
      <c r="F5727" s="5"/>
    </row>
    <row r="5728" spans="2:6" ht="13.8" hidden="1" outlineLevel="1">
      <c r="B5728" s="187">
        <v>30624</v>
      </c>
      <c r="C5728" s="188">
        <v>11.85</v>
      </c>
      <c r="D5728" s="104">
        <f t="shared" si="89"/>
        <v>0.11849999999999999</v>
      </c>
      <c r="F5728" s="5"/>
    </row>
    <row r="5729" spans="2:6" ht="13.8" hidden="1" outlineLevel="1">
      <c r="B5729" s="187">
        <v>30627</v>
      </c>
      <c r="C5729" s="188">
        <v>11.85</v>
      </c>
      <c r="D5729" s="104">
        <f t="shared" si="89"/>
        <v>0.11849999999999999</v>
      </c>
      <c r="F5729" s="5"/>
    </row>
    <row r="5730" spans="2:6" ht="13.8" hidden="1" outlineLevel="1">
      <c r="B5730" s="187">
        <v>30628</v>
      </c>
      <c r="C5730" s="188" t="s">
        <v>380</v>
      </c>
      <c r="D5730" s="104">
        <f t="shared" si="89"/>
        <v>0.11849999999999999</v>
      </c>
      <c r="F5730" s="5"/>
    </row>
    <row r="5731" spans="2:6" ht="13.8" hidden="1" outlineLevel="1">
      <c r="B5731" s="187">
        <v>30629</v>
      </c>
      <c r="C5731" s="188">
        <v>11.84</v>
      </c>
      <c r="D5731" s="104">
        <f t="shared" si="89"/>
        <v>0.11840000000000001</v>
      </c>
      <c r="F5731" s="5"/>
    </row>
    <row r="5732" spans="2:6" ht="13.8" hidden="1" outlineLevel="1">
      <c r="B5732" s="187">
        <v>30630</v>
      </c>
      <c r="C5732" s="188">
        <v>11.71</v>
      </c>
      <c r="D5732" s="104">
        <f t="shared" si="89"/>
        <v>0.11710000000000001</v>
      </c>
      <c r="F5732" s="5"/>
    </row>
    <row r="5733" spans="2:6" ht="13.8" hidden="1" outlineLevel="1">
      <c r="B5733" s="187">
        <v>30631</v>
      </c>
      <c r="C5733" s="188" t="s">
        <v>380</v>
      </c>
      <c r="D5733" s="104">
        <f t="shared" si="89"/>
        <v>0.11710000000000001</v>
      </c>
      <c r="F5733" s="5"/>
    </row>
    <row r="5734" spans="2:6" ht="13.8" hidden="1" outlineLevel="1">
      <c r="B5734" s="187">
        <v>30634</v>
      </c>
      <c r="C5734" s="188">
        <v>11.68</v>
      </c>
      <c r="D5734" s="104">
        <f t="shared" si="89"/>
        <v>0.1168</v>
      </c>
      <c r="F5734" s="5"/>
    </row>
    <row r="5735" spans="2:6" ht="13.8" hidden="1" outlineLevel="1">
      <c r="B5735" s="187">
        <v>30635</v>
      </c>
      <c r="C5735" s="188">
        <v>11.7</v>
      </c>
      <c r="D5735" s="104">
        <f t="shared" si="89"/>
        <v>0.11699999999999999</v>
      </c>
      <c r="F5735" s="5"/>
    </row>
    <row r="5736" spans="2:6" ht="13.8" hidden="1" outlineLevel="1">
      <c r="B5736" s="187">
        <v>30636</v>
      </c>
      <c r="C5736" s="188">
        <v>11.7</v>
      </c>
      <c r="D5736" s="104">
        <f t="shared" si="89"/>
        <v>0.11699999999999999</v>
      </c>
      <c r="F5736" s="5"/>
    </row>
    <row r="5737" spans="2:6" ht="13.8" hidden="1" outlineLevel="1">
      <c r="B5737" s="187">
        <v>30637</v>
      </c>
      <c r="C5737" s="188">
        <v>11.72</v>
      </c>
      <c r="D5737" s="104">
        <f t="shared" si="89"/>
        <v>0.11720000000000001</v>
      </c>
      <c r="F5737" s="5"/>
    </row>
    <row r="5738" spans="2:6" ht="13.8" hidden="1" outlineLevel="1">
      <c r="B5738" s="187">
        <v>30638</v>
      </c>
      <c r="C5738" s="188">
        <v>11.72</v>
      </c>
      <c r="D5738" s="104">
        <f t="shared" si="89"/>
        <v>0.11720000000000001</v>
      </c>
      <c r="F5738" s="5"/>
    </row>
    <row r="5739" spans="2:6" ht="13.8" hidden="1" outlineLevel="1">
      <c r="B5739" s="187">
        <v>30641</v>
      </c>
      <c r="C5739" s="188">
        <v>11.65</v>
      </c>
      <c r="D5739" s="104">
        <f t="shared" si="89"/>
        <v>0.11650000000000001</v>
      </c>
      <c r="F5739" s="5"/>
    </row>
    <row r="5740" spans="2:6" ht="13.8" hidden="1" outlineLevel="1">
      <c r="B5740" s="187">
        <v>30642</v>
      </c>
      <c r="C5740" s="188">
        <v>11.57</v>
      </c>
      <c r="D5740" s="104">
        <f t="shared" si="89"/>
        <v>0.1157</v>
      </c>
      <c r="F5740" s="5"/>
    </row>
    <row r="5741" spans="2:6" ht="13.8" hidden="1" outlineLevel="1">
      <c r="B5741" s="187">
        <v>30643</v>
      </c>
      <c r="C5741" s="188">
        <v>11.59</v>
      </c>
      <c r="D5741" s="104">
        <f t="shared" si="89"/>
        <v>0.1159</v>
      </c>
      <c r="F5741" s="5"/>
    </row>
    <row r="5742" spans="2:6" ht="13.8" hidden="1" outlineLevel="1">
      <c r="B5742" s="187">
        <v>30644</v>
      </c>
      <c r="C5742" s="188" t="s">
        <v>380</v>
      </c>
      <c r="D5742" s="104">
        <f t="shared" si="89"/>
        <v>0.1159</v>
      </c>
      <c r="F5742" s="5"/>
    </row>
    <row r="5743" spans="2:6" ht="13.8" hidden="1" outlineLevel="1">
      <c r="B5743" s="187">
        <v>30645</v>
      </c>
      <c r="C5743" s="188">
        <v>11.55</v>
      </c>
      <c r="D5743" s="104">
        <f t="shared" si="89"/>
        <v>0.11550000000000001</v>
      </c>
      <c r="F5743" s="5"/>
    </row>
    <row r="5744" spans="2:6" ht="13.8" hidden="1" outlineLevel="1">
      <c r="B5744" s="187">
        <v>30648</v>
      </c>
      <c r="C5744" s="188">
        <v>11.63</v>
      </c>
      <c r="D5744" s="104">
        <f t="shared" si="89"/>
        <v>0.11630000000000001</v>
      </c>
      <c r="F5744" s="5"/>
    </row>
    <row r="5745" spans="2:6" ht="13.8" hidden="1" outlineLevel="1">
      <c r="B5745" s="187">
        <v>30649</v>
      </c>
      <c r="C5745" s="188">
        <v>11.58</v>
      </c>
      <c r="D5745" s="104">
        <f t="shared" si="89"/>
        <v>0.1158</v>
      </c>
      <c r="F5745" s="5"/>
    </row>
    <row r="5746" spans="2:6" ht="13.8" hidden="1" outlineLevel="1">
      <c r="B5746" s="187">
        <v>30650</v>
      </c>
      <c r="C5746" s="188">
        <v>11.63</v>
      </c>
      <c r="D5746" s="104">
        <f t="shared" si="89"/>
        <v>0.11630000000000001</v>
      </c>
      <c r="F5746" s="5"/>
    </row>
    <row r="5747" spans="2:6" ht="13.8" hidden="1" outlineLevel="1">
      <c r="B5747" s="187">
        <v>30651</v>
      </c>
      <c r="C5747" s="188">
        <v>11.63</v>
      </c>
      <c r="D5747" s="104">
        <f t="shared" si="89"/>
        <v>0.11630000000000001</v>
      </c>
      <c r="F5747" s="5"/>
    </row>
    <row r="5748" spans="2:6" ht="13.8" hidden="1" outlineLevel="1">
      <c r="B5748" s="187">
        <v>30652</v>
      </c>
      <c r="C5748" s="188">
        <v>11.75</v>
      </c>
      <c r="D5748" s="104">
        <f t="shared" si="89"/>
        <v>0.11749999999999999</v>
      </c>
      <c r="F5748" s="5"/>
    </row>
    <row r="5749" spans="2:6" ht="13.8" hidden="1" outlineLevel="1">
      <c r="B5749" s="187">
        <v>30655</v>
      </c>
      <c r="C5749" s="188">
        <v>11.78</v>
      </c>
      <c r="D5749" s="104">
        <f t="shared" si="89"/>
        <v>0.11779999999999999</v>
      </c>
      <c r="F5749" s="5"/>
    </row>
    <row r="5750" spans="2:6" ht="13.8" hidden="1" outlineLevel="1">
      <c r="B5750" s="187">
        <v>30656</v>
      </c>
      <c r="C5750" s="188">
        <v>11.76</v>
      </c>
      <c r="D5750" s="104">
        <f t="shared" si="89"/>
        <v>0.1176</v>
      </c>
      <c r="F5750" s="5"/>
    </row>
    <row r="5751" spans="2:6" ht="13.8" hidden="1" outlineLevel="1">
      <c r="B5751" s="187">
        <v>30657</v>
      </c>
      <c r="C5751" s="188">
        <v>11.79</v>
      </c>
      <c r="D5751" s="104">
        <f t="shared" si="89"/>
        <v>0.11789999999999999</v>
      </c>
      <c r="F5751" s="5"/>
    </row>
    <row r="5752" spans="2:6" ht="13.8" hidden="1" outlineLevel="1">
      <c r="B5752" s="187">
        <v>30658</v>
      </c>
      <c r="C5752" s="188">
        <v>11.89</v>
      </c>
      <c r="D5752" s="104">
        <f t="shared" si="89"/>
        <v>0.11890000000000001</v>
      </c>
      <c r="F5752" s="5"/>
    </row>
    <row r="5753" spans="2:6" ht="13.8" hidden="1" outlineLevel="1">
      <c r="B5753" s="187">
        <v>30659</v>
      </c>
      <c r="C5753" s="188">
        <v>11.9</v>
      </c>
      <c r="D5753" s="104">
        <f t="shared" si="89"/>
        <v>0.11900000000000001</v>
      </c>
      <c r="F5753" s="5"/>
    </row>
    <row r="5754" spans="2:6" ht="13.8" hidden="1" outlineLevel="1">
      <c r="B5754" s="187">
        <v>30662</v>
      </c>
      <c r="C5754" s="188">
        <v>11.87</v>
      </c>
      <c r="D5754" s="104">
        <f t="shared" si="89"/>
        <v>0.11869999999999999</v>
      </c>
      <c r="F5754" s="5"/>
    </row>
    <row r="5755" spans="2:6" ht="13.8" hidden="1" outlineLevel="1">
      <c r="B5755" s="187">
        <v>30663</v>
      </c>
      <c r="C5755" s="188">
        <v>11.95</v>
      </c>
      <c r="D5755" s="104">
        <f t="shared" si="89"/>
        <v>0.1195</v>
      </c>
      <c r="F5755" s="5"/>
    </row>
    <row r="5756" spans="2:6" ht="13.8" hidden="1" outlineLevel="1">
      <c r="B5756" s="187">
        <v>30664</v>
      </c>
      <c r="C5756" s="188">
        <v>11.97</v>
      </c>
      <c r="D5756" s="104">
        <f t="shared" si="89"/>
        <v>0.1197</v>
      </c>
      <c r="F5756" s="5"/>
    </row>
    <row r="5757" spans="2:6" ht="13.8" hidden="1" outlineLevel="1">
      <c r="B5757" s="187">
        <v>30665</v>
      </c>
      <c r="C5757" s="188">
        <v>11.96</v>
      </c>
      <c r="D5757" s="104">
        <f t="shared" si="89"/>
        <v>0.11960000000000001</v>
      </c>
      <c r="F5757" s="5"/>
    </row>
    <row r="5758" spans="2:6" ht="13.8" hidden="1" outlineLevel="1">
      <c r="B5758" s="187">
        <v>30666</v>
      </c>
      <c r="C5758" s="188">
        <v>11.88</v>
      </c>
      <c r="D5758" s="104">
        <f t="shared" si="89"/>
        <v>0.1188</v>
      </c>
      <c r="F5758" s="5"/>
    </row>
    <row r="5759" spans="2:6" ht="13.8" hidden="1" outlineLevel="1">
      <c r="B5759" s="187">
        <v>30669</v>
      </c>
      <c r="C5759" s="188">
        <v>11.87</v>
      </c>
      <c r="D5759" s="104">
        <f t="shared" si="89"/>
        <v>0.11869999999999999</v>
      </c>
      <c r="F5759" s="5"/>
    </row>
    <row r="5760" spans="2:6" ht="13.8" hidden="1" outlineLevel="1">
      <c r="B5760" s="187">
        <v>30670</v>
      </c>
      <c r="C5760" s="188">
        <v>11.86</v>
      </c>
      <c r="D5760" s="104">
        <f t="shared" si="89"/>
        <v>0.1186</v>
      </c>
      <c r="F5760" s="5"/>
    </row>
    <row r="5761" spans="2:6" ht="13.8" hidden="1" outlineLevel="1">
      <c r="B5761" s="187">
        <v>30671</v>
      </c>
      <c r="C5761" s="188">
        <v>11.83</v>
      </c>
      <c r="D5761" s="104">
        <f t="shared" si="89"/>
        <v>0.1183</v>
      </c>
      <c r="F5761" s="5"/>
    </row>
    <row r="5762" spans="2:6" ht="13.8" hidden="1" outlineLevel="1">
      <c r="B5762" s="187">
        <v>30672</v>
      </c>
      <c r="C5762" s="188">
        <v>11.77</v>
      </c>
      <c r="D5762" s="104">
        <f t="shared" si="89"/>
        <v>0.1177</v>
      </c>
      <c r="F5762" s="5"/>
    </row>
    <row r="5763" spans="2:6" ht="13.8" hidden="1" outlineLevel="1">
      <c r="B5763" s="187">
        <v>30673</v>
      </c>
      <c r="C5763" s="188">
        <v>11.79</v>
      </c>
      <c r="D5763" s="104">
        <f t="shared" si="89"/>
        <v>0.11789999999999999</v>
      </c>
      <c r="F5763" s="5"/>
    </row>
    <row r="5764" spans="2:6" ht="13.8" hidden="1" outlineLevel="1">
      <c r="B5764" s="187">
        <v>30676</v>
      </c>
      <c r="C5764" s="188" t="s">
        <v>380</v>
      </c>
      <c r="D5764" s="104">
        <f t="shared" si="89"/>
        <v>0.11789999999999999</v>
      </c>
      <c r="F5764" s="5"/>
    </row>
    <row r="5765" spans="2:6" ht="13.8" hidden="1" outlineLevel="1">
      <c r="B5765" s="187">
        <v>30677</v>
      </c>
      <c r="C5765" s="188">
        <v>11.75</v>
      </c>
      <c r="D5765" s="104">
        <f t="shared" si="89"/>
        <v>0.11749999999999999</v>
      </c>
      <c r="F5765" s="5"/>
    </row>
    <row r="5766" spans="2:6" ht="13.8" hidden="1" outlineLevel="1">
      <c r="B5766" s="187">
        <v>30678</v>
      </c>
      <c r="C5766" s="188">
        <v>11.81</v>
      </c>
      <c r="D5766" s="104">
        <f t="shared" si="89"/>
        <v>0.11810000000000001</v>
      </c>
      <c r="F5766" s="5"/>
    </row>
    <row r="5767" spans="2:6" ht="13.8" hidden="1" outlineLevel="1">
      <c r="B5767" s="187">
        <v>30679</v>
      </c>
      <c r="C5767" s="188">
        <v>11.79</v>
      </c>
      <c r="D5767" s="104">
        <f t="shared" si="89"/>
        <v>0.11789999999999999</v>
      </c>
      <c r="F5767" s="5"/>
    </row>
    <row r="5768" spans="2:6" ht="13.8" hidden="1" outlineLevel="1">
      <c r="B5768" s="187">
        <v>30680</v>
      </c>
      <c r="C5768" s="188">
        <v>11.82</v>
      </c>
      <c r="D5768" s="104">
        <f t="shared" si="89"/>
        <v>0.1182</v>
      </c>
      <c r="F5768" s="5"/>
    </row>
    <row r="5769" spans="2:6" ht="13.8" hidden="1" outlineLevel="1">
      <c r="B5769" s="187">
        <v>30683</v>
      </c>
      <c r="C5769" s="188" t="s">
        <v>380</v>
      </c>
      <c r="D5769" s="104">
        <f t="shared" si="89"/>
        <v>0.1182</v>
      </c>
      <c r="F5769" s="5"/>
    </row>
    <row r="5770" spans="2:6" ht="13.8" hidden="1" outlineLevel="1">
      <c r="B5770" s="187">
        <v>30684</v>
      </c>
      <c r="C5770" s="188">
        <v>11.86</v>
      </c>
      <c r="D5770" s="104">
        <f t="shared" si="89"/>
        <v>0.1186</v>
      </c>
      <c r="F5770" s="5"/>
    </row>
    <row r="5771" spans="2:6" ht="13.8" hidden="1" outlineLevel="1">
      <c r="B5771" s="187">
        <v>30685</v>
      </c>
      <c r="C5771" s="188">
        <v>11.78</v>
      </c>
      <c r="D5771" s="104">
        <f t="shared" si="89"/>
        <v>0.11779999999999999</v>
      </c>
      <c r="F5771" s="5"/>
    </row>
    <row r="5772" spans="2:6" ht="13.8" hidden="1" outlineLevel="1">
      <c r="B5772" s="187">
        <v>30686</v>
      </c>
      <c r="C5772" s="188">
        <v>11.77</v>
      </c>
      <c r="D5772" s="104">
        <f t="shared" si="89"/>
        <v>0.1177</v>
      </c>
      <c r="F5772" s="5"/>
    </row>
    <row r="5773" spans="2:6" ht="13.8" hidden="1" outlineLevel="1">
      <c r="B5773" s="187">
        <v>30687</v>
      </c>
      <c r="C5773" s="188">
        <v>11.73</v>
      </c>
      <c r="D5773" s="104">
        <f t="shared" si="89"/>
        <v>0.1173</v>
      </c>
      <c r="F5773" s="5"/>
    </row>
    <row r="5774" spans="2:6" ht="13.8" hidden="1" outlineLevel="1">
      <c r="B5774" s="187">
        <v>30690</v>
      </c>
      <c r="C5774" s="188">
        <v>11.75</v>
      </c>
      <c r="D5774" s="104">
        <f t="shared" si="89"/>
        <v>0.11749999999999999</v>
      </c>
      <c r="F5774" s="5"/>
    </row>
    <row r="5775" spans="2:6" ht="13.8" hidden="1" outlineLevel="1">
      <c r="B5775" s="187">
        <v>30691</v>
      </c>
      <c r="C5775" s="188">
        <v>11.71</v>
      </c>
      <c r="D5775" s="104">
        <f t="shared" si="89"/>
        <v>0.11710000000000001</v>
      </c>
      <c r="F5775" s="5"/>
    </row>
    <row r="5776" spans="2:6" ht="13.8" hidden="1" outlineLevel="1">
      <c r="B5776" s="187">
        <v>30692</v>
      </c>
      <c r="C5776" s="188">
        <v>11.76</v>
      </c>
      <c r="D5776" s="104">
        <f t="shared" si="89"/>
        <v>0.1176</v>
      </c>
      <c r="F5776" s="5"/>
    </row>
    <row r="5777" spans="2:6" ht="13.8" hidden="1" outlineLevel="1">
      <c r="B5777" s="187">
        <v>30693</v>
      </c>
      <c r="C5777" s="188">
        <v>11.76</v>
      </c>
      <c r="D5777" s="104">
        <f t="shared" si="89"/>
        <v>0.1176</v>
      </c>
      <c r="F5777" s="5"/>
    </row>
    <row r="5778" spans="2:6" ht="13.8" hidden="1" outlineLevel="1">
      <c r="B5778" s="187">
        <v>30694</v>
      </c>
      <c r="C5778" s="188">
        <v>11.59</v>
      </c>
      <c r="D5778" s="104">
        <f t="shared" si="89"/>
        <v>0.1159</v>
      </c>
      <c r="F5778" s="5"/>
    </row>
    <row r="5779" spans="2:6" ht="13.8" hidden="1" outlineLevel="1">
      <c r="B5779" s="187">
        <v>30697</v>
      </c>
      <c r="C5779" s="188">
        <v>11.54</v>
      </c>
      <c r="D5779" s="104">
        <f t="shared" si="89"/>
        <v>0.11539999999999999</v>
      </c>
      <c r="F5779" s="5"/>
    </row>
    <row r="5780" spans="2:6" ht="13.8" hidden="1" outlineLevel="1">
      <c r="B5780" s="187">
        <v>30698</v>
      </c>
      <c r="C5780" s="188">
        <v>11.57</v>
      </c>
      <c r="D5780" s="104">
        <f t="shared" si="89"/>
        <v>0.1157</v>
      </c>
      <c r="F5780" s="5"/>
    </row>
    <row r="5781" spans="2:6" ht="13.8" hidden="1" outlineLevel="1">
      <c r="B5781" s="187">
        <v>30699</v>
      </c>
      <c r="C5781" s="188">
        <v>11.61</v>
      </c>
      <c r="D5781" s="104">
        <f t="shared" si="89"/>
        <v>0.11609999999999999</v>
      </c>
      <c r="F5781" s="5"/>
    </row>
    <row r="5782" spans="2:6" ht="13.8" hidden="1" outlineLevel="1">
      <c r="B5782" s="187">
        <v>30700</v>
      </c>
      <c r="C5782" s="188">
        <v>11.6</v>
      </c>
      <c r="D5782" s="104">
        <f t="shared" si="89"/>
        <v>0.11599999999999999</v>
      </c>
      <c r="F5782" s="5"/>
    </row>
    <row r="5783" spans="2:6" ht="13.8" hidden="1" outlineLevel="1">
      <c r="B5783" s="187">
        <v>30701</v>
      </c>
      <c r="C5783" s="188">
        <v>11.64</v>
      </c>
      <c r="D5783" s="104">
        <f t="shared" si="89"/>
        <v>0.1164</v>
      </c>
      <c r="F5783" s="5"/>
    </row>
    <row r="5784" spans="2:6" ht="13.8" hidden="1" outlineLevel="1">
      <c r="B5784" s="187">
        <v>30704</v>
      </c>
      <c r="C5784" s="188">
        <v>11.63</v>
      </c>
      <c r="D5784" s="104">
        <f t="shared" si="89"/>
        <v>0.11630000000000001</v>
      </c>
      <c r="F5784" s="5"/>
    </row>
    <row r="5785" spans="2:6" ht="13.8" hidden="1" outlineLevel="1">
      <c r="B5785" s="187">
        <v>30705</v>
      </c>
      <c r="C5785" s="188">
        <v>11.63</v>
      </c>
      <c r="D5785" s="104">
        <f t="shared" si="89"/>
        <v>0.11630000000000001</v>
      </c>
      <c r="F5785" s="5"/>
    </row>
    <row r="5786" spans="2:6" ht="13.8" hidden="1" outlineLevel="1">
      <c r="B5786" s="187">
        <v>30706</v>
      </c>
      <c r="C5786" s="188">
        <v>11.64</v>
      </c>
      <c r="D5786" s="104">
        <f t="shared" si="89"/>
        <v>0.1164</v>
      </c>
      <c r="F5786" s="5"/>
    </row>
    <row r="5787" spans="2:6" ht="13.8" hidden="1" outlineLevel="1">
      <c r="B5787" s="187">
        <v>30707</v>
      </c>
      <c r="C5787" s="188">
        <v>11.63</v>
      </c>
      <c r="D5787" s="104">
        <f t="shared" si="89"/>
        <v>0.11630000000000001</v>
      </c>
      <c r="F5787" s="5"/>
    </row>
    <row r="5788" spans="2:6" ht="13.8" hidden="1" outlineLevel="1">
      <c r="B5788" s="187">
        <v>30708</v>
      </c>
      <c r="C5788" s="188">
        <v>11.63</v>
      </c>
      <c r="D5788" s="104">
        <f t="shared" si="89"/>
        <v>0.11630000000000001</v>
      </c>
      <c r="F5788" s="5"/>
    </row>
    <row r="5789" spans="2:6" ht="13.8" hidden="1" outlineLevel="1">
      <c r="B5789" s="187">
        <v>30711</v>
      </c>
      <c r="C5789" s="188">
        <v>11.66</v>
      </c>
      <c r="D5789" s="104">
        <f t="shared" si="89"/>
        <v>0.1166</v>
      </c>
      <c r="F5789" s="5"/>
    </row>
    <row r="5790" spans="2:6" ht="13.8" hidden="1" outlineLevel="1">
      <c r="B5790" s="187">
        <v>30712</v>
      </c>
      <c r="C5790" s="188">
        <v>11.67</v>
      </c>
      <c r="D5790" s="104">
        <f t="shared" ref="D5790:D5853" si="90">IF( LEN( C5790 ) = 0, #N/A, IF( C5790 = "ND", D5789, C5790 / 100 ) )</f>
        <v>0.1167</v>
      </c>
      <c r="F5790" s="5"/>
    </row>
    <row r="5791" spans="2:6" ht="13.8" hidden="1" outlineLevel="1">
      <c r="B5791" s="187">
        <v>30713</v>
      </c>
      <c r="C5791" s="188">
        <v>11.64</v>
      </c>
      <c r="D5791" s="104">
        <f t="shared" si="90"/>
        <v>0.1164</v>
      </c>
      <c r="F5791" s="5"/>
    </row>
    <row r="5792" spans="2:6" ht="13.8" hidden="1" outlineLevel="1">
      <c r="B5792" s="187">
        <v>30714</v>
      </c>
      <c r="C5792" s="188">
        <v>11.6</v>
      </c>
      <c r="D5792" s="104">
        <f t="shared" si="90"/>
        <v>0.11599999999999999</v>
      </c>
      <c r="F5792" s="5"/>
    </row>
    <row r="5793" spans="2:6" ht="13.8" hidden="1" outlineLevel="1">
      <c r="B5793" s="187">
        <v>30715</v>
      </c>
      <c r="C5793" s="188">
        <v>11.6</v>
      </c>
      <c r="D5793" s="104">
        <f t="shared" si="90"/>
        <v>0.11599999999999999</v>
      </c>
      <c r="F5793" s="5"/>
    </row>
    <row r="5794" spans="2:6" ht="13.8" hidden="1" outlineLevel="1">
      <c r="B5794" s="187">
        <v>30718</v>
      </c>
      <c r="C5794" s="188">
        <v>11.7</v>
      </c>
      <c r="D5794" s="104">
        <f t="shared" si="90"/>
        <v>0.11699999999999999</v>
      </c>
      <c r="F5794" s="5"/>
    </row>
    <row r="5795" spans="2:6" ht="13.8" hidden="1" outlineLevel="1">
      <c r="B5795" s="187">
        <v>30719</v>
      </c>
      <c r="C5795" s="188">
        <v>11.71</v>
      </c>
      <c r="D5795" s="104">
        <f t="shared" si="90"/>
        <v>0.11710000000000001</v>
      </c>
      <c r="F5795" s="5"/>
    </row>
    <row r="5796" spans="2:6" ht="13.8" hidden="1" outlineLevel="1">
      <c r="B5796" s="187">
        <v>30720</v>
      </c>
      <c r="C5796" s="188">
        <v>11.72</v>
      </c>
      <c r="D5796" s="104">
        <f t="shared" si="90"/>
        <v>0.11720000000000001</v>
      </c>
      <c r="F5796" s="5"/>
    </row>
    <row r="5797" spans="2:6" ht="13.8" hidden="1" outlineLevel="1">
      <c r="B5797" s="187">
        <v>30721</v>
      </c>
      <c r="C5797" s="188">
        <v>11.73</v>
      </c>
      <c r="D5797" s="104">
        <f t="shared" si="90"/>
        <v>0.1173</v>
      </c>
      <c r="F5797" s="5"/>
    </row>
    <row r="5798" spans="2:6" ht="13.8" hidden="1" outlineLevel="1">
      <c r="B5798" s="187">
        <v>30722</v>
      </c>
      <c r="C5798" s="188">
        <v>11.83</v>
      </c>
      <c r="D5798" s="104">
        <f t="shared" si="90"/>
        <v>0.1183</v>
      </c>
      <c r="F5798" s="5"/>
    </row>
    <row r="5799" spans="2:6" ht="13.8" hidden="1" outlineLevel="1">
      <c r="B5799" s="187">
        <v>30725</v>
      </c>
      <c r="C5799" s="188" t="s">
        <v>380</v>
      </c>
      <c r="D5799" s="104">
        <f t="shared" si="90"/>
        <v>0.1183</v>
      </c>
      <c r="F5799" s="5"/>
    </row>
    <row r="5800" spans="2:6" ht="13.8" hidden="1" outlineLevel="1">
      <c r="B5800" s="187">
        <v>30726</v>
      </c>
      <c r="C5800" s="188">
        <v>11.85</v>
      </c>
      <c r="D5800" s="104">
        <f t="shared" si="90"/>
        <v>0.11849999999999999</v>
      </c>
      <c r="F5800" s="5"/>
    </row>
    <row r="5801" spans="2:6" ht="13.8" hidden="1" outlineLevel="1">
      <c r="B5801" s="187">
        <v>30727</v>
      </c>
      <c r="C5801" s="188">
        <v>11.81</v>
      </c>
      <c r="D5801" s="104">
        <f t="shared" si="90"/>
        <v>0.11810000000000001</v>
      </c>
      <c r="F5801" s="5"/>
    </row>
    <row r="5802" spans="2:6" ht="13.8" hidden="1" outlineLevel="1">
      <c r="B5802" s="187">
        <v>30728</v>
      </c>
      <c r="C5802" s="188">
        <v>11.83</v>
      </c>
      <c r="D5802" s="104">
        <f t="shared" si="90"/>
        <v>0.1183</v>
      </c>
      <c r="F5802" s="5"/>
    </row>
    <row r="5803" spans="2:6" ht="13.8" hidden="1" outlineLevel="1">
      <c r="B5803" s="187">
        <v>30729</v>
      </c>
      <c r="C5803" s="188">
        <v>11.92</v>
      </c>
      <c r="D5803" s="104">
        <f t="shared" si="90"/>
        <v>0.1192</v>
      </c>
      <c r="F5803" s="5"/>
    </row>
    <row r="5804" spans="2:6" ht="13.8" hidden="1" outlineLevel="1">
      <c r="B5804" s="187">
        <v>30732</v>
      </c>
      <c r="C5804" s="188" t="s">
        <v>380</v>
      </c>
      <c r="D5804" s="104">
        <f t="shared" si="90"/>
        <v>0.1192</v>
      </c>
      <c r="F5804" s="5"/>
    </row>
    <row r="5805" spans="2:6" ht="13.8" hidden="1" outlineLevel="1">
      <c r="B5805" s="187">
        <v>30733</v>
      </c>
      <c r="C5805" s="188">
        <v>11.91</v>
      </c>
      <c r="D5805" s="104">
        <f t="shared" si="90"/>
        <v>0.1191</v>
      </c>
      <c r="F5805" s="5"/>
    </row>
    <row r="5806" spans="2:6" ht="13.8" hidden="1" outlineLevel="1">
      <c r="B5806" s="187">
        <v>30734</v>
      </c>
      <c r="C5806" s="188">
        <v>11.93</v>
      </c>
      <c r="D5806" s="104">
        <f t="shared" si="90"/>
        <v>0.1193</v>
      </c>
      <c r="F5806" s="5"/>
    </row>
    <row r="5807" spans="2:6" ht="13.8" hidden="1" outlineLevel="1">
      <c r="B5807" s="187">
        <v>30735</v>
      </c>
      <c r="C5807" s="188">
        <v>12.05</v>
      </c>
      <c r="D5807" s="104">
        <f t="shared" si="90"/>
        <v>0.12050000000000001</v>
      </c>
      <c r="F5807" s="5"/>
    </row>
    <row r="5808" spans="2:6" ht="13.8" hidden="1" outlineLevel="1">
      <c r="B5808" s="187">
        <v>30736</v>
      </c>
      <c r="C5808" s="188">
        <v>11.99</v>
      </c>
      <c r="D5808" s="104">
        <f t="shared" si="90"/>
        <v>0.11990000000000001</v>
      </c>
      <c r="F5808" s="5"/>
    </row>
    <row r="5809" spans="2:6" ht="13.8" hidden="1" outlineLevel="1">
      <c r="B5809" s="187">
        <v>30739</v>
      </c>
      <c r="C5809" s="188">
        <v>12.05</v>
      </c>
      <c r="D5809" s="104">
        <f t="shared" si="90"/>
        <v>0.12050000000000001</v>
      </c>
      <c r="F5809" s="5"/>
    </row>
    <row r="5810" spans="2:6" ht="13.8" hidden="1" outlineLevel="1">
      <c r="B5810" s="187">
        <v>30740</v>
      </c>
      <c r="C5810" s="188">
        <v>12.09</v>
      </c>
      <c r="D5810" s="104">
        <f t="shared" si="90"/>
        <v>0.12089999999999999</v>
      </c>
      <c r="F5810" s="5"/>
    </row>
    <row r="5811" spans="2:6" ht="13.8" hidden="1" outlineLevel="1">
      <c r="B5811" s="187">
        <v>30741</v>
      </c>
      <c r="C5811" s="188">
        <v>12.04</v>
      </c>
      <c r="D5811" s="104">
        <f t="shared" si="90"/>
        <v>0.12039999999999999</v>
      </c>
      <c r="F5811" s="5"/>
    </row>
    <row r="5812" spans="2:6" ht="13.8" hidden="1" outlineLevel="1">
      <c r="B5812" s="187">
        <v>30742</v>
      </c>
      <c r="C5812" s="188">
        <v>12.07</v>
      </c>
      <c r="D5812" s="104">
        <f t="shared" si="90"/>
        <v>0.1207</v>
      </c>
      <c r="F5812" s="5"/>
    </row>
    <row r="5813" spans="2:6" ht="13.8" hidden="1" outlineLevel="1">
      <c r="B5813" s="187">
        <v>30743</v>
      </c>
      <c r="C5813" s="188">
        <v>11.99</v>
      </c>
      <c r="D5813" s="104">
        <f t="shared" si="90"/>
        <v>0.11990000000000001</v>
      </c>
      <c r="F5813" s="5"/>
    </row>
    <row r="5814" spans="2:6" ht="13.8" hidden="1" outlineLevel="1">
      <c r="B5814" s="187">
        <v>30746</v>
      </c>
      <c r="C5814" s="188">
        <v>12.07</v>
      </c>
      <c r="D5814" s="104">
        <f t="shared" si="90"/>
        <v>0.1207</v>
      </c>
      <c r="F5814" s="5"/>
    </row>
    <row r="5815" spans="2:6" ht="13.8" hidden="1" outlineLevel="1">
      <c r="B5815" s="187">
        <v>30747</v>
      </c>
      <c r="C5815" s="188">
        <v>12.09</v>
      </c>
      <c r="D5815" s="104">
        <f t="shared" si="90"/>
        <v>0.12089999999999999</v>
      </c>
      <c r="F5815" s="5"/>
    </row>
    <row r="5816" spans="2:6" ht="13.8" hidden="1" outlineLevel="1">
      <c r="B5816" s="187">
        <v>30748</v>
      </c>
      <c r="C5816" s="188">
        <v>12.22</v>
      </c>
      <c r="D5816" s="104">
        <f t="shared" si="90"/>
        <v>0.1222</v>
      </c>
      <c r="F5816" s="5"/>
    </row>
    <row r="5817" spans="2:6" ht="13.8" hidden="1" outlineLevel="1">
      <c r="B5817" s="187">
        <v>30749</v>
      </c>
      <c r="C5817" s="188">
        <v>12.24</v>
      </c>
      <c r="D5817" s="104">
        <f t="shared" si="90"/>
        <v>0.12240000000000001</v>
      </c>
      <c r="F5817" s="5"/>
    </row>
    <row r="5818" spans="2:6" ht="13.8" hidden="1" outlineLevel="1">
      <c r="B5818" s="187">
        <v>30750</v>
      </c>
      <c r="C5818" s="188">
        <v>12.28</v>
      </c>
      <c r="D5818" s="104">
        <f t="shared" si="90"/>
        <v>0.12279999999999999</v>
      </c>
      <c r="F5818" s="5"/>
    </row>
    <row r="5819" spans="2:6" ht="13.8" hidden="1" outlineLevel="1">
      <c r="B5819" s="187">
        <v>30753</v>
      </c>
      <c r="C5819" s="188">
        <v>12.24</v>
      </c>
      <c r="D5819" s="104">
        <f t="shared" si="90"/>
        <v>0.12240000000000001</v>
      </c>
      <c r="F5819" s="5"/>
    </row>
    <row r="5820" spans="2:6" ht="13.8" hidden="1" outlineLevel="1">
      <c r="B5820" s="187">
        <v>30754</v>
      </c>
      <c r="C5820" s="188">
        <v>12.27</v>
      </c>
      <c r="D5820" s="104">
        <f t="shared" si="90"/>
        <v>0.12269999999999999</v>
      </c>
      <c r="F5820" s="5"/>
    </row>
    <row r="5821" spans="2:6" ht="13.8" hidden="1" outlineLevel="1">
      <c r="B5821" s="187">
        <v>30755</v>
      </c>
      <c r="C5821" s="188">
        <v>12.31</v>
      </c>
      <c r="D5821" s="104">
        <f t="shared" si="90"/>
        <v>0.1231</v>
      </c>
      <c r="F5821" s="5"/>
    </row>
    <row r="5822" spans="2:6" ht="13.8" hidden="1" outlineLevel="1">
      <c r="B5822" s="187">
        <v>30756</v>
      </c>
      <c r="C5822" s="188">
        <v>12.31</v>
      </c>
      <c r="D5822" s="104">
        <f t="shared" si="90"/>
        <v>0.1231</v>
      </c>
      <c r="F5822" s="5"/>
    </row>
    <row r="5823" spans="2:6" ht="13.8" hidden="1" outlineLevel="1">
      <c r="B5823" s="187">
        <v>30757</v>
      </c>
      <c r="C5823" s="188">
        <v>12.34</v>
      </c>
      <c r="D5823" s="104">
        <f t="shared" si="90"/>
        <v>0.1234</v>
      </c>
      <c r="F5823" s="5"/>
    </row>
    <row r="5824" spans="2:6" ht="13.8" hidden="1" outlineLevel="1">
      <c r="B5824" s="187">
        <v>30760</v>
      </c>
      <c r="C5824" s="188">
        <v>12.45</v>
      </c>
      <c r="D5824" s="104">
        <f t="shared" si="90"/>
        <v>0.1245</v>
      </c>
      <c r="F5824" s="5"/>
    </row>
    <row r="5825" spans="2:6" ht="13.8" hidden="1" outlineLevel="1">
      <c r="B5825" s="187">
        <v>30761</v>
      </c>
      <c r="C5825" s="188">
        <v>12.44</v>
      </c>
      <c r="D5825" s="104">
        <f t="shared" si="90"/>
        <v>0.1244</v>
      </c>
      <c r="F5825" s="5"/>
    </row>
    <row r="5826" spans="2:6" ht="13.8" hidden="1" outlineLevel="1">
      <c r="B5826" s="187">
        <v>30762</v>
      </c>
      <c r="C5826" s="188">
        <v>12.45</v>
      </c>
      <c r="D5826" s="104">
        <f t="shared" si="90"/>
        <v>0.1245</v>
      </c>
      <c r="F5826" s="5"/>
    </row>
    <row r="5827" spans="2:6" ht="13.8" hidden="1" outlineLevel="1">
      <c r="B5827" s="187">
        <v>30763</v>
      </c>
      <c r="C5827" s="188">
        <v>12.49</v>
      </c>
      <c r="D5827" s="104">
        <f t="shared" si="90"/>
        <v>0.1249</v>
      </c>
      <c r="F5827" s="5"/>
    </row>
    <row r="5828" spans="2:6" ht="13.8" hidden="1" outlineLevel="1">
      <c r="B5828" s="187">
        <v>30764</v>
      </c>
      <c r="C5828" s="188">
        <v>12.48</v>
      </c>
      <c r="D5828" s="104">
        <f t="shared" si="90"/>
        <v>0.12480000000000001</v>
      </c>
      <c r="F5828" s="5"/>
    </row>
    <row r="5829" spans="2:6" ht="13.8" hidden="1" outlineLevel="1">
      <c r="B5829" s="187">
        <v>30767</v>
      </c>
      <c r="C5829" s="188">
        <v>12.46</v>
      </c>
      <c r="D5829" s="104">
        <f t="shared" si="90"/>
        <v>0.1246</v>
      </c>
      <c r="F5829" s="5"/>
    </row>
    <row r="5830" spans="2:6" ht="13.8" hidden="1" outlineLevel="1">
      <c r="B5830" s="187">
        <v>30768</v>
      </c>
      <c r="C5830" s="188">
        <v>12.46</v>
      </c>
      <c r="D5830" s="104">
        <f t="shared" si="90"/>
        <v>0.1246</v>
      </c>
      <c r="F5830" s="5"/>
    </row>
    <row r="5831" spans="2:6" ht="13.8" hidden="1" outlineLevel="1">
      <c r="B5831" s="187">
        <v>30769</v>
      </c>
      <c r="C5831" s="188">
        <v>12.42</v>
      </c>
      <c r="D5831" s="104">
        <f t="shared" si="90"/>
        <v>0.1242</v>
      </c>
      <c r="F5831" s="5"/>
    </row>
    <row r="5832" spans="2:6" ht="13.8" hidden="1" outlineLevel="1">
      <c r="B5832" s="187">
        <v>30770</v>
      </c>
      <c r="C5832" s="188">
        <v>12.41</v>
      </c>
      <c r="D5832" s="104">
        <f t="shared" si="90"/>
        <v>0.1241</v>
      </c>
      <c r="F5832" s="5"/>
    </row>
    <row r="5833" spans="2:6" ht="13.8" hidden="1" outlineLevel="1">
      <c r="B5833" s="187">
        <v>30771</v>
      </c>
      <c r="C5833" s="188">
        <v>12.53</v>
      </c>
      <c r="D5833" s="104">
        <f t="shared" si="90"/>
        <v>0.12529999999999999</v>
      </c>
      <c r="F5833" s="5"/>
    </row>
    <row r="5834" spans="2:6" ht="13.8" hidden="1" outlineLevel="1">
      <c r="B5834" s="187">
        <v>30774</v>
      </c>
      <c r="C5834" s="188">
        <v>12.56</v>
      </c>
      <c r="D5834" s="104">
        <f t="shared" si="90"/>
        <v>0.12560000000000002</v>
      </c>
      <c r="F5834" s="5"/>
    </row>
    <row r="5835" spans="2:6" ht="13.8" hidden="1" outlineLevel="1">
      <c r="B5835" s="187">
        <v>30775</v>
      </c>
      <c r="C5835" s="188">
        <v>12.65</v>
      </c>
      <c r="D5835" s="104">
        <f t="shared" si="90"/>
        <v>0.1265</v>
      </c>
      <c r="F5835" s="5"/>
    </row>
    <row r="5836" spans="2:6" ht="13.8" hidden="1" outlineLevel="1">
      <c r="B5836" s="187">
        <v>30776</v>
      </c>
      <c r="C5836" s="188">
        <v>12.67</v>
      </c>
      <c r="D5836" s="104">
        <f t="shared" si="90"/>
        <v>0.12670000000000001</v>
      </c>
      <c r="F5836" s="5"/>
    </row>
    <row r="5837" spans="2:6" ht="13.8" hidden="1" outlineLevel="1">
      <c r="B5837" s="187">
        <v>30777</v>
      </c>
      <c r="C5837" s="188">
        <v>12.65</v>
      </c>
      <c r="D5837" s="104">
        <f t="shared" si="90"/>
        <v>0.1265</v>
      </c>
      <c r="F5837" s="5"/>
    </row>
    <row r="5838" spans="2:6" ht="13.8" hidden="1" outlineLevel="1">
      <c r="B5838" s="187">
        <v>30778</v>
      </c>
      <c r="C5838" s="188">
        <v>12.51</v>
      </c>
      <c r="D5838" s="104">
        <f t="shared" si="90"/>
        <v>0.12509999999999999</v>
      </c>
      <c r="F5838" s="5"/>
    </row>
    <row r="5839" spans="2:6" ht="13.8" hidden="1" outlineLevel="1">
      <c r="B5839" s="187">
        <v>30781</v>
      </c>
      <c r="C5839" s="188">
        <v>12.47</v>
      </c>
      <c r="D5839" s="104">
        <f t="shared" si="90"/>
        <v>0.12470000000000001</v>
      </c>
      <c r="F5839" s="5"/>
    </row>
    <row r="5840" spans="2:6" ht="13.8" hidden="1" outlineLevel="1">
      <c r="B5840" s="187">
        <v>30782</v>
      </c>
      <c r="C5840" s="188">
        <v>12.52</v>
      </c>
      <c r="D5840" s="104">
        <f t="shared" si="90"/>
        <v>0.12520000000000001</v>
      </c>
      <c r="F5840" s="5"/>
    </row>
    <row r="5841" spans="2:6" ht="13.8" hidden="1" outlineLevel="1">
      <c r="B5841" s="187">
        <v>30783</v>
      </c>
      <c r="C5841" s="188">
        <v>12.5</v>
      </c>
      <c r="D5841" s="104">
        <f t="shared" si="90"/>
        <v>0.125</v>
      </c>
      <c r="F5841" s="5"/>
    </row>
    <row r="5842" spans="2:6" ht="13.8" hidden="1" outlineLevel="1">
      <c r="B5842" s="187">
        <v>30784</v>
      </c>
      <c r="C5842" s="188">
        <v>12.4</v>
      </c>
      <c r="D5842" s="104">
        <f t="shared" si="90"/>
        <v>0.124</v>
      </c>
      <c r="F5842" s="5"/>
    </row>
    <row r="5843" spans="2:6" ht="13.8" hidden="1" outlineLevel="1">
      <c r="B5843" s="187">
        <v>30785</v>
      </c>
      <c r="C5843" s="188">
        <v>12.57</v>
      </c>
      <c r="D5843" s="104">
        <f t="shared" si="90"/>
        <v>0.12570000000000001</v>
      </c>
      <c r="F5843" s="5"/>
    </row>
    <row r="5844" spans="2:6" ht="13.8" hidden="1" outlineLevel="1">
      <c r="B5844" s="187">
        <v>30788</v>
      </c>
      <c r="C5844" s="188">
        <v>12.61</v>
      </c>
      <c r="D5844" s="104">
        <f t="shared" si="90"/>
        <v>0.12609999999999999</v>
      </c>
      <c r="F5844" s="5"/>
    </row>
    <row r="5845" spans="2:6" ht="13.8" hidden="1" outlineLevel="1">
      <c r="B5845" s="187">
        <v>30789</v>
      </c>
      <c r="C5845" s="188">
        <v>12.57</v>
      </c>
      <c r="D5845" s="104">
        <f t="shared" si="90"/>
        <v>0.12570000000000001</v>
      </c>
      <c r="F5845" s="5"/>
    </row>
    <row r="5846" spans="2:6" ht="13.8" hidden="1" outlineLevel="1">
      <c r="B5846" s="187">
        <v>30790</v>
      </c>
      <c r="C5846" s="188">
        <v>12.7</v>
      </c>
      <c r="D5846" s="104">
        <f t="shared" si="90"/>
        <v>0.127</v>
      </c>
      <c r="F5846" s="5"/>
    </row>
    <row r="5847" spans="2:6" ht="13.8" hidden="1" outlineLevel="1">
      <c r="B5847" s="187">
        <v>30791</v>
      </c>
      <c r="C5847" s="188">
        <v>12.77</v>
      </c>
      <c r="D5847" s="104">
        <f t="shared" si="90"/>
        <v>0.12770000000000001</v>
      </c>
      <c r="F5847" s="5"/>
    </row>
    <row r="5848" spans="2:6" ht="13.8" hidden="1" outlineLevel="1">
      <c r="B5848" s="187">
        <v>30792</v>
      </c>
      <c r="C5848" s="188" t="s">
        <v>380</v>
      </c>
      <c r="D5848" s="104">
        <f t="shared" si="90"/>
        <v>0.12770000000000001</v>
      </c>
      <c r="F5848" s="5"/>
    </row>
    <row r="5849" spans="2:6" ht="13.8" hidden="1" outlineLevel="1">
      <c r="B5849" s="187">
        <v>30795</v>
      </c>
      <c r="C5849" s="188">
        <v>12.8</v>
      </c>
      <c r="D5849" s="104">
        <f t="shared" si="90"/>
        <v>0.128</v>
      </c>
      <c r="F5849" s="5"/>
    </row>
    <row r="5850" spans="2:6" ht="13.8" hidden="1" outlineLevel="1">
      <c r="B5850" s="187">
        <v>30796</v>
      </c>
      <c r="C5850" s="188">
        <v>12.75</v>
      </c>
      <c r="D5850" s="104">
        <f t="shared" si="90"/>
        <v>0.1275</v>
      </c>
      <c r="F5850" s="5"/>
    </row>
    <row r="5851" spans="2:6" ht="13.8" hidden="1" outlineLevel="1">
      <c r="B5851" s="187">
        <v>30797</v>
      </c>
      <c r="C5851" s="188">
        <v>12.69</v>
      </c>
      <c r="D5851" s="104">
        <f t="shared" si="90"/>
        <v>0.12689999999999999</v>
      </c>
      <c r="F5851" s="5"/>
    </row>
    <row r="5852" spans="2:6" ht="13.8" hidden="1" outlineLevel="1">
      <c r="B5852" s="187">
        <v>30798</v>
      </c>
      <c r="C5852" s="188">
        <v>12.67</v>
      </c>
      <c r="D5852" s="104">
        <f t="shared" si="90"/>
        <v>0.12670000000000001</v>
      </c>
      <c r="F5852" s="5"/>
    </row>
    <row r="5853" spans="2:6" ht="13.8" hidden="1" outlineLevel="1">
      <c r="B5853" s="187">
        <v>30799</v>
      </c>
      <c r="C5853" s="188">
        <v>12.79</v>
      </c>
      <c r="D5853" s="104">
        <f t="shared" si="90"/>
        <v>0.12789999999999999</v>
      </c>
      <c r="F5853" s="5"/>
    </row>
    <row r="5854" spans="2:6" ht="13.8" hidden="1" outlineLevel="1">
      <c r="B5854" s="187">
        <v>30802</v>
      </c>
      <c r="C5854" s="188">
        <v>12.82</v>
      </c>
      <c r="D5854" s="104">
        <f t="shared" ref="D5854:D5917" si="91">IF( LEN( C5854 ) = 0, #N/A, IF( C5854 = "ND", D5853, C5854 / 100 ) )</f>
        <v>0.12820000000000001</v>
      </c>
      <c r="F5854" s="5"/>
    </row>
    <row r="5855" spans="2:6" ht="13.8" hidden="1" outlineLevel="1">
      <c r="B5855" s="187">
        <v>30803</v>
      </c>
      <c r="C5855" s="188">
        <v>12.82</v>
      </c>
      <c r="D5855" s="104">
        <f t="shared" si="91"/>
        <v>0.12820000000000001</v>
      </c>
      <c r="F5855" s="5"/>
    </row>
    <row r="5856" spans="2:6" ht="13.8" hidden="1" outlineLevel="1">
      <c r="B5856" s="187">
        <v>30804</v>
      </c>
      <c r="C5856" s="188">
        <v>12.86</v>
      </c>
      <c r="D5856" s="104">
        <f t="shared" si="91"/>
        <v>0.12859999999999999</v>
      </c>
      <c r="F5856" s="5"/>
    </row>
    <row r="5857" spans="2:6" ht="13.8" hidden="1" outlineLevel="1">
      <c r="B5857" s="187">
        <v>30805</v>
      </c>
      <c r="C5857" s="188">
        <v>12.89</v>
      </c>
      <c r="D5857" s="104">
        <f t="shared" si="91"/>
        <v>0.12890000000000001</v>
      </c>
      <c r="F5857" s="5"/>
    </row>
    <row r="5858" spans="2:6" ht="13.8" hidden="1" outlineLevel="1">
      <c r="B5858" s="187">
        <v>30806</v>
      </c>
      <c r="C5858" s="188">
        <v>13.07</v>
      </c>
      <c r="D5858" s="104">
        <f t="shared" si="91"/>
        <v>0.13070000000000001</v>
      </c>
      <c r="F5858" s="5"/>
    </row>
    <row r="5859" spans="2:6" ht="13.8" hidden="1" outlineLevel="1">
      <c r="B5859" s="187">
        <v>30809</v>
      </c>
      <c r="C5859" s="188">
        <v>13.13</v>
      </c>
      <c r="D5859" s="104">
        <f t="shared" si="91"/>
        <v>0.1313</v>
      </c>
      <c r="F5859" s="5"/>
    </row>
    <row r="5860" spans="2:6" ht="13.8" hidden="1" outlineLevel="1">
      <c r="B5860" s="187">
        <v>30810</v>
      </c>
      <c r="C5860" s="188">
        <v>13.09</v>
      </c>
      <c r="D5860" s="104">
        <f t="shared" si="91"/>
        <v>0.13089999999999999</v>
      </c>
      <c r="F5860" s="5"/>
    </row>
    <row r="5861" spans="2:6" ht="13.8" hidden="1" outlineLevel="1">
      <c r="B5861" s="187">
        <v>30811</v>
      </c>
      <c r="C5861" s="188">
        <v>13.21</v>
      </c>
      <c r="D5861" s="104">
        <f t="shared" si="91"/>
        <v>0.1321</v>
      </c>
      <c r="F5861" s="5"/>
    </row>
    <row r="5862" spans="2:6" ht="13.8" hidden="1" outlineLevel="1">
      <c r="B5862" s="187">
        <v>30812</v>
      </c>
      <c r="C5862" s="188">
        <v>13.25</v>
      </c>
      <c r="D5862" s="104">
        <f t="shared" si="91"/>
        <v>0.13250000000000001</v>
      </c>
      <c r="F5862" s="5"/>
    </row>
    <row r="5863" spans="2:6" ht="13.8" hidden="1" outlineLevel="1">
      <c r="B5863" s="187">
        <v>30813</v>
      </c>
      <c r="C5863" s="188">
        <v>13.46</v>
      </c>
      <c r="D5863" s="104">
        <f t="shared" si="91"/>
        <v>0.1346</v>
      </c>
      <c r="F5863" s="5"/>
    </row>
    <row r="5864" spans="2:6" ht="13.8" hidden="1" outlineLevel="1">
      <c r="B5864" s="187">
        <v>30816</v>
      </c>
      <c r="C5864" s="188">
        <v>13.58</v>
      </c>
      <c r="D5864" s="104">
        <f t="shared" si="91"/>
        <v>0.1358</v>
      </c>
      <c r="F5864" s="5"/>
    </row>
    <row r="5865" spans="2:6" ht="13.8" hidden="1" outlineLevel="1">
      <c r="B5865" s="187">
        <v>30817</v>
      </c>
      <c r="C5865" s="188">
        <v>13.48</v>
      </c>
      <c r="D5865" s="104">
        <f t="shared" si="91"/>
        <v>0.1348</v>
      </c>
      <c r="F5865" s="5"/>
    </row>
    <row r="5866" spans="2:6" ht="13.8" hidden="1" outlineLevel="1">
      <c r="B5866" s="187">
        <v>30818</v>
      </c>
      <c r="C5866" s="188">
        <v>13.41</v>
      </c>
      <c r="D5866" s="104">
        <f t="shared" si="91"/>
        <v>0.1341</v>
      </c>
      <c r="F5866" s="5"/>
    </row>
    <row r="5867" spans="2:6" ht="13.8" hidden="1" outlineLevel="1">
      <c r="B5867" s="187">
        <v>30819</v>
      </c>
      <c r="C5867" s="188">
        <v>13.54</v>
      </c>
      <c r="D5867" s="104">
        <f t="shared" si="91"/>
        <v>0.13539999999999999</v>
      </c>
      <c r="F5867" s="5"/>
    </row>
    <row r="5868" spans="2:6" ht="13.8" hidden="1" outlineLevel="1">
      <c r="B5868" s="187">
        <v>30820</v>
      </c>
      <c r="C5868" s="188">
        <v>13.45</v>
      </c>
      <c r="D5868" s="104">
        <f t="shared" si="91"/>
        <v>0.13449999999999998</v>
      </c>
      <c r="F5868" s="5"/>
    </row>
    <row r="5869" spans="2:6" ht="13.8" hidden="1" outlineLevel="1">
      <c r="B5869" s="187">
        <v>30823</v>
      </c>
      <c r="C5869" s="188">
        <v>13.43</v>
      </c>
      <c r="D5869" s="104">
        <f t="shared" si="91"/>
        <v>0.1343</v>
      </c>
      <c r="F5869" s="5"/>
    </row>
    <row r="5870" spans="2:6" ht="13.8" hidden="1" outlineLevel="1">
      <c r="B5870" s="187">
        <v>30824</v>
      </c>
      <c r="C5870" s="188">
        <v>13.52</v>
      </c>
      <c r="D5870" s="104">
        <f t="shared" si="91"/>
        <v>0.13519999999999999</v>
      </c>
      <c r="F5870" s="5"/>
    </row>
    <row r="5871" spans="2:6" ht="13.8" hidden="1" outlineLevel="1">
      <c r="B5871" s="187">
        <v>30825</v>
      </c>
      <c r="C5871" s="188">
        <v>13.54</v>
      </c>
      <c r="D5871" s="104">
        <f t="shared" si="91"/>
        <v>0.13539999999999999</v>
      </c>
      <c r="F5871" s="5"/>
    </row>
    <row r="5872" spans="2:6" ht="13.8" hidden="1" outlineLevel="1">
      <c r="B5872" s="187">
        <v>30826</v>
      </c>
      <c r="C5872" s="188">
        <v>13.72</v>
      </c>
      <c r="D5872" s="104">
        <f t="shared" si="91"/>
        <v>0.13720000000000002</v>
      </c>
      <c r="F5872" s="5"/>
    </row>
    <row r="5873" spans="2:6" ht="13.8" hidden="1" outlineLevel="1">
      <c r="B5873" s="187">
        <v>30827</v>
      </c>
      <c r="C5873" s="188">
        <v>13.75</v>
      </c>
      <c r="D5873" s="104">
        <f t="shared" si="91"/>
        <v>0.13750000000000001</v>
      </c>
      <c r="F5873" s="5"/>
    </row>
    <row r="5874" spans="2:6" ht="13.8" hidden="1" outlineLevel="1">
      <c r="B5874" s="187">
        <v>30830</v>
      </c>
      <c r="C5874" s="188" t="s">
        <v>380</v>
      </c>
      <c r="D5874" s="104">
        <f t="shared" si="91"/>
        <v>0.13750000000000001</v>
      </c>
      <c r="F5874" s="5"/>
    </row>
    <row r="5875" spans="2:6" ht="13.8" hidden="1" outlineLevel="1">
      <c r="B5875" s="187">
        <v>30831</v>
      </c>
      <c r="C5875" s="188">
        <v>13.89</v>
      </c>
      <c r="D5875" s="104">
        <f t="shared" si="91"/>
        <v>0.1389</v>
      </c>
      <c r="F5875" s="5"/>
    </row>
    <row r="5876" spans="2:6" ht="13.8" hidden="1" outlineLevel="1">
      <c r="B5876" s="187">
        <v>30832</v>
      </c>
      <c r="C5876" s="188">
        <v>13.99</v>
      </c>
      <c r="D5876" s="104">
        <f t="shared" si="91"/>
        <v>0.1399</v>
      </c>
      <c r="F5876" s="5"/>
    </row>
    <row r="5877" spans="2:6" ht="13.8" hidden="1" outlineLevel="1">
      <c r="B5877" s="187">
        <v>30833</v>
      </c>
      <c r="C5877" s="188">
        <v>13.91</v>
      </c>
      <c r="D5877" s="104">
        <f t="shared" si="91"/>
        <v>0.1391</v>
      </c>
      <c r="F5877" s="5"/>
    </row>
    <row r="5878" spans="2:6" ht="13.8" hidden="1" outlineLevel="1">
      <c r="B5878" s="187">
        <v>30834</v>
      </c>
      <c r="C5878" s="188">
        <v>13.63</v>
      </c>
      <c r="D5878" s="104">
        <f t="shared" si="91"/>
        <v>0.1363</v>
      </c>
      <c r="F5878" s="5"/>
    </row>
    <row r="5879" spans="2:6" ht="13.8" hidden="1" outlineLevel="1">
      <c r="B5879" s="187">
        <v>30837</v>
      </c>
      <c r="C5879" s="188">
        <v>13.42</v>
      </c>
      <c r="D5879" s="104">
        <f t="shared" si="91"/>
        <v>0.13419999999999999</v>
      </c>
      <c r="F5879" s="5"/>
    </row>
    <row r="5880" spans="2:6" ht="13.8" hidden="1" outlineLevel="1">
      <c r="B5880" s="187">
        <v>30838</v>
      </c>
      <c r="C5880" s="188">
        <v>13.37</v>
      </c>
      <c r="D5880" s="104">
        <f t="shared" si="91"/>
        <v>0.13369999999999999</v>
      </c>
      <c r="F5880" s="5"/>
    </row>
    <row r="5881" spans="2:6" ht="13.8" hidden="1" outlineLevel="1">
      <c r="B5881" s="187">
        <v>30839</v>
      </c>
      <c r="C5881" s="188">
        <v>13.54</v>
      </c>
      <c r="D5881" s="104">
        <f t="shared" si="91"/>
        <v>0.13539999999999999</v>
      </c>
      <c r="F5881" s="5"/>
    </row>
    <row r="5882" spans="2:6" ht="13.8" hidden="1" outlineLevel="1">
      <c r="B5882" s="187">
        <v>30840</v>
      </c>
      <c r="C5882" s="188">
        <v>13.54</v>
      </c>
      <c r="D5882" s="104">
        <f t="shared" si="91"/>
        <v>0.13539999999999999</v>
      </c>
      <c r="F5882" s="5"/>
    </row>
    <row r="5883" spans="2:6" ht="13.8" hidden="1" outlineLevel="1">
      <c r="B5883" s="187">
        <v>30841</v>
      </c>
      <c r="C5883" s="188">
        <v>13.46</v>
      </c>
      <c r="D5883" s="104">
        <f t="shared" si="91"/>
        <v>0.1346</v>
      </c>
      <c r="F5883" s="5"/>
    </row>
    <row r="5884" spans="2:6" ht="13.8" hidden="1" outlineLevel="1">
      <c r="B5884" s="187">
        <v>30844</v>
      </c>
      <c r="C5884" s="188">
        <v>13.58</v>
      </c>
      <c r="D5884" s="104">
        <f t="shared" si="91"/>
        <v>0.1358</v>
      </c>
      <c r="F5884" s="5"/>
    </row>
    <row r="5885" spans="2:6" ht="13.8" hidden="1" outlineLevel="1">
      <c r="B5885" s="187">
        <v>30845</v>
      </c>
      <c r="C5885" s="188">
        <v>13.54</v>
      </c>
      <c r="D5885" s="104">
        <f t="shared" si="91"/>
        <v>0.13539999999999999</v>
      </c>
      <c r="F5885" s="5"/>
    </row>
    <row r="5886" spans="2:6" ht="13.8" hidden="1" outlineLevel="1">
      <c r="B5886" s="187">
        <v>30846</v>
      </c>
      <c r="C5886" s="188">
        <v>13.44</v>
      </c>
      <c r="D5886" s="104">
        <f t="shared" si="91"/>
        <v>0.13439999999999999</v>
      </c>
      <c r="F5886" s="5"/>
    </row>
    <row r="5887" spans="2:6" ht="13.8" hidden="1" outlineLevel="1">
      <c r="B5887" s="187">
        <v>30847</v>
      </c>
      <c r="C5887" s="188">
        <v>13.39</v>
      </c>
      <c r="D5887" s="104">
        <f t="shared" si="91"/>
        <v>0.13390000000000002</v>
      </c>
      <c r="F5887" s="5"/>
    </row>
    <row r="5888" spans="2:6" ht="13.8" hidden="1" outlineLevel="1">
      <c r="B5888" s="187">
        <v>30848</v>
      </c>
      <c r="C5888" s="188">
        <v>13.21</v>
      </c>
      <c r="D5888" s="104">
        <f t="shared" si="91"/>
        <v>0.1321</v>
      </c>
      <c r="F5888" s="5"/>
    </row>
    <row r="5889" spans="2:6" ht="13.8" hidden="1" outlineLevel="1">
      <c r="B5889" s="187">
        <v>30851</v>
      </c>
      <c r="C5889" s="188">
        <v>13.27</v>
      </c>
      <c r="D5889" s="104">
        <f t="shared" si="91"/>
        <v>0.13269999999999998</v>
      </c>
      <c r="F5889" s="5"/>
    </row>
    <row r="5890" spans="2:6" ht="13.8" hidden="1" outlineLevel="1">
      <c r="B5890" s="187">
        <v>30852</v>
      </c>
      <c r="C5890" s="188">
        <v>13.38</v>
      </c>
      <c r="D5890" s="104">
        <f t="shared" si="91"/>
        <v>0.1338</v>
      </c>
      <c r="F5890" s="5"/>
    </row>
    <row r="5891" spans="2:6" ht="13.8" hidden="1" outlineLevel="1">
      <c r="B5891" s="187">
        <v>30853</v>
      </c>
      <c r="C5891" s="188">
        <v>13.65</v>
      </c>
      <c r="D5891" s="104">
        <f t="shared" si="91"/>
        <v>0.13650000000000001</v>
      </c>
      <c r="F5891" s="5"/>
    </row>
    <row r="5892" spans="2:6" ht="13.8" hidden="1" outlineLevel="1">
      <c r="B5892" s="187">
        <v>30854</v>
      </c>
      <c r="C5892" s="188">
        <v>13.72</v>
      </c>
      <c r="D5892" s="104">
        <f t="shared" si="91"/>
        <v>0.13720000000000002</v>
      </c>
      <c r="F5892" s="5"/>
    </row>
    <row r="5893" spans="2:6" ht="13.8" hidden="1" outlineLevel="1">
      <c r="B5893" s="187">
        <v>30855</v>
      </c>
      <c r="C5893" s="188">
        <v>13.74</v>
      </c>
      <c r="D5893" s="104">
        <f t="shared" si="91"/>
        <v>0.13739999999999999</v>
      </c>
      <c r="F5893" s="5"/>
    </row>
    <row r="5894" spans="2:6" ht="13.8" hidden="1" outlineLevel="1">
      <c r="B5894" s="187">
        <v>30858</v>
      </c>
      <c r="C5894" s="188">
        <v>13.75</v>
      </c>
      <c r="D5894" s="104">
        <f t="shared" si="91"/>
        <v>0.13750000000000001</v>
      </c>
      <c r="F5894" s="5"/>
    </row>
    <row r="5895" spans="2:6" ht="13.8" hidden="1" outlineLevel="1">
      <c r="B5895" s="187">
        <v>30859</v>
      </c>
      <c r="C5895" s="188">
        <v>13.79</v>
      </c>
      <c r="D5895" s="104">
        <f t="shared" si="91"/>
        <v>0.13789999999999999</v>
      </c>
      <c r="F5895" s="5"/>
    </row>
    <row r="5896" spans="2:6" ht="13.8" hidden="1" outlineLevel="1">
      <c r="B5896" s="187">
        <v>30860</v>
      </c>
      <c r="C5896" s="188">
        <v>13.76</v>
      </c>
      <c r="D5896" s="104">
        <f t="shared" si="91"/>
        <v>0.1376</v>
      </c>
      <c r="F5896" s="5"/>
    </row>
    <row r="5897" spans="2:6" ht="13.8" hidden="1" outlineLevel="1">
      <c r="B5897" s="187">
        <v>30861</v>
      </c>
      <c r="C5897" s="188">
        <v>13.8</v>
      </c>
      <c r="D5897" s="104">
        <f t="shared" si="91"/>
        <v>0.13800000000000001</v>
      </c>
      <c r="F5897" s="5"/>
    </row>
    <row r="5898" spans="2:6" ht="13.8" hidden="1" outlineLevel="1">
      <c r="B5898" s="187">
        <v>30862</v>
      </c>
      <c r="C5898" s="188">
        <v>13.84</v>
      </c>
      <c r="D5898" s="104">
        <f t="shared" si="91"/>
        <v>0.1384</v>
      </c>
      <c r="F5898" s="5"/>
    </row>
    <row r="5899" spans="2:6" ht="13.8" hidden="1" outlineLevel="1">
      <c r="B5899" s="187">
        <v>30865</v>
      </c>
      <c r="C5899" s="188">
        <v>13.87</v>
      </c>
      <c r="D5899" s="104">
        <f t="shared" si="91"/>
        <v>0.13869999999999999</v>
      </c>
      <c r="F5899" s="5"/>
    </row>
    <row r="5900" spans="2:6" ht="13.8" hidden="1" outlineLevel="1">
      <c r="B5900" s="187">
        <v>30866</v>
      </c>
      <c r="C5900" s="188">
        <v>13.8</v>
      </c>
      <c r="D5900" s="104">
        <f t="shared" si="91"/>
        <v>0.13800000000000001</v>
      </c>
      <c r="F5900" s="5"/>
    </row>
    <row r="5901" spans="2:6" ht="13.8" hidden="1" outlineLevel="1">
      <c r="B5901" s="187">
        <v>30867</v>
      </c>
      <c r="C5901" s="188" t="s">
        <v>380</v>
      </c>
      <c r="D5901" s="104">
        <f t="shared" si="91"/>
        <v>0.13800000000000001</v>
      </c>
      <c r="F5901" s="5"/>
    </row>
    <row r="5902" spans="2:6" ht="13.8" hidden="1" outlineLevel="1">
      <c r="B5902" s="187">
        <v>30868</v>
      </c>
      <c r="C5902" s="188">
        <v>13.77</v>
      </c>
      <c r="D5902" s="104">
        <f t="shared" si="91"/>
        <v>0.13769999999999999</v>
      </c>
      <c r="F5902" s="5"/>
    </row>
    <row r="5903" spans="2:6" ht="13.8" hidden="1" outlineLevel="1">
      <c r="B5903" s="187">
        <v>30869</v>
      </c>
      <c r="C5903" s="188">
        <v>13.75</v>
      </c>
      <c r="D5903" s="104">
        <f t="shared" si="91"/>
        <v>0.13750000000000001</v>
      </c>
      <c r="F5903" s="5"/>
    </row>
    <row r="5904" spans="2:6" ht="13.8" hidden="1" outlineLevel="1">
      <c r="B5904" s="187">
        <v>30872</v>
      </c>
      <c r="C5904" s="188">
        <v>13.48</v>
      </c>
      <c r="D5904" s="104">
        <f t="shared" si="91"/>
        <v>0.1348</v>
      </c>
      <c r="F5904" s="5"/>
    </row>
    <row r="5905" spans="2:6" ht="13.8" hidden="1" outlineLevel="1">
      <c r="B5905" s="187">
        <v>30873</v>
      </c>
      <c r="C5905" s="188">
        <v>13.53</v>
      </c>
      <c r="D5905" s="104">
        <f t="shared" si="91"/>
        <v>0.1353</v>
      </c>
      <c r="F5905" s="5"/>
    </row>
    <row r="5906" spans="2:6" ht="13.8" hidden="1" outlineLevel="1">
      <c r="B5906" s="187">
        <v>30874</v>
      </c>
      <c r="C5906" s="188">
        <v>13.55</v>
      </c>
      <c r="D5906" s="104">
        <f t="shared" si="91"/>
        <v>0.13550000000000001</v>
      </c>
      <c r="F5906" s="5"/>
    </row>
    <row r="5907" spans="2:6" ht="13.8" hidden="1" outlineLevel="1">
      <c r="B5907" s="187">
        <v>30875</v>
      </c>
      <c r="C5907" s="188">
        <v>13.42</v>
      </c>
      <c r="D5907" s="104">
        <f t="shared" si="91"/>
        <v>0.13419999999999999</v>
      </c>
      <c r="F5907" s="5"/>
    </row>
    <row r="5908" spans="2:6" ht="13.8" hidden="1" outlineLevel="1">
      <c r="B5908" s="187">
        <v>30876</v>
      </c>
      <c r="C5908" s="188">
        <v>13.3</v>
      </c>
      <c r="D5908" s="104">
        <f t="shared" si="91"/>
        <v>0.13300000000000001</v>
      </c>
      <c r="F5908" s="5"/>
    </row>
    <row r="5909" spans="2:6" ht="13.8" hidden="1" outlineLevel="1">
      <c r="B5909" s="187">
        <v>30879</v>
      </c>
      <c r="C5909" s="188">
        <v>13.32</v>
      </c>
      <c r="D5909" s="104">
        <f t="shared" si="91"/>
        <v>0.13320000000000001</v>
      </c>
      <c r="F5909" s="5"/>
    </row>
    <row r="5910" spans="2:6" ht="13.8" hidden="1" outlineLevel="1">
      <c r="B5910" s="187">
        <v>30880</v>
      </c>
      <c r="C5910" s="188">
        <v>13.37</v>
      </c>
      <c r="D5910" s="104">
        <f t="shared" si="91"/>
        <v>0.13369999999999999</v>
      </c>
      <c r="F5910" s="5"/>
    </row>
    <row r="5911" spans="2:6" ht="13.8" hidden="1" outlineLevel="1">
      <c r="B5911" s="187">
        <v>30881</v>
      </c>
      <c r="C5911" s="188">
        <v>13.32</v>
      </c>
      <c r="D5911" s="104">
        <f t="shared" si="91"/>
        <v>0.13320000000000001</v>
      </c>
      <c r="F5911" s="5"/>
    </row>
    <row r="5912" spans="2:6" ht="13.8" hidden="1" outlineLevel="1">
      <c r="B5912" s="187">
        <v>30882</v>
      </c>
      <c r="C5912" s="188">
        <v>13.25</v>
      </c>
      <c r="D5912" s="104">
        <f t="shared" si="91"/>
        <v>0.13250000000000001</v>
      </c>
      <c r="F5912" s="5"/>
    </row>
    <row r="5913" spans="2:6" ht="13.8" hidden="1" outlineLevel="1">
      <c r="B5913" s="187">
        <v>30883</v>
      </c>
      <c r="C5913" s="188">
        <v>13.36</v>
      </c>
      <c r="D5913" s="104">
        <f t="shared" si="91"/>
        <v>0.1336</v>
      </c>
      <c r="F5913" s="5"/>
    </row>
    <row r="5914" spans="2:6" ht="13.8" hidden="1" outlineLevel="1">
      <c r="B5914" s="187">
        <v>30886</v>
      </c>
      <c r="C5914" s="188">
        <v>13.35</v>
      </c>
      <c r="D5914" s="104">
        <f t="shared" si="91"/>
        <v>0.13350000000000001</v>
      </c>
      <c r="F5914" s="5"/>
    </row>
    <row r="5915" spans="2:6" ht="13.8" hidden="1" outlineLevel="1">
      <c r="B5915" s="187">
        <v>30887</v>
      </c>
      <c r="C5915" s="188">
        <v>13.31</v>
      </c>
      <c r="D5915" s="104">
        <f t="shared" si="91"/>
        <v>0.1331</v>
      </c>
      <c r="F5915" s="5"/>
    </row>
    <row r="5916" spans="2:6" ht="13.8" hidden="1" outlineLevel="1">
      <c r="B5916" s="187">
        <v>30888</v>
      </c>
      <c r="C5916" s="188">
        <v>13.06</v>
      </c>
      <c r="D5916" s="104">
        <f t="shared" si="91"/>
        <v>0.13059999999999999</v>
      </c>
      <c r="F5916" s="5"/>
    </row>
    <row r="5917" spans="2:6" ht="13.8" hidden="1" outlineLevel="1">
      <c r="B5917" s="187">
        <v>30889</v>
      </c>
      <c r="C5917" s="188">
        <v>12.89</v>
      </c>
      <c r="D5917" s="104">
        <f t="shared" si="91"/>
        <v>0.12890000000000001</v>
      </c>
      <c r="F5917" s="5"/>
    </row>
    <row r="5918" spans="2:6" ht="13.8" hidden="1" outlineLevel="1">
      <c r="B5918" s="187">
        <v>30890</v>
      </c>
      <c r="C5918" s="188">
        <v>12.95</v>
      </c>
      <c r="D5918" s="104">
        <f t="shared" ref="D5918:D5981" si="92">IF( LEN( C5918 ) = 0, #N/A, IF( C5918 = "ND", D5917, C5918 / 100 ) )</f>
        <v>0.1295</v>
      </c>
      <c r="F5918" s="5"/>
    </row>
    <row r="5919" spans="2:6" ht="13.8" hidden="1" outlineLevel="1">
      <c r="B5919" s="187">
        <v>30893</v>
      </c>
      <c r="C5919" s="188">
        <v>13.05</v>
      </c>
      <c r="D5919" s="104">
        <f t="shared" si="92"/>
        <v>0.1305</v>
      </c>
      <c r="F5919" s="5"/>
    </row>
    <row r="5920" spans="2:6" ht="13.8" hidden="1" outlineLevel="1">
      <c r="B5920" s="187">
        <v>30894</v>
      </c>
      <c r="C5920" s="188">
        <v>12.91</v>
      </c>
      <c r="D5920" s="104">
        <f t="shared" si="92"/>
        <v>0.12909999999999999</v>
      </c>
      <c r="F5920" s="5"/>
    </row>
    <row r="5921" spans="2:6" ht="13.8" hidden="1" outlineLevel="1">
      <c r="B5921" s="187">
        <v>30895</v>
      </c>
      <c r="C5921" s="188">
        <v>12.81</v>
      </c>
      <c r="D5921" s="104">
        <f t="shared" si="92"/>
        <v>0.12809999999999999</v>
      </c>
      <c r="F5921" s="5"/>
    </row>
    <row r="5922" spans="2:6" ht="13.8" hidden="1" outlineLevel="1">
      <c r="B5922" s="187">
        <v>30896</v>
      </c>
      <c r="C5922" s="188">
        <v>12.74</v>
      </c>
      <c r="D5922" s="104">
        <f t="shared" si="92"/>
        <v>0.12740000000000001</v>
      </c>
      <c r="F5922" s="5"/>
    </row>
    <row r="5923" spans="2:6" ht="13.8" hidden="1" outlineLevel="1">
      <c r="B5923" s="187">
        <v>30897</v>
      </c>
      <c r="C5923" s="188">
        <v>12.61</v>
      </c>
      <c r="D5923" s="104">
        <f t="shared" si="92"/>
        <v>0.12609999999999999</v>
      </c>
      <c r="F5923" s="5"/>
    </row>
    <row r="5924" spans="2:6" ht="13.8" hidden="1" outlineLevel="1">
      <c r="B5924" s="187">
        <v>30900</v>
      </c>
      <c r="C5924" s="188">
        <v>12.73</v>
      </c>
      <c r="D5924" s="104">
        <f t="shared" si="92"/>
        <v>0.1273</v>
      </c>
      <c r="F5924" s="5"/>
    </row>
    <row r="5925" spans="2:6" ht="13.8" hidden="1" outlineLevel="1">
      <c r="B5925" s="187">
        <v>30901</v>
      </c>
      <c r="C5925" s="188">
        <v>12.69</v>
      </c>
      <c r="D5925" s="104">
        <f t="shared" si="92"/>
        <v>0.12689999999999999</v>
      </c>
      <c r="F5925" s="5"/>
    </row>
    <row r="5926" spans="2:6" ht="13.8" hidden="1" outlineLevel="1">
      <c r="B5926" s="187">
        <v>30902</v>
      </c>
      <c r="C5926" s="188">
        <v>12.66</v>
      </c>
      <c r="D5926" s="104">
        <f t="shared" si="92"/>
        <v>0.12659999999999999</v>
      </c>
      <c r="F5926" s="5"/>
    </row>
    <row r="5927" spans="2:6" ht="13.8" hidden="1" outlineLevel="1">
      <c r="B5927" s="187">
        <v>30903</v>
      </c>
      <c r="C5927" s="188">
        <v>12.61</v>
      </c>
      <c r="D5927" s="104">
        <f t="shared" si="92"/>
        <v>0.12609999999999999</v>
      </c>
      <c r="F5927" s="5"/>
    </row>
    <row r="5928" spans="2:6" ht="13.8" hidden="1" outlineLevel="1">
      <c r="B5928" s="187">
        <v>30904</v>
      </c>
      <c r="C5928" s="188">
        <v>12.68</v>
      </c>
      <c r="D5928" s="104">
        <f t="shared" si="92"/>
        <v>0.1268</v>
      </c>
      <c r="F5928" s="5"/>
    </row>
    <row r="5929" spans="2:6" ht="13.8" hidden="1" outlineLevel="1">
      <c r="B5929" s="187">
        <v>30907</v>
      </c>
      <c r="C5929" s="188">
        <v>12.74</v>
      </c>
      <c r="D5929" s="104">
        <f t="shared" si="92"/>
        <v>0.12740000000000001</v>
      </c>
      <c r="F5929" s="5"/>
    </row>
    <row r="5930" spans="2:6" ht="13.8" hidden="1" outlineLevel="1">
      <c r="B5930" s="187">
        <v>30908</v>
      </c>
      <c r="C5930" s="188">
        <v>12.67</v>
      </c>
      <c r="D5930" s="104">
        <f t="shared" si="92"/>
        <v>0.12670000000000001</v>
      </c>
      <c r="F5930" s="5"/>
    </row>
    <row r="5931" spans="2:6" ht="13.8" hidden="1" outlineLevel="1">
      <c r="B5931" s="187">
        <v>30909</v>
      </c>
      <c r="C5931" s="188">
        <v>12.74</v>
      </c>
      <c r="D5931" s="104">
        <f t="shared" si="92"/>
        <v>0.12740000000000001</v>
      </c>
      <c r="F5931" s="5"/>
    </row>
    <row r="5932" spans="2:6" ht="13.8" hidden="1" outlineLevel="1">
      <c r="B5932" s="187">
        <v>30910</v>
      </c>
      <c r="C5932" s="188">
        <v>12.7</v>
      </c>
      <c r="D5932" s="104">
        <f t="shared" si="92"/>
        <v>0.127</v>
      </c>
      <c r="F5932" s="5"/>
    </row>
    <row r="5933" spans="2:6" ht="13.8" hidden="1" outlineLevel="1">
      <c r="B5933" s="187">
        <v>30911</v>
      </c>
      <c r="C5933" s="188">
        <v>12.7</v>
      </c>
      <c r="D5933" s="104">
        <f t="shared" si="92"/>
        <v>0.127</v>
      </c>
      <c r="F5933" s="5"/>
    </row>
    <row r="5934" spans="2:6" ht="13.8" hidden="1" outlineLevel="1">
      <c r="B5934" s="187">
        <v>30914</v>
      </c>
      <c r="C5934" s="188">
        <v>12.69</v>
      </c>
      <c r="D5934" s="104">
        <f t="shared" si="92"/>
        <v>0.12689999999999999</v>
      </c>
      <c r="F5934" s="5"/>
    </row>
    <row r="5935" spans="2:6" ht="13.8" hidden="1" outlineLevel="1">
      <c r="B5935" s="187">
        <v>30915</v>
      </c>
      <c r="C5935" s="188">
        <v>12.62</v>
      </c>
      <c r="D5935" s="104">
        <f t="shared" si="92"/>
        <v>0.12619999999999998</v>
      </c>
      <c r="F5935" s="5"/>
    </row>
    <row r="5936" spans="2:6" ht="13.8" hidden="1" outlineLevel="1">
      <c r="B5936" s="187">
        <v>30916</v>
      </c>
      <c r="C5936" s="188">
        <v>12.65</v>
      </c>
      <c r="D5936" s="104">
        <f t="shared" si="92"/>
        <v>0.1265</v>
      </c>
      <c r="F5936" s="5"/>
    </row>
    <row r="5937" spans="2:6" ht="13.8" hidden="1" outlineLevel="1">
      <c r="B5937" s="187">
        <v>30917</v>
      </c>
      <c r="C5937" s="188">
        <v>12.69</v>
      </c>
      <c r="D5937" s="104">
        <f t="shared" si="92"/>
        <v>0.12689999999999999</v>
      </c>
      <c r="F5937" s="5"/>
    </row>
    <row r="5938" spans="2:6" ht="13.8" hidden="1" outlineLevel="1">
      <c r="B5938" s="187">
        <v>30918</v>
      </c>
      <c r="C5938" s="188">
        <v>12.66</v>
      </c>
      <c r="D5938" s="104">
        <f t="shared" si="92"/>
        <v>0.12659999999999999</v>
      </c>
      <c r="F5938" s="5"/>
    </row>
    <row r="5939" spans="2:6" ht="13.8" hidden="1" outlineLevel="1">
      <c r="B5939" s="187">
        <v>30921</v>
      </c>
      <c r="C5939" s="188">
        <v>12.81</v>
      </c>
      <c r="D5939" s="104">
        <f t="shared" si="92"/>
        <v>0.12809999999999999</v>
      </c>
      <c r="F5939" s="5"/>
    </row>
    <row r="5940" spans="2:6" ht="13.8" hidden="1" outlineLevel="1">
      <c r="B5940" s="187">
        <v>30922</v>
      </c>
      <c r="C5940" s="188">
        <v>12.81</v>
      </c>
      <c r="D5940" s="104">
        <f t="shared" si="92"/>
        <v>0.12809999999999999</v>
      </c>
      <c r="F5940" s="5"/>
    </row>
    <row r="5941" spans="2:6" ht="13.8" hidden="1" outlineLevel="1">
      <c r="B5941" s="187">
        <v>30923</v>
      </c>
      <c r="C5941" s="188">
        <v>12.83</v>
      </c>
      <c r="D5941" s="104">
        <f t="shared" si="92"/>
        <v>0.1283</v>
      </c>
      <c r="F5941" s="5"/>
    </row>
    <row r="5942" spans="2:6" ht="13.8" hidden="1" outlineLevel="1">
      <c r="B5942" s="187">
        <v>30924</v>
      </c>
      <c r="C5942" s="188">
        <v>12.84</v>
      </c>
      <c r="D5942" s="104">
        <f t="shared" si="92"/>
        <v>0.12839999999999999</v>
      </c>
      <c r="F5942" s="5"/>
    </row>
    <row r="5943" spans="2:6" ht="13.8" hidden="1" outlineLevel="1">
      <c r="B5943" s="187">
        <v>30925</v>
      </c>
      <c r="C5943" s="188">
        <v>12.79</v>
      </c>
      <c r="D5943" s="104">
        <f t="shared" si="92"/>
        <v>0.12789999999999999</v>
      </c>
      <c r="F5943" s="5"/>
    </row>
    <row r="5944" spans="2:6" ht="13.8" hidden="1" outlineLevel="1">
      <c r="B5944" s="187">
        <v>30928</v>
      </c>
      <c r="C5944" s="188" t="s">
        <v>380</v>
      </c>
      <c r="D5944" s="104">
        <f t="shared" si="92"/>
        <v>0.12789999999999999</v>
      </c>
      <c r="F5944" s="5"/>
    </row>
    <row r="5945" spans="2:6" ht="13.8" hidden="1" outlineLevel="1">
      <c r="B5945" s="187">
        <v>30929</v>
      </c>
      <c r="C5945" s="188">
        <v>12.88</v>
      </c>
      <c r="D5945" s="104">
        <f t="shared" si="92"/>
        <v>0.1288</v>
      </c>
      <c r="F5945" s="5"/>
    </row>
    <row r="5946" spans="2:6" ht="13.8" hidden="1" outlineLevel="1">
      <c r="B5946" s="187">
        <v>30930</v>
      </c>
      <c r="C5946" s="188">
        <v>12.92</v>
      </c>
      <c r="D5946" s="104">
        <f t="shared" si="92"/>
        <v>0.12920000000000001</v>
      </c>
      <c r="F5946" s="5"/>
    </row>
    <row r="5947" spans="2:6" ht="13.8" hidden="1" outlineLevel="1">
      <c r="B5947" s="187">
        <v>30931</v>
      </c>
      <c r="C5947" s="188">
        <v>12.81</v>
      </c>
      <c r="D5947" s="104">
        <f t="shared" si="92"/>
        <v>0.12809999999999999</v>
      </c>
      <c r="F5947" s="5"/>
    </row>
    <row r="5948" spans="2:6" ht="13.8" hidden="1" outlineLevel="1">
      <c r="B5948" s="187">
        <v>30932</v>
      </c>
      <c r="C5948" s="188">
        <v>12.7</v>
      </c>
      <c r="D5948" s="104">
        <f t="shared" si="92"/>
        <v>0.127</v>
      </c>
      <c r="F5948" s="5"/>
    </row>
    <row r="5949" spans="2:6" ht="13.8" hidden="1" outlineLevel="1">
      <c r="B5949" s="187">
        <v>30935</v>
      </c>
      <c r="C5949" s="188">
        <v>12.62</v>
      </c>
      <c r="D5949" s="104">
        <f t="shared" si="92"/>
        <v>0.12619999999999998</v>
      </c>
      <c r="F5949" s="5"/>
    </row>
    <row r="5950" spans="2:6" ht="13.8" hidden="1" outlineLevel="1">
      <c r="B5950" s="187">
        <v>30936</v>
      </c>
      <c r="C5950" s="188">
        <v>12.54</v>
      </c>
      <c r="D5950" s="104">
        <f t="shared" si="92"/>
        <v>0.12539999999999998</v>
      </c>
      <c r="F5950" s="5"/>
    </row>
    <row r="5951" spans="2:6" ht="13.8" hidden="1" outlineLevel="1">
      <c r="B5951" s="187">
        <v>30937</v>
      </c>
      <c r="C5951" s="188">
        <v>12.55</v>
      </c>
      <c r="D5951" s="104">
        <f t="shared" si="92"/>
        <v>0.1255</v>
      </c>
      <c r="F5951" s="5"/>
    </row>
    <row r="5952" spans="2:6" ht="13.8" hidden="1" outlineLevel="1">
      <c r="B5952" s="187">
        <v>30938</v>
      </c>
      <c r="C5952" s="188">
        <v>12.44</v>
      </c>
      <c r="D5952" s="104">
        <f t="shared" si="92"/>
        <v>0.1244</v>
      </c>
      <c r="F5952" s="5"/>
    </row>
    <row r="5953" spans="2:6" ht="13.8" hidden="1" outlineLevel="1">
      <c r="B5953" s="187">
        <v>30939</v>
      </c>
      <c r="C5953" s="188">
        <v>12.42</v>
      </c>
      <c r="D5953" s="104">
        <f t="shared" si="92"/>
        <v>0.1242</v>
      </c>
      <c r="F5953" s="5"/>
    </row>
    <row r="5954" spans="2:6" ht="13.8" hidden="1" outlineLevel="1">
      <c r="B5954" s="187">
        <v>30942</v>
      </c>
      <c r="C5954" s="188">
        <v>12.4</v>
      </c>
      <c r="D5954" s="104">
        <f t="shared" si="92"/>
        <v>0.124</v>
      </c>
      <c r="F5954" s="5"/>
    </row>
    <row r="5955" spans="2:6" ht="13.8" hidden="1" outlineLevel="1">
      <c r="B5955" s="187">
        <v>30943</v>
      </c>
      <c r="C5955" s="188">
        <v>12.35</v>
      </c>
      <c r="D5955" s="104">
        <f t="shared" si="92"/>
        <v>0.1235</v>
      </c>
      <c r="F5955" s="5"/>
    </row>
    <row r="5956" spans="2:6" ht="13.8" hidden="1" outlineLevel="1">
      <c r="B5956" s="187">
        <v>30944</v>
      </c>
      <c r="C5956" s="188">
        <v>12.25</v>
      </c>
      <c r="D5956" s="104">
        <f t="shared" si="92"/>
        <v>0.1225</v>
      </c>
      <c r="F5956" s="5"/>
    </row>
    <row r="5957" spans="2:6" ht="13.8" hidden="1" outlineLevel="1">
      <c r="B5957" s="187">
        <v>30945</v>
      </c>
      <c r="C5957" s="188">
        <v>12.28</v>
      </c>
      <c r="D5957" s="104">
        <f t="shared" si="92"/>
        <v>0.12279999999999999</v>
      </c>
      <c r="F5957" s="5"/>
    </row>
    <row r="5958" spans="2:6" ht="13.8" hidden="1" outlineLevel="1">
      <c r="B5958" s="187">
        <v>30946</v>
      </c>
      <c r="C5958" s="188">
        <v>12.45</v>
      </c>
      <c r="D5958" s="104">
        <f t="shared" si="92"/>
        <v>0.1245</v>
      </c>
      <c r="F5958" s="5"/>
    </row>
    <row r="5959" spans="2:6" ht="13.8" hidden="1" outlineLevel="1">
      <c r="B5959" s="187">
        <v>30949</v>
      </c>
      <c r="C5959" s="188">
        <v>12.52</v>
      </c>
      <c r="D5959" s="104">
        <f t="shared" si="92"/>
        <v>0.12520000000000001</v>
      </c>
      <c r="F5959" s="5"/>
    </row>
    <row r="5960" spans="2:6" ht="13.8" hidden="1" outlineLevel="1">
      <c r="B5960" s="187">
        <v>30950</v>
      </c>
      <c r="C5960" s="188">
        <v>12.56</v>
      </c>
      <c r="D5960" s="104">
        <f t="shared" si="92"/>
        <v>0.12560000000000002</v>
      </c>
      <c r="F5960" s="5"/>
    </row>
    <row r="5961" spans="2:6" ht="13.8" hidden="1" outlineLevel="1">
      <c r="B5961" s="187">
        <v>30951</v>
      </c>
      <c r="C5961" s="188">
        <v>12.46</v>
      </c>
      <c r="D5961" s="104">
        <f t="shared" si="92"/>
        <v>0.1246</v>
      </c>
      <c r="F5961" s="5"/>
    </row>
    <row r="5962" spans="2:6" ht="13.8" hidden="1" outlineLevel="1">
      <c r="B5962" s="187">
        <v>30952</v>
      </c>
      <c r="C5962" s="188">
        <v>12.31</v>
      </c>
      <c r="D5962" s="104">
        <f t="shared" si="92"/>
        <v>0.1231</v>
      </c>
      <c r="F5962" s="5"/>
    </row>
    <row r="5963" spans="2:6" ht="13.8" hidden="1" outlineLevel="1">
      <c r="B5963" s="187">
        <v>30953</v>
      </c>
      <c r="C5963" s="188">
        <v>12.47</v>
      </c>
      <c r="D5963" s="104">
        <f t="shared" si="92"/>
        <v>0.12470000000000001</v>
      </c>
      <c r="F5963" s="5"/>
    </row>
    <row r="5964" spans="2:6" ht="13.8" hidden="1" outlineLevel="1">
      <c r="B5964" s="187">
        <v>30956</v>
      </c>
      <c r="C5964" s="188">
        <v>12.54</v>
      </c>
      <c r="D5964" s="104">
        <f t="shared" si="92"/>
        <v>0.12539999999999998</v>
      </c>
      <c r="F5964" s="5"/>
    </row>
    <row r="5965" spans="2:6" ht="13.8" hidden="1" outlineLevel="1">
      <c r="B5965" s="187">
        <v>30957</v>
      </c>
      <c r="C5965" s="188">
        <v>12.54</v>
      </c>
      <c r="D5965" s="104">
        <f t="shared" si="92"/>
        <v>0.12539999999999998</v>
      </c>
      <c r="F5965" s="5"/>
    </row>
    <row r="5966" spans="2:6" ht="13.8" hidden="1" outlineLevel="1">
      <c r="B5966" s="187">
        <v>30958</v>
      </c>
      <c r="C5966" s="188">
        <v>12.54</v>
      </c>
      <c r="D5966" s="104">
        <f t="shared" si="92"/>
        <v>0.12539999999999998</v>
      </c>
      <c r="F5966" s="5"/>
    </row>
    <row r="5967" spans="2:6" ht="13.8" hidden="1" outlineLevel="1">
      <c r="B5967" s="187">
        <v>30959</v>
      </c>
      <c r="C5967" s="188">
        <v>12.52</v>
      </c>
      <c r="D5967" s="104">
        <f t="shared" si="92"/>
        <v>0.12520000000000001</v>
      </c>
      <c r="F5967" s="5"/>
    </row>
    <row r="5968" spans="2:6" ht="13.8" hidden="1" outlineLevel="1">
      <c r="B5968" s="187">
        <v>30960</v>
      </c>
      <c r="C5968" s="188">
        <v>12.39</v>
      </c>
      <c r="D5968" s="104">
        <f t="shared" si="92"/>
        <v>0.12390000000000001</v>
      </c>
      <c r="F5968" s="5"/>
    </row>
    <row r="5969" spans="2:6" ht="13.8" hidden="1" outlineLevel="1">
      <c r="B5969" s="187">
        <v>30963</v>
      </c>
      <c r="C5969" s="188" t="s">
        <v>380</v>
      </c>
      <c r="D5969" s="104">
        <f t="shared" si="92"/>
        <v>0.12390000000000001</v>
      </c>
      <c r="F5969" s="5"/>
    </row>
    <row r="5970" spans="2:6" ht="13.8" hidden="1" outlineLevel="1">
      <c r="B5970" s="187">
        <v>30964</v>
      </c>
      <c r="C5970" s="188">
        <v>12.36</v>
      </c>
      <c r="D5970" s="104">
        <f t="shared" si="92"/>
        <v>0.12359999999999999</v>
      </c>
      <c r="F5970" s="5"/>
    </row>
    <row r="5971" spans="2:6" ht="13.8" hidden="1" outlineLevel="1">
      <c r="B5971" s="187">
        <v>30965</v>
      </c>
      <c r="C5971" s="188">
        <v>12.36</v>
      </c>
      <c r="D5971" s="104">
        <f t="shared" si="92"/>
        <v>0.12359999999999999</v>
      </c>
      <c r="F5971" s="5"/>
    </row>
    <row r="5972" spans="2:6" ht="13.8" hidden="1" outlineLevel="1">
      <c r="B5972" s="187">
        <v>30966</v>
      </c>
      <c r="C5972" s="188">
        <v>12.31</v>
      </c>
      <c r="D5972" s="104">
        <f t="shared" si="92"/>
        <v>0.1231</v>
      </c>
      <c r="F5972" s="5"/>
    </row>
    <row r="5973" spans="2:6" ht="13.8" hidden="1" outlineLevel="1">
      <c r="B5973" s="187">
        <v>30967</v>
      </c>
      <c r="C5973" s="188">
        <v>12.28</v>
      </c>
      <c r="D5973" s="104">
        <f t="shared" si="92"/>
        <v>0.12279999999999999</v>
      </c>
      <c r="F5973" s="5"/>
    </row>
    <row r="5974" spans="2:6" ht="13.8" hidden="1" outlineLevel="1">
      <c r="B5974" s="187">
        <v>30970</v>
      </c>
      <c r="C5974" s="188">
        <v>12.34</v>
      </c>
      <c r="D5974" s="104">
        <f t="shared" si="92"/>
        <v>0.1234</v>
      </c>
      <c r="F5974" s="5"/>
    </row>
    <row r="5975" spans="2:6" ht="13.8" hidden="1" outlineLevel="1">
      <c r="B5975" s="187">
        <v>30971</v>
      </c>
      <c r="C5975" s="188">
        <v>12.32</v>
      </c>
      <c r="D5975" s="104">
        <f t="shared" si="92"/>
        <v>0.1232</v>
      </c>
      <c r="F5975" s="5"/>
    </row>
    <row r="5976" spans="2:6" ht="13.8" hidden="1" outlineLevel="1">
      <c r="B5976" s="187">
        <v>30972</v>
      </c>
      <c r="C5976" s="188">
        <v>12.28</v>
      </c>
      <c r="D5976" s="104">
        <f t="shared" si="92"/>
        <v>0.12279999999999999</v>
      </c>
      <c r="F5976" s="5"/>
    </row>
    <row r="5977" spans="2:6" ht="13.8" hidden="1" outlineLevel="1">
      <c r="B5977" s="187">
        <v>30973</v>
      </c>
      <c r="C5977" s="188">
        <v>12.09</v>
      </c>
      <c r="D5977" s="104">
        <f t="shared" si="92"/>
        <v>0.12089999999999999</v>
      </c>
      <c r="F5977" s="5"/>
    </row>
    <row r="5978" spans="2:6" ht="13.8" hidden="1" outlineLevel="1">
      <c r="B5978" s="187">
        <v>30974</v>
      </c>
      <c r="C5978" s="188">
        <v>11.93</v>
      </c>
      <c r="D5978" s="104">
        <f t="shared" si="92"/>
        <v>0.1193</v>
      </c>
      <c r="F5978" s="5"/>
    </row>
    <row r="5979" spans="2:6" ht="13.8" hidden="1" outlineLevel="1">
      <c r="B5979" s="187">
        <v>30977</v>
      </c>
      <c r="C5979" s="188">
        <v>11.9</v>
      </c>
      <c r="D5979" s="104">
        <f t="shared" si="92"/>
        <v>0.11900000000000001</v>
      </c>
      <c r="F5979" s="5"/>
    </row>
    <row r="5980" spans="2:6" ht="13.8" hidden="1" outlineLevel="1">
      <c r="B5980" s="187">
        <v>30978</v>
      </c>
      <c r="C5980" s="188">
        <v>11.78</v>
      </c>
      <c r="D5980" s="104">
        <f t="shared" si="92"/>
        <v>0.11779999999999999</v>
      </c>
      <c r="F5980" s="5"/>
    </row>
    <row r="5981" spans="2:6" ht="13.8" hidden="1" outlineLevel="1">
      <c r="B5981" s="187">
        <v>30979</v>
      </c>
      <c r="C5981" s="188">
        <v>11.74</v>
      </c>
      <c r="D5981" s="104">
        <f t="shared" si="92"/>
        <v>0.1174</v>
      </c>
      <c r="F5981" s="5"/>
    </row>
    <row r="5982" spans="2:6" ht="13.8" hidden="1" outlineLevel="1">
      <c r="B5982" s="187">
        <v>30980</v>
      </c>
      <c r="C5982" s="188">
        <v>11.83</v>
      </c>
      <c r="D5982" s="104">
        <f t="shared" ref="D5982:D6045" si="93">IF( LEN( C5982 ) = 0, #N/A, IF( C5982 = "ND", D5981, C5982 / 100 ) )</f>
        <v>0.1183</v>
      </c>
      <c r="F5982" s="5"/>
    </row>
    <row r="5983" spans="2:6" ht="13.8" hidden="1" outlineLevel="1">
      <c r="B5983" s="187">
        <v>30981</v>
      </c>
      <c r="C5983" s="188">
        <v>11.99</v>
      </c>
      <c r="D5983" s="104">
        <f t="shared" si="93"/>
        <v>0.11990000000000001</v>
      </c>
      <c r="F5983" s="5"/>
    </row>
    <row r="5984" spans="2:6" ht="13.8" hidden="1" outlineLevel="1">
      <c r="B5984" s="187">
        <v>30984</v>
      </c>
      <c r="C5984" s="188">
        <v>11.95</v>
      </c>
      <c r="D5984" s="104">
        <f t="shared" si="93"/>
        <v>0.1195</v>
      </c>
      <c r="F5984" s="5"/>
    </row>
    <row r="5985" spans="2:6" ht="13.8" hidden="1" outlineLevel="1">
      <c r="B5985" s="187">
        <v>30985</v>
      </c>
      <c r="C5985" s="188">
        <v>11.75</v>
      </c>
      <c r="D5985" s="104">
        <f t="shared" si="93"/>
        <v>0.11749999999999999</v>
      </c>
      <c r="F5985" s="5"/>
    </row>
    <row r="5986" spans="2:6" ht="13.8" hidden="1" outlineLevel="1">
      <c r="B5986" s="187">
        <v>30986</v>
      </c>
      <c r="C5986" s="188">
        <v>11.79</v>
      </c>
      <c r="D5986" s="104">
        <f t="shared" si="93"/>
        <v>0.11789999999999999</v>
      </c>
      <c r="F5986" s="5"/>
    </row>
    <row r="5987" spans="2:6" ht="13.8" hidden="1" outlineLevel="1">
      <c r="B5987" s="187">
        <v>30987</v>
      </c>
      <c r="C5987" s="188">
        <v>11.66</v>
      </c>
      <c r="D5987" s="104">
        <f t="shared" si="93"/>
        <v>0.1166</v>
      </c>
      <c r="F5987" s="5"/>
    </row>
    <row r="5988" spans="2:6" ht="13.8" hidden="1" outlineLevel="1">
      <c r="B5988" s="187">
        <v>30988</v>
      </c>
      <c r="C5988" s="188">
        <v>11.66</v>
      </c>
      <c r="D5988" s="104">
        <f t="shared" si="93"/>
        <v>0.1166</v>
      </c>
      <c r="F5988" s="5"/>
    </row>
    <row r="5989" spans="2:6" ht="13.8" hidden="1" outlineLevel="1">
      <c r="B5989" s="187">
        <v>30991</v>
      </c>
      <c r="C5989" s="188">
        <v>11.6</v>
      </c>
      <c r="D5989" s="104">
        <f t="shared" si="93"/>
        <v>0.11599999999999999</v>
      </c>
      <c r="F5989" s="5"/>
    </row>
    <row r="5990" spans="2:6" ht="13.8" hidden="1" outlineLevel="1">
      <c r="B5990" s="187">
        <v>30992</v>
      </c>
      <c r="C5990" s="188" t="s">
        <v>380</v>
      </c>
      <c r="D5990" s="104">
        <f t="shared" si="93"/>
        <v>0.11599999999999999</v>
      </c>
      <c r="F5990" s="5"/>
    </row>
    <row r="5991" spans="2:6" ht="13.8" hidden="1" outlineLevel="1">
      <c r="B5991" s="187">
        <v>30993</v>
      </c>
      <c r="C5991" s="188">
        <v>11.72</v>
      </c>
      <c r="D5991" s="104">
        <f t="shared" si="93"/>
        <v>0.11720000000000001</v>
      </c>
      <c r="F5991" s="5"/>
    </row>
    <row r="5992" spans="2:6" ht="13.8" hidden="1" outlineLevel="1">
      <c r="B5992" s="187">
        <v>30994</v>
      </c>
      <c r="C5992" s="188">
        <v>11.81</v>
      </c>
      <c r="D5992" s="104">
        <f t="shared" si="93"/>
        <v>0.11810000000000001</v>
      </c>
      <c r="F5992" s="5"/>
    </row>
    <row r="5993" spans="2:6" ht="13.8" hidden="1" outlineLevel="1">
      <c r="B5993" s="187">
        <v>30995</v>
      </c>
      <c r="C5993" s="188">
        <v>11.71</v>
      </c>
      <c r="D5993" s="104">
        <f t="shared" si="93"/>
        <v>0.11710000000000001</v>
      </c>
      <c r="F5993" s="5"/>
    </row>
    <row r="5994" spans="2:6" ht="13.8" hidden="1" outlineLevel="1">
      <c r="B5994" s="187">
        <v>30998</v>
      </c>
      <c r="C5994" s="188" t="s">
        <v>380</v>
      </c>
      <c r="D5994" s="104">
        <f t="shared" si="93"/>
        <v>0.11710000000000001</v>
      </c>
      <c r="F5994" s="5"/>
    </row>
    <row r="5995" spans="2:6" ht="13.8" hidden="1" outlineLevel="1">
      <c r="B5995" s="187">
        <v>30999</v>
      </c>
      <c r="C5995" s="188">
        <v>11.78</v>
      </c>
      <c r="D5995" s="104">
        <f t="shared" si="93"/>
        <v>0.11779999999999999</v>
      </c>
      <c r="F5995" s="5"/>
    </row>
    <row r="5996" spans="2:6" ht="13.8" hidden="1" outlineLevel="1">
      <c r="B5996" s="187">
        <v>31000</v>
      </c>
      <c r="C5996" s="188">
        <v>11.81</v>
      </c>
      <c r="D5996" s="104">
        <f t="shared" si="93"/>
        <v>0.11810000000000001</v>
      </c>
      <c r="F5996" s="5"/>
    </row>
    <row r="5997" spans="2:6" ht="13.8" hidden="1" outlineLevel="1">
      <c r="B5997" s="187">
        <v>31001</v>
      </c>
      <c r="C5997" s="188">
        <v>11.73</v>
      </c>
      <c r="D5997" s="104">
        <f t="shared" si="93"/>
        <v>0.1173</v>
      </c>
      <c r="F5997" s="5"/>
    </row>
    <row r="5998" spans="2:6" ht="13.8" hidden="1" outlineLevel="1">
      <c r="B5998" s="187">
        <v>31002</v>
      </c>
      <c r="C5998" s="188">
        <v>11.69</v>
      </c>
      <c r="D5998" s="104">
        <f t="shared" si="93"/>
        <v>0.11689999999999999</v>
      </c>
      <c r="F5998" s="5"/>
    </row>
    <row r="5999" spans="2:6" ht="13.8" hidden="1" outlineLevel="1">
      <c r="B5999" s="187">
        <v>31005</v>
      </c>
      <c r="C5999" s="188">
        <v>11.61</v>
      </c>
      <c r="D5999" s="104">
        <f t="shared" si="93"/>
        <v>0.11609999999999999</v>
      </c>
      <c r="F5999" s="5"/>
    </row>
    <row r="6000" spans="2:6" ht="13.8" hidden="1" outlineLevel="1">
      <c r="B6000" s="187">
        <v>31006</v>
      </c>
      <c r="C6000" s="188">
        <v>11.53</v>
      </c>
      <c r="D6000" s="104">
        <f t="shared" si="93"/>
        <v>0.1153</v>
      </c>
      <c r="F6000" s="5"/>
    </row>
    <row r="6001" spans="2:6" ht="13.8" hidden="1" outlineLevel="1">
      <c r="B6001" s="187">
        <v>31007</v>
      </c>
      <c r="C6001" s="188">
        <v>11.39</v>
      </c>
      <c r="D6001" s="104">
        <f t="shared" si="93"/>
        <v>0.1139</v>
      </c>
      <c r="F6001" s="5"/>
    </row>
    <row r="6002" spans="2:6" ht="13.8" hidden="1" outlineLevel="1">
      <c r="B6002" s="187">
        <v>31008</v>
      </c>
      <c r="C6002" s="188" t="s">
        <v>380</v>
      </c>
      <c r="D6002" s="104">
        <f t="shared" si="93"/>
        <v>0.1139</v>
      </c>
      <c r="F6002" s="5"/>
    </row>
    <row r="6003" spans="2:6" ht="13.8" hidden="1" outlineLevel="1">
      <c r="B6003" s="187">
        <v>31009</v>
      </c>
      <c r="C6003" s="188">
        <v>11.24</v>
      </c>
      <c r="D6003" s="104">
        <f t="shared" si="93"/>
        <v>0.1124</v>
      </c>
      <c r="F6003" s="5"/>
    </row>
    <row r="6004" spans="2:6" ht="13.8" hidden="1" outlineLevel="1">
      <c r="B6004" s="187">
        <v>31012</v>
      </c>
      <c r="C6004" s="188">
        <v>11.28</v>
      </c>
      <c r="D6004" s="104">
        <f t="shared" si="93"/>
        <v>0.1128</v>
      </c>
      <c r="F6004" s="5"/>
    </row>
    <row r="6005" spans="2:6" ht="13.8" hidden="1" outlineLevel="1">
      <c r="B6005" s="187">
        <v>31013</v>
      </c>
      <c r="C6005" s="188">
        <v>11.28</v>
      </c>
      <c r="D6005" s="104">
        <f t="shared" si="93"/>
        <v>0.1128</v>
      </c>
      <c r="F6005" s="5"/>
    </row>
    <row r="6006" spans="2:6" ht="13.8" hidden="1" outlineLevel="1">
      <c r="B6006" s="187">
        <v>31014</v>
      </c>
      <c r="C6006" s="188">
        <v>11.38</v>
      </c>
      <c r="D6006" s="104">
        <f t="shared" si="93"/>
        <v>0.11380000000000001</v>
      </c>
      <c r="F6006" s="5"/>
    </row>
    <row r="6007" spans="2:6" ht="13.8" hidden="1" outlineLevel="1">
      <c r="B6007" s="187">
        <v>31015</v>
      </c>
      <c r="C6007" s="188">
        <v>11.42</v>
      </c>
      <c r="D6007" s="104">
        <f t="shared" si="93"/>
        <v>0.1142</v>
      </c>
      <c r="F6007" s="5"/>
    </row>
    <row r="6008" spans="2:6" ht="13.8" hidden="1" outlineLevel="1">
      <c r="B6008" s="187">
        <v>31016</v>
      </c>
      <c r="C6008" s="188">
        <v>11.58</v>
      </c>
      <c r="D6008" s="104">
        <f t="shared" si="93"/>
        <v>0.1158</v>
      </c>
      <c r="F6008" s="5"/>
    </row>
    <row r="6009" spans="2:6" ht="13.8" hidden="1" outlineLevel="1">
      <c r="B6009" s="187">
        <v>31019</v>
      </c>
      <c r="C6009" s="188">
        <v>11.56</v>
      </c>
      <c r="D6009" s="104">
        <f t="shared" si="93"/>
        <v>0.11560000000000001</v>
      </c>
      <c r="F6009" s="5"/>
    </row>
    <row r="6010" spans="2:6" ht="13.8" hidden="1" outlineLevel="1">
      <c r="B6010" s="187">
        <v>31020</v>
      </c>
      <c r="C6010" s="188">
        <v>11.52</v>
      </c>
      <c r="D6010" s="104">
        <f t="shared" si="93"/>
        <v>0.1152</v>
      </c>
      <c r="F6010" s="5"/>
    </row>
    <row r="6011" spans="2:6" ht="13.8" hidden="1" outlineLevel="1">
      <c r="B6011" s="187">
        <v>31021</v>
      </c>
      <c r="C6011" s="188">
        <v>11.52</v>
      </c>
      <c r="D6011" s="104">
        <f t="shared" si="93"/>
        <v>0.1152</v>
      </c>
      <c r="F6011" s="5"/>
    </row>
    <row r="6012" spans="2:6" ht="13.8" hidden="1" outlineLevel="1">
      <c r="B6012" s="187">
        <v>31022</v>
      </c>
      <c r="C6012" s="188">
        <v>11.61</v>
      </c>
      <c r="D6012" s="104">
        <f t="shared" si="93"/>
        <v>0.11609999999999999</v>
      </c>
      <c r="F6012" s="5"/>
    </row>
    <row r="6013" spans="2:6" ht="13.8" hidden="1" outlineLevel="1">
      <c r="B6013" s="187">
        <v>31023</v>
      </c>
      <c r="C6013" s="188">
        <v>11.7</v>
      </c>
      <c r="D6013" s="104">
        <f t="shared" si="93"/>
        <v>0.11699999999999999</v>
      </c>
      <c r="F6013" s="5"/>
    </row>
    <row r="6014" spans="2:6" ht="13.8" hidden="1" outlineLevel="1">
      <c r="B6014" s="187">
        <v>31026</v>
      </c>
      <c r="C6014" s="188">
        <v>11.66</v>
      </c>
      <c r="D6014" s="104">
        <f t="shared" si="93"/>
        <v>0.1166</v>
      </c>
      <c r="F6014" s="5"/>
    </row>
    <row r="6015" spans="2:6" ht="13.8" hidden="1" outlineLevel="1">
      <c r="B6015" s="187">
        <v>31027</v>
      </c>
      <c r="C6015" s="188">
        <v>11.57</v>
      </c>
      <c r="D6015" s="104">
        <f t="shared" si="93"/>
        <v>0.1157</v>
      </c>
      <c r="F6015" s="5"/>
    </row>
    <row r="6016" spans="2:6" ht="13.8" hidden="1" outlineLevel="1">
      <c r="B6016" s="187">
        <v>31028</v>
      </c>
      <c r="C6016" s="188">
        <v>11.54</v>
      </c>
      <c r="D6016" s="104">
        <f t="shared" si="93"/>
        <v>0.11539999999999999</v>
      </c>
      <c r="F6016" s="5"/>
    </row>
    <row r="6017" spans="2:6" ht="13.8" hidden="1" outlineLevel="1">
      <c r="B6017" s="187">
        <v>31029</v>
      </c>
      <c r="C6017" s="188">
        <v>11.7</v>
      </c>
      <c r="D6017" s="104">
        <f t="shared" si="93"/>
        <v>0.11699999999999999</v>
      </c>
      <c r="F6017" s="5"/>
    </row>
    <row r="6018" spans="2:6" ht="13.8" hidden="1" outlineLevel="1">
      <c r="B6018" s="187">
        <v>31030</v>
      </c>
      <c r="C6018" s="188">
        <v>11.56</v>
      </c>
      <c r="D6018" s="104">
        <f t="shared" si="93"/>
        <v>0.11560000000000001</v>
      </c>
      <c r="F6018" s="5"/>
    </row>
    <row r="6019" spans="2:6" ht="13.8" hidden="1" outlineLevel="1">
      <c r="B6019" s="187">
        <v>31033</v>
      </c>
      <c r="C6019" s="188">
        <v>11.49</v>
      </c>
      <c r="D6019" s="104">
        <f t="shared" si="93"/>
        <v>0.1149</v>
      </c>
      <c r="F6019" s="5"/>
    </row>
    <row r="6020" spans="2:6" ht="13.8" hidden="1" outlineLevel="1">
      <c r="B6020" s="187">
        <v>31034</v>
      </c>
      <c r="C6020" s="188">
        <v>11.29</v>
      </c>
      <c r="D6020" s="104">
        <f t="shared" si="93"/>
        <v>0.11289999999999999</v>
      </c>
      <c r="F6020" s="5"/>
    </row>
    <row r="6021" spans="2:6" ht="13.8" hidden="1" outlineLevel="1">
      <c r="B6021" s="187">
        <v>31035</v>
      </c>
      <c r="C6021" s="188">
        <v>11.34</v>
      </c>
      <c r="D6021" s="104">
        <f t="shared" si="93"/>
        <v>0.1134</v>
      </c>
      <c r="F6021" s="5"/>
    </row>
    <row r="6022" spans="2:6" ht="13.8" hidden="1" outlineLevel="1">
      <c r="B6022" s="187">
        <v>31036</v>
      </c>
      <c r="C6022" s="188">
        <v>11.37</v>
      </c>
      <c r="D6022" s="104">
        <f t="shared" si="93"/>
        <v>0.1137</v>
      </c>
      <c r="F6022" s="5"/>
    </row>
    <row r="6023" spans="2:6" ht="13.8" hidden="1" outlineLevel="1">
      <c r="B6023" s="187">
        <v>31037</v>
      </c>
      <c r="C6023" s="188">
        <v>11.34</v>
      </c>
      <c r="D6023" s="104">
        <f t="shared" si="93"/>
        <v>0.1134</v>
      </c>
      <c r="F6023" s="5"/>
    </row>
    <row r="6024" spans="2:6" ht="13.8" hidden="1" outlineLevel="1">
      <c r="B6024" s="187">
        <v>31040</v>
      </c>
      <c r="C6024" s="188">
        <v>11.31</v>
      </c>
      <c r="D6024" s="104">
        <f t="shared" si="93"/>
        <v>0.11310000000000001</v>
      </c>
      <c r="F6024" s="5"/>
    </row>
    <row r="6025" spans="2:6" ht="13.8" hidden="1" outlineLevel="1">
      <c r="B6025" s="187">
        <v>31041</v>
      </c>
      <c r="C6025" s="188" t="s">
        <v>380</v>
      </c>
      <c r="D6025" s="104">
        <f t="shared" si="93"/>
        <v>0.11310000000000001</v>
      </c>
      <c r="F6025" s="5"/>
    </row>
    <row r="6026" spans="2:6" ht="13.8" hidden="1" outlineLevel="1">
      <c r="B6026" s="187">
        <v>31042</v>
      </c>
      <c r="C6026" s="188">
        <v>11.45</v>
      </c>
      <c r="D6026" s="104">
        <f t="shared" si="93"/>
        <v>0.11449999999999999</v>
      </c>
      <c r="F6026" s="5"/>
    </row>
    <row r="6027" spans="2:6" ht="13.8" hidden="1" outlineLevel="1">
      <c r="B6027" s="187">
        <v>31043</v>
      </c>
      <c r="C6027" s="188">
        <v>11.45</v>
      </c>
      <c r="D6027" s="104">
        <f t="shared" si="93"/>
        <v>0.11449999999999999</v>
      </c>
      <c r="F6027" s="5"/>
    </row>
    <row r="6028" spans="2:6" ht="13.8" hidden="1" outlineLevel="1">
      <c r="B6028" s="187">
        <v>31044</v>
      </c>
      <c r="C6028" s="188">
        <v>11.46</v>
      </c>
      <c r="D6028" s="104">
        <f t="shared" si="93"/>
        <v>0.11460000000000001</v>
      </c>
      <c r="F6028" s="5"/>
    </row>
    <row r="6029" spans="2:6" ht="13.8" hidden="1" outlineLevel="1">
      <c r="B6029" s="187">
        <v>31047</v>
      </c>
      <c r="C6029" s="188">
        <v>11.55</v>
      </c>
      <c r="D6029" s="104">
        <f t="shared" si="93"/>
        <v>0.11550000000000001</v>
      </c>
      <c r="F6029" s="5"/>
    </row>
    <row r="6030" spans="2:6" ht="13.8" hidden="1" outlineLevel="1">
      <c r="B6030" s="187">
        <v>31048</v>
      </c>
      <c r="C6030" s="188" t="s">
        <v>380</v>
      </c>
      <c r="D6030" s="104">
        <f t="shared" si="93"/>
        <v>0.11550000000000001</v>
      </c>
      <c r="F6030" s="5"/>
    </row>
    <row r="6031" spans="2:6" ht="13.8" hidden="1" outlineLevel="1">
      <c r="B6031" s="187">
        <v>31049</v>
      </c>
      <c r="C6031" s="188">
        <v>11.7</v>
      </c>
      <c r="D6031" s="104">
        <f t="shared" si="93"/>
        <v>0.11699999999999999</v>
      </c>
      <c r="F6031" s="5"/>
    </row>
    <row r="6032" spans="2:6" ht="13.8" hidden="1" outlineLevel="1">
      <c r="B6032" s="187">
        <v>31050</v>
      </c>
      <c r="C6032" s="188">
        <v>11.62</v>
      </c>
      <c r="D6032" s="104">
        <f t="shared" si="93"/>
        <v>0.1162</v>
      </c>
      <c r="F6032" s="5"/>
    </row>
    <row r="6033" spans="2:6" ht="13.8" hidden="1" outlineLevel="1">
      <c r="B6033" s="187">
        <v>31051</v>
      </c>
      <c r="C6033" s="188">
        <v>11.67</v>
      </c>
      <c r="D6033" s="104">
        <f t="shared" si="93"/>
        <v>0.1167</v>
      </c>
      <c r="F6033" s="5"/>
    </row>
    <row r="6034" spans="2:6" ht="13.8" hidden="1" outlineLevel="1">
      <c r="B6034" s="187">
        <v>31054</v>
      </c>
      <c r="C6034" s="188">
        <v>11.5</v>
      </c>
      <c r="D6034" s="104">
        <f t="shared" si="93"/>
        <v>0.115</v>
      </c>
      <c r="F6034" s="5"/>
    </row>
    <row r="6035" spans="2:6" ht="13.8" hidden="1" outlineLevel="1">
      <c r="B6035" s="187">
        <v>31055</v>
      </c>
      <c r="C6035" s="188">
        <v>11.45</v>
      </c>
      <c r="D6035" s="104">
        <f t="shared" si="93"/>
        <v>0.11449999999999999</v>
      </c>
      <c r="F6035" s="5"/>
    </row>
    <row r="6036" spans="2:6" ht="13.8" hidden="1" outlineLevel="1">
      <c r="B6036" s="187">
        <v>31056</v>
      </c>
      <c r="C6036" s="188">
        <v>11.47</v>
      </c>
      <c r="D6036" s="104">
        <f t="shared" si="93"/>
        <v>0.11470000000000001</v>
      </c>
      <c r="F6036" s="5"/>
    </row>
    <row r="6037" spans="2:6" ht="13.8" hidden="1" outlineLevel="1">
      <c r="B6037" s="187">
        <v>31057</v>
      </c>
      <c r="C6037" s="188">
        <v>11.48</v>
      </c>
      <c r="D6037" s="104">
        <f t="shared" si="93"/>
        <v>0.1148</v>
      </c>
      <c r="F6037" s="5"/>
    </row>
    <row r="6038" spans="2:6" ht="13.8" hidden="1" outlineLevel="1">
      <c r="B6038" s="187">
        <v>31058</v>
      </c>
      <c r="C6038" s="188">
        <v>11.59</v>
      </c>
      <c r="D6038" s="104">
        <f t="shared" si="93"/>
        <v>0.1159</v>
      </c>
      <c r="F6038" s="5"/>
    </row>
    <row r="6039" spans="2:6" ht="13.8" hidden="1" outlineLevel="1">
      <c r="B6039" s="187">
        <v>31061</v>
      </c>
      <c r="C6039" s="188">
        <v>11.6</v>
      </c>
      <c r="D6039" s="104">
        <f t="shared" si="93"/>
        <v>0.11599999999999999</v>
      </c>
      <c r="F6039" s="5"/>
    </row>
    <row r="6040" spans="2:6" ht="13.8" hidden="1" outlineLevel="1">
      <c r="B6040" s="187">
        <v>31062</v>
      </c>
      <c r="C6040" s="188">
        <v>11.49</v>
      </c>
      <c r="D6040" s="104">
        <f t="shared" si="93"/>
        <v>0.1149</v>
      </c>
      <c r="F6040" s="5"/>
    </row>
    <row r="6041" spans="2:6" ht="13.8" hidden="1" outlineLevel="1">
      <c r="B6041" s="187">
        <v>31063</v>
      </c>
      <c r="C6041" s="188">
        <v>11.51</v>
      </c>
      <c r="D6041" s="104">
        <f t="shared" si="93"/>
        <v>0.11509999999999999</v>
      </c>
      <c r="F6041" s="5"/>
    </row>
    <row r="6042" spans="2:6" ht="13.8" hidden="1" outlineLevel="1">
      <c r="B6042" s="187">
        <v>31064</v>
      </c>
      <c r="C6042" s="188">
        <v>11.48</v>
      </c>
      <c r="D6042" s="104">
        <f t="shared" si="93"/>
        <v>0.1148</v>
      </c>
      <c r="F6042" s="5"/>
    </row>
    <row r="6043" spans="2:6" ht="13.8" hidden="1" outlineLevel="1">
      <c r="B6043" s="187">
        <v>31065</v>
      </c>
      <c r="C6043" s="188">
        <v>11.39</v>
      </c>
      <c r="D6043" s="104">
        <f t="shared" si="93"/>
        <v>0.1139</v>
      </c>
      <c r="F6043" s="5"/>
    </row>
    <row r="6044" spans="2:6" ht="13.8" hidden="1" outlineLevel="1">
      <c r="B6044" s="187">
        <v>31068</v>
      </c>
      <c r="C6044" s="188" t="s">
        <v>380</v>
      </c>
      <c r="D6044" s="104">
        <f t="shared" si="93"/>
        <v>0.1139</v>
      </c>
      <c r="F6044" s="5"/>
    </row>
    <row r="6045" spans="2:6" ht="13.8" hidden="1" outlineLevel="1">
      <c r="B6045" s="187">
        <v>31069</v>
      </c>
      <c r="C6045" s="188">
        <v>11.27</v>
      </c>
      <c r="D6045" s="104">
        <f t="shared" si="93"/>
        <v>0.11269999999999999</v>
      </c>
      <c r="F6045" s="5"/>
    </row>
    <row r="6046" spans="2:6" ht="13.8" hidden="1" outlineLevel="1">
      <c r="B6046" s="187">
        <v>31070</v>
      </c>
      <c r="C6046" s="188">
        <v>11.21</v>
      </c>
      <c r="D6046" s="104">
        <f t="shared" ref="D6046:D6109" si="94">IF( LEN( C6046 ) = 0, #N/A, IF( C6046 = "ND", D6045, C6046 / 100 ) )</f>
        <v>0.11210000000000001</v>
      </c>
      <c r="F6046" s="5"/>
    </row>
    <row r="6047" spans="2:6" ht="13.8" hidden="1" outlineLevel="1">
      <c r="B6047" s="187">
        <v>31071</v>
      </c>
      <c r="C6047" s="188">
        <v>11.06</v>
      </c>
      <c r="D6047" s="104">
        <f t="shared" si="94"/>
        <v>0.1106</v>
      </c>
      <c r="F6047" s="5"/>
    </row>
    <row r="6048" spans="2:6" ht="13.8" hidden="1" outlineLevel="1">
      <c r="B6048" s="187">
        <v>31072</v>
      </c>
      <c r="C6048" s="188">
        <v>11.11</v>
      </c>
      <c r="D6048" s="104">
        <f t="shared" si="94"/>
        <v>0.11109999999999999</v>
      </c>
      <c r="F6048" s="5"/>
    </row>
    <row r="6049" spans="2:6" ht="13.8" hidden="1" outlineLevel="1">
      <c r="B6049" s="187">
        <v>31075</v>
      </c>
      <c r="C6049" s="188">
        <v>11.11</v>
      </c>
      <c r="D6049" s="104">
        <f t="shared" si="94"/>
        <v>0.11109999999999999</v>
      </c>
      <c r="F6049" s="5"/>
    </row>
    <row r="6050" spans="2:6" ht="13.8" hidden="1" outlineLevel="1">
      <c r="B6050" s="187">
        <v>31076</v>
      </c>
      <c r="C6050" s="188">
        <v>11.11</v>
      </c>
      <c r="D6050" s="104">
        <f t="shared" si="94"/>
        <v>0.11109999999999999</v>
      </c>
      <c r="F6050" s="5"/>
    </row>
    <row r="6051" spans="2:6" ht="13.8" hidden="1" outlineLevel="1">
      <c r="B6051" s="187">
        <v>31077</v>
      </c>
      <c r="C6051" s="188">
        <v>11.08</v>
      </c>
      <c r="D6051" s="104">
        <f t="shared" si="94"/>
        <v>0.1108</v>
      </c>
      <c r="F6051" s="5"/>
    </row>
    <row r="6052" spans="2:6" ht="13.8" hidden="1" outlineLevel="1">
      <c r="B6052" s="187">
        <v>31078</v>
      </c>
      <c r="C6052" s="188">
        <v>11.17</v>
      </c>
      <c r="D6052" s="104">
        <f t="shared" si="94"/>
        <v>0.11169999999999999</v>
      </c>
      <c r="F6052" s="5"/>
    </row>
    <row r="6053" spans="2:6" ht="13.8" hidden="1" outlineLevel="1">
      <c r="B6053" s="187">
        <v>31079</v>
      </c>
      <c r="C6053" s="188">
        <v>11.29</v>
      </c>
      <c r="D6053" s="104">
        <f t="shared" si="94"/>
        <v>0.11289999999999999</v>
      </c>
      <c r="F6053" s="5"/>
    </row>
    <row r="6054" spans="2:6" ht="13.8" hidden="1" outlineLevel="1">
      <c r="B6054" s="187">
        <v>31082</v>
      </c>
      <c r="C6054" s="188">
        <v>11.35</v>
      </c>
      <c r="D6054" s="104">
        <f t="shared" si="94"/>
        <v>0.11349999999999999</v>
      </c>
      <c r="F6054" s="5"/>
    </row>
    <row r="6055" spans="2:6" ht="13.8" hidden="1" outlineLevel="1">
      <c r="B6055" s="187">
        <v>31083</v>
      </c>
      <c r="C6055" s="188">
        <v>11.3</v>
      </c>
      <c r="D6055" s="104">
        <f t="shared" si="94"/>
        <v>0.113</v>
      </c>
      <c r="F6055" s="5"/>
    </row>
    <row r="6056" spans="2:6" ht="13.8" hidden="1" outlineLevel="1">
      <c r="B6056" s="187">
        <v>31084</v>
      </c>
      <c r="C6056" s="188">
        <v>11.4</v>
      </c>
      <c r="D6056" s="104">
        <f t="shared" si="94"/>
        <v>0.114</v>
      </c>
      <c r="F6056" s="5"/>
    </row>
    <row r="6057" spans="2:6" ht="13.8" hidden="1" outlineLevel="1">
      <c r="B6057" s="187">
        <v>31085</v>
      </c>
      <c r="C6057" s="188">
        <v>11.41</v>
      </c>
      <c r="D6057" s="104">
        <f t="shared" si="94"/>
        <v>0.11410000000000001</v>
      </c>
      <c r="F6057" s="5"/>
    </row>
    <row r="6058" spans="2:6" ht="13.8" hidden="1" outlineLevel="1">
      <c r="B6058" s="187">
        <v>31086</v>
      </c>
      <c r="C6058" s="188">
        <v>11.37</v>
      </c>
      <c r="D6058" s="104">
        <f t="shared" si="94"/>
        <v>0.1137</v>
      </c>
      <c r="F6058" s="5"/>
    </row>
    <row r="6059" spans="2:6" ht="13.8" hidden="1" outlineLevel="1">
      <c r="B6059" s="187">
        <v>31089</v>
      </c>
      <c r="C6059" s="188">
        <v>11.42</v>
      </c>
      <c r="D6059" s="104">
        <f t="shared" si="94"/>
        <v>0.1142</v>
      </c>
      <c r="F6059" s="5"/>
    </row>
    <row r="6060" spans="2:6" ht="13.8" hidden="1" outlineLevel="1">
      <c r="B6060" s="187">
        <v>31090</v>
      </c>
      <c r="C6060" s="188" t="s">
        <v>380</v>
      </c>
      <c r="D6060" s="104">
        <f t="shared" si="94"/>
        <v>0.1142</v>
      </c>
      <c r="F6060" s="5"/>
    </row>
    <row r="6061" spans="2:6" ht="13.8" hidden="1" outlineLevel="1">
      <c r="B6061" s="187">
        <v>31091</v>
      </c>
      <c r="C6061" s="188">
        <v>11.39</v>
      </c>
      <c r="D6061" s="104">
        <f t="shared" si="94"/>
        <v>0.1139</v>
      </c>
      <c r="F6061" s="5"/>
    </row>
    <row r="6062" spans="2:6" ht="13.8" hidden="1" outlineLevel="1">
      <c r="B6062" s="187">
        <v>31092</v>
      </c>
      <c r="C6062" s="188">
        <v>11.29</v>
      </c>
      <c r="D6062" s="104">
        <f t="shared" si="94"/>
        <v>0.11289999999999999</v>
      </c>
      <c r="F6062" s="5"/>
    </row>
    <row r="6063" spans="2:6" ht="13.8" hidden="1" outlineLevel="1">
      <c r="B6063" s="187">
        <v>31093</v>
      </c>
      <c r="C6063" s="188">
        <v>11.38</v>
      </c>
      <c r="D6063" s="104">
        <f t="shared" si="94"/>
        <v>0.11380000000000001</v>
      </c>
      <c r="F6063" s="5"/>
    </row>
    <row r="6064" spans="2:6" ht="13.8" hidden="1" outlineLevel="1">
      <c r="B6064" s="187">
        <v>31096</v>
      </c>
      <c r="C6064" s="188" t="s">
        <v>380</v>
      </c>
      <c r="D6064" s="104">
        <f t="shared" si="94"/>
        <v>0.11380000000000001</v>
      </c>
      <c r="F6064" s="5"/>
    </row>
    <row r="6065" spans="2:6" ht="13.8" hidden="1" outlineLevel="1">
      <c r="B6065" s="187">
        <v>31097</v>
      </c>
      <c r="C6065" s="188">
        <v>11.37</v>
      </c>
      <c r="D6065" s="104">
        <f t="shared" si="94"/>
        <v>0.1137</v>
      </c>
      <c r="F6065" s="5"/>
    </row>
    <row r="6066" spans="2:6" ht="13.8" hidden="1" outlineLevel="1">
      <c r="B6066" s="187">
        <v>31098</v>
      </c>
      <c r="C6066" s="188">
        <v>11.52</v>
      </c>
      <c r="D6066" s="104">
        <f t="shared" si="94"/>
        <v>0.1152</v>
      </c>
      <c r="F6066" s="5"/>
    </row>
    <row r="6067" spans="2:6" ht="13.8" hidden="1" outlineLevel="1">
      <c r="B6067" s="187">
        <v>31099</v>
      </c>
      <c r="C6067" s="188">
        <v>11.64</v>
      </c>
      <c r="D6067" s="104">
        <f t="shared" si="94"/>
        <v>0.1164</v>
      </c>
      <c r="F6067" s="5"/>
    </row>
    <row r="6068" spans="2:6" ht="13.8" hidden="1" outlineLevel="1">
      <c r="B6068" s="187">
        <v>31100</v>
      </c>
      <c r="C6068" s="188">
        <v>11.76</v>
      </c>
      <c r="D6068" s="104">
        <f t="shared" si="94"/>
        <v>0.1176</v>
      </c>
      <c r="F6068" s="5"/>
    </row>
    <row r="6069" spans="2:6" ht="13.8" hidden="1" outlineLevel="1">
      <c r="B6069" s="187">
        <v>31103</v>
      </c>
      <c r="C6069" s="188">
        <v>11.75</v>
      </c>
      <c r="D6069" s="104">
        <f t="shared" si="94"/>
        <v>0.11749999999999999</v>
      </c>
      <c r="F6069" s="5"/>
    </row>
    <row r="6070" spans="2:6" ht="13.8" hidden="1" outlineLevel="1">
      <c r="B6070" s="187">
        <v>31104</v>
      </c>
      <c r="C6070" s="188">
        <v>11.72</v>
      </c>
      <c r="D6070" s="104">
        <f t="shared" si="94"/>
        <v>0.11720000000000001</v>
      </c>
      <c r="F6070" s="5"/>
    </row>
    <row r="6071" spans="2:6" ht="13.8" hidden="1" outlineLevel="1">
      <c r="B6071" s="187">
        <v>31105</v>
      </c>
      <c r="C6071" s="188">
        <v>11.89</v>
      </c>
      <c r="D6071" s="104">
        <f t="shared" si="94"/>
        <v>0.11890000000000001</v>
      </c>
      <c r="F6071" s="5"/>
    </row>
    <row r="6072" spans="2:6" ht="13.8" hidden="1" outlineLevel="1">
      <c r="B6072" s="187">
        <v>31106</v>
      </c>
      <c r="C6072" s="188">
        <v>11.91</v>
      </c>
      <c r="D6072" s="104">
        <f t="shared" si="94"/>
        <v>0.1191</v>
      </c>
      <c r="F6072" s="5"/>
    </row>
    <row r="6073" spans="2:6" ht="13.8" hidden="1" outlineLevel="1">
      <c r="B6073" s="187">
        <v>31107</v>
      </c>
      <c r="C6073" s="188">
        <v>11.86</v>
      </c>
      <c r="D6073" s="104">
        <f t="shared" si="94"/>
        <v>0.1186</v>
      </c>
      <c r="F6073" s="5"/>
    </row>
    <row r="6074" spans="2:6" ht="13.8" hidden="1" outlineLevel="1">
      <c r="B6074" s="187">
        <v>31110</v>
      </c>
      <c r="C6074" s="188">
        <v>11.93</v>
      </c>
      <c r="D6074" s="104">
        <f t="shared" si="94"/>
        <v>0.1193</v>
      </c>
      <c r="F6074" s="5"/>
    </row>
    <row r="6075" spans="2:6" ht="13.8" hidden="1" outlineLevel="1">
      <c r="B6075" s="187">
        <v>31111</v>
      </c>
      <c r="C6075" s="188">
        <v>11.86</v>
      </c>
      <c r="D6075" s="104">
        <f t="shared" si="94"/>
        <v>0.1186</v>
      </c>
      <c r="F6075" s="5"/>
    </row>
    <row r="6076" spans="2:6" ht="13.8" hidden="1" outlineLevel="1">
      <c r="B6076" s="187">
        <v>31112</v>
      </c>
      <c r="C6076" s="188">
        <v>11.92</v>
      </c>
      <c r="D6076" s="104">
        <f t="shared" si="94"/>
        <v>0.1192</v>
      </c>
      <c r="F6076" s="5"/>
    </row>
    <row r="6077" spans="2:6" ht="13.8" hidden="1" outlineLevel="1">
      <c r="B6077" s="187">
        <v>31113</v>
      </c>
      <c r="C6077" s="188">
        <v>11.94</v>
      </c>
      <c r="D6077" s="104">
        <f t="shared" si="94"/>
        <v>0.11939999999999999</v>
      </c>
      <c r="F6077" s="5"/>
    </row>
    <row r="6078" spans="2:6" ht="13.8" hidden="1" outlineLevel="1">
      <c r="B6078" s="187">
        <v>31114</v>
      </c>
      <c r="C6078" s="188">
        <v>11.71</v>
      </c>
      <c r="D6078" s="104">
        <f t="shared" si="94"/>
        <v>0.11710000000000001</v>
      </c>
      <c r="F6078" s="5"/>
    </row>
    <row r="6079" spans="2:6" ht="13.8" hidden="1" outlineLevel="1">
      <c r="B6079" s="187">
        <v>31117</v>
      </c>
      <c r="C6079" s="188">
        <v>11.72</v>
      </c>
      <c r="D6079" s="104">
        <f t="shared" si="94"/>
        <v>0.11720000000000001</v>
      </c>
      <c r="F6079" s="5"/>
    </row>
    <row r="6080" spans="2:6" ht="13.8" hidden="1" outlineLevel="1">
      <c r="B6080" s="187">
        <v>31118</v>
      </c>
      <c r="C6080" s="188">
        <v>11.78</v>
      </c>
      <c r="D6080" s="104">
        <f t="shared" si="94"/>
        <v>0.11779999999999999</v>
      </c>
      <c r="F6080" s="5"/>
    </row>
    <row r="6081" spans="2:6" ht="13.8" hidden="1" outlineLevel="1">
      <c r="B6081" s="187">
        <v>31119</v>
      </c>
      <c r="C6081" s="188">
        <v>11.9</v>
      </c>
      <c r="D6081" s="104">
        <f t="shared" si="94"/>
        <v>0.11900000000000001</v>
      </c>
      <c r="F6081" s="5"/>
    </row>
    <row r="6082" spans="2:6" ht="13.8" hidden="1" outlineLevel="1">
      <c r="B6082" s="187">
        <v>31120</v>
      </c>
      <c r="C6082" s="188">
        <v>11.92</v>
      </c>
      <c r="D6082" s="104">
        <f t="shared" si="94"/>
        <v>0.1192</v>
      </c>
      <c r="F6082" s="5"/>
    </row>
    <row r="6083" spans="2:6" ht="13.8" hidden="1" outlineLevel="1">
      <c r="B6083" s="187">
        <v>31121</v>
      </c>
      <c r="C6083" s="188">
        <v>11.93</v>
      </c>
      <c r="D6083" s="104">
        <f t="shared" si="94"/>
        <v>0.1193</v>
      </c>
      <c r="F6083" s="5"/>
    </row>
    <row r="6084" spans="2:6" ht="13.8" hidden="1" outlineLevel="1">
      <c r="B6084" s="187">
        <v>31124</v>
      </c>
      <c r="C6084" s="188">
        <v>12.02</v>
      </c>
      <c r="D6084" s="104">
        <f t="shared" si="94"/>
        <v>0.1202</v>
      </c>
      <c r="F6084" s="5"/>
    </row>
    <row r="6085" spans="2:6" ht="13.8" hidden="1" outlineLevel="1">
      <c r="B6085" s="187">
        <v>31125</v>
      </c>
      <c r="C6085" s="188">
        <v>11.99</v>
      </c>
      <c r="D6085" s="104">
        <f t="shared" si="94"/>
        <v>0.11990000000000001</v>
      </c>
      <c r="F6085" s="5"/>
    </row>
    <row r="6086" spans="2:6" ht="13.8" hidden="1" outlineLevel="1">
      <c r="B6086" s="187">
        <v>31126</v>
      </c>
      <c r="C6086" s="188">
        <v>11.91</v>
      </c>
      <c r="D6086" s="104">
        <f t="shared" si="94"/>
        <v>0.1191</v>
      </c>
      <c r="F6086" s="5"/>
    </row>
    <row r="6087" spans="2:6" ht="13.8" hidden="1" outlineLevel="1">
      <c r="B6087" s="187">
        <v>31127</v>
      </c>
      <c r="C6087" s="188">
        <v>11.82</v>
      </c>
      <c r="D6087" s="104">
        <f t="shared" si="94"/>
        <v>0.1182</v>
      </c>
      <c r="F6087" s="5"/>
    </row>
    <row r="6088" spans="2:6" ht="13.8" hidden="1" outlineLevel="1">
      <c r="B6088" s="187">
        <v>31128</v>
      </c>
      <c r="C6088" s="188">
        <v>11.88</v>
      </c>
      <c r="D6088" s="104">
        <f t="shared" si="94"/>
        <v>0.1188</v>
      </c>
      <c r="F6088" s="5"/>
    </row>
    <row r="6089" spans="2:6" ht="13.8" hidden="1" outlineLevel="1">
      <c r="B6089" s="187">
        <v>31131</v>
      </c>
      <c r="C6089" s="188">
        <v>11.86</v>
      </c>
      <c r="D6089" s="104">
        <f t="shared" si="94"/>
        <v>0.1186</v>
      </c>
      <c r="F6089" s="5"/>
    </row>
    <row r="6090" spans="2:6" ht="13.8" hidden="1" outlineLevel="1">
      <c r="B6090" s="187">
        <v>31132</v>
      </c>
      <c r="C6090" s="188">
        <v>11.77</v>
      </c>
      <c r="D6090" s="104">
        <f t="shared" si="94"/>
        <v>0.1177</v>
      </c>
      <c r="F6090" s="5"/>
    </row>
    <row r="6091" spans="2:6" ht="13.8" hidden="1" outlineLevel="1">
      <c r="B6091" s="187">
        <v>31133</v>
      </c>
      <c r="C6091" s="188">
        <v>11.84</v>
      </c>
      <c r="D6091" s="104">
        <f t="shared" si="94"/>
        <v>0.11840000000000001</v>
      </c>
      <c r="F6091" s="5"/>
    </row>
    <row r="6092" spans="2:6" ht="13.8" hidden="1" outlineLevel="1">
      <c r="B6092" s="187">
        <v>31134</v>
      </c>
      <c r="C6092" s="188">
        <v>11.75</v>
      </c>
      <c r="D6092" s="104">
        <f t="shared" si="94"/>
        <v>0.11749999999999999</v>
      </c>
      <c r="F6092" s="5"/>
    </row>
    <row r="6093" spans="2:6" ht="13.8" hidden="1" outlineLevel="1">
      <c r="B6093" s="187">
        <v>31135</v>
      </c>
      <c r="C6093" s="188">
        <v>11.65</v>
      </c>
      <c r="D6093" s="104">
        <f t="shared" si="94"/>
        <v>0.11650000000000001</v>
      </c>
      <c r="F6093" s="5"/>
    </row>
    <row r="6094" spans="2:6" ht="13.8" hidden="1" outlineLevel="1">
      <c r="B6094" s="187">
        <v>31138</v>
      </c>
      <c r="C6094" s="188">
        <v>11.66</v>
      </c>
      <c r="D6094" s="104">
        <f t="shared" si="94"/>
        <v>0.1166</v>
      </c>
      <c r="F6094" s="5"/>
    </row>
    <row r="6095" spans="2:6" ht="13.8" hidden="1" outlineLevel="1">
      <c r="B6095" s="187">
        <v>31139</v>
      </c>
      <c r="C6095" s="188">
        <v>11.7</v>
      </c>
      <c r="D6095" s="104">
        <f t="shared" si="94"/>
        <v>0.11699999999999999</v>
      </c>
      <c r="F6095" s="5"/>
    </row>
    <row r="6096" spans="2:6" ht="13.8" hidden="1" outlineLevel="1">
      <c r="B6096" s="187">
        <v>31140</v>
      </c>
      <c r="C6096" s="188">
        <v>11.73</v>
      </c>
      <c r="D6096" s="104">
        <f t="shared" si="94"/>
        <v>0.1173</v>
      </c>
      <c r="F6096" s="5"/>
    </row>
    <row r="6097" spans="2:6" ht="13.8" hidden="1" outlineLevel="1">
      <c r="B6097" s="187">
        <v>31141</v>
      </c>
      <c r="C6097" s="188">
        <v>11.75</v>
      </c>
      <c r="D6097" s="104">
        <f t="shared" si="94"/>
        <v>0.11749999999999999</v>
      </c>
      <c r="F6097" s="5"/>
    </row>
    <row r="6098" spans="2:6" ht="13.8" hidden="1" outlineLevel="1">
      <c r="B6098" s="187">
        <v>31142</v>
      </c>
      <c r="C6098" s="188" t="s">
        <v>380</v>
      </c>
      <c r="D6098" s="104">
        <f t="shared" si="94"/>
        <v>0.11749999999999999</v>
      </c>
      <c r="F6098" s="5"/>
    </row>
    <row r="6099" spans="2:6" ht="13.8" hidden="1" outlineLevel="1">
      <c r="B6099" s="187">
        <v>31145</v>
      </c>
      <c r="C6099" s="188">
        <v>11.77</v>
      </c>
      <c r="D6099" s="104">
        <f t="shared" si="94"/>
        <v>0.1177</v>
      </c>
      <c r="F6099" s="5"/>
    </row>
    <row r="6100" spans="2:6" ht="13.8" hidden="1" outlineLevel="1">
      <c r="B6100" s="187">
        <v>31146</v>
      </c>
      <c r="C6100" s="188">
        <v>11.66</v>
      </c>
      <c r="D6100" s="104">
        <f t="shared" si="94"/>
        <v>0.1166</v>
      </c>
      <c r="F6100" s="5"/>
    </row>
    <row r="6101" spans="2:6" ht="13.8" hidden="1" outlineLevel="1">
      <c r="B6101" s="187">
        <v>31147</v>
      </c>
      <c r="C6101" s="188">
        <v>11.58</v>
      </c>
      <c r="D6101" s="104">
        <f t="shared" si="94"/>
        <v>0.1158</v>
      </c>
      <c r="F6101" s="5"/>
    </row>
    <row r="6102" spans="2:6" ht="13.8" hidden="1" outlineLevel="1">
      <c r="B6102" s="187">
        <v>31148</v>
      </c>
      <c r="C6102" s="188">
        <v>11.42</v>
      </c>
      <c r="D6102" s="104">
        <f t="shared" si="94"/>
        <v>0.1142</v>
      </c>
      <c r="F6102" s="5"/>
    </row>
    <row r="6103" spans="2:6" ht="13.8" hidden="1" outlineLevel="1">
      <c r="B6103" s="187">
        <v>31149</v>
      </c>
      <c r="C6103" s="188">
        <v>11.43</v>
      </c>
      <c r="D6103" s="104">
        <f t="shared" si="94"/>
        <v>0.1143</v>
      </c>
      <c r="F6103" s="5"/>
    </row>
    <row r="6104" spans="2:6" ht="13.8" hidden="1" outlineLevel="1">
      <c r="B6104" s="187">
        <v>31152</v>
      </c>
      <c r="C6104" s="188">
        <v>11.37</v>
      </c>
      <c r="D6104" s="104">
        <f t="shared" si="94"/>
        <v>0.1137</v>
      </c>
      <c r="F6104" s="5"/>
    </row>
    <row r="6105" spans="2:6" ht="13.8" hidden="1" outlineLevel="1">
      <c r="B6105" s="187">
        <v>31153</v>
      </c>
      <c r="C6105" s="188">
        <v>11.25</v>
      </c>
      <c r="D6105" s="104">
        <f t="shared" si="94"/>
        <v>0.1125</v>
      </c>
      <c r="F6105" s="5"/>
    </row>
    <row r="6106" spans="2:6" ht="13.8" hidden="1" outlineLevel="1">
      <c r="B6106" s="187">
        <v>31154</v>
      </c>
      <c r="C6106" s="188">
        <v>11.29</v>
      </c>
      <c r="D6106" s="104">
        <f t="shared" si="94"/>
        <v>0.11289999999999999</v>
      </c>
      <c r="F6106" s="5"/>
    </row>
    <row r="6107" spans="2:6" ht="13.8" hidden="1" outlineLevel="1">
      <c r="B6107" s="187">
        <v>31155</v>
      </c>
      <c r="C6107" s="188">
        <v>11.13</v>
      </c>
      <c r="D6107" s="104">
        <f t="shared" si="94"/>
        <v>0.11130000000000001</v>
      </c>
      <c r="F6107" s="5"/>
    </row>
    <row r="6108" spans="2:6" ht="13.8" hidden="1" outlineLevel="1">
      <c r="B6108" s="187">
        <v>31156</v>
      </c>
      <c r="C6108" s="188">
        <v>11.16</v>
      </c>
      <c r="D6108" s="104">
        <f t="shared" si="94"/>
        <v>0.1116</v>
      </c>
      <c r="F6108" s="5"/>
    </row>
    <row r="6109" spans="2:6" ht="13.8" hidden="1" outlineLevel="1">
      <c r="B6109" s="187">
        <v>31159</v>
      </c>
      <c r="C6109" s="188">
        <v>11.13</v>
      </c>
      <c r="D6109" s="104">
        <f t="shared" si="94"/>
        <v>0.11130000000000001</v>
      </c>
      <c r="F6109" s="5"/>
    </row>
    <row r="6110" spans="2:6" ht="13.8" hidden="1" outlineLevel="1">
      <c r="B6110" s="187">
        <v>31160</v>
      </c>
      <c r="C6110" s="188">
        <v>11.25</v>
      </c>
      <c r="D6110" s="104">
        <f t="shared" ref="D6110:D6173" si="95">IF( LEN( C6110 ) = 0, #N/A, IF( C6110 = "ND", D6109, C6110 / 100 ) )</f>
        <v>0.1125</v>
      </c>
      <c r="F6110" s="5"/>
    </row>
    <row r="6111" spans="2:6" ht="13.8" hidden="1" outlineLevel="1">
      <c r="B6111" s="187">
        <v>31161</v>
      </c>
      <c r="C6111" s="188">
        <v>11.25</v>
      </c>
      <c r="D6111" s="104">
        <f t="shared" si="95"/>
        <v>0.1125</v>
      </c>
      <c r="F6111" s="5"/>
    </row>
    <row r="6112" spans="2:6" ht="13.8" hidden="1" outlineLevel="1">
      <c r="B6112" s="187">
        <v>31162</v>
      </c>
      <c r="C6112" s="188">
        <v>11.37</v>
      </c>
      <c r="D6112" s="104">
        <f t="shared" si="95"/>
        <v>0.1137</v>
      </c>
      <c r="F6112" s="5"/>
    </row>
    <row r="6113" spans="2:6" ht="13.8" hidden="1" outlineLevel="1">
      <c r="B6113" s="187">
        <v>31163</v>
      </c>
      <c r="C6113" s="188">
        <v>11.35</v>
      </c>
      <c r="D6113" s="104">
        <f t="shared" si="95"/>
        <v>0.11349999999999999</v>
      </c>
      <c r="F6113" s="5"/>
    </row>
    <row r="6114" spans="2:6" ht="13.8" hidden="1" outlineLevel="1">
      <c r="B6114" s="187">
        <v>31166</v>
      </c>
      <c r="C6114" s="188">
        <v>11.47</v>
      </c>
      <c r="D6114" s="104">
        <f t="shared" si="95"/>
        <v>0.11470000000000001</v>
      </c>
      <c r="F6114" s="5"/>
    </row>
    <row r="6115" spans="2:6" ht="13.8" hidden="1" outlineLevel="1">
      <c r="B6115" s="187">
        <v>31167</v>
      </c>
      <c r="C6115" s="188">
        <v>11.41</v>
      </c>
      <c r="D6115" s="104">
        <f t="shared" si="95"/>
        <v>0.11410000000000001</v>
      </c>
      <c r="F6115" s="5"/>
    </row>
    <row r="6116" spans="2:6" ht="13.8" hidden="1" outlineLevel="1">
      <c r="B6116" s="187">
        <v>31168</v>
      </c>
      <c r="C6116" s="188">
        <v>11.27</v>
      </c>
      <c r="D6116" s="104">
        <f t="shared" si="95"/>
        <v>0.11269999999999999</v>
      </c>
      <c r="F6116" s="5"/>
    </row>
    <row r="6117" spans="2:6" ht="13.8" hidden="1" outlineLevel="1">
      <c r="B6117" s="187">
        <v>31169</v>
      </c>
      <c r="C6117" s="188">
        <v>11.29</v>
      </c>
      <c r="D6117" s="104">
        <f t="shared" si="95"/>
        <v>0.11289999999999999</v>
      </c>
      <c r="F6117" s="5"/>
    </row>
    <row r="6118" spans="2:6" ht="13.8" hidden="1" outlineLevel="1">
      <c r="B6118" s="187">
        <v>31170</v>
      </c>
      <c r="C6118" s="188">
        <v>11.21</v>
      </c>
      <c r="D6118" s="104">
        <f t="shared" si="95"/>
        <v>0.11210000000000001</v>
      </c>
      <c r="F6118" s="5"/>
    </row>
    <row r="6119" spans="2:6" ht="13.8" hidden="1" outlineLevel="1">
      <c r="B6119" s="187">
        <v>31173</v>
      </c>
      <c r="C6119" s="188">
        <v>11.19</v>
      </c>
      <c r="D6119" s="104">
        <f t="shared" si="95"/>
        <v>0.1119</v>
      </c>
      <c r="F6119" s="5"/>
    </row>
    <row r="6120" spans="2:6" ht="13.8" hidden="1" outlineLevel="1">
      <c r="B6120" s="187">
        <v>31174</v>
      </c>
      <c r="C6120" s="188">
        <v>11.17</v>
      </c>
      <c r="D6120" s="104">
        <f t="shared" si="95"/>
        <v>0.11169999999999999</v>
      </c>
      <c r="F6120" s="5"/>
    </row>
    <row r="6121" spans="2:6" ht="13.8" hidden="1" outlineLevel="1">
      <c r="B6121" s="187">
        <v>31175</v>
      </c>
      <c r="C6121" s="188">
        <v>11.26</v>
      </c>
      <c r="D6121" s="104">
        <f t="shared" si="95"/>
        <v>0.11259999999999999</v>
      </c>
      <c r="F6121" s="5"/>
    </row>
    <row r="6122" spans="2:6" ht="13.8" hidden="1" outlineLevel="1">
      <c r="B6122" s="187">
        <v>31176</v>
      </c>
      <c r="C6122" s="188">
        <v>11.2</v>
      </c>
      <c r="D6122" s="104">
        <f t="shared" si="95"/>
        <v>0.11199999999999999</v>
      </c>
      <c r="F6122" s="5"/>
    </row>
    <row r="6123" spans="2:6" ht="13.8" hidden="1" outlineLevel="1">
      <c r="B6123" s="187">
        <v>31177</v>
      </c>
      <c r="C6123" s="188">
        <v>11.04</v>
      </c>
      <c r="D6123" s="104">
        <f t="shared" si="95"/>
        <v>0.1104</v>
      </c>
      <c r="F6123" s="5"/>
    </row>
    <row r="6124" spans="2:6" ht="13.8" hidden="1" outlineLevel="1">
      <c r="B6124" s="187">
        <v>31180</v>
      </c>
      <c r="C6124" s="188">
        <v>11.04</v>
      </c>
      <c r="D6124" s="104">
        <f t="shared" si="95"/>
        <v>0.1104</v>
      </c>
      <c r="F6124" s="5"/>
    </row>
    <row r="6125" spans="2:6" ht="13.8" hidden="1" outlineLevel="1">
      <c r="B6125" s="187">
        <v>31181</v>
      </c>
      <c r="C6125" s="188">
        <v>10.87</v>
      </c>
      <c r="D6125" s="104">
        <f t="shared" si="95"/>
        <v>0.10869999999999999</v>
      </c>
      <c r="F6125" s="5"/>
    </row>
    <row r="6126" spans="2:6" ht="13.8" hidden="1" outlineLevel="1">
      <c r="B6126" s="187">
        <v>31182</v>
      </c>
      <c r="C6126" s="188">
        <v>10.89</v>
      </c>
      <c r="D6126" s="104">
        <f t="shared" si="95"/>
        <v>0.10890000000000001</v>
      </c>
      <c r="F6126" s="5"/>
    </row>
    <row r="6127" spans="2:6" ht="13.8" hidden="1" outlineLevel="1">
      <c r="B6127" s="187">
        <v>31183</v>
      </c>
      <c r="C6127" s="188">
        <v>10.81</v>
      </c>
      <c r="D6127" s="104">
        <f t="shared" si="95"/>
        <v>0.1081</v>
      </c>
      <c r="F6127" s="5"/>
    </row>
    <row r="6128" spans="2:6" ht="13.8" hidden="1" outlineLevel="1">
      <c r="B6128" s="187">
        <v>31184</v>
      </c>
      <c r="C6128" s="188">
        <v>10.84</v>
      </c>
      <c r="D6128" s="104">
        <f t="shared" si="95"/>
        <v>0.1084</v>
      </c>
      <c r="F6128" s="5"/>
    </row>
    <row r="6129" spans="2:6" ht="13.8" hidden="1" outlineLevel="1">
      <c r="B6129" s="187">
        <v>31187</v>
      </c>
      <c r="C6129" s="188">
        <v>10.56</v>
      </c>
      <c r="D6129" s="104">
        <f t="shared" si="95"/>
        <v>0.1056</v>
      </c>
      <c r="F6129" s="5"/>
    </row>
    <row r="6130" spans="2:6" ht="13.8" hidden="1" outlineLevel="1">
      <c r="B6130" s="187">
        <v>31188</v>
      </c>
      <c r="C6130" s="188">
        <v>10.6</v>
      </c>
      <c r="D6130" s="104">
        <f t="shared" si="95"/>
        <v>0.106</v>
      </c>
      <c r="F6130" s="5"/>
    </row>
    <row r="6131" spans="2:6" ht="13.8" hidden="1" outlineLevel="1">
      <c r="B6131" s="187">
        <v>31189</v>
      </c>
      <c r="C6131" s="188">
        <v>10.62</v>
      </c>
      <c r="D6131" s="104">
        <f t="shared" si="95"/>
        <v>0.10619999999999999</v>
      </c>
      <c r="F6131" s="5"/>
    </row>
    <row r="6132" spans="2:6" ht="13.8" hidden="1" outlineLevel="1">
      <c r="B6132" s="187">
        <v>31190</v>
      </c>
      <c r="C6132" s="188">
        <v>10.64</v>
      </c>
      <c r="D6132" s="104">
        <f t="shared" si="95"/>
        <v>0.10640000000000001</v>
      </c>
      <c r="F6132" s="5"/>
    </row>
    <row r="6133" spans="2:6" ht="13.8" hidden="1" outlineLevel="1">
      <c r="B6133" s="187">
        <v>31191</v>
      </c>
      <c r="C6133" s="188">
        <v>10.57</v>
      </c>
      <c r="D6133" s="104">
        <f t="shared" si="95"/>
        <v>0.1057</v>
      </c>
      <c r="F6133" s="5"/>
    </row>
    <row r="6134" spans="2:6" ht="13.8" hidden="1" outlineLevel="1">
      <c r="B6134" s="187">
        <v>31194</v>
      </c>
      <c r="C6134" s="188" t="s">
        <v>380</v>
      </c>
      <c r="D6134" s="104">
        <f t="shared" si="95"/>
        <v>0.1057</v>
      </c>
      <c r="F6134" s="5"/>
    </row>
    <row r="6135" spans="2:6" ht="13.8" hidden="1" outlineLevel="1">
      <c r="B6135" s="187">
        <v>31195</v>
      </c>
      <c r="C6135" s="188">
        <v>10.43</v>
      </c>
      <c r="D6135" s="104">
        <f t="shared" si="95"/>
        <v>0.1043</v>
      </c>
      <c r="F6135" s="5"/>
    </row>
    <row r="6136" spans="2:6" ht="13.8" hidden="1" outlineLevel="1">
      <c r="B6136" s="187">
        <v>31196</v>
      </c>
      <c r="C6136" s="188">
        <v>10.46</v>
      </c>
      <c r="D6136" s="104">
        <f t="shared" si="95"/>
        <v>0.10460000000000001</v>
      </c>
      <c r="F6136" s="5"/>
    </row>
    <row r="6137" spans="2:6" ht="13.8" hidden="1" outlineLevel="1">
      <c r="B6137" s="187">
        <v>31197</v>
      </c>
      <c r="C6137" s="188">
        <v>10.39</v>
      </c>
      <c r="D6137" s="104">
        <f t="shared" si="95"/>
        <v>0.10390000000000001</v>
      </c>
      <c r="F6137" s="5"/>
    </row>
    <row r="6138" spans="2:6" ht="13.8" hidden="1" outlineLevel="1">
      <c r="B6138" s="187">
        <v>31198</v>
      </c>
      <c r="C6138" s="188">
        <v>10.28</v>
      </c>
      <c r="D6138" s="104">
        <f t="shared" si="95"/>
        <v>0.10279999999999999</v>
      </c>
      <c r="F6138" s="5"/>
    </row>
    <row r="6139" spans="2:6" ht="13.8" hidden="1" outlineLevel="1">
      <c r="B6139" s="187">
        <v>31201</v>
      </c>
      <c r="C6139" s="188">
        <v>10.050000000000001</v>
      </c>
      <c r="D6139" s="104">
        <f t="shared" si="95"/>
        <v>0.10050000000000001</v>
      </c>
      <c r="F6139" s="5"/>
    </row>
    <row r="6140" spans="2:6" ht="13.8" hidden="1" outlineLevel="1">
      <c r="B6140" s="187">
        <v>31202</v>
      </c>
      <c r="C6140" s="188">
        <v>10.050000000000001</v>
      </c>
      <c r="D6140" s="104">
        <f t="shared" si="95"/>
        <v>0.10050000000000001</v>
      </c>
      <c r="F6140" s="5"/>
    </row>
    <row r="6141" spans="2:6" ht="13.8" hidden="1" outlineLevel="1">
      <c r="B6141" s="187">
        <v>31203</v>
      </c>
      <c r="C6141" s="188">
        <v>9.83</v>
      </c>
      <c r="D6141" s="104">
        <f t="shared" si="95"/>
        <v>9.8299999999999998E-2</v>
      </c>
      <c r="F6141" s="5"/>
    </row>
    <row r="6142" spans="2:6" ht="13.8" hidden="1" outlineLevel="1">
      <c r="B6142" s="187">
        <v>31204</v>
      </c>
      <c r="C6142" s="188">
        <v>9.89</v>
      </c>
      <c r="D6142" s="104">
        <f t="shared" si="95"/>
        <v>9.8900000000000002E-2</v>
      </c>
      <c r="F6142" s="5"/>
    </row>
    <row r="6143" spans="2:6" ht="13.8" hidden="1" outlineLevel="1">
      <c r="B6143" s="187">
        <v>31205</v>
      </c>
      <c r="C6143" s="188">
        <v>10.19</v>
      </c>
      <c r="D6143" s="104">
        <f t="shared" si="95"/>
        <v>0.10189999999999999</v>
      </c>
      <c r="F6143" s="5"/>
    </row>
    <row r="6144" spans="2:6" ht="13.8" hidden="1" outlineLevel="1">
      <c r="B6144" s="187">
        <v>31208</v>
      </c>
      <c r="C6144" s="188">
        <v>10.16</v>
      </c>
      <c r="D6144" s="104">
        <f t="shared" si="95"/>
        <v>0.1016</v>
      </c>
      <c r="F6144" s="5"/>
    </row>
    <row r="6145" spans="2:6" ht="13.8" hidden="1" outlineLevel="1">
      <c r="B6145" s="187">
        <v>31209</v>
      </c>
      <c r="C6145" s="188">
        <v>10.08</v>
      </c>
      <c r="D6145" s="104">
        <f t="shared" si="95"/>
        <v>0.1008</v>
      </c>
      <c r="F6145" s="5"/>
    </row>
    <row r="6146" spans="2:6" ht="13.8" hidden="1" outlineLevel="1">
      <c r="B6146" s="187">
        <v>31210</v>
      </c>
      <c r="C6146" s="188">
        <v>10.16</v>
      </c>
      <c r="D6146" s="104">
        <f t="shared" si="95"/>
        <v>0.1016</v>
      </c>
      <c r="F6146" s="5"/>
    </row>
    <row r="6147" spans="2:6" ht="13.8" hidden="1" outlineLevel="1">
      <c r="B6147" s="187">
        <v>31211</v>
      </c>
      <c r="C6147" s="188">
        <v>10.210000000000001</v>
      </c>
      <c r="D6147" s="104">
        <f t="shared" si="95"/>
        <v>0.10210000000000001</v>
      </c>
      <c r="F6147" s="5"/>
    </row>
    <row r="6148" spans="2:6" ht="13.8" hidden="1" outlineLevel="1">
      <c r="B6148" s="187">
        <v>31212</v>
      </c>
      <c r="C6148" s="188">
        <v>9.98</v>
      </c>
      <c r="D6148" s="104">
        <f t="shared" si="95"/>
        <v>9.98E-2</v>
      </c>
      <c r="F6148" s="5"/>
    </row>
    <row r="6149" spans="2:6" ht="13.8" hidden="1" outlineLevel="1">
      <c r="B6149" s="187">
        <v>31215</v>
      </c>
      <c r="C6149" s="188">
        <v>9.9700000000000006</v>
      </c>
      <c r="D6149" s="104">
        <f t="shared" si="95"/>
        <v>9.9700000000000011E-2</v>
      </c>
      <c r="F6149" s="5"/>
    </row>
    <row r="6150" spans="2:6" ht="13.8" hidden="1" outlineLevel="1">
      <c r="B6150" s="187">
        <v>31216</v>
      </c>
      <c r="C6150" s="188">
        <v>9.9</v>
      </c>
      <c r="D6150" s="104">
        <f t="shared" si="95"/>
        <v>9.9000000000000005E-2</v>
      </c>
      <c r="F6150" s="5"/>
    </row>
    <row r="6151" spans="2:6" ht="13.8" hidden="1" outlineLevel="1">
      <c r="B6151" s="187">
        <v>31217</v>
      </c>
      <c r="C6151" s="188">
        <v>10.039999999999999</v>
      </c>
      <c r="D6151" s="104">
        <f t="shared" si="95"/>
        <v>0.10039999999999999</v>
      </c>
      <c r="F6151" s="5"/>
    </row>
    <row r="6152" spans="2:6" ht="13.8" hidden="1" outlineLevel="1">
      <c r="B6152" s="187">
        <v>31218</v>
      </c>
      <c r="C6152" s="188">
        <v>10.14</v>
      </c>
      <c r="D6152" s="104">
        <f t="shared" si="95"/>
        <v>0.1014</v>
      </c>
      <c r="F6152" s="5"/>
    </row>
    <row r="6153" spans="2:6" ht="13.8" hidden="1" outlineLevel="1">
      <c r="B6153" s="187">
        <v>31219</v>
      </c>
      <c r="C6153" s="188">
        <v>10.34</v>
      </c>
      <c r="D6153" s="104">
        <f t="shared" si="95"/>
        <v>0.10339999999999999</v>
      </c>
      <c r="F6153" s="5"/>
    </row>
    <row r="6154" spans="2:6" ht="13.8" hidden="1" outlineLevel="1">
      <c r="B6154" s="187">
        <v>31222</v>
      </c>
      <c r="C6154" s="188">
        <v>10.45</v>
      </c>
      <c r="D6154" s="104">
        <f t="shared" si="95"/>
        <v>0.1045</v>
      </c>
      <c r="F6154" s="5"/>
    </row>
    <row r="6155" spans="2:6" ht="13.8" hidden="1" outlineLevel="1">
      <c r="B6155" s="187">
        <v>31223</v>
      </c>
      <c r="C6155" s="188">
        <v>10.5</v>
      </c>
      <c r="D6155" s="104">
        <f t="shared" si="95"/>
        <v>0.105</v>
      </c>
      <c r="F6155" s="5"/>
    </row>
    <row r="6156" spans="2:6" ht="13.8" hidden="1" outlineLevel="1">
      <c r="B6156" s="187">
        <v>31224</v>
      </c>
      <c r="C6156" s="188">
        <v>10.54</v>
      </c>
      <c r="D6156" s="104">
        <f t="shared" si="95"/>
        <v>0.10539999999999999</v>
      </c>
      <c r="F6156" s="5"/>
    </row>
    <row r="6157" spans="2:6" ht="13.8" hidden="1" outlineLevel="1">
      <c r="B6157" s="187">
        <v>31225</v>
      </c>
      <c r="C6157" s="188">
        <v>10.39</v>
      </c>
      <c r="D6157" s="104">
        <f t="shared" si="95"/>
        <v>0.10390000000000001</v>
      </c>
      <c r="F6157" s="5"/>
    </row>
    <row r="6158" spans="2:6" ht="13.8" hidden="1" outlineLevel="1">
      <c r="B6158" s="187">
        <v>31226</v>
      </c>
      <c r="C6158" s="188">
        <v>10.25</v>
      </c>
      <c r="D6158" s="104">
        <f t="shared" si="95"/>
        <v>0.10249999999999999</v>
      </c>
      <c r="F6158" s="5"/>
    </row>
    <row r="6159" spans="2:6" ht="13.8" hidden="1" outlineLevel="1">
      <c r="B6159" s="187">
        <v>31229</v>
      </c>
      <c r="C6159" s="188">
        <v>10.19</v>
      </c>
      <c r="D6159" s="104">
        <f t="shared" si="95"/>
        <v>0.10189999999999999</v>
      </c>
      <c r="F6159" s="5"/>
    </row>
    <row r="6160" spans="2:6" ht="13.8" hidden="1" outlineLevel="1">
      <c r="B6160" s="187">
        <v>31230</v>
      </c>
      <c r="C6160" s="188">
        <v>10.199999999999999</v>
      </c>
      <c r="D6160" s="104">
        <f t="shared" si="95"/>
        <v>0.10199999999999999</v>
      </c>
      <c r="F6160" s="5"/>
    </row>
    <row r="6161" spans="2:6" ht="13.8" hidden="1" outlineLevel="1">
      <c r="B6161" s="187">
        <v>31231</v>
      </c>
      <c r="C6161" s="188">
        <v>10.23</v>
      </c>
      <c r="D6161" s="104">
        <f t="shared" si="95"/>
        <v>0.1023</v>
      </c>
      <c r="F6161" s="5"/>
    </row>
    <row r="6162" spans="2:6" ht="13.8" hidden="1" outlineLevel="1">
      <c r="B6162" s="187">
        <v>31232</v>
      </c>
      <c r="C6162" s="188" t="s">
        <v>380</v>
      </c>
      <c r="D6162" s="104">
        <f t="shared" si="95"/>
        <v>0.1023</v>
      </c>
      <c r="F6162" s="5"/>
    </row>
    <row r="6163" spans="2:6" ht="13.8" hidden="1" outlineLevel="1">
      <c r="B6163" s="187">
        <v>31233</v>
      </c>
      <c r="C6163" s="188">
        <v>9.93</v>
      </c>
      <c r="D6163" s="104">
        <f t="shared" si="95"/>
        <v>9.9299999999999999E-2</v>
      </c>
      <c r="F6163" s="5"/>
    </row>
    <row r="6164" spans="2:6" ht="13.8" hidden="1" outlineLevel="1">
      <c r="B6164" s="187">
        <v>31236</v>
      </c>
      <c r="C6164" s="188">
        <v>10.050000000000001</v>
      </c>
      <c r="D6164" s="104">
        <f t="shared" si="95"/>
        <v>0.10050000000000001</v>
      </c>
      <c r="F6164" s="5"/>
    </row>
    <row r="6165" spans="2:6" ht="13.8" hidden="1" outlineLevel="1">
      <c r="B6165" s="187">
        <v>31237</v>
      </c>
      <c r="C6165" s="188">
        <v>10.050000000000001</v>
      </c>
      <c r="D6165" s="104">
        <f t="shared" si="95"/>
        <v>0.10050000000000001</v>
      </c>
      <c r="F6165" s="5"/>
    </row>
    <row r="6166" spans="2:6" ht="13.8" hidden="1" outlineLevel="1">
      <c r="B6166" s="187">
        <v>31238</v>
      </c>
      <c r="C6166" s="188">
        <v>10.07</v>
      </c>
      <c r="D6166" s="104">
        <f t="shared" si="95"/>
        <v>0.1007</v>
      </c>
      <c r="F6166" s="5"/>
    </row>
    <row r="6167" spans="2:6" ht="13.8" hidden="1" outlineLevel="1">
      <c r="B6167" s="187">
        <v>31239</v>
      </c>
      <c r="C6167" s="188">
        <v>10.220000000000001</v>
      </c>
      <c r="D6167" s="104">
        <f t="shared" si="95"/>
        <v>0.10220000000000001</v>
      </c>
      <c r="F6167" s="5"/>
    </row>
    <row r="6168" spans="2:6" ht="13.8" hidden="1" outlineLevel="1">
      <c r="B6168" s="187">
        <v>31240</v>
      </c>
      <c r="C6168" s="188">
        <v>10.23</v>
      </c>
      <c r="D6168" s="104">
        <f t="shared" si="95"/>
        <v>0.1023</v>
      </c>
      <c r="F6168" s="5"/>
    </row>
    <row r="6169" spans="2:6" ht="13.8" hidden="1" outlineLevel="1">
      <c r="B6169" s="187">
        <v>31243</v>
      </c>
      <c r="C6169" s="188">
        <v>10.220000000000001</v>
      </c>
      <c r="D6169" s="104">
        <f t="shared" si="95"/>
        <v>0.10220000000000001</v>
      </c>
      <c r="F6169" s="5"/>
    </row>
    <row r="6170" spans="2:6" ht="13.8" hidden="1" outlineLevel="1">
      <c r="B6170" s="187">
        <v>31244</v>
      </c>
      <c r="C6170" s="188">
        <v>10.15</v>
      </c>
      <c r="D6170" s="104">
        <f t="shared" si="95"/>
        <v>0.10150000000000001</v>
      </c>
      <c r="F6170" s="5"/>
    </row>
    <row r="6171" spans="2:6" ht="13.8" hidden="1" outlineLevel="1">
      <c r="B6171" s="187">
        <v>31245</v>
      </c>
      <c r="C6171" s="188">
        <v>10.119999999999999</v>
      </c>
      <c r="D6171" s="104">
        <f t="shared" si="95"/>
        <v>0.1012</v>
      </c>
      <c r="F6171" s="5"/>
    </row>
    <row r="6172" spans="2:6" ht="13.8" hidden="1" outlineLevel="1">
      <c r="B6172" s="187">
        <v>31246</v>
      </c>
      <c r="C6172" s="188">
        <v>10.3</v>
      </c>
      <c r="D6172" s="104">
        <f t="shared" si="95"/>
        <v>0.10300000000000001</v>
      </c>
      <c r="F6172" s="5"/>
    </row>
    <row r="6173" spans="2:6" ht="13.8" hidden="1" outlineLevel="1">
      <c r="B6173" s="187">
        <v>31247</v>
      </c>
      <c r="C6173" s="188">
        <v>10.34</v>
      </c>
      <c r="D6173" s="104">
        <f t="shared" si="95"/>
        <v>0.10339999999999999</v>
      </c>
      <c r="F6173" s="5"/>
    </row>
    <row r="6174" spans="2:6" ht="13.8" hidden="1" outlineLevel="1">
      <c r="B6174" s="187">
        <v>31250</v>
      </c>
      <c r="C6174" s="188">
        <v>10.46</v>
      </c>
      <c r="D6174" s="104">
        <f t="shared" ref="D6174:D6237" si="96">IF( LEN( C6174 ) = 0, #N/A, IF( C6174 = "ND", D6173, C6174 / 100 ) )</f>
        <v>0.10460000000000001</v>
      </c>
      <c r="F6174" s="5"/>
    </row>
    <row r="6175" spans="2:6" ht="13.8" hidden="1" outlineLevel="1">
      <c r="B6175" s="187">
        <v>31251</v>
      </c>
      <c r="C6175" s="188">
        <v>10.47</v>
      </c>
      <c r="D6175" s="104">
        <f t="shared" si="96"/>
        <v>0.1047</v>
      </c>
      <c r="F6175" s="5"/>
    </row>
    <row r="6176" spans="2:6" ht="13.8" hidden="1" outlineLevel="1">
      <c r="B6176" s="187">
        <v>31252</v>
      </c>
      <c r="C6176" s="188">
        <v>10.51</v>
      </c>
      <c r="D6176" s="104">
        <f t="shared" si="96"/>
        <v>0.1051</v>
      </c>
      <c r="F6176" s="5"/>
    </row>
    <row r="6177" spans="2:6" ht="13.8" hidden="1" outlineLevel="1">
      <c r="B6177" s="187">
        <v>31253</v>
      </c>
      <c r="C6177" s="188">
        <v>10.52</v>
      </c>
      <c r="D6177" s="104">
        <f t="shared" si="96"/>
        <v>0.1052</v>
      </c>
      <c r="F6177" s="5"/>
    </row>
    <row r="6178" spans="2:6" ht="13.8" hidden="1" outlineLevel="1">
      <c r="B6178" s="187">
        <v>31254</v>
      </c>
      <c r="C6178" s="188">
        <v>10.59</v>
      </c>
      <c r="D6178" s="104">
        <f t="shared" si="96"/>
        <v>0.10589999999999999</v>
      </c>
      <c r="F6178" s="5"/>
    </row>
    <row r="6179" spans="2:6" ht="13.8" hidden="1" outlineLevel="1">
      <c r="B6179" s="187">
        <v>31257</v>
      </c>
      <c r="C6179" s="188">
        <v>10.67</v>
      </c>
      <c r="D6179" s="104">
        <f t="shared" si="96"/>
        <v>0.1067</v>
      </c>
      <c r="F6179" s="5"/>
    </row>
    <row r="6180" spans="2:6" ht="13.8" hidden="1" outlineLevel="1">
      <c r="B6180" s="187">
        <v>31258</v>
      </c>
      <c r="C6180" s="188">
        <v>10.66</v>
      </c>
      <c r="D6180" s="104">
        <f t="shared" si="96"/>
        <v>0.1066</v>
      </c>
      <c r="F6180" s="5"/>
    </row>
    <row r="6181" spans="2:6" ht="13.8" hidden="1" outlineLevel="1">
      <c r="B6181" s="187">
        <v>31259</v>
      </c>
      <c r="C6181" s="188">
        <v>10.57</v>
      </c>
      <c r="D6181" s="104">
        <f t="shared" si="96"/>
        <v>0.1057</v>
      </c>
      <c r="F6181" s="5"/>
    </row>
    <row r="6182" spans="2:6" ht="13.8" hidden="1" outlineLevel="1">
      <c r="B6182" s="187">
        <v>31260</v>
      </c>
      <c r="C6182" s="188">
        <v>10.51</v>
      </c>
      <c r="D6182" s="104">
        <f t="shared" si="96"/>
        <v>0.1051</v>
      </c>
      <c r="F6182" s="5"/>
    </row>
    <row r="6183" spans="2:6" ht="13.8" hidden="1" outlineLevel="1">
      <c r="B6183" s="187">
        <v>31261</v>
      </c>
      <c r="C6183" s="188">
        <v>10.66</v>
      </c>
      <c r="D6183" s="104">
        <f t="shared" si="96"/>
        <v>0.1066</v>
      </c>
      <c r="F6183" s="5"/>
    </row>
    <row r="6184" spans="2:6" ht="13.8" hidden="1" outlineLevel="1">
      <c r="B6184" s="187">
        <v>31264</v>
      </c>
      <c r="C6184" s="188">
        <v>10.64</v>
      </c>
      <c r="D6184" s="104">
        <f t="shared" si="96"/>
        <v>0.10640000000000001</v>
      </c>
      <c r="F6184" s="5"/>
    </row>
    <row r="6185" spans="2:6" ht="13.8" hidden="1" outlineLevel="1">
      <c r="B6185" s="187">
        <v>31265</v>
      </c>
      <c r="C6185" s="188">
        <v>10.65</v>
      </c>
      <c r="D6185" s="104">
        <f t="shared" si="96"/>
        <v>0.1065</v>
      </c>
      <c r="F6185" s="5"/>
    </row>
    <row r="6186" spans="2:6" ht="13.8" hidden="1" outlineLevel="1">
      <c r="B6186" s="187">
        <v>31266</v>
      </c>
      <c r="C6186" s="188">
        <v>10.55</v>
      </c>
      <c r="D6186" s="104">
        <f t="shared" si="96"/>
        <v>0.10550000000000001</v>
      </c>
      <c r="F6186" s="5"/>
    </row>
    <row r="6187" spans="2:6" ht="13.8" hidden="1" outlineLevel="1">
      <c r="B6187" s="187">
        <v>31267</v>
      </c>
      <c r="C6187" s="188">
        <v>10.43</v>
      </c>
      <c r="D6187" s="104">
        <f t="shared" si="96"/>
        <v>0.1043</v>
      </c>
      <c r="F6187" s="5"/>
    </row>
    <row r="6188" spans="2:6" ht="13.8" hidden="1" outlineLevel="1">
      <c r="B6188" s="187">
        <v>31268</v>
      </c>
      <c r="C6188" s="188">
        <v>10.37</v>
      </c>
      <c r="D6188" s="104">
        <f t="shared" si="96"/>
        <v>0.10369999999999999</v>
      </c>
      <c r="F6188" s="5"/>
    </row>
    <row r="6189" spans="2:6" ht="13.8" hidden="1" outlineLevel="1">
      <c r="B6189" s="187">
        <v>31271</v>
      </c>
      <c r="C6189" s="188">
        <v>10.38</v>
      </c>
      <c r="D6189" s="104">
        <f t="shared" si="96"/>
        <v>0.1038</v>
      </c>
      <c r="F6189" s="5"/>
    </row>
    <row r="6190" spans="2:6" ht="13.8" hidden="1" outlineLevel="1">
      <c r="B6190" s="187">
        <v>31272</v>
      </c>
      <c r="C6190" s="188">
        <v>10.46</v>
      </c>
      <c r="D6190" s="104">
        <f t="shared" si="96"/>
        <v>0.10460000000000001</v>
      </c>
      <c r="F6190" s="5"/>
    </row>
    <row r="6191" spans="2:6" ht="13.8" hidden="1" outlineLevel="1">
      <c r="B6191" s="187">
        <v>31273</v>
      </c>
      <c r="C6191" s="188">
        <v>10.38</v>
      </c>
      <c r="D6191" s="104">
        <f t="shared" si="96"/>
        <v>0.1038</v>
      </c>
      <c r="F6191" s="5"/>
    </row>
    <row r="6192" spans="2:6" ht="13.8" hidden="1" outlineLevel="1">
      <c r="B6192" s="187">
        <v>31274</v>
      </c>
      <c r="C6192" s="188">
        <v>10.36</v>
      </c>
      <c r="D6192" s="104">
        <f t="shared" si="96"/>
        <v>0.1036</v>
      </c>
      <c r="F6192" s="5"/>
    </row>
    <row r="6193" spans="2:6" ht="13.8" hidden="1" outlineLevel="1">
      <c r="B6193" s="187">
        <v>31275</v>
      </c>
      <c r="C6193" s="188">
        <v>10.26</v>
      </c>
      <c r="D6193" s="104">
        <f t="shared" si="96"/>
        <v>0.1026</v>
      </c>
      <c r="F6193" s="5"/>
    </row>
    <row r="6194" spans="2:6" ht="13.8" hidden="1" outlineLevel="1">
      <c r="B6194" s="187">
        <v>31278</v>
      </c>
      <c r="C6194" s="188">
        <v>10.23</v>
      </c>
      <c r="D6194" s="104">
        <f t="shared" si="96"/>
        <v>0.1023</v>
      </c>
      <c r="F6194" s="5"/>
    </row>
    <row r="6195" spans="2:6" ht="13.8" hidden="1" outlineLevel="1">
      <c r="B6195" s="187">
        <v>31279</v>
      </c>
      <c r="C6195" s="188">
        <v>10.199999999999999</v>
      </c>
      <c r="D6195" s="104">
        <f t="shared" si="96"/>
        <v>0.10199999999999999</v>
      </c>
      <c r="F6195" s="5"/>
    </row>
    <row r="6196" spans="2:6" ht="13.8" hidden="1" outlineLevel="1">
      <c r="B6196" s="187">
        <v>31280</v>
      </c>
      <c r="C6196" s="188">
        <v>10.119999999999999</v>
      </c>
      <c r="D6196" s="104">
        <f t="shared" si="96"/>
        <v>0.1012</v>
      </c>
      <c r="F6196" s="5"/>
    </row>
    <row r="6197" spans="2:6" ht="13.8" hidden="1" outlineLevel="1">
      <c r="B6197" s="187">
        <v>31281</v>
      </c>
      <c r="C6197" s="188">
        <v>10.1</v>
      </c>
      <c r="D6197" s="104">
        <f t="shared" si="96"/>
        <v>0.10099999999999999</v>
      </c>
      <c r="F6197" s="5"/>
    </row>
    <row r="6198" spans="2:6" ht="13.8" hidden="1" outlineLevel="1">
      <c r="B6198" s="187">
        <v>31282</v>
      </c>
      <c r="C6198" s="188">
        <v>10.14</v>
      </c>
      <c r="D6198" s="104">
        <f t="shared" si="96"/>
        <v>0.1014</v>
      </c>
      <c r="F6198" s="5"/>
    </row>
    <row r="6199" spans="2:6" ht="13.8" hidden="1" outlineLevel="1">
      <c r="B6199" s="187">
        <v>31285</v>
      </c>
      <c r="C6199" s="188">
        <v>10.18</v>
      </c>
      <c r="D6199" s="104">
        <f t="shared" si="96"/>
        <v>0.1018</v>
      </c>
      <c r="F6199" s="5"/>
    </row>
    <row r="6200" spans="2:6" ht="13.8" hidden="1" outlineLevel="1">
      <c r="B6200" s="187">
        <v>31286</v>
      </c>
      <c r="C6200" s="188">
        <v>10.119999999999999</v>
      </c>
      <c r="D6200" s="104">
        <f t="shared" si="96"/>
        <v>0.1012</v>
      </c>
      <c r="F6200" s="5"/>
    </row>
    <row r="6201" spans="2:6" ht="13.8" hidden="1" outlineLevel="1">
      <c r="B6201" s="187">
        <v>31287</v>
      </c>
      <c r="C6201" s="188">
        <v>10.16</v>
      </c>
      <c r="D6201" s="104">
        <f t="shared" si="96"/>
        <v>0.1016</v>
      </c>
      <c r="F6201" s="5"/>
    </row>
    <row r="6202" spans="2:6" ht="13.8" hidden="1" outlineLevel="1">
      <c r="B6202" s="187">
        <v>31288</v>
      </c>
      <c r="C6202" s="188">
        <v>10.119999999999999</v>
      </c>
      <c r="D6202" s="104">
        <f t="shared" si="96"/>
        <v>0.1012</v>
      </c>
      <c r="F6202" s="5"/>
    </row>
    <row r="6203" spans="2:6" ht="13.8" hidden="1" outlineLevel="1">
      <c r="B6203" s="187">
        <v>31289</v>
      </c>
      <c r="C6203" s="188">
        <v>10.28</v>
      </c>
      <c r="D6203" s="104">
        <f t="shared" si="96"/>
        <v>0.10279999999999999</v>
      </c>
      <c r="F6203" s="5"/>
    </row>
    <row r="6204" spans="2:6" ht="13.8" hidden="1" outlineLevel="1">
      <c r="B6204" s="187">
        <v>31292</v>
      </c>
      <c r="C6204" s="188" t="s">
        <v>380</v>
      </c>
      <c r="D6204" s="104">
        <f t="shared" si="96"/>
        <v>0.10279999999999999</v>
      </c>
      <c r="F6204" s="5"/>
    </row>
    <row r="6205" spans="2:6" ht="13.8" hidden="1" outlineLevel="1">
      <c r="B6205" s="187">
        <v>31293</v>
      </c>
      <c r="C6205" s="188">
        <v>10.24</v>
      </c>
      <c r="D6205" s="104">
        <f t="shared" si="96"/>
        <v>0.1024</v>
      </c>
      <c r="F6205" s="5"/>
    </row>
    <row r="6206" spans="2:6" ht="13.8" hidden="1" outlineLevel="1">
      <c r="B6206" s="187">
        <v>31294</v>
      </c>
      <c r="C6206" s="188">
        <v>10.16</v>
      </c>
      <c r="D6206" s="104">
        <f t="shared" si="96"/>
        <v>0.1016</v>
      </c>
      <c r="F6206" s="5"/>
    </row>
    <row r="6207" spans="2:6" ht="13.8" hidden="1" outlineLevel="1">
      <c r="B6207" s="187">
        <v>31295</v>
      </c>
      <c r="C6207" s="188">
        <v>10.27</v>
      </c>
      <c r="D6207" s="104">
        <f t="shared" si="96"/>
        <v>0.1027</v>
      </c>
      <c r="F6207" s="5"/>
    </row>
    <row r="6208" spans="2:6" ht="13.8" hidden="1" outlineLevel="1">
      <c r="B6208" s="187">
        <v>31296</v>
      </c>
      <c r="C6208" s="188">
        <v>10.5</v>
      </c>
      <c r="D6208" s="104">
        <f t="shared" si="96"/>
        <v>0.105</v>
      </c>
      <c r="F6208" s="5"/>
    </row>
    <row r="6209" spans="2:6" ht="13.8" hidden="1" outlineLevel="1">
      <c r="B6209" s="187">
        <v>31299</v>
      </c>
      <c r="C6209" s="188">
        <v>10.49</v>
      </c>
      <c r="D6209" s="104">
        <f t="shared" si="96"/>
        <v>0.10490000000000001</v>
      </c>
      <c r="F6209" s="5"/>
    </row>
    <row r="6210" spans="2:6" ht="13.8" hidden="1" outlineLevel="1">
      <c r="B6210" s="187">
        <v>31300</v>
      </c>
      <c r="C6210" s="188">
        <v>10.48</v>
      </c>
      <c r="D6210" s="104">
        <f t="shared" si="96"/>
        <v>0.1048</v>
      </c>
      <c r="F6210" s="5"/>
    </row>
    <row r="6211" spans="2:6" ht="13.8" hidden="1" outlineLevel="1">
      <c r="B6211" s="187">
        <v>31301</v>
      </c>
      <c r="C6211" s="188">
        <v>10.51</v>
      </c>
      <c r="D6211" s="104">
        <f t="shared" si="96"/>
        <v>0.1051</v>
      </c>
      <c r="F6211" s="5"/>
    </row>
    <row r="6212" spans="2:6" ht="13.8" hidden="1" outlineLevel="1">
      <c r="B6212" s="187">
        <v>31302</v>
      </c>
      <c r="C6212" s="188">
        <v>10.52</v>
      </c>
      <c r="D6212" s="104">
        <f t="shared" si="96"/>
        <v>0.1052</v>
      </c>
      <c r="F6212" s="5"/>
    </row>
    <row r="6213" spans="2:6" ht="13.8" hidden="1" outlineLevel="1">
      <c r="B6213" s="187">
        <v>31303</v>
      </c>
      <c r="C6213" s="188">
        <v>10.4</v>
      </c>
      <c r="D6213" s="104">
        <f t="shared" si="96"/>
        <v>0.10400000000000001</v>
      </c>
      <c r="F6213" s="5"/>
    </row>
    <row r="6214" spans="2:6" ht="13.8" hidden="1" outlineLevel="1">
      <c r="B6214" s="187">
        <v>31306</v>
      </c>
      <c r="C6214" s="188">
        <v>10.37</v>
      </c>
      <c r="D6214" s="104">
        <f t="shared" si="96"/>
        <v>0.10369999999999999</v>
      </c>
      <c r="F6214" s="5"/>
    </row>
    <row r="6215" spans="2:6" ht="13.8" hidden="1" outlineLevel="1">
      <c r="B6215" s="187">
        <v>31307</v>
      </c>
      <c r="C6215" s="188">
        <v>10.41</v>
      </c>
      <c r="D6215" s="104">
        <f t="shared" si="96"/>
        <v>0.1041</v>
      </c>
      <c r="F6215" s="5"/>
    </row>
    <row r="6216" spans="2:6" ht="13.8" hidden="1" outlineLevel="1">
      <c r="B6216" s="187">
        <v>31308</v>
      </c>
      <c r="C6216" s="188">
        <v>10.43</v>
      </c>
      <c r="D6216" s="104">
        <f t="shared" si="96"/>
        <v>0.1043</v>
      </c>
      <c r="F6216" s="5"/>
    </row>
    <row r="6217" spans="2:6" ht="13.8" hidden="1" outlineLevel="1">
      <c r="B6217" s="187">
        <v>31309</v>
      </c>
      <c r="C6217" s="188">
        <v>10.43</v>
      </c>
      <c r="D6217" s="104">
        <f t="shared" si="96"/>
        <v>0.1043</v>
      </c>
      <c r="F6217" s="5"/>
    </row>
    <row r="6218" spans="2:6" ht="13.8" hidden="1" outlineLevel="1">
      <c r="B6218" s="187">
        <v>31310</v>
      </c>
      <c r="C6218" s="188">
        <v>10.36</v>
      </c>
      <c r="D6218" s="104">
        <f t="shared" si="96"/>
        <v>0.1036</v>
      </c>
      <c r="F6218" s="5"/>
    </row>
    <row r="6219" spans="2:6" ht="13.8" hidden="1" outlineLevel="1">
      <c r="B6219" s="187">
        <v>31313</v>
      </c>
      <c r="C6219" s="188">
        <v>10.39</v>
      </c>
      <c r="D6219" s="104">
        <f t="shared" si="96"/>
        <v>0.10390000000000001</v>
      </c>
      <c r="F6219" s="5"/>
    </row>
    <row r="6220" spans="2:6" ht="13.8" hidden="1" outlineLevel="1">
      <c r="B6220" s="187">
        <v>31314</v>
      </c>
      <c r="C6220" s="188">
        <v>10.33</v>
      </c>
      <c r="D6220" s="104">
        <f t="shared" si="96"/>
        <v>0.1033</v>
      </c>
      <c r="F6220" s="5"/>
    </row>
    <row r="6221" spans="2:6" ht="13.8" hidden="1" outlineLevel="1">
      <c r="B6221" s="187">
        <v>31315</v>
      </c>
      <c r="C6221" s="188">
        <v>10.27</v>
      </c>
      <c r="D6221" s="104">
        <f t="shared" si="96"/>
        <v>0.1027</v>
      </c>
      <c r="F6221" s="5"/>
    </row>
    <row r="6222" spans="2:6" ht="13.8" hidden="1" outlineLevel="1">
      <c r="B6222" s="187">
        <v>31316</v>
      </c>
      <c r="C6222" s="188">
        <v>10.220000000000001</v>
      </c>
      <c r="D6222" s="104">
        <f t="shared" si="96"/>
        <v>0.10220000000000001</v>
      </c>
      <c r="F6222" s="5"/>
    </row>
    <row r="6223" spans="2:6" ht="13.8" hidden="1" outlineLevel="1">
      <c r="B6223" s="187">
        <v>31317</v>
      </c>
      <c r="C6223" s="188" t="s">
        <v>380</v>
      </c>
      <c r="D6223" s="104">
        <f t="shared" si="96"/>
        <v>0.10220000000000001</v>
      </c>
      <c r="F6223" s="5"/>
    </row>
    <row r="6224" spans="2:6" ht="13.8" hidden="1" outlineLevel="1">
      <c r="B6224" s="187">
        <v>31320</v>
      </c>
      <c r="C6224" s="188">
        <v>10.31</v>
      </c>
      <c r="D6224" s="104">
        <f t="shared" si="96"/>
        <v>0.10310000000000001</v>
      </c>
      <c r="F6224" s="5"/>
    </row>
    <row r="6225" spans="2:6" ht="13.8" hidden="1" outlineLevel="1">
      <c r="B6225" s="187">
        <v>31321</v>
      </c>
      <c r="C6225" s="188">
        <v>10.29</v>
      </c>
      <c r="D6225" s="104">
        <f t="shared" si="96"/>
        <v>0.10289999999999999</v>
      </c>
      <c r="F6225" s="5"/>
    </row>
    <row r="6226" spans="2:6" ht="13.8" hidden="1" outlineLevel="1">
      <c r="B6226" s="187">
        <v>31322</v>
      </c>
      <c r="C6226" s="188">
        <v>10.3</v>
      </c>
      <c r="D6226" s="104">
        <f t="shared" si="96"/>
        <v>0.10300000000000001</v>
      </c>
      <c r="F6226" s="5"/>
    </row>
    <row r="6227" spans="2:6" ht="13.8" hidden="1" outlineLevel="1">
      <c r="B6227" s="187">
        <v>31323</v>
      </c>
      <c r="C6227" s="188">
        <v>10.32</v>
      </c>
      <c r="D6227" s="104">
        <f t="shared" si="96"/>
        <v>0.1032</v>
      </c>
      <c r="F6227" s="5"/>
    </row>
    <row r="6228" spans="2:6" ht="13.8" hidden="1" outlineLevel="1">
      <c r="B6228" s="187">
        <v>31324</v>
      </c>
      <c r="C6228" s="188">
        <v>10.36</v>
      </c>
      <c r="D6228" s="104">
        <f t="shared" si="96"/>
        <v>0.1036</v>
      </c>
      <c r="F6228" s="5"/>
    </row>
    <row r="6229" spans="2:6" ht="13.8" hidden="1" outlineLevel="1">
      <c r="B6229" s="187">
        <v>31327</v>
      </c>
      <c r="C6229" s="188">
        <v>10.42</v>
      </c>
      <c r="D6229" s="104">
        <f t="shared" si="96"/>
        <v>0.1042</v>
      </c>
      <c r="F6229" s="5"/>
    </row>
    <row r="6230" spans="2:6" ht="13.8" hidden="1" outlineLevel="1">
      <c r="B6230" s="187">
        <v>31328</v>
      </c>
      <c r="C6230" s="188">
        <v>10.36</v>
      </c>
      <c r="D6230" s="104">
        <f t="shared" si="96"/>
        <v>0.1036</v>
      </c>
      <c r="F6230" s="5"/>
    </row>
    <row r="6231" spans="2:6" ht="13.8" hidden="1" outlineLevel="1">
      <c r="B6231" s="187">
        <v>31329</v>
      </c>
      <c r="C6231" s="188">
        <v>10.37</v>
      </c>
      <c r="D6231" s="104">
        <f t="shared" si="96"/>
        <v>0.10369999999999999</v>
      </c>
      <c r="F6231" s="5"/>
    </row>
    <row r="6232" spans="2:6" ht="13.8" hidden="1" outlineLevel="1">
      <c r="B6232" s="187">
        <v>31330</v>
      </c>
      <c r="C6232" s="188">
        <v>10.35</v>
      </c>
      <c r="D6232" s="104">
        <f t="shared" si="96"/>
        <v>0.10349999999999999</v>
      </c>
      <c r="F6232" s="5"/>
    </row>
    <row r="6233" spans="2:6" ht="13.8" hidden="1" outlineLevel="1">
      <c r="B6233" s="187">
        <v>31331</v>
      </c>
      <c r="C6233" s="188">
        <v>10.34</v>
      </c>
      <c r="D6233" s="104">
        <f t="shared" si="96"/>
        <v>0.10339999999999999</v>
      </c>
      <c r="F6233" s="5"/>
    </row>
    <row r="6234" spans="2:6" ht="13.8" hidden="1" outlineLevel="1">
      <c r="B6234" s="187">
        <v>31334</v>
      </c>
      <c r="C6234" s="188" t="s">
        <v>380</v>
      </c>
      <c r="D6234" s="104">
        <f t="shared" si="96"/>
        <v>0.10339999999999999</v>
      </c>
      <c r="F6234" s="5"/>
    </row>
    <row r="6235" spans="2:6" ht="13.8" hidden="1" outlineLevel="1">
      <c r="B6235" s="187">
        <v>31335</v>
      </c>
      <c r="C6235" s="188">
        <v>10.3</v>
      </c>
      <c r="D6235" s="104">
        <f t="shared" si="96"/>
        <v>0.10300000000000001</v>
      </c>
      <c r="F6235" s="5"/>
    </row>
    <row r="6236" spans="2:6" ht="13.8" hidden="1" outlineLevel="1">
      <c r="B6236" s="187">
        <v>31336</v>
      </c>
      <c r="C6236" s="188">
        <v>10.25</v>
      </c>
      <c r="D6236" s="104">
        <f t="shared" si="96"/>
        <v>0.10249999999999999</v>
      </c>
      <c r="F6236" s="5"/>
    </row>
    <row r="6237" spans="2:6" ht="13.8" hidden="1" outlineLevel="1">
      <c r="B6237" s="187">
        <v>31337</v>
      </c>
      <c r="C6237" s="188">
        <v>10.210000000000001</v>
      </c>
      <c r="D6237" s="104">
        <f t="shared" si="96"/>
        <v>0.10210000000000001</v>
      </c>
      <c r="F6237" s="5"/>
    </row>
    <row r="6238" spans="2:6" ht="13.8" hidden="1" outlineLevel="1">
      <c r="B6238" s="187">
        <v>31338</v>
      </c>
      <c r="C6238" s="188">
        <v>10.17</v>
      </c>
      <c r="D6238" s="104">
        <f t="shared" ref="D6238:D6301" si="97">IF( LEN( C6238 ) = 0, #N/A, IF( C6238 = "ND", D6237, C6238 / 100 ) )</f>
        <v>0.1017</v>
      </c>
      <c r="F6238" s="5"/>
    </row>
    <row r="6239" spans="2:6" ht="13.8" hidden="1" outlineLevel="1">
      <c r="B6239" s="187">
        <v>31341</v>
      </c>
      <c r="C6239" s="188">
        <v>10.18</v>
      </c>
      <c r="D6239" s="104">
        <f t="shared" si="97"/>
        <v>0.1018</v>
      </c>
      <c r="F6239" s="5"/>
    </row>
    <row r="6240" spans="2:6" ht="13.8" hidden="1" outlineLevel="1">
      <c r="B6240" s="187">
        <v>31342</v>
      </c>
      <c r="C6240" s="188">
        <v>10.119999999999999</v>
      </c>
      <c r="D6240" s="104">
        <f t="shared" si="97"/>
        <v>0.1012</v>
      </c>
      <c r="F6240" s="5"/>
    </row>
    <row r="6241" spans="2:6" ht="13.8" hidden="1" outlineLevel="1">
      <c r="B6241" s="187">
        <v>31343</v>
      </c>
      <c r="C6241" s="188">
        <v>10.14</v>
      </c>
      <c r="D6241" s="104">
        <f t="shared" si="97"/>
        <v>0.1014</v>
      </c>
      <c r="F6241" s="5"/>
    </row>
    <row r="6242" spans="2:6" ht="13.8" hidden="1" outlineLevel="1">
      <c r="B6242" s="187">
        <v>31344</v>
      </c>
      <c r="C6242" s="188">
        <v>10.15</v>
      </c>
      <c r="D6242" s="104">
        <f t="shared" si="97"/>
        <v>0.10150000000000001</v>
      </c>
      <c r="F6242" s="5"/>
    </row>
    <row r="6243" spans="2:6" ht="13.8" hidden="1" outlineLevel="1">
      <c r="B6243" s="187">
        <v>31345</v>
      </c>
      <c r="C6243" s="188">
        <v>10.210000000000001</v>
      </c>
      <c r="D6243" s="104">
        <f t="shared" si="97"/>
        <v>0.10210000000000001</v>
      </c>
      <c r="F6243" s="5"/>
    </row>
    <row r="6244" spans="2:6" ht="13.8" hidden="1" outlineLevel="1">
      <c r="B6244" s="187">
        <v>31348</v>
      </c>
      <c r="C6244" s="188">
        <v>10.28</v>
      </c>
      <c r="D6244" s="104">
        <f t="shared" si="97"/>
        <v>0.10279999999999999</v>
      </c>
      <c r="F6244" s="5"/>
    </row>
    <row r="6245" spans="2:6" ht="13.8" hidden="1" outlineLevel="1">
      <c r="B6245" s="187">
        <v>31349</v>
      </c>
      <c r="C6245" s="188">
        <v>10.11</v>
      </c>
      <c r="D6245" s="104">
        <f t="shared" si="97"/>
        <v>0.1011</v>
      </c>
      <c r="F6245" s="5"/>
    </row>
    <row r="6246" spans="2:6" ht="13.8" hidden="1" outlineLevel="1">
      <c r="B6246" s="187">
        <v>31350</v>
      </c>
      <c r="C6246" s="188">
        <v>9.9700000000000006</v>
      </c>
      <c r="D6246" s="104">
        <f t="shared" si="97"/>
        <v>9.9700000000000011E-2</v>
      </c>
      <c r="F6246" s="5"/>
    </row>
    <row r="6247" spans="2:6" ht="13.8" hidden="1" outlineLevel="1">
      <c r="B6247" s="187">
        <v>31351</v>
      </c>
      <c r="C6247" s="188">
        <v>10.01</v>
      </c>
      <c r="D6247" s="104">
        <f t="shared" si="97"/>
        <v>0.10009999999999999</v>
      </c>
      <c r="F6247" s="5"/>
    </row>
    <row r="6248" spans="2:6" ht="13.8" hidden="1" outlineLevel="1">
      <c r="B6248" s="187">
        <v>31352</v>
      </c>
      <c r="C6248" s="188">
        <v>9.98</v>
      </c>
      <c r="D6248" s="104">
        <f t="shared" si="97"/>
        <v>9.98E-2</v>
      </c>
      <c r="F6248" s="5"/>
    </row>
    <row r="6249" spans="2:6" ht="13.8" hidden="1" outlineLevel="1">
      <c r="B6249" s="187">
        <v>31355</v>
      </c>
      <c r="C6249" s="188">
        <v>9.98</v>
      </c>
      <c r="D6249" s="104">
        <f t="shared" si="97"/>
        <v>9.98E-2</v>
      </c>
      <c r="F6249" s="5"/>
    </row>
    <row r="6250" spans="2:6" ht="13.8" hidden="1" outlineLevel="1">
      <c r="B6250" s="187">
        <v>31356</v>
      </c>
      <c r="C6250" s="188">
        <v>9.93</v>
      </c>
      <c r="D6250" s="104">
        <f t="shared" si="97"/>
        <v>9.9299999999999999E-2</v>
      </c>
      <c r="F6250" s="5"/>
    </row>
    <row r="6251" spans="2:6" ht="13.8" hidden="1" outlineLevel="1">
      <c r="B6251" s="187">
        <v>31357</v>
      </c>
      <c r="C6251" s="188">
        <v>9.93</v>
      </c>
      <c r="D6251" s="104">
        <f t="shared" si="97"/>
        <v>9.9299999999999999E-2</v>
      </c>
      <c r="F6251" s="5"/>
    </row>
    <row r="6252" spans="2:6" ht="13.8" hidden="1" outlineLevel="1">
      <c r="B6252" s="187">
        <v>31358</v>
      </c>
      <c r="C6252" s="188">
        <v>9.91</v>
      </c>
      <c r="D6252" s="104">
        <f t="shared" si="97"/>
        <v>9.9100000000000008E-2</v>
      </c>
      <c r="F6252" s="5"/>
    </row>
    <row r="6253" spans="2:6" ht="13.8" hidden="1" outlineLevel="1">
      <c r="B6253" s="187">
        <v>31359</v>
      </c>
      <c r="C6253" s="188">
        <v>9.84</v>
      </c>
      <c r="D6253" s="104">
        <f t="shared" si="97"/>
        <v>9.8400000000000001E-2</v>
      </c>
      <c r="F6253" s="5"/>
    </row>
    <row r="6254" spans="2:6" ht="13.8" hidden="1" outlineLevel="1">
      <c r="B6254" s="187">
        <v>31362</v>
      </c>
      <c r="C6254" s="188" t="s">
        <v>380</v>
      </c>
      <c r="D6254" s="104">
        <f t="shared" si="97"/>
        <v>9.8400000000000001E-2</v>
      </c>
      <c r="F6254" s="5"/>
    </row>
    <row r="6255" spans="2:6" ht="13.8" hidden="1" outlineLevel="1">
      <c r="B6255" s="187">
        <v>31363</v>
      </c>
      <c r="C6255" s="188">
        <v>9.74</v>
      </c>
      <c r="D6255" s="104">
        <f t="shared" si="97"/>
        <v>9.74E-2</v>
      </c>
      <c r="F6255" s="5"/>
    </row>
    <row r="6256" spans="2:6" ht="13.8" hidden="1" outlineLevel="1">
      <c r="B6256" s="187">
        <v>31364</v>
      </c>
      <c r="C6256" s="188">
        <v>9.7799999999999994</v>
      </c>
      <c r="D6256" s="104">
        <f t="shared" si="97"/>
        <v>9.7799999999999998E-2</v>
      </c>
      <c r="F6256" s="5"/>
    </row>
    <row r="6257" spans="2:6" ht="13.8" hidden="1" outlineLevel="1">
      <c r="B6257" s="187">
        <v>31365</v>
      </c>
      <c r="C6257" s="188">
        <v>9.84</v>
      </c>
      <c r="D6257" s="104">
        <f t="shared" si="97"/>
        <v>9.8400000000000001E-2</v>
      </c>
      <c r="F6257" s="5"/>
    </row>
    <row r="6258" spans="2:6" ht="13.8" hidden="1" outlineLevel="1">
      <c r="B6258" s="187">
        <v>31366</v>
      </c>
      <c r="C6258" s="188">
        <v>9.92</v>
      </c>
      <c r="D6258" s="104">
        <f t="shared" si="97"/>
        <v>9.9199999999999997E-2</v>
      </c>
      <c r="F6258" s="5"/>
    </row>
    <row r="6259" spans="2:6" ht="13.8" hidden="1" outlineLevel="1">
      <c r="B6259" s="187">
        <v>31369</v>
      </c>
      <c r="C6259" s="188">
        <v>9.7200000000000006</v>
      </c>
      <c r="D6259" s="104">
        <f t="shared" si="97"/>
        <v>9.7200000000000009E-2</v>
      </c>
      <c r="F6259" s="5"/>
    </row>
    <row r="6260" spans="2:6" ht="13.8" hidden="1" outlineLevel="1">
      <c r="B6260" s="187">
        <v>31370</v>
      </c>
      <c r="C6260" s="188">
        <v>9.73</v>
      </c>
      <c r="D6260" s="104">
        <f t="shared" si="97"/>
        <v>9.7299999999999998E-2</v>
      </c>
      <c r="F6260" s="5"/>
    </row>
    <row r="6261" spans="2:6" ht="13.8" hidden="1" outlineLevel="1">
      <c r="B6261" s="187">
        <v>31371</v>
      </c>
      <c r="C6261" s="188">
        <v>9.7200000000000006</v>
      </c>
      <c r="D6261" s="104">
        <f t="shared" si="97"/>
        <v>9.7200000000000009E-2</v>
      </c>
      <c r="F6261" s="5"/>
    </row>
    <row r="6262" spans="2:6" ht="13.8" hidden="1" outlineLevel="1">
      <c r="B6262" s="187">
        <v>31372</v>
      </c>
      <c r="C6262" s="188">
        <v>9.58</v>
      </c>
      <c r="D6262" s="104">
        <f t="shared" si="97"/>
        <v>9.5799999999999996E-2</v>
      </c>
      <c r="F6262" s="5"/>
    </row>
    <row r="6263" spans="2:6" ht="13.8" hidden="1" outlineLevel="1">
      <c r="B6263" s="187">
        <v>31373</v>
      </c>
      <c r="C6263" s="188">
        <v>9.66</v>
      </c>
      <c r="D6263" s="104">
        <f t="shared" si="97"/>
        <v>9.6600000000000005E-2</v>
      </c>
      <c r="F6263" s="5"/>
    </row>
    <row r="6264" spans="2:6" ht="13.8" hidden="1" outlineLevel="1">
      <c r="B6264" s="187">
        <v>31376</v>
      </c>
      <c r="C6264" s="188">
        <v>9.68</v>
      </c>
      <c r="D6264" s="104">
        <f t="shared" si="97"/>
        <v>9.6799999999999997E-2</v>
      </c>
      <c r="F6264" s="5"/>
    </row>
    <row r="6265" spans="2:6" ht="13.8" hidden="1" outlineLevel="1">
      <c r="B6265" s="187">
        <v>31377</v>
      </c>
      <c r="C6265" s="188">
        <v>9.68</v>
      </c>
      <c r="D6265" s="104">
        <f t="shared" si="97"/>
        <v>9.6799999999999997E-2</v>
      </c>
      <c r="F6265" s="5"/>
    </row>
    <row r="6266" spans="2:6" ht="13.8" hidden="1" outlineLevel="1">
      <c r="B6266" s="187">
        <v>31378</v>
      </c>
      <c r="C6266" s="188">
        <v>9.64</v>
      </c>
      <c r="D6266" s="104">
        <f t="shared" si="97"/>
        <v>9.64E-2</v>
      </c>
      <c r="F6266" s="5"/>
    </row>
    <row r="6267" spans="2:6" ht="13.8" hidden="1" outlineLevel="1">
      <c r="B6267" s="187">
        <v>31379</v>
      </c>
      <c r="C6267" s="188" t="s">
        <v>380</v>
      </c>
      <c r="D6267" s="104">
        <f t="shared" si="97"/>
        <v>9.64E-2</v>
      </c>
      <c r="F6267" s="5"/>
    </row>
    <row r="6268" spans="2:6" ht="13.8" hidden="1" outlineLevel="1">
      <c r="B6268" s="187">
        <v>31380</v>
      </c>
      <c r="C6268" s="188">
        <v>9.59</v>
      </c>
      <c r="D6268" s="104">
        <f t="shared" si="97"/>
        <v>9.5899999999999999E-2</v>
      </c>
      <c r="F6268" s="5"/>
    </row>
    <row r="6269" spans="2:6" ht="13.8" hidden="1" outlineLevel="1">
      <c r="B6269" s="187">
        <v>31383</v>
      </c>
      <c r="C6269" s="188">
        <v>9.69</v>
      </c>
      <c r="D6269" s="104">
        <f t="shared" si="97"/>
        <v>9.69E-2</v>
      </c>
      <c r="F6269" s="5"/>
    </row>
    <row r="6270" spans="2:6" ht="13.8" hidden="1" outlineLevel="1">
      <c r="B6270" s="187">
        <v>31384</v>
      </c>
      <c r="C6270" s="188">
        <v>9.68</v>
      </c>
      <c r="D6270" s="104">
        <f t="shared" si="97"/>
        <v>9.6799999999999997E-2</v>
      </c>
      <c r="F6270" s="5"/>
    </row>
    <row r="6271" spans="2:6" ht="13.8" hidden="1" outlineLevel="1">
      <c r="B6271" s="187">
        <v>31385</v>
      </c>
      <c r="C6271" s="188">
        <v>9.6300000000000008</v>
      </c>
      <c r="D6271" s="104">
        <f t="shared" si="97"/>
        <v>9.6300000000000011E-2</v>
      </c>
      <c r="F6271" s="5"/>
    </row>
    <row r="6272" spans="2:6" ht="13.8" hidden="1" outlineLevel="1">
      <c r="B6272" s="187">
        <v>31386</v>
      </c>
      <c r="C6272" s="188">
        <v>9.6199999999999992</v>
      </c>
      <c r="D6272" s="104">
        <f t="shared" si="97"/>
        <v>9.6199999999999994E-2</v>
      </c>
      <c r="F6272" s="5"/>
    </row>
    <row r="6273" spans="2:6" ht="13.8" hidden="1" outlineLevel="1">
      <c r="B6273" s="187">
        <v>31387</v>
      </c>
      <c r="C6273" s="188">
        <v>9.65</v>
      </c>
      <c r="D6273" s="104">
        <f t="shared" si="97"/>
        <v>9.6500000000000002E-2</v>
      </c>
      <c r="F6273" s="5"/>
    </row>
    <row r="6274" spans="2:6" ht="13.8" hidden="1" outlineLevel="1">
      <c r="B6274" s="187">
        <v>31390</v>
      </c>
      <c r="C6274" s="188">
        <v>9.49</v>
      </c>
      <c r="D6274" s="104">
        <f t="shared" si="97"/>
        <v>9.4899999999999998E-2</v>
      </c>
      <c r="F6274" s="5"/>
    </row>
    <row r="6275" spans="2:6" ht="13.8" hidden="1" outlineLevel="1">
      <c r="B6275" s="187">
        <v>31391</v>
      </c>
      <c r="C6275" s="188">
        <v>9.36</v>
      </c>
      <c r="D6275" s="104">
        <f t="shared" si="97"/>
        <v>9.3599999999999989E-2</v>
      </c>
      <c r="F6275" s="5"/>
    </row>
    <row r="6276" spans="2:6" ht="13.8" hidden="1" outlineLevel="1">
      <c r="B6276" s="187">
        <v>31392</v>
      </c>
      <c r="C6276" s="188">
        <v>9.1999999999999993</v>
      </c>
      <c r="D6276" s="104">
        <f t="shared" si="97"/>
        <v>9.1999999999999998E-2</v>
      </c>
      <c r="F6276" s="5"/>
    </row>
    <row r="6277" spans="2:6" ht="13.8" hidden="1" outlineLevel="1">
      <c r="B6277" s="187">
        <v>31393</v>
      </c>
      <c r="C6277" s="188">
        <v>9.27</v>
      </c>
      <c r="D6277" s="104">
        <f t="shared" si="97"/>
        <v>9.2699999999999991E-2</v>
      </c>
      <c r="F6277" s="5"/>
    </row>
    <row r="6278" spans="2:6" ht="13.8" hidden="1" outlineLevel="1">
      <c r="B6278" s="187">
        <v>31394</v>
      </c>
      <c r="C6278" s="188">
        <v>9.2100000000000009</v>
      </c>
      <c r="D6278" s="104">
        <f t="shared" si="97"/>
        <v>9.2100000000000015E-2</v>
      </c>
      <c r="F6278" s="5"/>
    </row>
    <row r="6279" spans="2:6" ht="13.8" hidden="1" outlineLevel="1">
      <c r="B6279" s="187">
        <v>31397</v>
      </c>
      <c r="C6279" s="188">
        <v>9.16</v>
      </c>
      <c r="D6279" s="104">
        <f t="shared" si="97"/>
        <v>9.1600000000000001E-2</v>
      </c>
      <c r="F6279" s="5"/>
    </row>
    <row r="6280" spans="2:6" ht="13.8" hidden="1" outlineLevel="1">
      <c r="B6280" s="187">
        <v>31398</v>
      </c>
      <c r="C6280" s="188">
        <v>9.0399999999999991</v>
      </c>
      <c r="D6280" s="104">
        <f t="shared" si="97"/>
        <v>9.0399999999999994E-2</v>
      </c>
      <c r="F6280" s="5"/>
    </row>
    <row r="6281" spans="2:6" ht="13.8" hidden="1" outlineLevel="1">
      <c r="B6281" s="187">
        <v>31399</v>
      </c>
      <c r="C6281" s="188">
        <v>9.11</v>
      </c>
      <c r="D6281" s="104">
        <f t="shared" si="97"/>
        <v>9.11E-2</v>
      </c>
      <c r="F6281" s="5"/>
    </row>
    <row r="6282" spans="2:6" ht="13.8" hidden="1" outlineLevel="1">
      <c r="B6282" s="187">
        <v>31400</v>
      </c>
      <c r="C6282" s="188">
        <v>9.1</v>
      </c>
      <c r="D6282" s="104">
        <f t="shared" si="97"/>
        <v>9.0999999999999998E-2</v>
      </c>
      <c r="F6282" s="5"/>
    </row>
    <row r="6283" spans="2:6" ht="13.8" hidden="1" outlineLevel="1">
      <c r="B6283" s="187">
        <v>31401</v>
      </c>
      <c r="C6283" s="188">
        <v>9.0399999999999991</v>
      </c>
      <c r="D6283" s="104">
        <f t="shared" si="97"/>
        <v>9.0399999999999994E-2</v>
      </c>
      <c r="F6283" s="5"/>
    </row>
    <row r="6284" spans="2:6" ht="13.8" hidden="1" outlineLevel="1">
      <c r="B6284" s="187">
        <v>31404</v>
      </c>
      <c r="C6284" s="188">
        <v>9.08</v>
      </c>
      <c r="D6284" s="104">
        <f t="shared" si="97"/>
        <v>9.0800000000000006E-2</v>
      </c>
      <c r="F6284" s="5"/>
    </row>
    <row r="6285" spans="2:6" ht="13.8" hidden="1" outlineLevel="1">
      <c r="B6285" s="187">
        <v>31405</v>
      </c>
      <c r="C6285" s="188">
        <v>9.07</v>
      </c>
      <c r="D6285" s="104">
        <f t="shared" si="97"/>
        <v>9.0700000000000003E-2</v>
      </c>
      <c r="F6285" s="5"/>
    </row>
    <row r="6286" spans="2:6" ht="13.8" hidden="1" outlineLevel="1">
      <c r="B6286" s="187">
        <v>31406</v>
      </c>
      <c r="C6286" s="188" t="s">
        <v>380</v>
      </c>
      <c r="D6286" s="104">
        <f t="shared" si="97"/>
        <v>9.0700000000000003E-2</v>
      </c>
      <c r="F6286" s="5"/>
    </row>
    <row r="6287" spans="2:6" ht="13.8" hidden="1" outlineLevel="1">
      <c r="B6287" s="187">
        <v>31407</v>
      </c>
      <c r="C6287" s="188">
        <v>9.0399999999999991</v>
      </c>
      <c r="D6287" s="104">
        <f t="shared" si="97"/>
        <v>9.0399999999999994E-2</v>
      </c>
      <c r="F6287" s="5"/>
    </row>
    <row r="6288" spans="2:6" ht="13.8" hidden="1" outlineLevel="1">
      <c r="B6288" s="187">
        <v>31408</v>
      </c>
      <c r="C6288" s="188">
        <v>8.99</v>
      </c>
      <c r="D6288" s="104">
        <f t="shared" si="97"/>
        <v>8.9900000000000008E-2</v>
      </c>
      <c r="F6288" s="5"/>
    </row>
    <row r="6289" spans="2:6" ht="13.8" hidden="1" outlineLevel="1">
      <c r="B6289" s="187">
        <v>31411</v>
      </c>
      <c r="C6289" s="188">
        <v>9.01</v>
      </c>
      <c r="D6289" s="104">
        <f t="shared" si="97"/>
        <v>9.01E-2</v>
      </c>
      <c r="F6289" s="5"/>
    </row>
    <row r="6290" spans="2:6" ht="13.8" hidden="1" outlineLevel="1">
      <c r="B6290" s="187">
        <v>31412</v>
      </c>
      <c r="C6290" s="188">
        <v>9</v>
      </c>
      <c r="D6290" s="104">
        <f t="shared" si="97"/>
        <v>0.09</v>
      </c>
      <c r="F6290" s="5"/>
    </row>
    <row r="6291" spans="2:6" ht="13.8" hidden="1" outlineLevel="1">
      <c r="B6291" s="187">
        <v>31413</v>
      </c>
      <c r="C6291" s="188" t="s">
        <v>380</v>
      </c>
      <c r="D6291" s="104">
        <f t="shared" si="97"/>
        <v>0.09</v>
      </c>
      <c r="F6291" s="5"/>
    </row>
    <row r="6292" spans="2:6" ht="13.8" hidden="1" outlineLevel="1">
      <c r="B6292" s="187">
        <v>31414</v>
      </c>
      <c r="C6292" s="188">
        <v>9.0399999999999991</v>
      </c>
      <c r="D6292" s="104">
        <f t="shared" si="97"/>
        <v>9.0399999999999994E-2</v>
      </c>
      <c r="F6292" s="5"/>
    </row>
    <row r="6293" spans="2:6" ht="13.8" hidden="1" outlineLevel="1">
      <c r="B6293" s="187">
        <v>31415</v>
      </c>
      <c r="C6293" s="188">
        <v>9.0500000000000007</v>
      </c>
      <c r="D6293" s="104">
        <f t="shared" si="97"/>
        <v>9.0500000000000011E-2</v>
      </c>
      <c r="F6293" s="5"/>
    </row>
    <row r="6294" spans="2:6" ht="13.8" hidden="1" outlineLevel="1">
      <c r="B6294" s="187">
        <v>31418</v>
      </c>
      <c r="C6294" s="188">
        <v>9.07</v>
      </c>
      <c r="D6294" s="104">
        <f t="shared" si="97"/>
        <v>9.0700000000000003E-2</v>
      </c>
      <c r="F6294" s="5"/>
    </row>
    <row r="6295" spans="2:6" ht="13.8" hidden="1" outlineLevel="1">
      <c r="B6295" s="187">
        <v>31419</v>
      </c>
      <c r="C6295" s="188">
        <v>8.94</v>
      </c>
      <c r="D6295" s="104">
        <f t="shared" si="97"/>
        <v>8.9399999999999993E-2</v>
      </c>
      <c r="F6295" s="5"/>
    </row>
    <row r="6296" spans="2:6" ht="13.8" hidden="1" outlineLevel="1">
      <c r="B6296" s="187">
        <v>31420</v>
      </c>
      <c r="C6296" s="188">
        <v>9.1300000000000008</v>
      </c>
      <c r="D6296" s="104">
        <f t="shared" si="97"/>
        <v>9.1300000000000006E-2</v>
      </c>
      <c r="F6296" s="5"/>
    </row>
    <row r="6297" spans="2:6" ht="13.8" hidden="1" outlineLevel="1">
      <c r="B6297" s="187">
        <v>31421</v>
      </c>
      <c r="C6297" s="188">
        <v>9.27</v>
      </c>
      <c r="D6297" s="104">
        <f t="shared" si="97"/>
        <v>9.2699999999999991E-2</v>
      </c>
      <c r="F6297" s="5"/>
    </row>
    <row r="6298" spans="2:6" ht="13.8" hidden="1" outlineLevel="1">
      <c r="B6298" s="187">
        <v>31422</v>
      </c>
      <c r="C6298" s="188">
        <v>9.39</v>
      </c>
      <c r="D6298" s="104">
        <f t="shared" si="97"/>
        <v>9.3900000000000011E-2</v>
      </c>
      <c r="F6298" s="5"/>
    </row>
    <row r="6299" spans="2:6" ht="13.8" hidden="1" outlineLevel="1">
      <c r="B6299" s="187">
        <v>31425</v>
      </c>
      <c r="C6299" s="188">
        <v>9.49</v>
      </c>
      <c r="D6299" s="104">
        <f t="shared" si="97"/>
        <v>9.4899999999999998E-2</v>
      </c>
      <c r="F6299" s="5"/>
    </row>
    <row r="6300" spans="2:6" ht="13.8" hidden="1" outlineLevel="1">
      <c r="B6300" s="187">
        <v>31426</v>
      </c>
      <c r="C6300" s="188">
        <v>9.43</v>
      </c>
      <c r="D6300" s="104">
        <f t="shared" si="97"/>
        <v>9.4299999999999995E-2</v>
      </c>
      <c r="F6300" s="5"/>
    </row>
    <row r="6301" spans="2:6" ht="13.8" hidden="1" outlineLevel="1">
      <c r="B6301" s="187">
        <v>31427</v>
      </c>
      <c r="C6301" s="188">
        <v>9.31</v>
      </c>
      <c r="D6301" s="104">
        <f t="shared" si="97"/>
        <v>9.3100000000000002E-2</v>
      </c>
      <c r="F6301" s="5"/>
    </row>
    <row r="6302" spans="2:6" ht="13.8" hidden="1" outlineLevel="1">
      <c r="B6302" s="187">
        <v>31428</v>
      </c>
      <c r="C6302" s="188">
        <v>9.3000000000000007</v>
      </c>
      <c r="D6302" s="104">
        <f t="shared" ref="D6302:D6365" si="98">IF( LEN( C6302 ) = 0, #N/A, IF( C6302 = "ND", D6301, C6302 / 100 ) )</f>
        <v>9.3000000000000013E-2</v>
      </c>
      <c r="F6302" s="5"/>
    </row>
    <row r="6303" spans="2:6" ht="13.8" hidden="1" outlineLevel="1">
      <c r="B6303" s="187">
        <v>31429</v>
      </c>
      <c r="C6303" s="188">
        <v>9.24</v>
      </c>
      <c r="D6303" s="104">
        <f t="shared" si="98"/>
        <v>9.2399999999999996E-2</v>
      </c>
      <c r="F6303" s="5"/>
    </row>
    <row r="6304" spans="2:6" ht="13.8" hidden="1" outlineLevel="1">
      <c r="B6304" s="187">
        <v>31432</v>
      </c>
      <c r="C6304" s="188" t="s">
        <v>380</v>
      </c>
      <c r="D6304" s="104">
        <f t="shared" si="98"/>
        <v>9.2399999999999996E-2</v>
      </c>
      <c r="F6304" s="5"/>
    </row>
    <row r="6305" spans="2:6" ht="13.8" hidden="1" outlineLevel="1">
      <c r="B6305" s="187">
        <v>31433</v>
      </c>
      <c r="C6305" s="188">
        <v>9.2200000000000006</v>
      </c>
      <c r="D6305" s="104">
        <f t="shared" si="98"/>
        <v>9.2200000000000004E-2</v>
      </c>
      <c r="F6305" s="5"/>
    </row>
    <row r="6306" spans="2:6" ht="13.8" hidden="1" outlineLevel="1">
      <c r="B6306" s="187">
        <v>31434</v>
      </c>
      <c r="C6306" s="188">
        <v>9.2799999999999994</v>
      </c>
      <c r="D6306" s="104">
        <f t="shared" si="98"/>
        <v>9.2799999999999994E-2</v>
      </c>
      <c r="F6306" s="5"/>
    </row>
    <row r="6307" spans="2:6" ht="13.8" hidden="1" outlineLevel="1">
      <c r="B6307" s="187">
        <v>31435</v>
      </c>
      <c r="C6307" s="188">
        <v>9.23</v>
      </c>
      <c r="D6307" s="104">
        <f t="shared" si="98"/>
        <v>9.2300000000000007E-2</v>
      </c>
      <c r="F6307" s="5"/>
    </row>
    <row r="6308" spans="2:6" ht="13.8" hidden="1" outlineLevel="1">
      <c r="B6308" s="187">
        <v>31436</v>
      </c>
      <c r="C6308" s="188">
        <v>9.23</v>
      </c>
      <c r="D6308" s="104">
        <f t="shared" si="98"/>
        <v>9.2300000000000007E-2</v>
      </c>
      <c r="F6308" s="5"/>
    </row>
    <row r="6309" spans="2:6" ht="13.8" hidden="1" outlineLevel="1">
      <c r="B6309" s="187">
        <v>31439</v>
      </c>
      <c r="C6309" s="188">
        <v>9.1300000000000008</v>
      </c>
      <c r="D6309" s="104">
        <f t="shared" si="98"/>
        <v>9.1300000000000006E-2</v>
      </c>
      <c r="F6309" s="5"/>
    </row>
    <row r="6310" spans="2:6" ht="13.8" hidden="1" outlineLevel="1">
      <c r="B6310" s="187">
        <v>31440</v>
      </c>
      <c r="C6310" s="188">
        <v>9.0500000000000007</v>
      </c>
      <c r="D6310" s="104">
        <f t="shared" si="98"/>
        <v>9.0500000000000011E-2</v>
      </c>
      <c r="F6310" s="5"/>
    </row>
    <row r="6311" spans="2:6" ht="13.8" hidden="1" outlineLevel="1">
      <c r="B6311" s="187">
        <v>31441</v>
      </c>
      <c r="C6311" s="188">
        <v>9.09</v>
      </c>
      <c r="D6311" s="104">
        <f t="shared" si="98"/>
        <v>9.0899999999999995E-2</v>
      </c>
      <c r="F6311" s="5"/>
    </row>
    <row r="6312" spans="2:6" ht="13.8" hidden="1" outlineLevel="1">
      <c r="B6312" s="187">
        <v>31442</v>
      </c>
      <c r="C6312" s="188">
        <v>9.1</v>
      </c>
      <c r="D6312" s="104">
        <f t="shared" si="98"/>
        <v>9.0999999999999998E-2</v>
      </c>
      <c r="F6312" s="5"/>
    </row>
    <row r="6313" spans="2:6" ht="13.8" hidden="1" outlineLevel="1">
      <c r="B6313" s="187">
        <v>31443</v>
      </c>
      <c r="C6313" s="188">
        <v>9.08</v>
      </c>
      <c r="D6313" s="104">
        <f t="shared" si="98"/>
        <v>9.0800000000000006E-2</v>
      </c>
      <c r="F6313" s="5"/>
    </row>
    <row r="6314" spans="2:6" ht="13.8" hidden="1" outlineLevel="1">
      <c r="B6314" s="187">
        <v>31446</v>
      </c>
      <c r="C6314" s="188">
        <v>9.02</v>
      </c>
      <c r="D6314" s="104">
        <f t="shared" si="98"/>
        <v>9.0200000000000002E-2</v>
      </c>
      <c r="F6314" s="5"/>
    </row>
    <row r="6315" spans="2:6" ht="13.8" hidden="1" outlineLevel="1">
      <c r="B6315" s="187">
        <v>31447</v>
      </c>
      <c r="C6315" s="188">
        <v>8.9600000000000009</v>
      </c>
      <c r="D6315" s="104">
        <f t="shared" si="98"/>
        <v>8.9600000000000013E-2</v>
      </c>
      <c r="F6315" s="5"/>
    </row>
    <row r="6316" spans="2:6" ht="13.8" hidden="1" outlineLevel="1">
      <c r="B6316" s="187">
        <v>31448</v>
      </c>
      <c r="C6316" s="188">
        <v>8.9700000000000006</v>
      </c>
      <c r="D6316" s="104">
        <f t="shared" si="98"/>
        <v>8.9700000000000002E-2</v>
      </c>
      <c r="F6316" s="5"/>
    </row>
    <row r="6317" spans="2:6" ht="13.8" hidden="1" outlineLevel="1">
      <c r="B6317" s="187">
        <v>31449</v>
      </c>
      <c r="C6317" s="188">
        <v>9.0299999999999994</v>
      </c>
      <c r="D6317" s="104">
        <f t="shared" si="98"/>
        <v>9.0299999999999991E-2</v>
      </c>
      <c r="F6317" s="5"/>
    </row>
    <row r="6318" spans="2:6" ht="13.8" hidden="1" outlineLevel="1">
      <c r="B6318" s="187">
        <v>31450</v>
      </c>
      <c r="C6318" s="188">
        <v>9.11</v>
      </c>
      <c r="D6318" s="104">
        <f t="shared" si="98"/>
        <v>9.11E-2</v>
      </c>
      <c r="F6318" s="5"/>
    </row>
    <row r="6319" spans="2:6" ht="13.8" hidden="1" outlineLevel="1">
      <c r="B6319" s="187">
        <v>31453</v>
      </c>
      <c r="C6319" s="188">
        <v>9</v>
      </c>
      <c r="D6319" s="104">
        <f t="shared" si="98"/>
        <v>0.09</v>
      </c>
      <c r="F6319" s="5"/>
    </row>
    <row r="6320" spans="2:6" ht="13.8" hidden="1" outlineLevel="1">
      <c r="B6320" s="187">
        <v>31454</v>
      </c>
      <c r="C6320" s="188">
        <v>8.93</v>
      </c>
      <c r="D6320" s="104">
        <f t="shared" si="98"/>
        <v>8.929999999999999E-2</v>
      </c>
      <c r="F6320" s="5"/>
    </row>
    <row r="6321" spans="2:6" ht="13.8" hidden="1" outlineLevel="1">
      <c r="B6321" s="187">
        <v>31455</v>
      </c>
      <c r="C6321" s="188">
        <v>8.91</v>
      </c>
      <c r="D6321" s="104">
        <f t="shared" si="98"/>
        <v>8.9099999999999999E-2</v>
      </c>
      <c r="F6321" s="5"/>
    </row>
    <row r="6322" spans="2:6" ht="13.8" hidden="1" outlineLevel="1">
      <c r="B6322" s="187">
        <v>31456</v>
      </c>
      <c r="C6322" s="188">
        <v>8.85</v>
      </c>
      <c r="D6322" s="104">
        <f t="shared" si="98"/>
        <v>8.8499999999999995E-2</v>
      </c>
      <c r="F6322" s="5"/>
    </row>
    <row r="6323" spans="2:6" ht="13.8" hidden="1" outlineLevel="1">
      <c r="B6323" s="187">
        <v>31457</v>
      </c>
      <c r="C6323" s="188">
        <v>8.68</v>
      </c>
      <c r="D6323" s="104">
        <f t="shared" si="98"/>
        <v>8.6800000000000002E-2</v>
      </c>
      <c r="F6323" s="5"/>
    </row>
    <row r="6324" spans="2:6" ht="13.8" hidden="1" outlineLevel="1">
      <c r="B6324" s="187">
        <v>31460</v>
      </c>
      <c r="C6324" s="188" t="s">
        <v>380</v>
      </c>
      <c r="D6324" s="104">
        <f t="shared" si="98"/>
        <v>8.6800000000000002E-2</v>
      </c>
      <c r="F6324" s="5"/>
    </row>
    <row r="6325" spans="2:6" ht="13.8" hidden="1" outlineLevel="1">
      <c r="B6325" s="187">
        <v>31461</v>
      </c>
      <c r="C6325" s="188">
        <v>8.64</v>
      </c>
      <c r="D6325" s="104">
        <f t="shared" si="98"/>
        <v>8.6400000000000005E-2</v>
      </c>
      <c r="F6325" s="5"/>
    </row>
    <row r="6326" spans="2:6" ht="13.8" hidden="1" outlineLevel="1">
      <c r="B6326" s="187">
        <v>31462</v>
      </c>
      <c r="C6326" s="188">
        <v>8.6999999999999993</v>
      </c>
      <c r="D6326" s="104">
        <f t="shared" si="98"/>
        <v>8.6999999999999994E-2</v>
      </c>
      <c r="F6326" s="5"/>
    </row>
    <row r="6327" spans="2:6" ht="13.8" hidden="1" outlineLevel="1">
      <c r="B6327" s="187">
        <v>31463</v>
      </c>
      <c r="C6327" s="188">
        <v>8.67</v>
      </c>
      <c r="D6327" s="104">
        <f t="shared" si="98"/>
        <v>8.6699999999999999E-2</v>
      </c>
      <c r="F6327" s="5"/>
    </row>
    <row r="6328" spans="2:6" ht="13.8" hidden="1" outlineLevel="1">
      <c r="B6328" s="187">
        <v>31464</v>
      </c>
      <c r="C6328" s="188">
        <v>8.48</v>
      </c>
      <c r="D6328" s="104">
        <f t="shared" si="98"/>
        <v>8.48E-2</v>
      </c>
      <c r="F6328" s="5"/>
    </row>
    <row r="6329" spans="2:6" ht="13.8" hidden="1" outlineLevel="1">
      <c r="B6329" s="187">
        <v>31467</v>
      </c>
      <c r="C6329" s="188">
        <v>8.39</v>
      </c>
      <c r="D6329" s="104">
        <f t="shared" si="98"/>
        <v>8.3900000000000002E-2</v>
      </c>
      <c r="F6329" s="5"/>
    </row>
    <row r="6330" spans="2:6" ht="13.8" hidden="1" outlineLevel="1">
      <c r="B6330" s="187">
        <v>31468</v>
      </c>
      <c r="C6330" s="188">
        <v>8.4</v>
      </c>
      <c r="D6330" s="104">
        <f t="shared" si="98"/>
        <v>8.4000000000000005E-2</v>
      </c>
      <c r="F6330" s="5"/>
    </row>
    <row r="6331" spans="2:6" ht="13.8" hidden="1" outlineLevel="1">
      <c r="B6331" s="187">
        <v>31469</v>
      </c>
      <c r="C6331" s="188">
        <v>8.36</v>
      </c>
      <c r="D6331" s="104">
        <f t="shared" si="98"/>
        <v>8.3599999999999994E-2</v>
      </c>
      <c r="F6331" s="5"/>
    </row>
    <row r="6332" spans="2:6" ht="13.8" hidden="1" outlineLevel="1">
      <c r="B6332" s="187">
        <v>31470</v>
      </c>
      <c r="C6332" s="188">
        <v>8.15</v>
      </c>
      <c r="D6332" s="104">
        <f t="shared" si="98"/>
        <v>8.1500000000000003E-2</v>
      </c>
      <c r="F6332" s="5"/>
    </row>
    <row r="6333" spans="2:6" ht="13.8" hidden="1" outlineLevel="1">
      <c r="B6333" s="187">
        <v>31471</v>
      </c>
      <c r="C6333" s="188">
        <v>8.1300000000000008</v>
      </c>
      <c r="D6333" s="104">
        <f t="shared" si="98"/>
        <v>8.1300000000000011E-2</v>
      </c>
      <c r="F6333" s="5"/>
    </row>
    <row r="6334" spans="2:6" ht="13.8" hidden="1" outlineLevel="1">
      <c r="B6334" s="187">
        <v>31474</v>
      </c>
      <c r="C6334" s="188">
        <v>7.99</v>
      </c>
      <c r="D6334" s="104">
        <f t="shared" si="98"/>
        <v>7.9899999999999999E-2</v>
      </c>
      <c r="F6334" s="5"/>
    </row>
    <row r="6335" spans="2:6" ht="13.8" hidden="1" outlineLevel="1">
      <c r="B6335" s="187">
        <v>31475</v>
      </c>
      <c r="C6335" s="188">
        <v>7.93</v>
      </c>
      <c r="D6335" s="104">
        <f t="shared" si="98"/>
        <v>7.9299999999999995E-2</v>
      </c>
      <c r="F6335" s="5"/>
    </row>
    <row r="6336" spans="2:6" ht="13.8" hidden="1" outlineLevel="1">
      <c r="B6336" s="187">
        <v>31476</v>
      </c>
      <c r="C6336" s="188">
        <v>8.1199999999999992</v>
      </c>
      <c r="D6336" s="104">
        <f t="shared" si="98"/>
        <v>8.1199999999999994E-2</v>
      </c>
      <c r="F6336" s="5"/>
    </row>
    <row r="6337" spans="2:6" ht="13.8" hidden="1" outlineLevel="1">
      <c r="B6337" s="187">
        <v>31477</v>
      </c>
      <c r="C6337" s="188">
        <v>8.0399999999999991</v>
      </c>
      <c r="D6337" s="104">
        <f t="shared" si="98"/>
        <v>8.0399999999999985E-2</v>
      </c>
      <c r="F6337" s="5"/>
    </row>
    <row r="6338" spans="2:6" ht="13.8" hidden="1" outlineLevel="1">
      <c r="B6338" s="187">
        <v>31478</v>
      </c>
      <c r="C6338" s="188">
        <v>7.96</v>
      </c>
      <c r="D6338" s="104">
        <f t="shared" si="98"/>
        <v>7.9600000000000004E-2</v>
      </c>
      <c r="F6338" s="5"/>
    </row>
    <row r="6339" spans="2:6" ht="13.8" hidden="1" outlineLevel="1">
      <c r="B6339" s="187">
        <v>31481</v>
      </c>
      <c r="C6339" s="188">
        <v>7.76</v>
      </c>
      <c r="D6339" s="104">
        <f t="shared" si="98"/>
        <v>7.7600000000000002E-2</v>
      </c>
      <c r="F6339" s="5"/>
    </row>
    <row r="6340" spans="2:6" ht="13.8" hidden="1" outlineLevel="1">
      <c r="B6340" s="187">
        <v>31482</v>
      </c>
      <c r="C6340" s="188">
        <v>7.7</v>
      </c>
      <c r="D6340" s="104">
        <f t="shared" si="98"/>
        <v>7.6999999999999999E-2</v>
      </c>
      <c r="F6340" s="5"/>
    </row>
    <row r="6341" spans="2:6" ht="13.8" hidden="1" outlineLevel="1">
      <c r="B6341" s="187">
        <v>31483</v>
      </c>
      <c r="C6341" s="188">
        <v>7.68</v>
      </c>
      <c r="D6341" s="104">
        <f t="shared" si="98"/>
        <v>7.6799999999999993E-2</v>
      </c>
      <c r="F6341" s="5"/>
    </row>
    <row r="6342" spans="2:6" ht="13.8" hidden="1" outlineLevel="1">
      <c r="B6342" s="187">
        <v>31484</v>
      </c>
      <c r="C6342" s="188">
        <v>7.75</v>
      </c>
      <c r="D6342" s="104">
        <f t="shared" si="98"/>
        <v>7.7499999999999999E-2</v>
      </c>
      <c r="F6342" s="5"/>
    </row>
    <row r="6343" spans="2:6" ht="13.8" hidden="1" outlineLevel="1">
      <c r="B6343" s="187">
        <v>31485</v>
      </c>
      <c r="C6343" s="188">
        <v>7.72</v>
      </c>
      <c r="D6343" s="104">
        <f t="shared" si="98"/>
        <v>7.7199999999999991E-2</v>
      </c>
      <c r="F6343" s="5"/>
    </row>
    <row r="6344" spans="2:6" ht="13.8" hidden="1" outlineLevel="1">
      <c r="B6344" s="187">
        <v>31488</v>
      </c>
      <c r="C6344" s="188">
        <v>7.77</v>
      </c>
      <c r="D6344" s="104">
        <f t="shared" si="98"/>
        <v>7.7699999999999991E-2</v>
      </c>
      <c r="F6344" s="5"/>
    </row>
    <row r="6345" spans="2:6" ht="13.8" hidden="1" outlineLevel="1">
      <c r="B6345" s="187">
        <v>31489</v>
      </c>
      <c r="C6345" s="188">
        <v>7.83</v>
      </c>
      <c r="D6345" s="104">
        <f t="shared" si="98"/>
        <v>7.8299999999999995E-2</v>
      </c>
      <c r="F6345" s="5"/>
    </row>
    <row r="6346" spans="2:6" ht="13.8" hidden="1" outlineLevel="1">
      <c r="B6346" s="187">
        <v>31490</v>
      </c>
      <c r="C6346" s="188">
        <v>7.82</v>
      </c>
      <c r="D6346" s="104">
        <f t="shared" si="98"/>
        <v>7.8200000000000006E-2</v>
      </c>
      <c r="F6346" s="5"/>
    </row>
    <row r="6347" spans="2:6" ht="13.8" hidden="1" outlineLevel="1">
      <c r="B6347" s="187">
        <v>31491</v>
      </c>
      <c r="C6347" s="188">
        <v>7.78</v>
      </c>
      <c r="D6347" s="104">
        <f t="shared" si="98"/>
        <v>7.7800000000000008E-2</v>
      </c>
      <c r="F6347" s="5"/>
    </row>
    <row r="6348" spans="2:6" ht="13.8" hidden="1" outlineLevel="1">
      <c r="B6348" s="187">
        <v>31492</v>
      </c>
      <c r="C6348" s="188">
        <v>7.8</v>
      </c>
      <c r="D6348" s="104">
        <f t="shared" si="98"/>
        <v>7.8E-2</v>
      </c>
      <c r="F6348" s="5"/>
    </row>
    <row r="6349" spans="2:6" ht="13.8" hidden="1" outlineLevel="1">
      <c r="B6349" s="187">
        <v>31495</v>
      </c>
      <c r="C6349" s="188">
        <v>7.7</v>
      </c>
      <c r="D6349" s="104">
        <f t="shared" si="98"/>
        <v>7.6999999999999999E-2</v>
      </c>
      <c r="F6349" s="5"/>
    </row>
    <row r="6350" spans="2:6" ht="13.8" hidden="1" outlineLevel="1">
      <c r="B6350" s="187">
        <v>31496</v>
      </c>
      <c r="C6350" s="188">
        <v>7.7</v>
      </c>
      <c r="D6350" s="104">
        <f t="shared" si="98"/>
        <v>7.6999999999999999E-2</v>
      </c>
      <c r="F6350" s="5"/>
    </row>
    <row r="6351" spans="2:6" ht="13.8" hidden="1" outlineLevel="1">
      <c r="B6351" s="187">
        <v>31497</v>
      </c>
      <c r="C6351" s="188">
        <v>7.64</v>
      </c>
      <c r="D6351" s="104">
        <f t="shared" si="98"/>
        <v>7.6399999999999996E-2</v>
      </c>
      <c r="F6351" s="5"/>
    </row>
    <row r="6352" spans="2:6" ht="13.8" hidden="1" outlineLevel="1">
      <c r="B6352" s="187">
        <v>31498</v>
      </c>
      <c r="C6352" s="188">
        <v>7.49</v>
      </c>
      <c r="D6352" s="104">
        <f t="shared" si="98"/>
        <v>7.4900000000000008E-2</v>
      </c>
      <c r="F6352" s="5"/>
    </row>
    <row r="6353" spans="2:6" ht="13.8" hidden="1" outlineLevel="1">
      <c r="B6353" s="187">
        <v>31499</v>
      </c>
      <c r="C6353" s="188" t="s">
        <v>380</v>
      </c>
      <c r="D6353" s="104">
        <f t="shared" si="98"/>
        <v>7.4900000000000008E-2</v>
      </c>
      <c r="F6353" s="5"/>
    </row>
    <row r="6354" spans="2:6" ht="13.8" hidden="1" outlineLevel="1">
      <c r="B6354" s="187">
        <v>31502</v>
      </c>
      <c r="C6354" s="188">
        <v>7.39</v>
      </c>
      <c r="D6354" s="104">
        <f t="shared" si="98"/>
        <v>7.3899999999999993E-2</v>
      </c>
      <c r="F6354" s="5"/>
    </row>
    <row r="6355" spans="2:6" ht="13.8" hidden="1" outlineLevel="1">
      <c r="B6355" s="187">
        <v>31503</v>
      </c>
      <c r="C6355" s="188">
        <v>7.37</v>
      </c>
      <c r="D6355" s="104">
        <f t="shared" si="98"/>
        <v>7.3700000000000002E-2</v>
      </c>
      <c r="F6355" s="5"/>
    </row>
    <row r="6356" spans="2:6" ht="13.8" hidden="1" outlineLevel="1">
      <c r="B6356" s="187">
        <v>31504</v>
      </c>
      <c r="C6356" s="188">
        <v>7.33</v>
      </c>
      <c r="D6356" s="104">
        <f t="shared" si="98"/>
        <v>7.3300000000000004E-2</v>
      </c>
      <c r="F6356" s="5"/>
    </row>
    <row r="6357" spans="2:6" ht="13.8" hidden="1" outlineLevel="1">
      <c r="B6357" s="187">
        <v>31505</v>
      </c>
      <c r="C6357" s="188">
        <v>7.41</v>
      </c>
      <c r="D6357" s="104">
        <f t="shared" si="98"/>
        <v>7.4099999999999999E-2</v>
      </c>
      <c r="F6357" s="5"/>
    </row>
    <row r="6358" spans="2:6" ht="13.8" hidden="1" outlineLevel="1">
      <c r="B6358" s="187">
        <v>31506</v>
      </c>
      <c r="C6358" s="188">
        <v>7.45</v>
      </c>
      <c r="D6358" s="104">
        <f t="shared" si="98"/>
        <v>7.4499999999999997E-2</v>
      </c>
      <c r="F6358" s="5"/>
    </row>
    <row r="6359" spans="2:6" ht="13.8" hidden="1" outlineLevel="1">
      <c r="B6359" s="187">
        <v>31509</v>
      </c>
      <c r="C6359" s="188">
        <v>7.43</v>
      </c>
      <c r="D6359" s="104">
        <f t="shared" si="98"/>
        <v>7.4299999999999991E-2</v>
      </c>
      <c r="F6359" s="5"/>
    </row>
    <row r="6360" spans="2:6" ht="13.8" hidden="1" outlineLevel="1">
      <c r="B6360" s="187">
        <v>31510</v>
      </c>
      <c r="C6360" s="188">
        <v>7.31</v>
      </c>
      <c r="D6360" s="104">
        <f t="shared" si="98"/>
        <v>7.3099999999999998E-2</v>
      </c>
      <c r="F6360" s="5"/>
    </row>
    <row r="6361" spans="2:6" ht="13.8" hidden="1" outlineLevel="1">
      <c r="B6361" s="187">
        <v>31511</v>
      </c>
      <c r="C6361" s="188">
        <v>7.27</v>
      </c>
      <c r="D6361" s="104">
        <f t="shared" si="98"/>
        <v>7.2700000000000001E-2</v>
      </c>
      <c r="F6361" s="5"/>
    </row>
    <row r="6362" spans="2:6" ht="13.8" hidden="1" outlineLevel="1">
      <c r="B6362" s="187">
        <v>31512</v>
      </c>
      <c r="C6362" s="188">
        <v>7.23</v>
      </c>
      <c r="D6362" s="104">
        <f t="shared" si="98"/>
        <v>7.2300000000000003E-2</v>
      </c>
      <c r="F6362" s="5"/>
    </row>
    <row r="6363" spans="2:6" ht="13.8" hidden="1" outlineLevel="1">
      <c r="B6363" s="187">
        <v>31513</v>
      </c>
      <c r="C6363" s="188">
        <v>7.29</v>
      </c>
      <c r="D6363" s="104">
        <f t="shared" si="98"/>
        <v>7.2900000000000006E-2</v>
      </c>
      <c r="F6363" s="5"/>
    </row>
    <row r="6364" spans="2:6" ht="13.8" hidden="1" outlineLevel="1">
      <c r="B6364" s="187">
        <v>31516</v>
      </c>
      <c r="C6364" s="188">
        <v>7.19</v>
      </c>
      <c r="D6364" s="104">
        <f t="shared" si="98"/>
        <v>7.1900000000000006E-2</v>
      </c>
      <c r="F6364" s="5"/>
    </row>
    <row r="6365" spans="2:6" ht="13.8" hidden="1" outlineLevel="1">
      <c r="B6365" s="187">
        <v>31517</v>
      </c>
      <c r="C6365" s="188">
        <v>7.22</v>
      </c>
      <c r="D6365" s="104">
        <f t="shared" si="98"/>
        <v>7.22E-2</v>
      </c>
      <c r="F6365" s="5"/>
    </row>
    <row r="6366" spans="2:6" ht="13.8" hidden="1" outlineLevel="1">
      <c r="B6366" s="187">
        <v>31518</v>
      </c>
      <c r="C6366" s="188">
        <v>6.98</v>
      </c>
      <c r="D6366" s="104">
        <f t="shared" ref="D6366:D6429" si="99">IF( LEN( C6366 ) = 0, #N/A, IF( C6366 = "ND", D6365, C6366 / 100 ) )</f>
        <v>6.9800000000000001E-2</v>
      </c>
      <c r="F6366" s="5"/>
    </row>
    <row r="6367" spans="2:6" ht="13.8" hidden="1" outlineLevel="1">
      <c r="B6367" s="187">
        <v>31519</v>
      </c>
      <c r="C6367" s="188">
        <v>7.03</v>
      </c>
      <c r="D6367" s="104">
        <f t="shared" si="99"/>
        <v>7.0300000000000001E-2</v>
      </c>
      <c r="F6367" s="5"/>
    </row>
    <row r="6368" spans="2:6" ht="13.8" hidden="1" outlineLevel="1">
      <c r="B6368" s="187">
        <v>31520</v>
      </c>
      <c r="C6368" s="188">
        <v>7.09</v>
      </c>
      <c r="D6368" s="104">
        <f t="shared" si="99"/>
        <v>7.0900000000000005E-2</v>
      </c>
      <c r="F6368" s="5"/>
    </row>
    <row r="6369" spans="2:6" ht="13.8" hidden="1" outlineLevel="1">
      <c r="B6369" s="187">
        <v>31523</v>
      </c>
      <c r="C6369" s="188">
        <v>7.04</v>
      </c>
      <c r="D6369" s="104">
        <f t="shared" si="99"/>
        <v>7.0400000000000004E-2</v>
      </c>
      <c r="F6369" s="5"/>
    </row>
    <row r="6370" spans="2:6" ht="13.8" hidden="1" outlineLevel="1">
      <c r="B6370" s="187">
        <v>31524</v>
      </c>
      <c r="C6370" s="188">
        <v>7.25</v>
      </c>
      <c r="D6370" s="104">
        <f t="shared" si="99"/>
        <v>7.2499999999999995E-2</v>
      </c>
      <c r="F6370" s="5"/>
    </row>
    <row r="6371" spans="2:6" ht="13.8" hidden="1" outlineLevel="1">
      <c r="B6371" s="187">
        <v>31525</v>
      </c>
      <c r="C6371" s="188">
        <v>7.36</v>
      </c>
      <c r="D6371" s="104">
        <f t="shared" si="99"/>
        <v>7.3599999999999999E-2</v>
      </c>
      <c r="F6371" s="5"/>
    </row>
    <row r="6372" spans="2:6" ht="13.8" hidden="1" outlineLevel="1">
      <c r="B6372" s="187">
        <v>31526</v>
      </c>
      <c r="C6372" s="188">
        <v>7.51</v>
      </c>
      <c r="D6372" s="104">
        <f t="shared" si="99"/>
        <v>7.51E-2</v>
      </c>
      <c r="F6372" s="5"/>
    </row>
    <row r="6373" spans="2:6" ht="13.8" hidden="1" outlineLevel="1">
      <c r="B6373" s="187">
        <v>31527</v>
      </c>
      <c r="C6373" s="188">
        <v>7.58</v>
      </c>
      <c r="D6373" s="104">
        <f t="shared" si="99"/>
        <v>7.5800000000000006E-2</v>
      </c>
      <c r="F6373" s="5"/>
    </row>
    <row r="6374" spans="2:6" ht="13.8" hidden="1" outlineLevel="1">
      <c r="B6374" s="187">
        <v>31530</v>
      </c>
      <c r="C6374" s="188">
        <v>7.48</v>
      </c>
      <c r="D6374" s="104">
        <f t="shared" si="99"/>
        <v>7.4800000000000005E-2</v>
      </c>
      <c r="F6374" s="5"/>
    </row>
    <row r="6375" spans="2:6" ht="13.8" hidden="1" outlineLevel="1">
      <c r="B6375" s="187">
        <v>31531</v>
      </c>
      <c r="C6375" s="188">
        <v>7.38</v>
      </c>
      <c r="D6375" s="104">
        <f t="shared" si="99"/>
        <v>7.3800000000000004E-2</v>
      </c>
      <c r="F6375" s="5"/>
    </row>
    <row r="6376" spans="2:6" ht="13.8" hidden="1" outlineLevel="1">
      <c r="B6376" s="187">
        <v>31532</v>
      </c>
      <c r="C6376" s="188">
        <v>7.38</v>
      </c>
      <c r="D6376" s="104">
        <f t="shared" si="99"/>
        <v>7.3800000000000004E-2</v>
      </c>
      <c r="F6376" s="5"/>
    </row>
    <row r="6377" spans="2:6" ht="13.8" hidden="1" outlineLevel="1">
      <c r="B6377" s="187">
        <v>31533</v>
      </c>
      <c r="C6377" s="188">
        <v>7.45</v>
      </c>
      <c r="D6377" s="104">
        <f t="shared" si="99"/>
        <v>7.4499999999999997E-2</v>
      </c>
      <c r="F6377" s="5"/>
    </row>
    <row r="6378" spans="2:6" ht="13.8" hidden="1" outlineLevel="1">
      <c r="B6378" s="187">
        <v>31534</v>
      </c>
      <c r="C6378" s="188">
        <v>7.51</v>
      </c>
      <c r="D6378" s="104">
        <f t="shared" si="99"/>
        <v>7.51E-2</v>
      </c>
      <c r="F6378" s="5"/>
    </row>
    <row r="6379" spans="2:6" ht="13.8" hidden="1" outlineLevel="1">
      <c r="B6379" s="187">
        <v>31537</v>
      </c>
      <c r="C6379" s="188">
        <v>7.45</v>
      </c>
      <c r="D6379" s="104">
        <f t="shared" si="99"/>
        <v>7.4499999999999997E-2</v>
      </c>
      <c r="F6379" s="5"/>
    </row>
    <row r="6380" spans="2:6" ht="13.8" hidden="1" outlineLevel="1">
      <c r="B6380" s="187">
        <v>31538</v>
      </c>
      <c r="C6380" s="188">
        <v>7.46</v>
      </c>
      <c r="D6380" s="104">
        <f t="shared" si="99"/>
        <v>7.46E-2</v>
      </c>
      <c r="F6380" s="5"/>
    </row>
    <row r="6381" spans="2:6" ht="13.8" hidden="1" outlineLevel="1">
      <c r="B6381" s="187">
        <v>31539</v>
      </c>
      <c r="C6381" s="188">
        <v>7.43</v>
      </c>
      <c r="D6381" s="104">
        <f t="shared" si="99"/>
        <v>7.4299999999999991E-2</v>
      </c>
      <c r="F6381" s="5"/>
    </row>
    <row r="6382" spans="2:6" ht="13.8" hidden="1" outlineLevel="1">
      <c r="B6382" s="187">
        <v>31540</v>
      </c>
      <c r="C6382" s="188">
        <v>7.4</v>
      </c>
      <c r="D6382" s="104">
        <f t="shared" si="99"/>
        <v>7.400000000000001E-2</v>
      </c>
      <c r="F6382" s="5"/>
    </row>
    <row r="6383" spans="2:6" ht="13.8" hidden="1" outlineLevel="1">
      <c r="B6383" s="187">
        <v>31541</v>
      </c>
      <c r="C6383" s="188">
        <v>7.48</v>
      </c>
      <c r="D6383" s="104">
        <f t="shared" si="99"/>
        <v>7.4800000000000005E-2</v>
      </c>
      <c r="F6383" s="5"/>
    </row>
    <row r="6384" spans="2:6" ht="13.8" hidden="1" outlineLevel="1">
      <c r="B6384" s="187">
        <v>31544</v>
      </c>
      <c r="C6384" s="188">
        <v>7.67</v>
      </c>
      <c r="D6384" s="104">
        <f t="shared" si="99"/>
        <v>7.6700000000000004E-2</v>
      </c>
      <c r="F6384" s="5"/>
    </row>
    <row r="6385" spans="2:6" ht="13.8" hidden="1" outlineLevel="1">
      <c r="B6385" s="187">
        <v>31545</v>
      </c>
      <c r="C6385" s="188">
        <v>7.63</v>
      </c>
      <c r="D6385" s="104">
        <f t="shared" si="99"/>
        <v>7.6299999999999993E-2</v>
      </c>
      <c r="F6385" s="5"/>
    </row>
    <row r="6386" spans="2:6" ht="13.8" hidden="1" outlineLevel="1">
      <c r="B6386" s="187">
        <v>31546</v>
      </c>
      <c r="C6386" s="188">
        <v>7.66</v>
      </c>
      <c r="D6386" s="104">
        <f t="shared" si="99"/>
        <v>7.6600000000000001E-2</v>
      </c>
      <c r="F6386" s="5"/>
    </row>
    <row r="6387" spans="2:6" ht="13.8" hidden="1" outlineLevel="1">
      <c r="B6387" s="187">
        <v>31547</v>
      </c>
      <c r="C6387" s="188">
        <v>7.79</v>
      </c>
      <c r="D6387" s="104">
        <f t="shared" si="99"/>
        <v>7.7899999999999997E-2</v>
      </c>
      <c r="F6387" s="5"/>
    </row>
    <row r="6388" spans="2:6" ht="13.8" hidden="1" outlineLevel="1">
      <c r="B6388" s="187">
        <v>31548</v>
      </c>
      <c r="C6388" s="188">
        <v>7.99</v>
      </c>
      <c r="D6388" s="104">
        <f t="shared" si="99"/>
        <v>7.9899999999999999E-2</v>
      </c>
      <c r="F6388" s="5"/>
    </row>
    <row r="6389" spans="2:6" ht="13.8" hidden="1" outlineLevel="1">
      <c r="B6389" s="187">
        <v>31551</v>
      </c>
      <c r="C6389" s="188">
        <v>7.98</v>
      </c>
      <c r="D6389" s="104">
        <f t="shared" si="99"/>
        <v>7.980000000000001E-2</v>
      </c>
      <c r="F6389" s="5"/>
    </row>
    <row r="6390" spans="2:6" ht="13.8" hidden="1" outlineLevel="1">
      <c r="B6390" s="187">
        <v>31552</v>
      </c>
      <c r="C6390" s="188">
        <v>7.88</v>
      </c>
      <c r="D6390" s="104">
        <f t="shared" si="99"/>
        <v>7.8799999999999995E-2</v>
      </c>
      <c r="F6390" s="5"/>
    </row>
    <row r="6391" spans="2:6" ht="13.8" hidden="1" outlineLevel="1">
      <c r="B6391" s="187">
        <v>31553</v>
      </c>
      <c r="C6391" s="188">
        <v>7.9</v>
      </c>
      <c r="D6391" s="104">
        <f t="shared" si="99"/>
        <v>7.9000000000000001E-2</v>
      </c>
      <c r="F6391" s="5"/>
    </row>
    <row r="6392" spans="2:6" ht="13.8" hidden="1" outlineLevel="1">
      <c r="B6392" s="187">
        <v>31554</v>
      </c>
      <c r="C6392" s="188">
        <v>7.88</v>
      </c>
      <c r="D6392" s="104">
        <f t="shared" si="99"/>
        <v>7.8799999999999995E-2</v>
      </c>
      <c r="F6392" s="5"/>
    </row>
    <row r="6393" spans="2:6" ht="13.8" hidden="1" outlineLevel="1">
      <c r="B6393" s="187">
        <v>31555</v>
      </c>
      <c r="C6393" s="188">
        <v>7.84</v>
      </c>
      <c r="D6393" s="104">
        <f t="shared" si="99"/>
        <v>7.8399999999999997E-2</v>
      </c>
      <c r="F6393" s="5"/>
    </row>
    <row r="6394" spans="2:6" ht="13.8" hidden="1" outlineLevel="1">
      <c r="B6394" s="187">
        <v>31558</v>
      </c>
      <c r="C6394" s="188" t="s">
        <v>380</v>
      </c>
      <c r="D6394" s="104">
        <f t="shared" si="99"/>
        <v>7.8399999999999997E-2</v>
      </c>
      <c r="F6394" s="5"/>
    </row>
    <row r="6395" spans="2:6" ht="13.8" hidden="1" outlineLevel="1">
      <c r="B6395" s="187">
        <v>31559</v>
      </c>
      <c r="C6395" s="188">
        <v>7.73</v>
      </c>
      <c r="D6395" s="104">
        <f t="shared" si="99"/>
        <v>7.7300000000000008E-2</v>
      </c>
      <c r="F6395" s="5"/>
    </row>
    <row r="6396" spans="2:6" ht="13.8" hidden="1" outlineLevel="1">
      <c r="B6396" s="187">
        <v>31560</v>
      </c>
      <c r="C6396" s="188">
        <v>7.73</v>
      </c>
      <c r="D6396" s="104">
        <f t="shared" si="99"/>
        <v>7.7300000000000008E-2</v>
      </c>
      <c r="F6396" s="5"/>
    </row>
    <row r="6397" spans="2:6" ht="13.8" hidden="1" outlineLevel="1">
      <c r="B6397" s="187">
        <v>31561</v>
      </c>
      <c r="C6397" s="188">
        <v>7.99</v>
      </c>
      <c r="D6397" s="104">
        <f t="shared" si="99"/>
        <v>7.9899999999999999E-2</v>
      </c>
      <c r="F6397" s="5"/>
    </row>
    <row r="6398" spans="2:6" ht="13.8" hidden="1" outlineLevel="1">
      <c r="B6398" s="187">
        <v>31562</v>
      </c>
      <c r="C6398" s="188">
        <v>8.0500000000000007</v>
      </c>
      <c r="D6398" s="104">
        <f t="shared" si="99"/>
        <v>8.0500000000000002E-2</v>
      </c>
      <c r="F6398" s="5"/>
    </row>
    <row r="6399" spans="2:6" ht="13.8" hidden="1" outlineLevel="1">
      <c r="B6399" s="187">
        <v>31565</v>
      </c>
      <c r="C6399" s="188">
        <v>8.32</v>
      </c>
      <c r="D6399" s="104">
        <f t="shared" si="99"/>
        <v>8.3199999999999996E-2</v>
      </c>
      <c r="F6399" s="5"/>
    </row>
    <row r="6400" spans="2:6" ht="13.8" hidden="1" outlineLevel="1">
      <c r="B6400" s="187">
        <v>31566</v>
      </c>
      <c r="C6400" s="188">
        <v>8.19</v>
      </c>
      <c r="D6400" s="104">
        <f t="shared" si="99"/>
        <v>8.1900000000000001E-2</v>
      </c>
      <c r="F6400" s="5"/>
    </row>
    <row r="6401" spans="2:6" ht="13.8" hidden="1" outlineLevel="1">
      <c r="B6401" s="187">
        <v>31567</v>
      </c>
      <c r="C6401" s="188">
        <v>8.39</v>
      </c>
      <c r="D6401" s="104">
        <f t="shared" si="99"/>
        <v>8.3900000000000002E-2</v>
      </c>
      <c r="F6401" s="5"/>
    </row>
    <row r="6402" spans="2:6" ht="13.8" hidden="1" outlineLevel="1">
      <c r="B6402" s="187">
        <v>31568</v>
      </c>
      <c r="C6402" s="188">
        <v>8.31</v>
      </c>
      <c r="D6402" s="104">
        <f t="shared" si="99"/>
        <v>8.3100000000000007E-2</v>
      </c>
      <c r="F6402" s="5"/>
    </row>
    <row r="6403" spans="2:6" ht="13.8" hidden="1" outlineLevel="1">
      <c r="B6403" s="187">
        <v>31569</v>
      </c>
      <c r="C6403" s="188">
        <v>7.95</v>
      </c>
      <c r="D6403" s="104">
        <f t="shared" si="99"/>
        <v>7.9500000000000001E-2</v>
      </c>
      <c r="F6403" s="5"/>
    </row>
    <row r="6404" spans="2:6" ht="13.8" hidden="1" outlineLevel="1">
      <c r="B6404" s="187">
        <v>31572</v>
      </c>
      <c r="C6404" s="188">
        <v>8.1300000000000008</v>
      </c>
      <c r="D6404" s="104">
        <f t="shared" si="99"/>
        <v>8.1300000000000011E-2</v>
      </c>
      <c r="F6404" s="5"/>
    </row>
    <row r="6405" spans="2:6" ht="13.8" hidden="1" outlineLevel="1">
      <c r="B6405" s="187">
        <v>31573</v>
      </c>
      <c r="C6405" s="188">
        <v>8.07</v>
      </c>
      <c r="D6405" s="104">
        <f t="shared" si="99"/>
        <v>8.0700000000000008E-2</v>
      </c>
      <c r="F6405" s="5"/>
    </row>
    <row r="6406" spans="2:6" ht="13.8" hidden="1" outlineLevel="1">
      <c r="B6406" s="187">
        <v>31574</v>
      </c>
      <c r="C6406" s="188">
        <v>8.01</v>
      </c>
      <c r="D6406" s="104">
        <f t="shared" si="99"/>
        <v>8.0100000000000005E-2</v>
      </c>
      <c r="F6406" s="5"/>
    </row>
    <row r="6407" spans="2:6" ht="13.8" hidden="1" outlineLevel="1">
      <c r="B6407" s="187">
        <v>31575</v>
      </c>
      <c r="C6407" s="188">
        <v>7.98</v>
      </c>
      <c r="D6407" s="104">
        <f t="shared" si="99"/>
        <v>7.980000000000001E-2</v>
      </c>
      <c r="F6407" s="5"/>
    </row>
    <row r="6408" spans="2:6" ht="13.8" hidden="1" outlineLevel="1">
      <c r="B6408" s="187">
        <v>31576</v>
      </c>
      <c r="C6408" s="188">
        <v>7.73</v>
      </c>
      <c r="D6408" s="104">
        <f t="shared" si="99"/>
        <v>7.7300000000000008E-2</v>
      </c>
      <c r="F6408" s="5"/>
    </row>
    <row r="6409" spans="2:6" ht="13.8" hidden="1" outlineLevel="1">
      <c r="B6409" s="187">
        <v>31579</v>
      </c>
      <c r="C6409" s="188">
        <v>7.63</v>
      </c>
      <c r="D6409" s="104">
        <f t="shared" si="99"/>
        <v>7.6299999999999993E-2</v>
      </c>
      <c r="F6409" s="5"/>
    </row>
    <row r="6410" spans="2:6" ht="13.8" hidden="1" outlineLevel="1">
      <c r="B6410" s="187">
        <v>31580</v>
      </c>
      <c r="C6410" s="188">
        <v>7.63</v>
      </c>
      <c r="D6410" s="104">
        <f t="shared" si="99"/>
        <v>7.6299999999999993E-2</v>
      </c>
      <c r="F6410" s="5"/>
    </row>
    <row r="6411" spans="2:6" ht="13.8" hidden="1" outlineLevel="1">
      <c r="B6411" s="187">
        <v>31581</v>
      </c>
      <c r="C6411" s="188">
        <v>7.57</v>
      </c>
      <c r="D6411" s="104">
        <f t="shared" si="99"/>
        <v>7.5700000000000003E-2</v>
      </c>
      <c r="F6411" s="5"/>
    </row>
    <row r="6412" spans="2:6" ht="13.8" hidden="1" outlineLevel="1">
      <c r="B6412" s="187">
        <v>31582</v>
      </c>
      <c r="C6412" s="188">
        <v>7.69</v>
      </c>
      <c r="D6412" s="104">
        <f t="shared" si="99"/>
        <v>7.690000000000001E-2</v>
      </c>
      <c r="F6412" s="5"/>
    </row>
    <row r="6413" spans="2:6" ht="13.8" hidden="1" outlineLevel="1">
      <c r="B6413" s="187">
        <v>31583</v>
      </c>
      <c r="C6413" s="188">
        <v>7.6</v>
      </c>
      <c r="D6413" s="104">
        <f t="shared" si="99"/>
        <v>7.5999999999999998E-2</v>
      </c>
      <c r="F6413" s="5"/>
    </row>
    <row r="6414" spans="2:6" ht="13.8" hidden="1" outlineLevel="1">
      <c r="B6414" s="187">
        <v>31586</v>
      </c>
      <c r="C6414" s="188">
        <v>7.55</v>
      </c>
      <c r="D6414" s="104">
        <f t="shared" si="99"/>
        <v>7.5499999999999998E-2</v>
      </c>
      <c r="F6414" s="5"/>
    </row>
    <row r="6415" spans="2:6" ht="13.8" hidden="1" outlineLevel="1">
      <c r="B6415" s="187">
        <v>31587</v>
      </c>
      <c r="C6415" s="188">
        <v>7.47</v>
      </c>
      <c r="D6415" s="104">
        <f t="shared" si="99"/>
        <v>7.4700000000000003E-2</v>
      </c>
      <c r="F6415" s="5"/>
    </row>
    <row r="6416" spans="2:6" ht="13.8" hidden="1" outlineLevel="1">
      <c r="B6416" s="187">
        <v>31588</v>
      </c>
      <c r="C6416" s="188">
        <v>7.42</v>
      </c>
      <c r="D6416" s="104">
        <f t="shared" si="99"/>
        <v>7.4200000000000002E-2</v>
      </c>
      <c r="F6416" s="5"/>
    </row>
    <row r="6417" spans="2:6" ht="13.8" hidden="1" outlineLevel="1">
      <c r="B6417" s="187">
        <v>31589</v>
      </c>
      <c r="C6417" s="188">
        <v>7.42</v>
      </c>
      <c r="D6417" s="104">
        <f t="shared" si="99"/>
        <v>7.4200000000000002E-2</v>
      </c>
      <c r="F6417" s="5"/>
    </row>
    <row r="6418" spans="2:6" ht="13.8" hidden="1" outlineLevel="1">
      <c r="B6418" s="187">
        <v>31590</v>
      </c>
      <c r="C6418" s="188">
        <v>7.38</v>
      </c>
      <c r="D6418" s="104">
        <f t="shared" si="99"/>
        <v>7.3800000000000004E-2</v>
      </c>
      <c r="F6418" s="5"/>
    </row>
    <row r="6419" spans="2:6" ht="13.8" hidden="1" outlineLevel="1">
      <c r="B6419" s="187">
        <v>31593</v>
      </c>
      <c r="C6419" s="188">
        <v>7.35</v>
      </c>
      <c r="D6419" s="104">
        <f t="shared" si="99"/>
        <v>7.3499999999999996E-2</v>
      </c>
      <c r="F6419" s="5"/>
    </row>
    <row r="6420" spans="2:6" ht="13.8" hidden="1" outlineLevel="1">
      <c r="B6420" s="187">
        <v>31594</v>
      </c>
      <c r="C6420" s="188">
        <v>7.37</v>
      </c>
      <c r="D6420" s="104">
        <f t="shared" si="99"/>
        <v>7.3700000000000002E-2</v>
      </c>
      <c r="F6420" s="5"/>
    </row>
    <row r="6421" spans="2:6" ht="13.8" hidden="1" outlineLevel="1">
      <c r="B6421" s="187">
        <v>31595</v>
      </c>
      <c r="C6421" s="188">
        <v>7.37</v>
      </c>
      <c r="D6421" s="104">
        <f t="shared" si="99"/>
        <v>7.3700000000000002E-2</v>
      </c>
      <c r="F6421" s="5"/>
    </row>
    <row r="6422" spans="2:6" ht="13.8" hidden="1" outlineLevel="1">
      <c r="B6422" s="187">
        <v>31596</v>
      </c>
      <c r="C6422" s="188">
        <v>7.31</v>
      </c>
      <c r="D6422" s="104">
        <f t="shared" si="99"/>
        <v>7.3099999999999998E-2</v>
      </c>
      <c r="F6422" s="5"/>
    </row>
    <row r="6423" spans="2:6" ht="13.8" hidden="1" outlineLevel="1">
      <c r="B6423" s="187">
        <v>31597</v>
      </c>
      <c r="C6423" s="188" t="s">
        <v>380</v>
      </c>
      <c r="D6423" s="104">
        <f t="shared" si="99"/>
        <v>7.3099999999999998E-2</v>
      </c>
      <c r="F6423" s="5"/>
    </row>
    <row r="6424" spans="2:6" ht="13.8" hidden="1" outlineLevel="1">
      <c r="B6424" s="187">
        <v>31600</v>
      </c>
      <c r="C6424" s="188">
        <v>7.31</v>
      </c>
      <c r="D6424" s="104">
        <f t="shared" si="99"/>
        <v>7.3099999999999998E-2</v>
      </c>
      <c r="F6424" s="5"/>
    </row>
    <row r="6425" spans="2:6" ht="13.8" hidden="1" outlineLevel="1">
      <c r="B6425" s="187">
        <v>31601</v>
      </c>
      <c r="C6425" s="188">
        <v>7.44</v>
      </c>
      <c r="D6425" s="104">
        <f t="shared" si="99"/>
        <v>7.4400000000000008E-2</v>
      </c>
      <c r="F6425" s="5"/>
    </row>
    <row r="6426" spans="2:6" ht="13.8" hidden="1" outlineLevel="1">
      <c r="B6426" s="187">
        <v>31602</v>
      </c>
      <c r="C6426" s="188">
        <v>7.31</v>
      </c>
      <c r="D6426" s="104">
        <f t="shared" si="99"/>
        <v>7.3099999999999998E-2</v>
      </c>
      <c r="F6426" s="5"/>
    </row>
    <row r="6427" spans="2:6" ht="13.8" hidden="1" outlineLevel="1">
      <c r="B6427" s="187">
        <v>31603</v>
      </c>
      <c r="C6427" s="188">
        <v>7.31</v>
      </c>
      <c r="D6427" s="104">
        <f t="shared" si="99"/>
        <v>7.3099999999999998E-2</v>
      </c>
      <c r="F6427" s="5"/>
    </row>
    <row r="6428" spans="2:6" ht="13.8" hidden="1" outlineLevel="1">
      <c r="B6428" s="187">
        <v>31604</v>
      </c>
      <c r="C6428" s="188">
        <v>7.3</v>
      </c>
      <c r="D6428" s="104">
        <f t="shared" si="99"/>
        <v>7.2999999999999995E-2</v>
      </c>
      <c r="F6428" s="5"/>
    </row>
    <row r="6429" spans="2:6" ht="13.8" hidden="1" outlineLevel="1">
      <c r="B6429" s="187">
        <v>31607</v>
      </c>
      <c r="C6429" s="188">
        <v>7.25</v>
      </c>
      <c r="D6429" s="104">
        <f t="shared" si="99"/>
        <v>7.2499999999999995E-2</v>
      </c>
      <c r="F6429" s="5"/>
    </row>
    <row r="6430" spans="2:6" ht="13.8" hidden="1" outlineLevel="1">
      <c r="B6430" s="187">
        <v>31608</v>
      </c>
      <c r="C6430" s="188">
        <v>7.16</v>
      </c>
      <c r="D6430" s="104">
        <f t="shared" ref="D6430:D6493" si="100">IF( LEN( C6430 ) = 0, #N/A, IF( C6430 = "ND", D6429, C6430 / 100 ) )</f>
        <v>7.1599999999999997E-2</v>
      </c>
      <c r="F6430" s="5"/>
    </row>
    <row r="6431" spans="2:6" ht="13.8" hidden="1" outlineLevel="1">
      <c r="B6431" s="187">
        <v>31609</v>
      </c>
      <c r="C6431" s="188">
        <v>7.2</v>
      </c>
      <c r="D6431" s="104">
        <f t="shared" si="100"/>
        <v>7.2000000000000008E-2</v>
      </c>
      <c r="F6431" s="5"/>
    </row>
    <row r="6432" spans="2:6" ht="13.8" hidden="1" outlineLevel="1">
      <c r="B6432" s="187">
        <v>31610</v>
      </c>
      <c r="C6432" s="188">
        <v>7.18</v>
      </c>
      <c r="D6432" s="104">
        <f t="shared" si="100"/>
        <v>7.1800000000000003E-2</v>
      </c>
      <c r="F6432" s="5"/>
    </row>
    <row r="6433" spans="2:6" ht="13.8" hidden="1" outlineLevel="1">
      <c r="B6433" s="187">
        <v>31611</v>
      </c>
      <c r="C6433" s="188">
        <v>7.16</v>
      </c>
      <c r="D6433" s="104">
        <f t="shared" si="100"/>
        <v>7.1599999999999997E-2</v>
      </c>
      <c r="F6433" s="5"/>
    </row>
    <row r="6434" spans="2:6" ht="13.8" hidden="1" outlineLevel="1">
      <c r="B6434" s="187">
        <v>31614</v>
      </c>
      <c r="C6434" s="188">
        <v>7.14</v>
      </c>
      <c r="D6434" s="104">
        <f t="shared" si="100"/>
        <v>7.1399999999999991E-2</v>
      </c>
      <c r="F6434" s="5"/>
    </row>
    <row r="6435" spans="2:6" ht="13.8" hidden="1" outlineLevel="1">
      <c r="B6435" s="187">
        <v>31615</v>
      </c>
      <c r="C6435" s="188">
        <v>7.2</v>
      </c>
      <c r="D6435" s="104">
        <f t="shared" si="100"/>
        <v>7.2000000000000008E-2</v>
      </c>
      <c r="F6435" s="5"/>
    </row>
    <row r="6436" spans="2:6" ht="13.8" hidden="1" outlineLevel="1">
      <c r="B6436" s="187">
        <v>31616</v>
      </c>
      <c r="C6436" s="188">
        <v>7.29</v>
      </c>
      <c r="D6436" s="104">
        <f t="shared" si="100"/>
        <v>7.2900000000000006E-2</v>
      </c>
      <c r="F6436" s="5"/>
    </row>
    <row r="6437" spans="2:6" ht="13.8" hidden="1" outlineLevel="1">
      <c r="B6437" s="187">
        <v>31617</v>
      </c>
      <c r="C6437" s="188">
        <v>7.35</v>
      </c>
      <c r="D6437" s="104">
        <f t="shared" si="100"/>
        <v>7.3499999999999996E-2</v>
      </c>
      <c r="F6437" s="5"/>
    </row>
    <row r="6438" spans="2:6" ht="13.8" hidden="1" outlineLevel="1">
      <c r="B6438" s="187">
        <v>31618</v>
      </c>
      <c r="C6438" s="188">
        <v>7.33</v>
      </c>
      <c r="D6438" s="104">
        <f t="shared" si="100"/>
        <v>7.3300000000000004E-2</v>
      </c>
      <c r="F6438" s="5"/>
    </row>
    <row r="6439" spans="2:6" ht="13.8" hidden="1" outlineLevel="1">
      <c r="B6439" s="187">
        <v>31621</v>
      </c>
      <c r="C6439" s="188">
        <v>7.53</v>
      </c>
      <c r="D6439" s="104">
        <f t="shared" si="100"/>
        <v>7.5300000000000006E-2</v>
      </c>
      <c r="F6439" s="5"/>
    </row>
    <row r="6440" spans="2:6" ht="13.8" hidden="1" outlineLevel="1">
      <c r="B6440" s="187">
        <v>31622</v>
      </c>
      <c r="C6440" s="188">
        <v>7.41</v>
      </c>
      <c r="D6440" s="104">
        <f t="shared" si="100"/>
        <v>7.4099999999999999E-2</v>
      </c>
      <c r="F6440" s="5"/>
    </row>
    <row r="6441" spans="2:6" ht="13.8" hidden="1" outlineLevel="1">
      <c r="B6441" s="187">
        <v>31623</v>
      </c>
      <c r="C6441" s="188">
        <v>7.41</v>
      </c>
      <c r="D6441" s="104">
        <f t="shared" si="100"/>
        <v>7.4099999999999999E-2</v>
      </c>
      <c r="F6441" s="5"/>
    </row>
    <row r="6442" spans="2:6" ht="13.8" hidden="1" outlineLevel="1">
      <c r="B6442" s="187">
        <v>31624</v>
      </c>
      <c r="C6442" s="188">
        <v>7.34</v>
      </c>
      <c r="D6442" s="104">
        <f t="shared" si="100"/>
        <v>7.3399999999999993E-2</v>
      </c>
      <c r="F6442" s="5"/>
    </row>
    <row r="6443" spans="2:6" ht="13.8" hidden="1" outlineLevel="1">
      <c r="B6443" s="187">
        <v>31625</v>
      </c>
      <c r="C6443" s="188">
        <v>7.34</v>
      </c>
      <c r="D6443" s="104">
        <f t="shared" si="100"/>
        <v>7.3399999999999993E-2</v>
      </c>
      <c r="F6443" s="5"/>
    </row>
    <row r="6444" spans="2:6" ht="13.8" hidden="1" outlineLevel="1">
      <c r="B6444" s="187">
        <v>31628</v>
      </c>
      <c r="C6444" s="188">
        <v>7.33</v>
      </c>
      <c r="D6444" s="104">
        <f t="shared" si="100"/>
        <v>7.3300000000000004E-2</v>
      </c>
      <c r="F6444" s="5"/>
    </row>
    <row r="6445" spans="2:6" ht="13.8" hidden="1" outlineLevel="1">
      <c r="B6445" s="187">
        <v>31629</v>
      </c>
      <c r="C6445" s="188">
        <v>7.39</v>
      </c>
      <c r="D6445" s="104">
        <f t="shared" si="100"/>
        <v>7.3899999999999993E-2</v>
      </c>
      <c r="F6445" s="5"/>
    </row>
    <row r="6446" spans="2:6" ht="13.8" hidden="1" outlineLevel="1">
      <c r="B6446" s="187">
        <v>31630</v>
      </c>
      <c r="C6446" s="188">
        <v>7.47</v>
      </c>
      <c r="D6446" s="104">
        <f t="shared" si="100"/>
        <v>7.4700000000000003E-2</v>
      </c>
      <c r="F6446" s="5"/>
    </row>
    <row r="6447" spans="2:6" ht="13.8" hidden="1" outlineLevel="1">
      <c r="B6447" s="187">
        <v>31631</v>
      </c>
      <c r="C6447" s="188">
        <v>7.45</v>
      </c>
      <c r="D6447" s="104">
        <f t="shared" si="100"/>
        <v>7.4499999999999997E-2</v>
      </c>
      <c r="F6447" s="5"/>
    </row>
    <row r="6448" spans="2:6" ht="13.8" hidden="1" outlineLevel="1">
      <c r="B6448" s="187">
        <v>31632</v>
      </c>
      <c r="C6448" s="188">
        <v>7.3</v>
      </c>
      <c r="D6448" s="104">
        <f t="shared" si="100"/>
        <v>7.2999999999999995E-2</v>
      </c>
      <c r="F6448" s="5"/>
    </row>
    <row r="6449" spans="2:6" ht="13.8" hidden="1" outlineLevel="1">
      <c r="B6449" s="187">
        <v>31635</v>
      </c>
      <c r="C6449" s="188">
        <v>7.25</v>
      </c>
      <c r="D6449" s="104">
        <f t="shared" si="100"/>
        <v>7.2499999999999995E-2</v>
      </c>
      <c r="F6449" s="5"/>
    </row>
    <row r="6450" spans="2:6" ht="13.8" hidden="1" outlineLevel="1">
      <c r="B6450" s="187">
        <v>31636</v>
      </c>
      <c r="C6450" s="188">
        <v>7.23</v>
      </c>
      <c r="D6450" s="104">
        <f t="shared" si="100"/>
        <v>7.2300000000000003E-2</v>
      </c>
      <c r="F6450" s="5"/>
    </row>
    <row r="6451" spans="2:6" ht="13.8" hidden="1" outlineLevel="1">
      <c r="B6451" s="187">
        <v>31637</v>
      </c>
      <c r="C6451" s="188">
        <v>7.15</v>
      </c>
      <c r="D6451" s="104">
        <f t="shared" si="100"/>
        <v>7.1500000000000008E-2</v>
      </c>
      <c r="F6451" s="5"/>
    </row>
    <row r="6452" spans="2:6" ht="13.8" hidden="1" outlineLevel="1">
      <c r="B6452" s="187">
        <v>31638</v>
      </c>
      <c r="C6452" s="188">
        <v>7.16</v>
      </c>
      <c r="D6452" s="104">
        <f t="shared" si="100"/>
        <v>7.1599999999999997E-2</v>
      </c>
      <c r="F6452" s="5"/>
    </row>
    <row r="6453" spans="2:6" ht="13.8" hidden="1" outlineLevel="1">
      <c r="B6453" s="187">
        <v>31639</v>
      </c>
      <c r="C6453" s="188">
        <v>7.14</v>
      </c>
      <c r="D6453" s="104">
        <f t="shared" si="100"/>
        <v>7.1399999999999991E-2</v>
      </c>
      <c r="F6453" s="5"/>
    </row>
    <row r="6454" spans="2:6" ht="13.8" hidden="1" outlineLevel="1">
      <c r="B6454" s="187">
        <v>31642</v>
      </c>
      <c r="C6454" s="188">
        <v>7.14</v>
      </c>
      <c r="D6454" s="104">
        <f t="shared" si="100"/>
        <v>7.1399999999999991E-2</v>
      </c>
      <c r="F6454" s="5"/>
    </row>
    <row r="6455" spans="2:6" ht="13.8" hidden="1" outlineLevel="1">
      <c r="B6455" s="187">
        <v>31643</v>
      </c>
      <c r="C6455" s="188">
        <v>7.02</v>
      </c>
      <c r="D6455" s="104">
        <f t="shared" si="100"/>
        <v>7.0199999999999999E-2</v>
      </c>
      <c r="F6455" s="5"/>
    </row>
    <row r="6456" spans="2:6" ht="13.8" hidden="1" outlineLevel="1">
      <c r="B6456" s="187">
        <v>31644</v>
      </c>
      <c r="C6456" s="188">
        <v>7</v>
      </c>
      <c r="D6456" s="104">
        <f t="shared" si="100"/>
        <v>7.0000000000000007E-2</v>
      </c>
      <c r="F6456" s="5"/>
    </row>
    <row r="6457" spans="2:6" ht="13.8" hidden="1" outlineLevel="1">
      <c r="B6457" s="187">
        <v>31645</v>
      </c>
      <c r="C6457" s="188">
        <v>6.96</v>
      </c>
      <c r="D6457" s="104">
        <f t="shared" si="100"/>
        <v>6.9599999999999995E-2</v>
      </c>
      <c r="F6457" s="5"/>
    </row>
    <row r="6458" spans="2:6" ht="13.8" hidden="1" outlineLevel="1">
      <c r="B6458" s="187">
        <v>31646</v>
      </c>
      <c r="C6458" s="188">
        <v>7.07</v>
      </c>
      <c r="D6458" s="104">
        <f t="shared" si="100"/>
        <v>7.0699999999999999E-2</v>
      </c>
      <c r="F6458" s="5"/>
    </row>
    <row r="6459" spans="2:6" ht="13.8" hidden="1" outlineLevel="1">
      <c r="B6459" s="187">
        <v>31649</v>
      </c>
      <c r="C6459" s="188">
        <v>7.06</v>
      </c>
      <c r="D6459" s="104">
        <f t="shared" si="100"/>
        <v>7.0599999999999996E-2</v>
      </c>
      <c r="F6459" s="5"/>
    </row>
    <row r="6460" spans="2:6" ht="13.8" hidden="1" outlineLevel="1">
      <c r="B6460" s="187">
        <v>31650</v>
      </c>
      <c r="C6460" s="188">
        <v>6.97</v>
      </c>
      <c r="D6460" s="104">
        <f t="shared" si="100"/>
        <v>6.9699999999999998E-2</v>
      </c>
      <c r="F6460" s="5"/>
    </row>
    <row r="6461" spans="2:6" ht="13.8" hidden="1" outlineLevel="1">
      <c r="B6461" s="187">
        <v>31651</v>
      </c>
      <c r="C6461" s="188">
        <v>7.06</v>
      </c>
      <c r="D6461" s="104">
        <f t="shared" si="100"/>
        <v>7.0599999999999996E-2</v>
      </c>
      <c r="F6461" s="5"/>
    </row>
    <row r="6462" spans="2:6" ht="13.8" hidden="1" outlineLevel="1">
      <c r="B6462" s="187">
        <v>31652</v>
      </c>
      <c r="C6462" s="188">
        <v>7.04</v>
      </c>
      <c r="D6462" s="104">
        <f t="shared" si="100"/>
        <v>7.0400000000000004E-2</v>
      </c>
      <c r="F6462" s="5"/>
    </row>
    <row r="6463" spans="2:6" ht="13.8" hidden="1" outlineLevel="1">
      <c r="B6463" s="187">
        <v>31653</v>
      </c>
      <c r="C6463" s="188">
        <v>6.95</v>
      </c>
      <c r="D6463" s="104">
        <f t="shared" si="100"/>
        <v>6.9500000000000006E-2</v>
      </c>
      <c r="F6463" s="5"/>
    </row>
    <row r="6464" spans="2:6" ht="13.8" hidden="1" outlineLevel="1">
      <c r="B6464" s="187">
        <v>31656</v>
      </c>
      <c r="C6464" s="188" t="s">
        <v>380</v>
      </c>
      <c r="D6464" s="104">
        <f t="shared" si="100"/>
        <v>6.9500000000000006E-2</v>
      </c>
      <c r="F6464" s="5"/>
    </row>
    <row r="6465" spans="2:6" ht="13.8" hidden="1" outlineLevel="1">
      <c r="B6465" s="187">
        <v>31657</v>
      </c>
      <c r="C6465" s="188">
        <v>7.03</v>
      </c>
      <c r="D6465" s="104">
        <f t="shared" si="100"/>
        <v>7.0300000000000001E-2</v>
      </c>
      <c r="F6465" s="5"/>
    </row>
    <row r="6466" spans="2:6" ht="13.8" hidden="1" outlineLevel="1">
      <c r="B6466" s="187">
        <v>31658</v>
      </c>
      <c r="C6466" s="188">
        <v>7.2</v>
      </c>
      <c r="D6466" s="104">
        <f t="shared" si="100"/>
        <v>7.2000000000000008E-2</v>
      </c>
      <c r="F6466" s="5"/>
    </row>
    <row r="6467" spans="2:6" ht="13.8" hidden="1" outlineLevel="1">
      <c r="B6467" s="187">
        <v>31659</v>
      </c>
      <c r="C6467" s="188">
        <v>7.15</v>
      </c>
      <c r="D6467" s="104">
        <f t="shared" si="100"/>
        <v>7.1500000000000008E-2</v>
      </c>
      <c r="F6467" s="5"/>
    </row>
    <row r="6468" spans="2:6" ht="13.8" hidden="1" outlineLevel="1">
      <c r="B6468" s="187">
        <v>31660</v>
      </c>
      <c r="C6468" s="188">
        <v>7.32</v>
      </c>
      <c r="D6468" s="104">
        <f t="shared" si="100"/>
        <v>7.3200000000000001E-2</v>
      </c>
      <c r="F6468" s="5"/>
    </row>
    <row r="6469" spans="2:6" ht="13.8" hidden="1" outlineLevel="1">
      <c r="B6469" s="187">
        <v>31663</v>
      </c>
      <c r="C6469" s="188">
        <v>7.38</v>
      </c>
      <c r="D6469" s="104">
        <f t="shared" si="100"/>
        <v>7.3800000000000004E-2</v>
      </c>
      <c r="F6469" s="5"/>
    </row>
    <row r="6470" spans="2:6" ht="13.8" hidden="1" outlineLevel="1">
      <c r="B6470" s="187">
        <v>31664</v>
      </c>
      <c r="C6470" s="188">
        <v>7.35</v>
      </c>
      <c r="D6470" s="104">
        <f t="shared" si="100"/>
        <v>7.3499999999999996E-2</v>
      </c>
      <c r="F6470" s="5"/>
    </row>
    <row r="6471" spans="2:6" ht="13.8" hidden="1" outlineLevel="1">
      <c r="B6471" s="187">
        <v>31665</v>
      </c>
      <c r="C6471" s="188">
        <v>7.35</v>
      </c>
      <c r="D6471" s="104">
        <f t="shared" si="100"/>
        <v>7.3499999999999996E-2</v>
      </c>
      <c r="F6471" s="5"/>
    </row>
    <row r="6472" spans="2:6" ht="13.8" hidden="1" outlineLevel="1">
      <c r="B6472" s="187">
        <v>31666</v>
      </c>
      <c r="C6472" s="188">
        <v>7.57</v>
      </c>
      <c r="D6472" s="104">
        <f t="shared" si="100"/>
        <v>7.5700000000000003E-2</v>
      </c>
      <c r="F6472" s="5"/>
    </row>
    <row r="6473" spans="2:6" ht="13.8" hidden="1" outlineLevel="1">
      <c r="B6473" s="187">
        <v>31667</v>
      </c>
      <c r="C6473" s="188">
        <v>7.63</v>
      </c>
      <c r="D6473" s="104">
        <f t="shared" si="100"/>
        <v>7.6299999999999993E-2</v>
      </c>
      <c r="F6473" s="5"/>
    </row>
    <row r="6474" spans="2:6" ht="13.8" hidden="1" outlineLevel="1">
      <c r="B6474" s="187">
        <v>31670</v>
      </c>
      <c r="C6474" s="188">
        <v>7.53</v>
      </c>
      <c r="D6474" s="104">
        <f t="shared" si="100"/>
        <v>7.5300000000000006E-2</v>
      </c>
      <c r="F6474" s="5"/>
    </row>
    <row r="6475" spans="2:6" ht="13.8" hidden="1" outlineLevel="1">
      <c r="B6475" s="187">
        <v>31671</v>
      </c>
      <c r="C6475" s="188">
        <v>7.53</v>
      </c>
      <c r="D6475" s="104">
        <f t="shared" si="100"/>
        <v>7.5300000000000006E-2</v>
      </c>
      <c r="F6475" s="5"/>
    </row>
    <row r="6476" spans="2:6" ht="13.8" hidden="1" outlineLevel="1">
      <c r="B6476" s="187">
        <v>31672</v>
      </c>
      <c r="C6476" s="188">
        <v>7.46</v>
      </c>
      <c r="D6476" s="104">
        <f t="shared" si="100"/>
        <v>7.46E-2</v>
      </c>
      <c r="F6476" s="5"/>
    </row>
    <row r="6477" spans="2:6" ht="13.8" hidden="1" outlineLevel="1">
      <c r="B6477" s="187">
        <v>31673</v>
      </c>
      <c r="C6477" s="188">
        <v>7.62</v>
      </c>
      <c r="D6477" s="104">
        <f t="shared" si="100"/>
        <v>7.6200000000000004E-2</v>
      </c>
      <c r="F6477" s="5"/>
    </row>
    <row r="6478" spans="2:6" ht="13.8" hidden="1" outlineLevel="1">
      <c r="B6478" s="187">
        <v>31674</v>
      </c>
      <c r="C6478" s="188">
        <v>7.67</v>
      </c>
      <c r="D6478" s="104">
        <f t="shared" si="100"/>
        <v>7.6700000000000004E-2</v>
      </c>
      <c r="F6478" s="5"/>
    </row>
    <row r="6479" spans="2:6" ht="13.8" hidden="1" outlineLevel="1">
      <c r="B6479" s="187">
        <v>31677</v>
      </c>
      <c r="C6479" s="188">
        <v>7.62</v>
      </c>
      <c r="D6479" s="104">
        <f t="shared" si="100"/>
        <v>7.6200000000000004E-2</v>
      </c>
      <c r="F6479" s="5"/>
    </row>
    <row r="6480" spans="2:6" ht="13.8" hidden="1" outlineLevel="1">
      <c r="B6480" s="187">
        <v>31678</v>
      </c>
      <c r="C6480" s="188">
        <v>7.58</v>
      </c>
      <c r="D6480" s="104">
        <f t="shared" si="100"/>
        <v>7.5800000000000006E-2</v>
      </c>
      <c r="F6480" s="5"/>
    </row>
    <row r="6481" spans="2:6" ht="13.8" hidden="1" outlineLevel="1">
      <c r="B6481" s="187">
        <v>31679</v>
      </c>
      <c r="C6481" s="188">
        <v>7.48</v>
      </c>
      <c r="D6481" s="104">
        <f t="shared" si="100"/>
        <v>7.4800000000000005E-2</v>
      </c>
      <c r="F6481" s="5"/>
    </row>
    <row r="6482" spans="2:6" ht="13.8" hidden="1" outlineLevel="1">
      <c r="B6482" s="187">
        <v>31680</v>
      </c>
      <c r="C6482" s="188">
        <v>7.47</v>
      </c>
      <c r="D6482" s="104">
        <f t="shared" si="100"/>
        <v>7.4700000000000003E-2</v>
      </c>
      <c r="F6482" s="5"/>
    </row>
    <row r="6483" spans="2:6" ht="13.8" hidden="1" outlineLevel="1">
      <c r="B6483" s="187">
        <v>31681</v>
      </c>
      <c r="C6483" s="188">
        <v>7.47</v>
      </c>
      <c r="D6483" s="104">
        <f t="shared" si="100"/>
        <v>7.4700000000000003E-2</v>
      </c>
      <c r="F6483" s="5"/>
    </row>
    <row r="6484" spans="2:6" ht="13.8" hidden="1" outlineLevel="1">
      <c r="B6484" s="187">
        <v>31684</v>
      </c>
      <c r="C6484" s="188">
        <v>7.54</v>
      </c>
      <c r="D6484" s="104">
        <f t="shared" si="100"/>
        <v>7.5399999999999995E-2</v>
      </c>
      <c r="F6484" s="5"/>
    </row>
    <row r="6485" spans="2:6" ht="13.8" hidden="1" outlineLevel="1">
      <c r="B6485" s="187">
        <v>31685</v>
      </c>
      <c r="C6485" s="188">
        <v>7.45</v>
      </c>
      <c r="D6485" s="104">
        <f t="shared" si="100"/>
        <v>7.4499999999999997E-2</v>
      </c>
      <c r="F6485" s="5"/>
    </row>
    <row r="6486" spans="2:6" ht="13.8" hidden="1" outlineLevel="1">
      <c r="B6486" s="187">
        <v>31686</v>
      </c>
      <c r="C6486" s="188">
        <v>7.41</v>
      </c>
      <c r="D6486" s="104">
        <f t="shared" si="100"/>
        <v>7.4099999999999999E-2</v>
      </c>
      <c r="F6486" s="5"/>
    </row>
    <row r="6487" spans="2:6" ht="13.8" hidden="1" outlineLevel="1">
      <c r="B6487" s="187">
        <v>31687</v>
      </c>
      <c r="C6487" s="188">
        <v>7.45</v>
      </c>
      <c r="D6487" s="104">
        <f t="shared" si="100"/>
        <v>7.4499999999999997E-2</v>
      </c>
      <c r="F6487" s="5"/>
    </row>
    <row r="6488" spans="2:6" ht="13.8" hidden="1" outlineLevel="1">
      <c r="B6488" s="187">
        <v>31688</v>
      </c>
      <c r="C6488" s="188">
        <v>7.31</v>
      </c>
      <c r="D6488" s="104">
        <f t="shared" si="100"/>
        <v>7.3099999999999998E-2</v>
      </c>
      <c r="F6488" s="5"/>
    </row>
    <row r="6489" spans="2:6" ht="13.8" hidden="1" outlineLevel="1">
      <c r="B6489" s="187">
        <v>31691</v>
      </c>
      <c r="C6489" s="188">
        <v>7.28</v>
      </c>
      <c r="D6489" s="104">
        <f t="shared" si="100"/>
        <v>7.2800000000000004E-2</v>
      </c>
      <c r="F6489" s="5"/>
    </row>
    <row r="6490" spans="2:6" ht="13.8" hidden="1" outlineLevel="1">
      <c r="B6490" s="187">
        <v>31692</v>
      </c>
      <c r="C6490" s="188">
        <v>7.28</v>
      </c>
      <c r="D6490" s="104">
        <f t="shared" si="100"/>
        <v>7.2800000000000004E-2</v>
      </c>
      <c r="F6490" s="5"/>
    </row>
    <row r="6491" spans="2:6" ht="13.8" hidden="1" outlineLevel="1">
      <c r="B6491" s="187">
        <v>31693</v>
      </c>
      <c r="C6491" s="188">
        <v>7.31</v>
      </c>
      <c r="D6491" s="104">
        <f t="shared" si="100"/>
        <v>7.3099999999999998E-2</v>
      </c>
      <c r="F6491" s="5"/>
    </row>
    <row r="6492" spans="2:6" ht="13.8" hidden="1" outlineLevel="1">
      <c r="B6492" s="187">
        <v>31694</v>
      </c>
      <c r="C6492" s="188">
        <v>7.33</v>
      </c>
      <c r="D6492" s="104">
        <f t="shared" si="100"/>
        <v>7.3300000000000004E-2</v>
      </c>
      <c r="F6492" s="5"/>
    </row>
    <row r="6493" spans="2:6" ht="13.8" hidden="1" outlineLevel="1">
      <c r="B6493" s="187">
        <v>31695</v>
      </c>
      <c r="C6493" s="188">
        <v>7.36</v>
      </c>
      <c r="D6493" s="104">
        <f t="shared" si="100"/>
        <v>7.3599999999999999E-2</v>
      </c>
      <c r="F6493" s="5"/>
    </row>
    <row r="6494" spans="2:6" ht="13.8" hidden="1" outlineLevel="1">
      <c r="B6494" s="187">
        <v>31698</v>
      </c>
      <c r="C6494" s="188" t="s">
        <v>380</v>
      </c>
      <c r="D6494" s="104">
        <f t="shared" ref="D6494:D6557" si="101">IF( LEN( C6494 ) = 0, #N/A, IF( C6494 = "ND", D6493, C6494 / 100 ) )</f>
        <v>7.3599999999999999E-2</v>
      </c>
      <c r="F6494" s="5"/>
    </row>
    <row r="6495" spans="2:6" ht="13.8" hidden="1" outlineLevel="1">
      <c r="B6495" s="187">
        <v>31699</v>
      </c>
      <c r="C6495" s="188">
        <v>7.49</v>
      </c>
      <c r="D6495" s="104">
        <f t="shared" si="101"/>
        <v>7.4900000000000008E-2</v>
      </c>
      <c r="F6495" s="5"/>
    </row>
    <row r="6496" spans="2:6" ht="13.8" hidden="1" outlineLevel="1">
      <c r="B6496" s="187">
        <v>31700</v>
      </c>
      <c r="C6496" s="188">
        <v>7.51</v>
      </c>
      <c r="D6496" s="104">
        <f t="shared" si="101"/>
        <v>7.51E-2</v>
      </c>
      <c r="F6496" s="5"/>
    </row>
    <row r="6497" spans="2:6" ht="13.8" hidden="1" outlineLevel="1">
      <c r="B6497" s="187">
        <v>31701</v>
      </c>
      <c r="C6497" s="188">
        <v>7.53</v>
      </c>
      <c r="D6497" s="104">
        <f t="shared" si="101"/>
        <v>7.5300000000000006E-2</v>
      </c>
      <c r="F6497" s="5"/>
    </row>
    <row r="6498" spans="2:6" ht="13.8" hidden="1" outlineLevel="1">
      <c r="B6498" s="187">
        <v>31702</v>
      </c>
      <c r="C6498" s="188">
        <v>7.57</v>
      </c>
      <c r="D6498" s="104">
        <f t="shared" si="101"/>
        <v>7.5700000000000003E-2</v>
      </c>
      <c r="F6498" s="5"/>
    </row>
    <row r="6499" spans="2:6" ht="13.8" hidden="1" outlineLevel="1">
      <c r="B6499" s="187">
        <v>31705</v>
      </c>
      <c r="C6499" s="188">
        <v>7.66</v>
      </c>
      <c r="D6499" s="104">
        <f t="shared" si="101"/>
        <v>7.6600000000000001E-2</v>
      </c>
      <c r="F6499" s="5"/>
    </row>
    <row r="6500" spans="2:6" ht="13.8" hidden="1" outlineLevel="1">
      <c r="B6500" s="187">
        <v>31706</v>
      </c>
      <c r="C6500" s="188">
        <v>7.57</v>
      </c>
      <c r="D6500" s="104">
        <f t="shared" si="101"/>
        <v>7.5700000000000003E-2</v>
      </c>
      <c r="F6500" s="5"/>
    </row>
    <row r="6501" spans="2:6" ht="13.8" hidden="1" outlineLevel="1">
      <c r="B6501" s="187">
        <v>31707</v>
      </c>
      <c r="C6501" s="188">
        <v>7.49</v>
      </c>
      <c r="D6501" s="104">
        <f t="shared" si="101"/>
        <v>7.4900000000000008E-2</v>
      </c>
      <c r="F6501" s="5"/>
    </row>
    <row r="6502" spans="2:6" ht="13.8" hidden="1" outlineLevel="1">
      <c r="B6502" s="187">
        <v>31708</v>
      </c>
      <c r="C6502" s="188">
        <v>7.43</v>
      </c>
      <c r="D6502" s="104">
        <f t="shared" si="101"/>
        <v>7.4299999999999991E-2</v>
      </c>
      <c r="F6502" s="5"/>
    </row>
    <row r="6503" spans="2:6" ht="13.8" hidden="1" outlineLevel="1">
      <c r="B6503" s="187">
        <v>31709</v>
      </c>
      <c r="C6503" s="188">
        <v>7.47</v>
      </c>
      <c r="D6503" s="104">
        <f t="shared" si="101"/>
        <v>7.4700000000000003E-2</v>
      </c>
      <c r="F6503" s="5"/>
    </row>
    <row r="6504" spans="2:6" ht="13.8" hidden="1" outlineLevel="1">
      <c r="B6504" s="187">
        <v>31712</v>
      </c>
      <c r="C6504" s="188">
        <v>7.42</v>
      </c>
      <c r="D6504" s="104">
        <f t="shared" si="101"/>
        <v>7.4200000000000002E-2</v>
      </c>
      <c r="F6504" s="5"/>
    </row>
    <row r="6505" spans="2:6" ht="13.8" hidden="1" outlineLevel="1">
      <c r="B6505" s="187">
        <v>31713</v>
      </c>
      <c r="C6505" s="188">
        <v>7.45</v>
      </c>
      <c r="D6505" s="104">
        <f t="shared" si="101"/>
        <v>7.4499999999999997E-2</v>
      </c>
      <c r="F6505" s="5"/>
    </row>
    <row r="6506" spans="2:6" ht="13.8" hidden="1" outlineLevel="1">
      <c r="B6506" s="187">
        <v>31714</v>
      </c>
      <c r="C6506" s="188">
        <v>7.41</v>
      </c>
      <c r="D6506" s="104">
        <f t="shared" si="101"/>
        <v>7.4099999999999999E-2</v>
      </c>
      <c r="F6506" s="5"/>
    </row>
    <row r="6507" spans="2:6" ht="13.8" hidden="1" outlineLevel="1">
      <c r="B6507" s="187">
        <v>31715</v>
      </c>
      <c r="C6507" s="188">
        <v>7.31</v>
      </c>
      <c r="D6507" s="104">
        <f t="shared" si="101"/>
        <v>7.3099999999999998E-2</v>
      </c>
      <c r="F6507" s="5"/>
    </row>
    <row r="6508" spans="2:6" ht="13.8" hidden="1" outlineLevel="1">
      <c r="B6508" s="187">
        <v>31716</v>
      </c>
      <c r="C6508" s="188">
        <v>7.34</v>
      </c>
      <c r="D6508" s="104">
        <f t="shared" si="101"/>
        <v>7.3399999999999993E-2</v>
      </c>
      <c r="F6508" s="5"/>
    </row>
    <row r="6509" spans="2:6" ht="13.8" hidden="1" outlineLevel="1">
      <c r="B6509" s="187">
        <v>31719</v>
      </c>
      <c r="C6509" s="188">
        <v>7.29</v>
      </c>
      <c r="D6509" s="104">
        <f t="shared" si="101"/>
        <v>7.2900000000000006E-2</v>
      </c>
      <c r="F6509" s="5"/>
    </row>
    <row r="6510" spans="2:6" ht="13.8" hidden="1" outlineLevel="1">
      <c r="B6510" s="187">
        <v>31720</v>
      </c>
      <c r="C6510" s="188">
        <v>7.31</v>
      </c>
      <c r="D6510" s="104">
        <f t="shared" si="101"/>
        <v>7.3099999999999998E-2</v>
      </c>
      <c r="F6510" s="5"/>
    </row>
    <row r="6511" spans="2:6" ht="13.8" hidden="1" outlineLevel="1">
      <c r="B6511" s="187">
        <v>31721</v>
      </c>
      <c r="C6511" s="188">
        <v>7.24</v>
      </c>
      <c r="D6511" s="104">
        <f t="shared" si="101"/>
        <v>7.2400000000000006E-2</v>
      </c>
      <c r="F6511" s="5"/>
    </row>
    <row r="6512" spans="2:6" ht="13.8" hidden="1" outlineLevel="1">
      <c r="B6512" s="187">
        <v>31722</v>
      </c>
      <c r="C6512" s="188">
        <v>7.32</v>
      </c>
      <c r="D6512" s="104">
        <f t="shared" si="101"/>
        <v>7.3200000000000001E-2</v>
      </c>
      <c r="F6512" s="5"/>
    </row>
    <row r="6513" spans="2:6" ht="13.8" hidden="1" outlineLevel="1">
      <c r="B6513" s="187">
        <v>31723</v>
      </c>
      <c r="C6513" s="188">
        <v>7.4</v>
      </c>
      <c r="D6513" s="104">
        <f t="shared" si="101"/>
        <v>7.400000000000001E-2</v>
      </c>
      <c r="F6513" s="5"/>
    </row>
    <row r="6514" spans="2:6" ht="13.8" hidden="1" outlineLevel="1">
      <c r="B6514" s="187">
        <v>31726</v>
      </c>
      <c r="C6514" s="188">
        <v>7.38</v>
      </c>
      <c r="D6514" s="104">
        <f t="shared" si="101"/>
        <v>7.3800000000000004E-2</v>
      </c>
      <c r="F6514" s="5"/>
    </row>
    <row r="6515" spans="2:6" ht="13.8" hidden="1" outlineLevel="1">
      <c r="B6515" s="187">
        <v>31727</v>
      </c>
      <c r="C6515" s="188" t="s">
        <v>380</v>
      </c>
      <c r="D6515" s="104">
        <f t="shared" si="101"/>
        <v>7.3800000000000004E-2</v>
      </c>
      <c r="F6515" s="5"/>
    </row>
    <row r="6516" spans="2:6" ht="13.8" hidden="1" outlineLevel="1">
      <c r="B6516" s="187">
        <v>31728</v>
      </c>
      <c r="C6516" s="188">
        <v>7.35</v>
      </c>
      <c r="D6516" s="104">
        <f t="shared" si="101"/>
        <v>7.3499999999999996E-2</v>
      </c>
      <c r="F6516" s="5"/>
    </row>
    <row r="6517" spans="2:6" ht="13.8" hidden="1" outlineLevel="1">
      <c r="B6517" s="187">
        <v>31729</v>
      </c>
      <c r="C6517" s="188">
        <v>7.33</v>
      </c>
      <c r="D6517" s="104">
        <f t="shared" si="101"/>
        <v>7.3300000000000004E-2</v>
      </c>
      <c r="F6517" s="5"/>
    </row>
    <row r="6518" spans="2:6" ht="13.8" hidden="1" outlineLevel="1">
      <c r="B6518" s="187">
        <v>31730</v>
      </c>
      <c r="C6518" s="188">
        <v>7.29</v>
      </c>
      <c r="D6518" s="104">
        <f t="shared" si="101"/>
        <v>7.2900000000000006E-2</v>
      </c>
      <c r="F6518" s="5"/>
    </row>
    <row r="6519" spans="2:6" ht="13.8" hidden="1" outlineLevel="1">
      <c r="B6519" s="187">
        <v>31733</v>
      </c>
      <c r="C6519" s="188">
        <v>7.22</v>
      </c>
      <c r="D6519" s="104">
        <f t="shared" si="101"/>
        <v>7.22E-2</v>
      </c>
      <c r="F6519" s="5"/>
    </row>
    <row r="6520" spans="2:6" ht="13.8" hidden="1" outlineLevel="1">
      <c r="B6520" s="187">
        <v>31734</v>
      </c>
      <c r="C6520" s="188">
        <v>7.27</v>
      </c>
      <c r="D6520" s="104">
        <f t="shared" si="101"/>
        <v>7.2700000000000001E-2</v>
      </c>
      <c r="F6520" s="5"/>
    </row>
    <row r="6521" spans="2:6" ht="13.8" hidden="1" outlineLevel="1">
      <c r="B6521" s="187">
        <v>31735</v>
      </c>
      <c r="C6521" s="188">
        <v>7.19</v>
      </c>
      <c r="D6521" s="104">
        <f t="shared" si="101"/>
        <v>7.1900000000000006E-2</v>
      </c>
      <c r="F6521" s="5"/>
    </row>
    <row r="6522" spans="2:6" ht="13.8" hidden="1" outlineLevel="1">
      <c r="B6522" s="187">
        <v>31736</v>
      </c>
      <c r="C6522" s="188">
        <v>7.19</v>
      </c>
      <c r="D6522" s="104">
        <f t="shared" si="101"/>
        <v>7.1900000000000006E-2</v>
      </c>
      <c r="F6522" s="5"/>
    </row>
    <row r="6523" spans="2:6" ht="13.8" hidden="1" outlineLevel="1">
      <c r="B6523" s="187">
        <v>31737</v>
      </c>
      <c r="C6523" s="188">
        <v>7.17</v>
      </c>
      <c r="D6523" s="104">
        <f t="shared" si="101"/>
        <v>7.17E-2</v>
      </c>
      <c r="F6523" s="5"/>
    </row>
    <row r="6524" spans="2:6" ht="13.8" hidden="1" outlineLevel="1">
      <c r="B6524" s="187">
        <v>31740</v>
      </c>
      <c r="C6524" s="188">
        <v>7.11</v>
      </c>
      <c r="D6524" s="104">
        <f t="shared" si="101"/>
        <v>7.1099999999999997E-2</v>
      </c>
      <c r="F6524" s="5"/>
    </row>
    <row r="6525" spans="2:6" ht="13.8" hidden="1" outlineLevel="1">
      <c r="B6525" s="187">
        <v>31741</v>
      </c>
      <c r="C6525" s="188">
        <v>7.15</v>
      </c>
      <c r="D6525" s="104">
        <f t="shared" si="101"/>
        <v>7.1500000000000008E-2</v>
      </c>
      <c r="F6525" s="5"/>
    </row>
    <row r="6526" spans="2:6" ht="13.8" hidden="1" outlineLevel="1">
      <c r="B6526" s="187">
        <v>31742</v>
      </c>
      <c r="C6526" s="188">
        <v>7.15</v>
      </c>
      <c r="D6526" s="104">
        <f t="shared" si="101"/>
        <v>7.1500000000000008E-2</v>
      </c>
      <c r="F6526" s="5"/>
    </row>
    <row r="6527" spans="2:6" ht="13.8" hidden="1" outlineLevel="1">
      <c r="B6527" s="187">
        <v>31743</v>
      </c>
      <c r="C6527" s="188" t="s">
        <v>380</v>
      </c>
      <c r="D6527" s="104">
        <f t="shared" si="101"/>
        <v>7.1500000000000008E-2</v>
      </c>
      <c r="F6527" s="5"/>
    </row>
    <row r="6528" spans="2:6" ht="13.8" hidden="1" outlineLevel="1">
      <c r="B6528" s="187">
        <v>31744</v>
      </c>
      <c r="C6528" s="188">
        <v>7.15</v>
      </c>
      <c r="D6528" s="104">
        <f t="shared" si="101"/>
        <v>7.1500000000000008E-2</v>
      </c>
      <c r="F6528" s="5"/>
    </row>
    <row r="6529" spans="2:6" ht="13.8" hidden="1" outlineLevel="1">
      <c r="B6529" s="187">
        <v>31747</v>
      </c>
      <c r="C6529" s="188">
        <v>7.18</v>
      </c>
      <c r="D6529" s="104">
        <f t="shared" si="101"/>
        <v>7.1800000000000003E-2</v>
      </c>
      <c r="F6529" s="5"/>
    </row>
    <row r="6530" spans="2:6" ht="13.8" hidden="1" outlineLevel="1">
      <c r="B6530" s="187">
        <v>31748</v>
      </c>
      <c r="C6530" s="188">
        <v>7.08</v>
      </c>
      <c r="D6530" s="104">
        <f t="shared" si="101"/>
        <v>7.0800000000000002E-2</v>
      </c>
      <c r="F6530" s="5"/>
    </row>
    <row r="6531" spans="2:6" ht="13.8" hidden="1" outlineLevel="1">
      <c r="B6531" s="187">
        <v>31749</v>
      </c>
      <c r="C6531" s="188">
        <v>7.06</v>
      </c>
      <c r="D6531" s="104">
        <f t="shared" si="101"/>
        <v>7.0599999999999996E-2</v>
      </c>
      <c r="F6531" s="5"/>
    </row>
    <row r="6532" spans="2:6" ht="13.8" hidden="1" outlineLevel="1">
      <c r="B6532" s="187">
        <v>31750</v>
      </c>
      <c r="C6532" s="188">
        <v>7.01</v>
      </c>
      <c r="D6532" s="104">
        <f t="shared" si="101"/>
        <v>7.0099999999999996E-2</v>
      </c>
      <c r="F6532" s="5"/>
    </row>
    <row r="6533" spans="2:6" ht="13.8" hidden="1" outlineLevel="1">
      <c r="B6533" s="187">
        <v>31751</v>
      </c>
      <c r="C6533" s="188">
        <v>7.12</v>
      </c>
      <c r="D6533" s="104">
        <f t="shared" si="101"/>
        <v>7.1199999999999999E-2</v>
      </c>
      <c r="F6533" s="5"/>
    </row>
    <row r="6534" spans="2:6" ht="13.8" hidden="1" outlineLevel="1">
      <c r="B6534" s="187">
        <v>31754</v>
      </c>
      <c r="C6534" s="188">
        <v>7.1</v>
      </c>
      <c r="D6534" s="104">
        <f t="shared" si="101"/>
        <v>7.0999999999999994E-2</v>
      </c>
      <c r="F6534" s="5"/>
    </row>
    <row r="6535" spans="2:6" ht="13.8" hidden="1" outlineLevel="1">
      <c r="B6535" s="187">
        <v>31755</v>
      </c>
      <c r="C6535" s="188">
        <v>7.07</v>
      </c>
      <c r="D6535" s="104">
        <f t="shared" si="101"/>
        <v>7.0699999999999999E-2</v>
      </c>
      <c r="F6535" s="5"/>
    </row>
    <row r="6536" spans="2:6" ht="13.8" hidden="1" outlineLevel="1">
      <c r="B6536" s="187">
        <v>31756</v>
      </c>
      <c r="C6536" s="188">
        <v>7.05</v>
      </c>
      <c r="D6536" s="104">
        <f t="shared" si="101"/>
        <v>7.0499999999999993E-2</v>
      </c>
      <c r="F6536" s="5"/>
    </row>
    <row r="6537" spans="2:6" ht="13.8" hidden="1" outlineLevel="1">
      <c r="B6537" s="187">
        <v>31757</v>
      </c>
      <c r="C6537" s="188">
        <v>7.12</v>
      </c>
      <c r="D6537" s="104">
        <f t="shared" si="101"/>
        <v>7.1199999999999999E-2</v>
      </c>
      <c r="F6537" s="5"/>
    </row>
    <row r="6538" spans="2:6" ht="13.8" hidden="1" outlineLevel="1">
      <c r="B6538" s="187">
        <v>31758</v>
      </c>
      <c r="C6538" s="188">
        <v>7.13</v>
      </c>
      <c r="D6538" s="104">
        <f t="shared" si="101"/>
        <v>7.1300000000000002E-2</v>
      </c>
      <c r="F6538" s="5"/>
    </row>
    <row r="6539" spans="2:6" ht="13.8" hidden="1" outlineLevel="1">
      <c r="B6539" s="187">
        <v>31761</v>
      </c>
      <c r="C6539" s="188">
        <v>7.15</v>
      </c>
      <c r="D6539" s="104">
        <f t="shared" si="101"/>
        <v>7.1500000000000008E-2</v>
      </c>
      <c r="F6539" s="5"/>
    </row>
    <row r="6540" spans="2:6" ht="13.8" hidden="1" outlineLevel="1">
      <c r="B6540" s="187">
        <v>31762</v>
      </c>
      <c r="C6540" s="188">
        <v>7.12</v>
      </c>
      <c r="D6540" s="104">
        <f t="shared" si="101"/>
        <v>7.1199999999999999E-2</v>
      </c>
      <c r="F6540" s="5"/>
    </row>
    <row r="6541" spans="2:6" ht="13.8" hidden="1" outlineLevel="1">
      <c r="B6541" s="187">
        <v>31763</v>
      </c>
      <c r="C6541" s="188">
        <v>7.12</v>
      </c>
      <c r="D6541" s="104">
        <f t="shared" si="101"/>
        <v>7.1199999999999999E-2</v>
      </c>
      <c r="F6541" s="5"/>
    </row>
    <row r="6542" spans="2:6" ht="13.8" hidden="1" outlineLevel="1">
      <c r="B6542" s="187">
        <v>31764</v>
      </c>
      <c r="C6542" s="188">
        <v>7.11</v>
      </c>
      <c r="D6542" s="104">
        <f t="shared" si="101"/>
        <v>7.1099999999999997E-2</v>
      </c>
      <c r="F6542" s="5"/>
    </row>
    <row r="6543" spans="2:6" ht="13.8" hidden="1" outlineLevel="1">
      <c r="B6543" s="187">
        <v>31765</v>
      </c>
      <c r="C6543" s="188">
        <v>7.1</v>
      </c>
      <c r="D6543" s="104">
        <f t="shared" si="101"/>
        <v>7.0999999999999994E-2</v>
      </c>
      <c r="F6543" s="5"/>
    </row>
    <row r="6544" spans="2:6" ht="13.8" hidden="1" outlineLevel="1">
      <c r="B6544" s="187">
        <v>31768</v>
      </c>
      <c r="C6544" s="188">
        <v>7.1</v>
      </c>
      <c r="D6544" s="104">
        <f t="shared" si="101"/>
        <v>7.0999999999999994E-2</v>
      </c>
      <c r="F6544" s="5"/>
    </row>
    <row r="6545" spans="2:6" ht="13.8" hidden="1" outlineLevel="1">
      <c r="B6545" s="187">
        <v>31769</v>
      </c>
      <c r="C6545" s="188">
        <v>7.08</v>
      </c>
      <c r="D6545" s="104">
        <f t="shared" si="101"/>
        <v>7.0800000000000002E-2</v>
      </c>
      <c r="F6545" s="5"/>
    </row>
    <row r="6546" spans="2:6" ht="13.8" hidden="1" outlineLevel="1">
      <c r="B6546" s="187">
        <v>31770</v>
      </c>
      <c r="C6546" s="188">
        <v>7.07</v>
      </c>
      <c r="D6546" s="104">
        <f t="shared" si="101"/>
        <v>7.0699999999999999E-2</v>
      </c>
      <c r="F6546" s="5"/>
    </row>
    <row r="6547" spans="2:6" ht="13.8" hidden="1" outlineLevel="1">
      <c r="B6547" s="187">
        <v>31771</v>
      </c>
      <c r="C6547" s="188" t="s">
        <v>380</v>
      </c>
      <c r="D6547" s="104">
        <f t="shared" si="101"/>
        <v>7.0699999999999999E-2</v>
      </c>
      <c r="F6547" s="5"/>
    </row>
    <row r="6548" spans="2:6" ht="13.8" hidden="1" outlineLevel="1">
      <c r="B6548" s="187">
        <v>31772</v>
      </c>
      <c r="C6548" s="188">
        <v>7.08</v>
      </c>
      <c r="D6548" s="104">
        <f t="shared" si="101"/>
        <v>7.0800000000000002E-2</v>
      </c>
      <c r="F6548" s="5"/>
    </row>
    <row r="6549" spans="2:6" ht="13.8" hidden="1" outlineLevel="1">
      <c r="B6549" s="187">
        <v>31775</v>
      </c>
      <c r="C6549" s="188">
        <v>7.17</v>
      </c>
      <c r="D6549" s="104">
        <f t="shared" si="101"/>
        <v>7.17E-2</v>
      </c>
      <c r="F6549" s="5"/>
    </row>
    <row r="6550" spans="2:6" ht="13.8" hidden="1" outlineLevel="1">
      <c r="B6550" s="187">
        <v>31776</v>
      </c>
      <c r="C6550" s="188">
        <v>7.23</v>
      </c>
      <c r="D6550" s="104">
        <f t="shared" si="101"/>
        <v>7.2300000000000003E-2</v>
      </c>
      <c r="F6550" s="5"/>
    </row>
    <row r="6551" spans="2:6" ht="13.8" hidden="1" outlineLevel="1">
      <c r="B6551" s="187">
        <v>31777</v>
      </c>
      <c r="C6551" s="188">
        <v>7.23</v>
      </c>
      <c r="D6551" s="104">
        <f t="shared" si="101"/>
        <v>7.2300000000000003E-2</v>
      </c>
      <c r="F6551" s="5"/>
    </row>
    <row r="6552" spans="2:6" ht="13.8" hidden="1" outlineLevel="1">
      <c r="B6552" s="187">
        <v>31778</v>
      </c>
      <c r="C6552" s="188" t="s">
        <v>380</v>
      </c>
      <c r="D6552" s="104">
        <f t="shared" si="101"/>
        <v>7.2300000000000003E-2</v>
      </c>
      <c r="F6552" s="5"/>
    </row>
    <row r="6553" spans="2:6" ht="13.8" hidden="1" outlineLevel="1">
      <c r="B6553" s="187">
        <v>31779</v>
      </c>
      <c r="C6553" s="188">
        <v>7.18</v>
      </c>
      <c r="D6553" s="104">
        <f t="shared" si="101"/>
        <v>7.1800000000000003E-2</v>
      </c>
      <c r="F6553" s="5"/>
    </row>
    <row r="6554" spans="2:6" ht="13.8" hidden="1" outlineLevel="1">
      <c r="B6554" s="187">
        <v>31782</v>
      </c>
      <c r="C6554" s="188">
        <v>7.08</v>
      </c>
      <c r="D6554" s="104">
        <f t="shared" si="101"/>
        <v>7.0800000000000002E-2</v>
      </c>
      <c r="F6554" s="5"/>
    </row>
    <row r="6555" spans="2:6" ht="13.8" hidden="1" outlineLevel="1">
      <c r="B6555" s="187">
        <v>31783</v>
      </c>
      <c r="C6555" s="188">
        <v>7.08</v>
      </c>
      <c r="D6555" s="104">
        <f t="shared" si="101"/>
        <v>7.0800000000000002E-2</v>
      </c>
      <c r="F6555" s="5"/>
    </row>
    <row r="6556" spans="2:6" ht="13.8" hidden="1" outlineLevel="1">
      <c r="B6556" s="187">
        <v>31784</v>
      </c>
      <c r="C6556" s="188">
        <v>7.05</v>
      </c>
      <c r="D6556" s="104">
        <f t="shared" si="101"/>
        <v>7.0499999999999993E-2</v>
      </c>
      <c r="F6556" s="5"/>
    </row>
    <row r="6557" spans="2:6" ht="13.8" hidden="1" outlineLevel="1">
      <c r="B6557" s="187">
        <v>31785</v>
      </c>
      <c r="C6557" s="188">
        <v>7.04</v>
      </c>
      <c r="D6557" s="104">
        <f t="shared" si="101"/>
        <v>7.0400000000000004E-2</v>
      </c>
      <c r="F6557" s="5"/>
    </row>
    <row r="6558" spans="2:6" ht="13.8" hidden="1" outlineLevel="1">
      <c r="B6558" s="187">
        <v>31786</v>
      </c>
      <c r="C6558" s="188">
        <v>7.01</v>
      </c>
      <c r="D6558" s="104">
        <f t="shared" ref="D6558:D6621" si="102">IF( LEN( C6558 ) = 0, #N/A, IF( C6558 = "ND", D6557, C6558 / 100 ) )</f>
        <v>7.0099999999999996E-2</v>
      </c>
      <c r="F6558" s="5"/>
    </row>
    <row r="6559" spans="2:6" ht="13.8" hidden="1" outlineLevel="1">
      <c r="B6559" s="187">
        <v>31789</v>
      </c>
      <c r="C6559" s="188">
        <v>7.05</v>
      </c>
      <c r="D6559" s="104">
        <f t="shared" si="102"/>
        <v>7.0499999999999993E-2</v>
      </c>
      <c r="F6559" s="5"/>
    </row>
    <row r="6560" spans="2:6" ht="13.8" hidden="1" outlineLevel="1">
      <c r="B6560" s="187">
        <v>31790</v>
      </c>
      <c r="C6560" s="188">
        <v>7.1</v>
      </c>
      <c r="D6560" s="104">
        <f t="shared" si="102"/>
        <v>7.0999999999999994E-2</v>
      </c>
      <c r="F6560" s="5"/>
    </row>
    <row r="6561" spans="2:6" ht="13.8" hidden="1" outlineLevel="1">
      <c r="B6561" s="187">
        <v>31791</v>
      </c>
      <c r="C6561" s="188">
        <v>7.11</v>
      </c>
      <c r="D6561" s="104">
        <f t="shared" si="102"/>
        <v>7.1099999999999997E-2</v>
      </c>
      <c r="F6561" s="5"/>
    </row>
    <row r="6562" spans="2:6" ht="13.8" hidden="1" outlineLevel="1">
      <c r="B6562" s="187">
        <v>31792</v>
      </c>
      <c r="C6562" s="188">
        <v>7.08</v>
      </c>
      <c r="D6562" s="104">
        <f t="shared" si="102"/>
        <v>7.0800000000000002E-2</v>
      </c>
      <c r="F6562" s="5"/>
    </row>
    <row r="6563" spans="2:6" ht="13.8" hidden="1" outlineLevel="1">
      <c r="B6563" s="187">
        <v>31793</v>
      </c>
      <c r="C6563" s="188">
        <v>7.03</v>
      </c>
      <c r="D6563" s="104">
        <f t="shared" si="102"/>
        <v>7.0300000000000001E-2</v>
      </c>
      <c r="F6563" s="5"/>
    </row>
    <row r="6564" spans="2:6" ht="13.8" hidden="1" outlineLevel="1">
      <c r="B6564" s="187">
        <v>31796</v>
      </c>
      <c r="C6564" s="188" t="s">
        <v>380</v>
      </c>
      <c r="D6564" s="104">
        <f t="shared" si="102"/>
        <v>7.0300000000000001E-2</v>
      </c>
      <c r="F6564" s="5"/>
    </row>
    <row r="6565" spans="2:6" ht="13.8" hidden="1" outlineLevel="1">
      <c r="B6565" s="187">
        <v>31797</v>
      </c>
      <c r="C6565" s="188">
        <v>7.01</v>
      </c>
      <c r="D6565" s="104">
        <f t="shared" si="102"/>
        <v>7.0099999999999996E-2</v>
      </c>
      <c r="F6565" s="5"/>
    </row>
    <row r="6566" spans="2:6" ht="13.8" hidden="1" outlineLevel="1">
      <c r="B6566" s="187">
        <v>31798</v>
      </c>
      <c r="C6566" s="188">
        <v>7.01</v>
      </c>
      <c r="D6566" s="104">
        <f t="shared" si="102"/>
        <v>7.0099999999999996E-2</v>
      </c>
      <c r="F6566" s="5"/>
    </row>
    <row r="6567" spans="2:6" ht="13.8" hidden="1" outlineLevel="1">
      <c r="B6567" s="187">
        <v>31799</v>
      </c>
      <c r="C6567" s="188">
        <v>7.03</v>
      </c>
      <c r="D6567" s="104">
        <f t="shared" si="102"/>
        <v>7.0300000000000001E-2</v>
      </c>
      <c r="F6567" s="5"/>
    </row>
    <row r="6568" spans="2:6" ht="13.8" hidden="1" outlineLevel="1">
      <c r="B6568" s="187">
        <v>31800</v>
      </c>
      <c r="C6568" s="188">
        <v>7.06</v>
      </c>
      <c r="D6568" s="104">
        <f t="shared" si="102"/>
        <v>7.0599999999999996E-2</v>
      </c>
      <c r="F6568" s="5"/>
    </row>
    <row r="6569" spans="2:6" ht="13.8" hidden="1" outlineLevel="1">
      <c r="B6569" s="187">
        <v>31803</v>
      </c>
      <c r="C6569" s="188">
        <v>7.17</v>
      </c>
      <c r="D6569" s="104">
        <f t="shared" si="102"/>
        <v>7.17E-2</v>
      </c>
      <c r="F6569" s="5"/>
    </row>
    <row r="6570" spans="2:6" ht="13.8" hidden="1" outlineLevel="1">
      <c r="B6570" s="187">
        <v>31804</v>
      </c>
      <c r="C6570" s="188">
        <v>7.16</v>
      </c>
      <c r="D6570" s="104">
        <f t="shared" si="102"/>
        <v>7.1599999999999997E-2</v>
      </c>
      <c r="F6570" s="5"/>
    </row>
    <row r="6571" spans="2:6" ht="13.8" hidden="1" outlineLevel="1">
      <c r="B6571" s="187">
        <v>31805</v>
      </c>
      <c r="C6571" s="188">
        <v>7.13</v>
      </c>
      <c r="D6571" s="104">
        <f t="shared" si="102"/>
        <v>7.1300000000000002E-2</v>
      </c>
      <c r="F6571" s="5"/>
    </row>
    <row r="6572" spans="2:6" ht="13.8" hidden="1" outlineLevel="1">
      <c r="B6572" s="187">
        <v>31806</v>
      </c>
      <c r="C6572" s="188">
        <v>7.13</v>
      </c>
      <c r="D6572" s="104">
        <f t="shared" si="102"/>
        <v>7.1300000000000002E-2</v>
      </c>
      <c r="F6572" s="5"/>
    </row>
    <row r="6573" spans="2:6" ht="13.8" hidden="1" outlineLevel="1">
      <c r="B6573" s="187">
        <v>31807</v>
      </c>
      <c r="C6573" s="188">
        <v>7.18</v>
      </c>
      <c r="D6573" s="104">
        <f t="shared" si="102"/>
        <v>7.1800000000000003E-2</v>
      </c>
      <c r="F6573" s="5"/>
    </row>
    <row r="6574" spans="2:6" ht="13.8" hidden="1" outlineLevel="1">
      <c r="B6574" s="187">
        <v>31810</v>
      </c>
      <c r="C6574" s="188">
        <v>7.23</v>
      </c>
      <c r="D6574" s="104">
        <f t="shared" si="102"/>
        <v>7.2300000000000003E-2</v>
      </c>
      <c r="F6574" s="5"/>
    </row>
    <row r="6575" spans="2:6" ht="13.8" hidden="1" outlineLevel="1">
      <c r="B6575" s="187">
        <v>31811</v>
      </c>
      <c r="C6575" s="188">
        <v>7.25</v>
      </c>
      <c r="D6575" s="104">
        <f t="shared" si="102"/>
        <v>7.2499999999999995E-2</v>
      </c>
      <c r="F6575" s="5"/>
    </row>
    <row r="6576" spans="2:6" ht="13.8" hidden="1" outlineLevel="1">
      <c r="B6576" s="187">
        <v>31812</v>
      </c>
      <c r="C6576" s="188">
        <v>7.23</v>
      </c>
      <c r="D6576" s="104">
        <f t="shared" si="102"/>
        <v>7.2300000000000003E-2</v>
      </c>
      <c r="F6576" s="5"/>
    </row>
    <row r="6577" spans="2:6" ht="13.8" hidden="1" outlineLevel="1">
      <c r="B6577" s="187">
        <v>31813</v>
      </c>
      <c r="C6577" s="188">
        <v>7.2</v>
      </c>
      <c r="D6577" s="104">
        <f t="shared" si="102"/>
        <v>7.2000000000000008E-2</v>
      </c>
      <c r="F6577" s="5"/>
    </row>
    <row r="6578" spans="2:6" ht="13.8" hidden="1" outlineLevel="1">
      <c r="B6578" s="187">
        <v>31814</v>
      </c>
      <c r="C6578" s="188">
        <v>7.19</v>
      </c>
      <c r="D6578" s="104">
        <f t="shared" si="102"/>
        <v>7.1900000000000006E-2</v>
      </c>
      <c r="F6578" s="5"/>
    </row>
    <row r="6579" spans="2:6" ht="13.8" hidden="1" outlineLevel="1">
      <c r="B6579" s="187">
        <v>31817</v>
      </c>
      <c r="C6579" s="188">
        <v>7.25</v>
      </c>
      <c r="D6579" s="104">
        <f t="shared" si="102"/>
        <v>7.2499999999999995E-2</v>
      </c>
      <c r="F6579" s="5"/>
    </row>
    <row r="6580" spans="2:6" ht="13.8" hidden="1" outlineLevel="1">
      <c r="B6580" s="187">
        <v>31818</v>
      </c>
      <c r="C6580" s="188">
        <v>7.33</v>
      </c>
      <c r="D6580" s="104">
        <f t="shared" si="102"/>
        <v>7.3300000000000004E-2</v>
      </c>
      <c r="F6580" s="5"/>
    </row>
    <row r="6581" spans="2:6" ht="13.8" hidden="1" outlineLevel="1">
      <c r="B6581" s="187">
        <v>31819</v>
      </c>
      <c r="C6581" s="188">
        <v>7.37</v>
      </c>
      <c r="D6581" s="104">
        <f t="shared" si="102"/>
        <v>7.3700000000000002E-2</v>
      </c>
      <c r="F6581" s="5"/>
    </row>
    <row r="6582" spans="2:6" ht="13.8" hidden="1" outlineLevel="1">
      <c r="B6582" s="187">
        <v>31820</v>
      </c>
      <c r="C6582" s="188">
        <v>7.31</v>
      </c>
      <c r="D6582" s="104">
        <f t="shared" si="102"/>
        <v>7.3099999999999998E-2</v>
      </c>
      <c r="F6582" s="5"/>
    </row>
    <row r="6583" spans="2:6" ht="13.8" hidden="1" outlineLevel="1">
      <c r="B6583" s="187">
        <v>31821</v>
      </c>
      <c r="C6583" s="188">
        <v>7.28</v>
      </c>
      <c r="D6583" s="104">
        <f t="shared" si="102"/>
        <v>7.2800000000000004E-2</v>
      </c>
      <c r="F6583" s="5"/>
    </row>
    <row r="6584" spans="2:6" ht="13.8" hidden="1" outlineLevel="1">
      <c r="B6584" s="187">
        <v>31824</v>
      </c>
      <c r="C6584" s="188" t="s">
        <v>380</v>
      </c>
      <c r="D6584" s="104">
        <f t="shared" si="102"/>
        <v>7.2800000000000004E-2</v>
      </c>
      <c r="F6584" s="5"/>
    </row>
    <row r="6585" spans="2:6" ht="13.8" hidden="1" outlineLevel="1">
      <c r="B6585" s="187">
        <v>31825</v>
      </c>
      <c r="C6585" s="188">
        <v>7.33</v>
      </c>
      <c r="D6585" s="104">
        <f t="shared" si="102"/>
        <v>7.3300000000000004E-2</v>
      </c>
      <c r="F6585" s="5"/>
    </row>
    <row r="6586" spans="2:6" ht="13.8" hidden="1" outlineLevel="1">
      <c r="B6586" s="187">
        <v>31826</v>
      </c>
      <c r="C6586" s="188">
        <v>7.3</v>
      </c>
      <c r="D6586" s="104">
        <f t="shared" si="102"/>
        <v>7.2999999999999995E-2</v>
      </c>
      <c r="F6586" s="5"/>
    </row>
    <row r="6587" spans="2:6" ht="13.8" hidden="1" outlineLevel="1">
      <c r="B6587" s="187">
        <v>31827</v>
      </c>
      <c r="C6587" s="188">
        <v>7.23</v>
      </c>
      <c r="D6587" s="104">
        <f t="shared" si="102"/>
        <v>7.2300000000000003E-2</v>
      </c>
      <c r="F6587" s="5"/>
    </row>
    <row r="6588" spans="2:6" ht="13.8" hidden="1" outlineLevel="1">
      <c r="B6588" s="187">
        <v>31828</v>
      </c>
      <c r="C6588" s="188">
        <v>7.24</v>
      </c>
      <c r="D6588" s="104">
        <f t="shared" si="102"/>
        <v>7.2400000000000006E-2</v>
      </c>
      <c r="F6588" s="5"/>
    </row>
    <row r="6589" spans="2:6" ht="13.8" hidden="1" outlineLevel="1">
      <c r="B6589" s="187">
        <v>31831</v>
      </c>
      <c r="C6589" s="188">
        <v>7.23</v>
      </c>
      <c r="D6589" s="104">
        <f t="shared" si="102"/>
        <v>7.2300000000000003E-2</v>
      </c>
      <c r="F6589" s="5"/>
    </row>
    <row r="6590" spans="2:6" ht="13.8" hidden="1" outlineLevel="1">
      <c r="B6590" s="187">
        <v>31832</v>
      </c>
      <c r="C6590" s="188">
        <v>7.18</v>
      </c>
      <c r="D6590" s="104">
        <f t="shared" si="102"/>
        <v>7.1800000000000003E-2</v>
      </c>
      <c r="F6590" s="5"/>
    </row>
    <row r="6591" spans="2:6" ht="13.8" hidden="1" outlineLevel="1">
      <c r="B6591" s="187">
        <v>31833</v>
      </c>
      <c r="C6591" s="188">
        <v>7.21</v>
      </c>
      <c r="D6591" s="104">
        <f t="shared" si="102"/>
        <v>7.2099999999999997E-2</v>
      </c>
      <c r="F6591" s="5"/>
    </row>
    <row r="6592" spans="2:6" ht="13.8" hidden="1" outlineLevel="1">
      <c r="B6592" s="187">
        <v>31834</v>
      </c>
      <c r="C6592" s="188">
        <v>7.21</v>
      </c>
      <c r="D6592" s="104">
        <f t="shared" si="102"/>
        <v>7.2099999999999997E-2</v>
      </c>
      <c r="F6592" s="5"/>
    </row>
    <row r="6593" spans="2:6" ht="13.8" hidden="1" outlineLevel="1">
      <c r="B6593" s="187">
        <v>31835</v>
      </c>
      <c r="C6593" s="188">
        <v>7.19</v>
      </c>
      <c r="D6593" s="104">
        <f t="shared" si="102"/>
        <v>7.1900000000000006E-2</v>
      </c>
      <c r="F6593" s="5"/>
    </row>
    <row r="6594" spans="2:6" ht="13.8" hidden="1" outlineLevel="1">
      <c r="B6594" s="187">
        <v>31838</v>
      </c>
      <c r="C6594" s="188">
        <v>7.17</v>
      </c>
      <c r="D6594" s="104">
        <f t="shared" si="102"/>
        <v>7.17E-2</v>
      </c>
      <c r="F6594" s="5"/>
    </row>
    <row r="6595" spans="2:6" ht="13.8" hidden="1" outlineLevel="1">
      <c r="B6595" s="187">
        <v>31839</v>
      </c>
      <c r="C6595" s="188">
        <v>7.21</v>
      </c>
      <c r="D6595" s="104">
        <f t="shared" si="102"/>
        <v>7.2099999999999997E-2</v>
      </c>
      <c r="F6595" s="5"/>
    </row>
    <row r="6596" spans="2:6" ht="13.8" hidden="1" outlineLevel="1">
      <c r="B6596" s="187">
        <v>31840</v>
      </c>
      <c r="C6596" s="188">
        <v>7.14</v>
      </c>
      <c r="D6596" s="104">
        <f t="shared" si="102"/>
        <v>7.1399999999999991E-2</v>
      </c>
      <c r="F6596" s="5"/>
    </row>
    <row r="6597" spans="2:6" ht="13.8" hidden="1" outlineLevel="1">
      <c r="B6597" s="187">
        <v>31841</v>
      </c>
      <c r="C6597" s="188">
        <v>7.16</v>
      </c>
      <c r="D6597" s="104">
        <f t="shared" si="102"/>
        <v>7.1599999999999997E-2</v>
      </c>
      <c r="F6597" s="5"/>
    </row>
    <row r="6598" spans="2:6" ht="13.8" hidden="1" outlineLevel="1">
      <c r="B6598" s="187">
        <v>31842</v>
      </c>
      <c r="C6598" s="188">
        <v>7.23</v>
      </c>
      <c r="D6598" s="104">
        <f t="shared" si="102"/>
        <v>7.2300000000000003E-2</v>
      </c>
      <c r="F6598" s="5"/>
    </row>
    <row r="6599" spans="2:6" ht="13.8" hidden="1" outlineLevel="1">
      <c r="B6599" s="187">
        <v>31845</v>
      </c>
      <c r="C6599" s="188">
        <v>7.23</v>
      </c>
      <c r="D6599" s="104">
        <f t="shared" si="102"/>
        <v>7.2300000000000003E-2</v>
      </c>
      <c r="F6599" s="5"/>
    </row>
    <row r="6600" spans="2:6" ht="13.8" hidden="1" outlineLevel="1">
      <c r="B6600" s="187">
        <v>31846</v>
      </c>
      <c r="C6600" s="188">
        <v>7.23</v>
      </c>
      <c r="D6600" s="104">
        <f t="shared" si="102"/>
        <v>7.2300000000000003E-2</v>
      </c>
      <c r="F6600" s="5"/>
    </row>
    <row r="6601" spans="2:6" ht="13.8" hidden="1" outlineLevel="1">
      <c r="B6601" s="187">
        <v>31847</v>
      </c>
      <c r="C6601" s="188">
        <v>7.23</v>
      </c>
      <c r="D6601" s="104">
        <f t="shared" si="102"/>
        <v>7.2300000000000003E-2</v>
      </c>
      <c r="F6601" s="5"/>
    </row>
    <row r="6602" spans="2:6" ht="13.8" hidden="1" outlineLevel="1">
      <c r="B6602" s="187">
        <v>31848</v>
      </c>
      <c r="C6602" s="188">
        <v>7.22</v>
      </c>
      <c r="D6602" s="104">
        <f t="shared" si="102"/>
        <v>7.22E-2</v>
      </c>
      <c r="F6602" s="5"/>
    </row>
    <row r="6603" spans="2:6" ht="13.8" hidden="1" outlineLevel="1">
      <c r="B6603" s="187">
        <v>31849</v>
      </c>
      <c r="C6603" s="188">
        <v>7.19</v>
      </c>
      <c r="D6603" s="104">
        <f t="shared" si="102"/>
        <v>7.1900000000000006E-2</v>
      </c>
      <c r="F6603" s="5"/>
    </row>
    <row r="6604" spans="2:6" ht="13.8" hidden="1" outlineLevel="1">
      <c r="B6604" s="187">
        <v>31852</v>
      </c>
      <c r="C6604" s="188">
        <v>7.22</v>
      </c>
      <c r="D6604" s="104">
        <f t="shared" si="102"/>
        <v>7.22E-2</v>
      </c>
      <c r="F6604" s="5"/>
    </row>
    <row r="6605" spans="2:6" ht="13.8" hidden="1" outlineLevel="1">
      <c r="B6605" s="187">
        <v>31853</v>
      </c>
      <c r="C6605" s="188">
        <v>7.2</v>
      </c>
      <c r="D6605" s="104">
        <f t="shared" si="102"/>
        <v>7.2000000000000008E-2</v>
      </c>
      <c r="F6605" s="5"/>
    </row>
    <row r="6606" spans="2:6" ht="13.8" hidden="1" outlineLevel="1">
      <c r="B6606" s="187">
        <v>31854</v>
      </c>
      <c r="C6606" s="188">
        <v>7.21</v>
      </c>
      <c r="D6606" s="104">
        <f t="shared" si="102"/>
        <v>7.2099999999999997E-2</v>
      </c>
      <c r="F6606" s="5"/>
    </row>
    <row r="6607" spans="2:6" ht="13.8" hidden="1" outlineLevel="1">
      <c r="B6607" s="187">
        <v>31855</v>
      </c>
      <c r="C6607" s="188">
        <v>7.21</v>
      </c>
      <c r="D6607" s="104">
        <f t="shared" si="102"/>
        <v>7.2099999999999997E-2</v>
      </c>
      <c r="F6607" s="5"/>
    </row>
    <row r="6608" spans="2:6" ht="13.8" hidden="1" outlineLevel="1">
      <c r="B6608" s="187">
        <v>31856</v>
      </c>
      <c r="C6608" s="188">
        <v>7.22</v>
      </c>
      <c r="D6608" s="104">
        <f t="shared" si="102"/>
        <v>7.22E-2</v>
      </c>
      <c r="F6608" s="5"/>
    </row>
    <row r="6609" spans="2:6" ht="13.8" hidden="1" outlineLevel="1">
      <c r="B6609" s="187">
        <v>31859</v>
      </c>
      <c r="C6609" s="188">
        <v>7.25</v>
      </c>
      <c r="D6609" s="104">
        <f t="shared" si="102"/>
        <v>7.2499999999999995E-2</v>
      </c>
      <c r="F6609" s="5"/>
    </row>
    <row r="6610" spans="2:6" ht="13.8" hidden="1" outlineLevel="1">
      <c r="B6610" s="187">
        <v>31860</v>
      </c>
      <c r="C6610" s="188">
        <v>7.27</v>
      </c>
      <c r="D6610" s="104">
        <f t="shared" si="102"/>
        <v>7.2700000000000001E-2</v>
      </c>
      <c r="F6610" s="5"/>
    </row>
    <row r="6611" spans="2:6" ht="13.8" hidden="1" outlineLevel="1">
      <c r="B6611" s="187">
        <v>31861</v>
      </c>
      <c r="C6611" s="188">
        <v>7.26</v>
      </c>
      <c r="D6611" s="104">
        <f t="shared" si="102"/>
        <v>7.2599999999999998E-2</v>
      </c>
      <c r="F6611" s="5"/>
    </row>
    <row r="6612" spans="2:6" ht="13.8" hidden="1" outlineLevel="1">
      <c r="B6612" s="187">
        <v>31862</v>
      </c>
      <c r="C6612" s="188">
        <v>7.24</v>
      </c>
      <c r="D6612" s="104">
        <f t="shared" si="102"/>
        <v>7.2400000000000006E-2</v>
      </c>
      <c r="F6612" s="5"/>
    </row>
    <row r="6613" spans="2:6" ht="13.8" hidden="1" outlineLevel="1">
      <c r="B6613" s="187">
        <v>31863</v>
      </c>
      <c r="C6613" s="188">
        <v>7.33</v>
      </c>
      <c r="D6613" s="104">
        <f t="shared" si="102"/>
        <v>7.3300000000000004E-2</v>
      </c>
      <c r="F6613" s="5"/>
    </row>
    <row r="6614" spans="2:6" ht="13.8" hidden="1" outlineLevel="1">
      <c r="B6614" s="187">
        <v>31866</v>
      </c>
      <c r="C6614" s="188">
        <v>7.54</v>
      </c>
      <c r="D6614" s="104">
        <f t="shared" si="102"/>
        <v>7.5399999999999995E-2</v>
      </c>
      <c r="F6614" s="5"/>
    </row>
    <row r="6615" spans="2:6" ht="13.8" hidden="1" outlineLevel="1">
      <c r="B6615" s="187">
        <v>31867</v>
      </c>
      <c r="C6615" s="188">
        <v>7.51</v>
      </c>
      <c r="D6615" s="104">
        <f t="shared" si="102"/>
        <v>7.51E-2</v>
      </c>
      <c r="F6615" s="5"/>
    </row>
    <row r="6616" spans="2:6" ht="13.8" hidden="1" outlineLevel="1">
      <c r="B6616" s="187">
        <v>31868</v>
      </c>
      <c r="C6616" s="188">
        <v>7.59</v>
      </c>
      <c r="D6616" s="104">
        <f t="shared" si="102"/>
        <v>7.5899999999999995E-2</v>
      </c>
      <c r="F6616" s="5"/>
    </row>
    <row r="6617" spans="2:6" ht="13.8" hidden="1" outlineLevel="1">
      <c r="B6617" s="187">
        <v>31869</v>
      </c>
      <c r="C6617" s="188">
        <v>7.59</v>
      </c>
      <c r="D6617" s="104">
        <f t="shared" si="102"/>
        <v>7.5899999999999995E-2</v>
      </c>
      <c r="F6617" s="5"/>
    </row>
    <row r="6618" spans="2:6" ht="13.8" hidden="1" outlineLevel="1">
      <c r="B6618" s="187">
        <v>31870</v>
      </c>
      <c r="C6618" s="188">
        <v>7.59</v>
      </c>
      <c r="D6618" s="104">
        <f t="shared" si="102"/>
        <v>7.5899999999999995E-2</v>
      </c>
      <c r="F6618" s="5"/>
    </row>
    <row r="6619" spans="2:6" ht="13.8" hidden="1" outlineLevel="1">
      <c r="B6619" s="187">
        <v>31873</v>
      </c>
      <c r="C6619" s="188">
        <v>7.54</v>
      </c>
      <c r="D6619" s="104">
        <f t="shared" si="102"/>
        <v>7.5399999999999995E-2</v>
      </c>
      <c r="F6619" s="5"/>
    </row>
    <row r="6620" spans="2:6" ht="13.8" hidden="1" outlineLevel="1">
      <c r="B6620" s="187">
        <v>31874</v>
      </c>
      <c r="C6620" s="188">
        <v>7.62</v>
      </c>
      <c r="D6620" s="104">
        <f t="shared" si="102"/>
        <v>7.6200000000000004E-2</v>
      </c>
      <c r="F6620" s="5"/>
    </row>
    <row r="6621" spans="2:6" ht="13.8" hidden="1" outlineLevel="1">
      <c r="B6621" s="187">
        <v>31875</v>
      </c>
      <c r="C6621" s="188">
        <v>7.61</v>
      </c>
      <c r="D6621" s="104">
        <f t="shared" si="102"/>
        <v>7.6100000000000001E-2</v>
      </c>
      <c r="F6621" s="5"/>
    </row>
    <row r="6622" spans="2:6" ht="13.8" hidden="1" outlineLevel="1">
      <c r="B6622" s="187">
        <v>31876</v>
      </c>
      <c r="C6622" s="188">
        <v>7.78</v>
      </c>
      <c r="D6622" s="104">
        <f t="shared" ref="D6622:D6685" si="103">IF( LEN( C6622 ) = 0, #N/A, IF( C6622 = "ND", D6621, C6622 / 100 ) )</f>
        <v>7.7800000000000008E-2</v>
      </c>
      <c r="F6622" s="5"/>
    </row>
    <row r="6623" spans="2:6" ht="13.8" hidden="1" outlineLevel="1">
      <c r="B6623" s="187">
        <v>31877</v>
      </c>
      <c r="C6623" s="188">
        <v>7.98</v>
      </c>
      <c r="D6623" s="104">
        <f t="shared" si="103"/>
        <v>7.980000000000001E-2</v>
      </c>
      <c r="F6623" s="5"/>
    </row>
    <row r="6624" spans="2:6" ht="13.8" hidden="1" outlineLevel="1">
      <c r="B6624" s="187">
        <v>31880</v>
      </c>
      <c r="C6624" s="188">
        <v>8.07</v>
      </c>
      <c r="D6624" s="104">
        <f t="shared" si="103"/>
        <v>8.0700000000000008E-2</v>
      </c>
      <c r="F6624" s="5"/>
    </row>
    <row r="6625" spans="2:6" ht="13.8" hidden="1" outlineLevel="1">
      <c r="B6625" s="187">
        <v>31881</v>
      </c>
      <c r="C6625" s="188">
        <v>8.2799999999999994</v>
      </c>
      <c r="D6625" s="104">
        <f t="shared" si="103"/>
        <v>8.2799999999999999E-2</v>
      </c>
      <c r="F6625" s="5"/>
    </row>
    <row r="6626" spans="2:6" ht="13.8" hidden="1" outlineLevel="1">
      <c r="B6626" s="187">
        <v>31882</v>
      </c>
      <c r="C6626" s="188">
        <v>8.1</v>
      </c>
      <c r="D6626" s="104">
        <f t="shared" si="103"/>
        <v>8.1000000000000003E-2</v>
      </c>
      <c r="F6626" s="5"/>
    </row>
    <row r="6627" spans="2:6" ht="13.8" hidden="1" outlineLevel="1">
      <c r="B6627" s="187">
        <v>31883</v>
      </c>
      <c r="C6627" s="188">
        <v>8.0299999999999994</v>
      </c>
      <c r="D6627" s="104">
        <f t="shared" si="103"/>
        <v>8.0299999999999996E-2</v>
      </c>
      <c r="F6627" s="5"/>
    </row>
    <row r="6628" spans="2:6" ht="13.8" hidden="1" outlineLevel="1">
      <c r="B6628" s="187">
        <v>31884</v>
      </c>
      <c r="C6628" s="188" t="s">
        <v>380</v>
      </c>
      <c r="D6628" s="104">
        <f t="shared" si="103"/>
        <v>8.0299999999999996E-2</v>
      </c>
      <c r="F6628" s="5"/>
    </row>
    <row r="6629" spans="2:6" ht="13.8" hidden="1" outlineLevel="1">
      <c r="B6629" s="187">
        <v>31887</v>
      </c>
      <c r="C6629" s="188">
        <v>8.1999999999999993</v>
      </c>
      <c r="D6629" s="104">
        <f t="shared" si="103"/>
        <v>8.199999999999999E-2</v>
      </c>
      <c r="F6629" s="5"/>
    </row>
    <row r="6630" spans="2:6" ht="13.8" hidden="1" outlineLevel="1">
      <c r="B6630" s="187">
        <v>31888</v>
      </c>
      <c r="C6630" s="188">
        <v>8.19</v>
      </c>
      <c r="D6630" s="104">
        <f t="shared" si="103"/>
        <v>8.1900000000000001E-2</v>
      </c>
      <c r="F6630" s="5"/>
    </row>
    <row r="6631" spans="2:6" ht="13.8" hidden="1" outlineLevel="1">
      <c r="B6631" s="187">
        <v>31889</v>
      </c>
      <c r="C6631" s="188">
        <v>8.24</v>
      </c>
      <c r="D6631" s="104">
        <f t="shared" si="103"/>
        <v>8.2400000000000001E-2</v>
      </c>
      <c r="F6631" s="5"/>
    </row>
    <row r="6632" spans="2:6" ht="13.8" hidden="1" outlineLevel="1">
      <c r="B6632" s="187">
        <v>31890</v>
      </c>
      <c r="C6632" s="188">
        <v>8.39</v>
      </c>
      <c r="D6632" s="104">
        <f t="shared" si="103"/>
        <v>8.3900000000000002E-2</v>
      </c>
      <c r="F6632" s="5"/>
    </row>
    <row r="6633" spans="2:6" ht="13.8" hidden="1" outlineLevel="1">
      <c r="B6633" s="187">
        <v>31891</v>
      </c>
      <c r="C6633" s="188">
        <v>8.4700000000000006</v>
      </c>
      <c r="D6633" s="104">
        <f t="shared" si="103"/>
        <v>8.4700000000000011E-2</v>
      </c>
      <c r="F6633" s="5"/>
    </row>
    <row r="6634" spans="2:6" ht="13.8" hidden="1" outlineLevel="1">
      <c r="B6634" s="187">
        <v>31894</v>
      </c>
      <c r="C6634" s="188">
        <v>8.3699999999999992</v>
      </c>
      <c r="D6634" s="104">
        <f t="shared" si="103"/>
        <v>8.3699999999999997E-2</v>
      </c>
      <c r="F6634" s="5"/>
    </row>
    <row r="6635" spans="2:6" ht="13.8" hidden="1" outlineLevel="1">
      <c r="B6635" s="187">
        <v>31895</v>
      </c>
      <c r="C6635" s="188">
        <v>8.2799999999999994</v>
      </c>
      <c r="D6635" s="104">
        <f t="shared" si="103"/>
        <v>8.2799999999999999E-2</v>
      </c>
      <c r="F6635" s="5"/>
    </row>
    <row r="6636" spans="2:6" ht="13.8" hidden="1" outlineLevel="1">
      <c r="B6636" s="187">
        <v>31896</v>
      </c>
      <c r="C6636" s="188">
        <v>8.35</v>
      </c>
      <c r="D6636" s="104">
        <f t="shared" si="103"/>
        <v>8.3499999999999991E-2</v>
      </c>
      <c r="F6636" s="5"/>
    </row>
    <row r="6637" spans="2:6" ht="13.8" hidden="1" outlineLevel="1">
      <c r="B6637" s="187">
        <v>31897</v>
      </c>
      <c r="C6637" s="188">
        <v>8.2100000000000009</v>
      </c>
      <c r="D6637" s="104">
        <f t="shared" si="103"/>
        <v>8.2100000000000006E-2</v>
      </c>
      <c r="F6637" s="5"/>
    </row>
    <row r="6638" spans="2:6" ht="13.8" hidden="1" outlineLevel="1">
      <c r="B6638" s="187">
        <v>31898</v>
      </c>
      <c r="C6638" s="188">
        <v>8.39</v>
      </c>
      <c r="D6638" s="104">
        <f t="shared" si="103"/>
        <v>8.3900000000000002E-2</v>
      </c>
      <c r="F6638" s="5"/>
    </row>
    <row r="6639" spans="2:6" ht="13.8" hidden="1" outlineLevel="1">
      <c r="B6639" s="187">
        <v>31901</v>
      </c>
      <c r="C6639" s="188">
        <v>8.52</v>
      </c>
      <c r="D6639" s="104">
        <f t="shared" si="103"/>
        <v>8.5199999999999998E-2</v>
      </c>
      <c r="F6639" s="5"/>
    </row>
    <row r="6640" spans="2:6" ht="13.8" hidden="1" outlineLevel="1">
      <c r="B6640" s="187">
        <v>31902</v>
      </c>
      <c r="C6640" s="188">
        <v>8.4499999999999993</v>
      </c>
      <c r="D6640" s="104">
        <f t="shared" si="103"/>
        <v>8.4499999999999992E-2</v>
      </c>
      <c r="F6640" s="5"/>
    </row>
    <row r="6641" spans="2:6" ht="13.8" hidden="1" outlineLevel="1">
      <c r="B6641" s="187">
        <v>31903</v>
      </c>
      <c r="C6641" s="188">
        <v>8.5399999999999991</v>
      </c>
      <c r="D6641" s="104">
        <f t="shared" si="103"/>
        <v>8.539999999999999E-2</v>
      </c>
      <c r="F6641" s="5"/>
    </row>
    <row r="6642" spans="2:6" ht="13.8" hidden="1" outlineLevel="1">
      <c r="B6642" s="187">
        <v>31904</v>
      </c>
      <c r="C6642" s="188">
        <v>8.5</v>
      </c>
      <c r="D6642" s="104">
        <f t="shared" si="103"/>
        <v>8.5000000000000006E-2</v>
      </c>
      <c r="F6642" s="5"/>
    </row>
    <row r="6643" spans="2:6" ht="13.8" hidden="1" outlineLevel="1">
      <c r="B6643" s="187">
        <v>31905</v>
      </c>
      <c r="C6643" s="188">
        <v>8.43</v>
      </c>
      <c r="D6643" s="104">
        <f t="shared" si="103"/>
        <v>8.43E-2</v>
      </c>
      <c r="F6643" s="5"/>
    </row>
    <row r="6644" spans="2:6" ht="13.8" hidden="1" outlineLevel="1">
      <c r="B6644" s="187">
        <v>31908</v>
      </c>
      <c r="C6644" s="188">
        <v>8.57</v>
      </c>
      <c r="D6644" s="104">
        <f t="shared" si="103"/>
        <v>8.5699999999999998E-2</v>
      </c>
      <c r="F6644" s="5"/>
    </row>
    <row r="6645" spans="2:6" ht="13.8" hidden="1" outlineLevel="1">
      <c r="B6645" s="187">
        <v>31909</v>
      </c>
      <c r="C6645" s="188">
        <v>8.5500000000000007</v>
      </c>
      <c r="D6645" s="104">
        <f t="shared" si="103"/>
        <v>8.5500000000000007E-2</v>
      </c>
      <c r="F6645" s="5"/>
    </row>
    <row r="6646" spans="2:6" ht="13.8" hidden="1" outlineLevel="1">
      <c r="B6646" s="187">
        <v>31910</v>
      </c>
      <c r="C6646" s="188">
        <v>8.5500000000000007</v>
      </c>
      <c r="D6646" s="104">
        <f t="shared" si="103"/>
        <v>8.5500000000000007E-2</v>
      </c>
      <c r="F6646" s="5"/>
    </row>
    <row r="6647" spans="2:6" ht="13.8" hidden="1" outlineLevel="1">
      <c r="B6647" s="187">
        <v>31911</v>
      </c>
      <c r="C6647" s="188">
        <v>8.57</v>
      </c>
      <c r="D6647" s="104">
        <f t="shared" si="103"/>
        <v>8.5699999999999998E-2</v>
      </c>
      <c r="F6647" s="5"/>
    </row>
    <row r="6648" spans="2:6" ht="13.8" hidden="1" outlineLevel="1">
      <c r="B6648" s="187">
        <v>31912</v>
      </c>
      <c r="C6648" s="188">
        <v>8.8000000000000007</v>
      </c>
      <c r="D6648" s="104">
        <f t="shared" si="103"/>
        <v>8.8000000000000009E-2</v>
      </c>
      <c r="F6648" s="5"/>
    </row>
    <row r="6649" spans="2:6" ht="13.8" hidden="1" outlineLevel="1">
      <c r="B6649" s="187">
        <v>31915</v>
      </c>
      <c r="C6649" s="188">
        <v>8.73</v>
      </c>
      <c r="D6649" s="104">
        <f t="shared" si="103"/>
        <v>8.7300000000000003E-2</v>
      </c>
      <c r="F6649" s="5"/>
    </row>
    <row r="6650" spans="2:6" ht="13.8" hidden="1" outlineLevel="1">
      <c r="B6650" s="187">
        <v>31916</v>
      </c>
      <c r="C6650" s="188">
        <v>8.89</v>
      </c>
      <c r="D6650" s="104">
        <f t="shared" si="103"/>
        <v>8.8900000000000007E-2</v>
      </c>
      <c r="F6650" s="5"/>
    </row>
    <row r="6651" spans="2:6" ht="13.8" hidden="1" outlineLevel="1">
      <c r="B6651" s="187">
        <v>31917</v>
      </c>
      <c r="C6651" s="188">
        <v>8.92</v>
      </c>
      <c r="D6651" s="104">
        <f t="shared" si="103"/>
        <v>8.9200000000000002E-2</v>
      </c>
      <c r="F6651" s="5"/>
    </row>
    <row r="6652" spans="2:6" ht="13.8" hidden="1" outlineLevel="1">
      <c r="B6652" s="187">
        <v>31918</v>
      </c>
      <c r="C6652" s="188">
        <v>8.8699999999999992</v>
      </c>
      <c r="D6652" s="104">
        <f t="shared" si="103"/>
        <v>8.8699999999999987E-2</v>
      </c>
      <c r="F6652" s="5"/>
    </row>
    <row r="6653" spans="2:6" ht="13.8" hidden="1" outlineLevel="1">
      <c r="B6653" s="187">
        <v>31919</v>
      </c>
      <c r="C6653" s="188">
        <v>8.7799999999999994</v>
      </c>
      <c r="D6653" s="104">
        <f t="shared" si="103"/>
        <v>8.7799999999999989E-2</v>
      </c>
      <c r="F6653" s="5"/>
    </row>
    <row r="6654" spans="2:6" ht="13.8" hidden="1" outlineLevel="1">
      <c r="B6654" s="187">
        <v>31922</v>
      </c>
      <c r="C6654" s="188" t="s">
        <v>380</v>
      </c>
      <c r="D6654" s="104">
        <f t="shared" si="103"/>
        <v>8.7799999999999989E-2</v>
      </c>
      <c r="F6654" s="5"/>
    </row>
    <row r="6655" spans="2:6" ht="13.8" hidden="1" outlineLevel="1">
      <c r="B6655" s="187">
        <v>31923</v>
      </c>
      <c r="C6655" s="188">
        <v>8.5500000000000007</v>
      </c>
      <c r="D6655" s="104">
        <f t="shared" si="103"/>
        <v>8.5500000000000007E-2</v>
      </c>
      <c r="F6655" s="5"/>
    </row>
    <row r="6656" spans="2:6" ht="13.8" hidden="1" outlineLevel="1">
      <c r="B6656" s="187">
        <v>31924</v>
      </c>
      <c r="C6656" s="188">
        <v>8.6</v>
      </c>
      <c r="D6656" s="104">
        <f t="shared" si="103"/>
        <v>8.5999999999999993E-2</v>
      </c>
      <c r="F6656" s="5"/>
    </row>
    <row r="6657" spans="2:6" ht="13.8" hidden="1" outlineLevel="1">
      <c r="B6657" s="187">
        <v>31925</v>
      </c>
      <c r="C6657" s="188">
        <v>8.56</v>
      </c>
      <c r="D6657" s="104">
        <f t="shared" si="103"/>
        <v>8.5600000000000009E-2</v>
      </c>
      <c r="F6657" s="5"/>
    </row>
    <row r="6658" spans="2:6" ht="13.8" hidden="1" outlineLevel="1">
      <c r="B6658" s="187">
        <v>31926</v>
      </c>
      <c r="C6658" s="188">
        <v>8.49</v>
      </c>
      <c r="D6658" s="104">
        <f t="shared" si="103"/>
        <v>8.4900000000000003E-2</v>
      </c>
      <c r="F6658" s="5"/>
    </row>
    <row r="6659" spans="2:6" ht="13.8" hidden="1" outlineLevel="1">
      <c r="B6659" s="187">
        <v>31929</v>
      </c>
      <c r="C6659" s="188">
        <v>8.4499999999999993</v>
      </c>
      <c r="D6659" s="104">
        <f t="shared" si="103"/>
        <v>8.4499999999999992E-2</v>
      </c>
      <c r="F6659" s="5"/>
    </row>
    <row r="6660" spans="2:6" ht="13.8" hidden="1" outlineLevel="1">
      <c r="B6660" s="187">
        <v>31930</v>
      </c>
      <c r="C6660" s="188">
        <v>8.7200000000000006</v>
      </c>
      <c r="D6660" s="104">
        <f t="shared" si="103"/>
        <v>8.72E-2</v>
      </c>
      <c r="F6660" s="5"/>
    </row>
    <row r="6661" spans="2:6" ht="13.8" hidden="1" outlineLevel="1">
      <c r="B6661" s="187">
        <v>31931</v>
      </c>
      <c r="C6661" s="188">
        <v>8.64</v>
      </c>
      <c r="D6661" s="104">
        <f t="shared" si="103"/>
        <v>8.6400000000000005E-2</v>
      </c>
      <c r="F6661" s="5"/>
    </row>
    <row r="6662" spans="2:6" ht="13.8" hidden="1" outlineLevel="1">
      <c r="B6662" s="187">
        <v>31932</v>
      </c>
      <c r="C6662" s="188">
        <v>8.58</v>
      </c>
      <c r="D6662" s="104">
        <f t="shared" si="103"/>
        <v>8.5800000000000001E-2</v>
      </c>
      <c r="F6662" s="5"/>
    </row>
    <row r="6663" spans="2:6" ht="13.8" hidden="1" outlineLevel="1">
      <c r="B6663" s="187">
        <v>31933</v>
      </c>
      <c r="C6663" s="188">
        <v>8.5</v>
      </c>
      <c r="D6663" s="104">
        <f t="shared" si="103"/>
        <v>8.5000000000000006E-2</v>
      </c>
      <c r="F6663" s="5"/>
    </row>
    <row r="6664" spans="2:6" ht="13.8" hidden="1" outlineLevel="1">
      <c r="B6664" s="187">
        <v>31936</v>
      </c>
      <c r="C6664" s="188">
        <v>8.5299999999999994</v>
      </c>
      <c r="D6664" s="104">
        <f t="shared" si="103"/>
        <v>8.5299999999999987E-2</v>
      </c>
      <c r="F6664" s="5"/>
    </row>
    <row r="6665" spans="2:6" ht="13.8" hidden="1" outlineLevel="1">
      <c r="B6665" s="187">
        <v>31937</v>
      </c>
      <c r="C6665" s="188">
        <v>8.56</v>
      </c>
      <c r="D6665" s="104">
        <f t="shared" si="103"/>
        <v>8.5600000000000009E-2</v>
      </c>
      <c r="F6665" s="5"/>
    </row>
    <row r="6666" spans="2:6" ht="13.8" hidden="1" outlineLevel="1">
      <c r="B6666" s="187">
        <v>31938</v>
      </c>
      <c r="C6666" s="188">
        <v>8.56</v>
      </c>
      <c r="D6666" s="104">
        <f t="shared" si="103"/>
        <v>8.5600000000000009E-2</v>
      </c>
      <c r="F6666" s="5"/>
    </row>
    <row r="6667" spans="2:6" ht="13.8" hidden="1" outlineLevel="1">
      <c r="B6667" s="187">
        <v>31939</v>
      </c>
      <c r="C6667" s="188">
        <v>8.52</v>
      </c>
      <c r="D6667" s="104">
        <f t="shared" si="103"/>
        <v>8.5199999999999998E-2</v>
      </c>
      <c r="F6667" s="5"/>
    </row>
    <row r="6668" spans="2:6" ht="13.8" hidden="1" outlineLevel="1">
      <c r="B6668" s="187">
        <v>31940</v>
      </c>
      <c r="C6668" s="188">
        <v>8.32</v>
      </c>
      <c r="D6668" s="104">
        <f t="shared" si="103"/>
        <v>8.3199999999999996E-2</v>
      </c>
      <c r="F6668" s="5"/>
    </row>
    <row r="6669" spans="2:6" ht="13.8" hidden="1" outlineLevel="1">
      <c r="B6669" s="187">
        <v>31943</v>
      </c>
      <c r="C6669" s="188">
        <v>8.2799999999999994</v>
      </c>
      <c r="D6669" s="104">
        <f t="shared" si="103"/>
        <v>8.2799999999999999E-2</v>
      </c>
      <c r="F6669" s="5"/>
    </row>
    <row r="6670" spans="2:6" ht="13.8" hidden="1" outlineLevel="1">
      <c r="B6670" s="187">
        <v>31944</v>
      </c>
      <c r="C6670" s="188">
        <v>8.2799999999999994</v>
      </c>
      <c r="D6670" s="104">
        <f t="shared" si="103"/>
        <v>8.2799999999999999E-2</v>
      </c>
      <c r="F6670" s="5"/>
    </row>
    <row r="6671" spans="2:6" ht="13.8" hidden="1" outlineLevel="1">
      <c r="B6671" s="187">
        <v>31945</v>
      </c>
      <c r="C6671" s="188">
        <v>8.23</v>
      </c>
      <c r="D6671" s="104">
        <f t="shared" si="103"/>
        <v>8.2299999999999998E-2</v>
      </c>
      <c r="F6671" s="5"/>
    </row>
    <row r="6672" spans="2:6" ht="13.8" hidden="1" outlineLevel="1">
      <c r="B6672" s="187">
        <v>31946</v>
      </c>
      <c r="C6672" s="188">
        <v>8.27</v>
      </c>
      <c r="D6672" s="104">
        <f t="shared" si="103"/>
        <v>8.2699999999999996E-2</v>
      </c>
      <c r="F6672" s="5"/>
    </row>
    <row r="6673" spans="2:6" ht="13.8" hidden="1" outlineLevel="1">
      <c r="B6673" s="187">
        <v>31947</v>
      </c>
      <c r="C6673" s="188">
        <v>8.3000000000000007</v>
      </c>
      <c r="D6673" s="104">
        <f t="shared" si="103"/>
        <v>8.3000000000000004E-2</v>
      </c>
      <c r="F6673" s="5"/>
    </row>
    <row r="6674" spans="2:6" ht="13.8" hidden="1" outlineLevel="1">
      <c r="B6674" s="187">
        <v>31950</v>
      </c>
      <c r="C6674" s="188">
        <v>8.23</v>
      </c>
      <c r="D6674" s="104">
        <f t="shared" si="103"/>
        <v>8.2299999999999998E-2</v>
      </c>
      <c r="F6674" s="5"/>
    </row>
    <row r="6675" spans="2:6" ht="13.8" hidden="1" outlineLevel="1">
      <c r="B6675" s="187">
        <v>31951</v>
      </c>
      <c r="C6675" s="188">
        <v>8.23</v>
      </c>
      <c r="D6675" s="104">
        <f t="shared" si="103"/>
        <v>8.2299999999999998E-2</v>
      </c>
      <c r="F6675" s="5"/>
    </row>
    <row r="6676" spans="2:6" ht="13.8" hidden="1" outlineLevel="1">
      <c r="B6676" s="187">
        <v>31952</v>
      </c>
      <c r="C6676" s="188">
        <v>8.31</v>
      </c>
      <c r="D6676" s="104">
        <f t="shared" si="103"/>
        <v>8.3100000000000007E-2</v>
      </c>
      <c r="F6676" s="5"/>
    </row>
    <row r="6677" spans="2:6" ht="13.8" hidden="1" outlineLevel="1">
      <c r="B6677" s="187">
        <v>31953</v>
      </c>
      <c r="C6677" s="188">
        <v>8.25</v>
      </c>
      <c r="D6677" s="104">
        <f t="shared" si="103"/>
        <v>8.2500000000000004E-2</v>
      </c>
      <c r="F6677" s="5"/>
    </row>
    <row r="6678" spans="2:6" ht="13.8" hidden="1" outlineLevel="1">
      <c r="B6678" s="187">
        <v>31954</v>
      </c>
      <c r="C6678" s="188">
        <v>8.3699999999999992</v>
      </c>
      <c r="D6678" s="104">
        <f t="shared" si="103"/>
        <v>8.3699999999999997E-2</v>
      </c>
      <c r="F6678" s="5"/>
    </row>
    <row r="6679" spans="2:6" ht="13.8" hidden="1" outlineLevel="1">
      <c r="B6679" s="187">
        <v>31957</v>
      </c>
      <c r="C6679" s="188">
        <v>8.34</v>
      </c>
      <c r="D6679" s="104">
        <f t="shared" si="103"/>
        <v>8.3400000000000002E-2</v>
      </c>
      <c r="F6679" s="5"/>
    </row>
    <row r="6680" spans="2:6" ht="13.8" hidden="1" outlineLevel="1">
      <c r="B6680" s="187">
        <v>31958</v>
      </c>
      <c r="C6680" s="188">
        <v>8.3800000000000008</v>
      </c>
      <c r="D6680" s="104">
        <f t="shared" si="103"/>
        <v>8.3800000000000013E-2</v>
      </c>
      <c r="F6680" s="5"/>
    </row>
    <row r="6681" spans="2:6" ht="13.8" hidden="1" outlineLevel="1">
      <c r="B6681" s="187">
        <v>31959</v>
      </c>
      <c r="C6681" s="188">
        <v>8.36</v>
      </c>
      <c r="D6681" s="104">
        <f t="shared" si="103"/>
        <v>8.3599999999999994E-2</v>
      </c>
      <c r="F6681" s="5"/>
    </row>
    <row r="6682" spans="2:6" ht="13.8" hidden="1" outlineLevel="1">
      <c r="B6682" s="187">
        <v>31960</v>
      </c>
      <c r="C6682" s="188">
        <v>8.3000000000000007</v>
      </c>
      <c r="D6682" s="104">
        <f t="shared" si="103"/>
        <v>8.3000000000000004E-2</v>
      </c>
      <c r="F6682" s="5"/>
    </row>
    <row r="6683" spans="2:6" ht="13.8" hidden="1" outlineLevel="1">
      <c r="B6683" s="187">
        <v>31961</v>
      </c>
      <c r="C6683" s="188" t="s">
        <v>380</v>
      </c>
      <c r="D6683" s="104">
        <f t="shared" si="103"/>
        <v>8.3000000000000004E-2</v>
      </c>
      <c r="F6683" s="5"/>
    </row>
    <row r="6684" spans="2:6" ht="13.8" hidden="1" outlineLevel="1">
      <c r="B6684" s="187">
        <v>31964</v>
      </c>
      <c r="C6684" s="188">
        <v>8.2899999999999991</v>
      </c>
      <c r="D6684" s="104">
        <f t="shared" si="103"/>
        <v>8.2899999999999988E-2</v>
      </c>
      <c r="F6684" s="5"/>
    </row>
    <row r="6685" spans="2:6" ht="13.8" hidden="1" outlineLevel="1">
      <c r="B6685" s="187">
        <v>31965</v>
      </c>
      <c r="C6685" s="188">
        <v>8.2799999999999994</v>
      </c>
      <c r="D6685" s="104">
        <f t="shared" si="103"/>
        <v>8.2799999999999999E-2</v>
      </c>
      <c r="F6685" s="5"/>
    </row>
    <row r="6686" spans="2:6" ht="13.8" hidden="1" outlineLevel="1">
      <c r="B6686" s="187">
        <v>31966</v>
      </c>
      <c r="C6686" s="188">
        <v>8.32</v>
      </c>
      <c r="D6686" s="104">
        <f t="shared" ref="D6686:D6749" si="104">IF( LEN( C6686 ) = 0, #N/A, IF( C6686 = "ND", D6685, C6686 / 100 ) )</f>
        <v>8.3199999999999996E-2</v>
      </c>
      <c r="F6686" s="5"/>
    </row>
    <row r="6687" spans="2:6" ht="13.8" hidden="1" outlineLevel="1">
      <c r="B6687" s="187">
        <v>31967</v>
      </c>
      <c r="C6687" s="188">
        <v>8.3699999999999992</v>
      </c>
      <c r="D6687" s="104">
        <f t="shared" si="104"/>
        <v>8.3699999999999997E-2</v>
      </c>
      <c r="F6687" s="5"/>
    </row>
    <row r="6688" spans="2:6" ht="13.8" hidden="1" outlineLevel="1">
      <c r="B6688" s="187">
        <v>31968</v>
      </c>
      <c r="C6688" s="188">
        <v>8.32</v>
      </c>
      <c r="D6688" s="104">
        <f t="shared" si="104"/>
        <v>8.3199999999999996E-2</v>
      </c>
      <c r="F6688" s="5"/>
    </row>
    <row r="6689" spans="2:6" ht="13.8" hidden="1" outlineLevel="1">
      <c r="B6689" s="187">
        <v>31971</v>
      </c>
      <c r="C6689" s="188">
        <v>8.3800000000000008</v>
      </c>
      <c r="D6689" s="104">
        <f t="shared" si="104"/>
        <v>8.3800000000000013E-2</v>
      </c>
      <c r="F6689" s="5"/>
    </row>
    <row r="6690" spans="2:6" ht="13.8" hidden="1" outlineLevel="1">
      <c r="B6690" s="187">
        <v>31972</v>
      </c>
      <c r="C6690" s="188">
        <v>8.33</v>
      </c>
      <c r="D6690" s="104">
        <f t="shared" si="104"/>
        <v>8.3299999999999999E-2</v>
      </c>
      <c r="F6690" s="5"/>
    </row>
    <row r="6691" spans="2:6" ht="13.8" hidden="1" outlineLevel="1">
      <c r="B6691" s="187">
        <v>31973</v>
      </c>
      <c r="C6691" s="188">
        <v>8.43</v>
      </c>
      <c r="D6691" s="104">
        <f t="shared" si="104"/>
        <v>8.43E-2</v>
      </c>
      <c r="F6691" s="5"/>
    </row>
    <row r="6692" spans="2:6" ht="13.8" hidden="1" outlineLevel="1">
      <c r="B6692" s="187">
        <v>31974</v>
      </c>
      <c r="C6692" s="188">
        <v>8.41</v>
      </c>
      <c r="D6692" s="104">
        <f t="shared" si="104"/>
        <v>8.4100000000000008E-2</v>
      </c>
      <c r="F6692" s="5"/>
    </row>
    <row r="6693" spans="2:6" ht="13.8" hidden="1" outlineLevel="1">
      <c r="B6693" s="187">
        <v>31975</v>
      </c>
      <c r="C6693" s="188">
        <v>8.36</v>
      </c>
      <c r="D6693" s="104">
        <f t="shared" si="104"/>
        <v>8.3599999999999994E-2</v>
      </c>
      <c r="F6693" s="5"/>
    </row>
    <row r="6694" spans="2:6" ht="13.8" hidden="1" outlineLevel="1">
      <c r="B6694" s="187">
        <v>31978</v>
      </c>
      <c r="C6694" s="188">
        <v>8.41</v>
      </c>
      <c r="D6694" s="104">
        <f t="shared" si="104"/>
        <v>8.4100000000000008E-2</v>
      </c>
      <c r="F6694" s="5"/>
    </row>
    <row r="6695" spans="2:6" ht="13.8" hidden="1" outlineLevel="1">
      <c r="B6695" s="187">
        <v>31979</v>
      </c>
      <c r="C6695" s="188">
        <v>8.49</v>
      </c>
      <c r="D6695" s="104">
        <f t="shared" si="104"/>
        <v>8.4900000000000003E-2</v>
      </c>
      <c r="F6695" s="5"/>
    </row>
    <row r="6696" spans="2:6" ht="13.8" hidden="1" outlineLevel="1">
      <c r="B6696" s="187">
        <v>31980</v>
      </c>
      <c r="C6696" s="188">
        <v>8.5399999999999991</v>
      </c>
      <c r="D6696" s="104">
        <f t="shared" si="104"/>
        <v>8.539999999999999E-2</v>
      </c>
      <c r="F6696" s="5"/>
    </row>
    <row r="6697" spans="2:6" ht="13.8" hidden="1" outlineLevel="1">
      <c r="B6697" s="187">
        <v>31981</v>
      </c>
      <c r="C6697" s="188">
        <v>8.56</v>
      </c>
      <c r="D6697" s="104">
        <f t="shared" si="104"/>
        <v>8.5600000000000009E-2</v>
      </c>
      <c r="F6697" s="5"/>
    </row>
    <row r="6698" spans="2:6" ht="13.8" hidden="1" outlineLevel="1">
      <c r="B6698" s="187">
        <v>31982</v>
      </c>
      <c r="C6698" s="188">
        <v>8.58</v>
      </c>
      <c r="D6698" s="104">
        <f t="shared" si="104"/>
        <v>8.5800000000000001E-2</v>
      </c>
      <c r="F6698" s="5"/>
    </row>
    <row r="6699" spans="2:6" ht="13.8" hidden="1" outlineLevel="1">
      <c r="B6699" s="187">
        <v>31985</v>
      </c>
      <c r="C6699" s="188">
        <v>8.6</v>
      </c>
      <c r="D6699" s="104">
        <f t="shared" si="104"/>
        <v>8.5999999999999993E-2</v>
      </c>
      <c r="F6699" s="5"/>
    </row>
    <row r="6700" spans="2:6" ht="13.8" hidden="1" outlineLevel="1">
      <c r="B6700" s="187">
        <v>31986</v>
      </c>
      <c r="C6700" s="188">
        <v>8.6199999999999992</v>
      </c>
      <c r="D6700" s="104">
        <f t="shared" si="104"/>
        <v>8.6199999999999999E-2</v>
      </c>
      <c r="F6700" s="5"/>
    </row>
    <row r="6701" spans="2:6" ht="13.8" hidden="1" outlineLevel="1">
      <c r="B6701" s="187">
        <v>31987</v>
      </c>
      <c r="C6701" s="188">
        <v>8.61</v>
      </c>
      <c r="D6701" s="104">
        <f t="shared" si="104"/>
        <v>8.6099999999999996E-2</v>
      </c>
      <c r="F6701" s="5"/>
    </row>
    <row r="6702" spans="2:6" ht="13.8" hidden="1" outlineLevel="1">
      <c r="B6702" s="187">
        <v>31988</v>
      </c>
      <c r="C6702" s="188">
        <v>8.61</v>
      </c>
      <c r="D6702" s="104">
        <f t="shared" si="104"/>
        <v>8.6099999999999996E-2</v>
      </c>
      <c r="F6702" s="5"/>
    </row>
    <row r="6703" spans="2:6" ht="13.8" hidden="1" outlineLevel="1">
      <c r="B6703" s="187">
        <v>31989</v>
      </c>
      <c r="C6703" s="188">
        <v>8.66</v>
      </c>
      <c r="D6703" s="104">
        <f t="shared" si="104"/>
        <v>8.6599999999999996E-2</v>
      </c>
      <c r="F6703" s="5"/>
    </row>
    <row r="6704" spans="2:6" ht="13.8" hidden="1" outlineLevel="1">
      <c r="B6704" s="187">
        <v>31992</v>
      </c>
      <c r="C6704" s="188">
        <v>8.81</v>
      </c>
      <c r="D6704" s="104">
        <f t="shared" si="104"/>
        <v>8.8100000000000012E-2</v>
      </c>
      <c r="F6704" s="5"/>
    </row>
    <row r="6705" spans="2:6" ht="13.8" hidden="1" outlineLevel="1">
      <c r="B6705" s="187">
        <v>31993</v>
      </c>
      <c r="C6705" s="188">
        <v>8.81</v>
      </c>
      <c r="D6705" s="104">
        <f t="shared" si="104"/>
        <v>8.8100000000000012E-2</v>
      </c>
      <c r="F6705" s="5"/>
    </row>
    <row r="6706" spans="2:6" ht="13.8" hidden="1" outlineLevel="1">
      <c r="B6706" s="187">
        <v>31994</v>
      </c>
      <c r="C6706" s="188">
        <v>8.7100000000000009</v>
      </c>
      <c r="D6706" s="104">
        <f t="shared" si="104"/>
        <v>8.7100000000000011E-2</v>
      </c>
      <c r="F6706" s="5"/>
    </row>
    <row r="6707" spans="2:6" ht="13.8" hidden="1" outlineLevel="1">
      <c r="B6707" s="187">
        <v>31995</v>
      </c>
      <c r="C6707" s="188">
        <v>8.73</v>
      </c>
      <c r="D6707" s="104">
        <f t="shared" si="104"/>
        <v>8.7300000000000003E-2</v>
      </c>
      <c r="F6707" s="5"/>
    </row>
    <row r="6708" spans="2:6" ht="13.8" hidden="1" outlineLevel="1">
      <c r="B6708" s="187">
        <v>31996</v>
      </c>
      <c r="C6708" s="188">
        <v>8.6999999999999993</v>
      </c>
      <c r="D6708" s="104">
        <f t="shared" si="104"/>
        <v>8.6999999999999994E-2</v>
      </c>
      <c r="F6708" s="5"/>
    </row>
    <row r="6709" spans="2:6" ht="13.8" hidden="1" outlineLevel="1">
      <c r="B6709" s="187">
        <v>31999</v>
      </c>
      <c r="C6709" s="188">
        <v>8.74</v>
      </c>
      <c r="D6709" s="104">
        <f t="shared" si="104"/>
        <v>8.7400000000000005E-2</v>
      </c>
      <c r="F6709" s="5"/>
    </row>
    <row r="6710" spans="2:6" ht="13.8" hidden="1" outlineLevel="1">
      <c r="B6710" s="187">
        <v>32000</v>
      </c>
      <c r="C6710" s="188">
        <v>8.73</v>
      </c>
      <c r="D6710" s="104">
        <f t="shared" si="104"/>
        <v>8.7300000000000003E-2</v>
      </c>
      <c r="F6710" s="5"/>
    </row>
    <row r="6711" spans="2:6" ht="13.8" hidden="1" outlineLevel="1">
      <c r="B6711" s="187">
        <v>32001</v>
      </c>
      <c r="C6711" s="188">
        <v>8.7200000000000006</v>
      </c>
      <c r="D6711" s="104">
        <f t="shared" si="104"/>
        <v>8.72E-2</v>
      </c>
      <c r="F6711" s="5"/>
    </row>
    <row r="6712" spans="2:6" ht="13.8" hidden="1" outlineLevel="1">
      <c r="B6712" s="187">
        <v>32002</v>
      </c>
      <c r="C6712" s="188">
        <v>8.6300000000000008</v>
      </c>
      <c r="D6712" s="104">
        <f t="shared" si="104"/>
        <v>8.6300000000000002E-2</v>
      </c>
      <c r="F6712" s="5"/>
    </row>
    <row r="6713" spans="2:6" ht="13.8" hidden="1" outlineLevel="1">
      <c r="B6713" s="187">
        <v>32003</v>
      </c>
      <c r="C6713" s="188">
        <v>8.58</v>
      </c>
      <c r="D6713" s="104">
        <f t="shared" si="104"/>
        <v>8.5800000000000001E-2</v>
      </c>
      <c r="F6713" s="5"/>
    </row>
    <row r="6714" spans="2:6" ht="13.8" hidden="1" outlineLevel="1">
      <c r="B6714" s="187">
        <v>32006</v>
      </c>
      <c r="C6714" s="188">
        <v>8.56</v>
      </c>
      <c r="D6714" s="104">
        <f t="shared" si="104"/>
        <v>8.5600000000000009E-2</v>
      </c>
      <c r="F6714" s="5"/>
    </row>
    <row r="6715" spans="2:6" ht="13.8" hidden="1" outlineLevel="1">
      <c r="B6715" s="187">
        <v>32007</v>
      </c>
      <c r="C6715" s="188">
        <v>8.73</v>
      </c>
      <c r="D6715" s="104">
        <f t="shared" si="104"/>
        <v>8.7300000000000003E-2</v>
      </c>
      <c r="F6715" s="5"/>
    </row>
    <row r="6716" spans="2:6" ht="13.8" hidden="1" outlineLevel="1">
      <c r="B6716" s="187">
        <v>32008</v>
      </c>
      <c r="C6716" s="188">
        <v>8.77</v>
      </c>
      <c r="D6716" s="104">
        <f t="shared" si="104"/>
        <v>8.77E-2</v>
      </c>
      <c r="F6716" s="5"/>
    </row>
    <row r="6717" spans="2:6" ht="13.8" hidden="1" outlineLevel="1">
      <c r="B6717" s="187">
        <v>32009</v>
      </c>
      <c r="C6717" s="188">
        <v>8.74</v>
      </c>
      <c r="D6717" s="104">
        <f t="shared" si="104"/>
        <v>8.7400000000000005E-2</v>
      </c>
      <c r="F6717" s="5"/>
    </row>
    <row r="6718" spans="2:6" ht="13.8" hidden="1" outlineLevel="1">
      <c r="B6718" s="187">
        <v>32010</v>
      </c>
      <c r="C6718" s="188">
        <v>8.77</v>
      </c>
      <c r="D6718" s="104">
        <f t="shared" si="104"/>
        <v>8.77E-2</v>
      </c>
      <c r="F6718" s="5"/>
    </row>
    <row r="6719" spans="2:6" ht="13.8" hidden="1" outlineLevel="1">
      <c r="B6719" s="187">
        <v>32013</v>
      </c>
      <c r="C6719" s="188">
        <v>8.7799999999999994</v>
      </c>
      <c r="D6719" s="104">
        <f t="shared" si="104"/>
        <v>8.7799999999999989E-2</v>
      </c>
      <c r="F6719" s="5"/>
    </row>
    <row r="6720" spans="2:6" ht="13.8" hidden="1" outlineLevel="1">
      <c r="B6720" s="187">
        <v>32014</v>
      </c>
      <c r="C6720" s="188">
        <v>8.73</v>
      </c>
      <c r="D6720" s="104">
        <f t="shared" si="104"/>
        <v>8.7300000000000003E-2</v>
      </c>
      <c r="F6720" s="5"/>
    </row>
    <row r="6721" spans="2:6" ht="13.8" hidden="1" outlineLevel="1">
      <c r="B6721" s="187">
        <v>32015</v>
      </c>
      <c r="C6721" s="188">
        <v>8.7899999999999991</v>
      </c>
      <c r="D6721" s="104">
        <f t="shared" si="104"/>
        <v>8.7899999999999992E-2</v>
      </c>
      <c r="F6721" s="5"/>
    </row>
    <row r="6722" spans="2:6" ht="13.8" hidden="1" outlineLevel="1">
      <c r="B6722" s="187">
        <v>32016</v>
      </c>
      <c r="C6722" s="188">
        <v>8.92</v>
      </c>
      <c r="D6722" s="104">
        <f t="shared" si="104"/>
        <v>8.9200000000000002E-2</v>
      </c>
      <c r="F6722" s="5"/>
    </row>
    <row r="6723" spans="2:6" ht="13.8" hidden="1" outlineLevel="1">
      <c r="B6723" s="187">
        <v>32017</v>
      </c>
      <c r="C6723" s="188">
        <v>9.02</v>
      </c>
      <c r="D6723" s="104">
        <f t="shared" si="104"/>
        <v>9.0200000000000002E-2</v>
      </c>
      <c r="F6723" s="5"/>
    </row>
    <row r="6724" spans="2:6" ht="13.8" hidden="1" outlineLevel="1">
      <c r="B6724" s="187">
        <v>32020</v>
      </c>
      <c r="C6724" s="188">
        <v>9</v>
      </c>
      <c r="D6724" s="104">
        <f t="shared" si="104"/>
        <v>0.09</v>
      </c>
      <c r="F6724" s="5"/>
    </row>
    <row r="6725" spans="2:6" ht="13.8" hidden="1" outlineLevel="1">
      <c r="B6725" s="187">
        <v>32021</v>
      </c>
      <c r="C6725" s="188">
        <v>9.0500000000000007</v>
      </c>
      <c r="D6725" s="104">
        <f t="shared" si="104"/>
        <v>9.0500000000000011E-2</v>
      </c>
      <c r="F6725" s="5"/>
    </row>
    <row r="6726" spans="2:6" ht="13.8" hidden="1" outlineLevel="1">
      <c r="B6726" s="187">
        <v>32022</v>
      </c>
      <c r="C6726" s="188">
        <v>9.2799999999999994</v>
      </c>
      <c r="D6726" s="104">
        <f t="shared" si="104"/>
        <v>9.2799999999999994E-2</v>
      </c>
      <c r="F6726" s="5"/>
    </row>
    <row r="6727" spans="2:6" ht="13.8" hidden="1" outlineLevel="1">
      <c r="B6727" s="187">
        <v>32023</v>
      </c>
      <c r="C6727" s="188">
        <v>9.2899999999999991</v>
      </c>
      <c r="D6727" s="104">
        <f t="shared" si="104"/>
        <v>9.2899999999999996E-2</v>
      </c>
      <c r="F6727" s="5"/>
    </row>
    <row r="6728" spans="2:6" ht="13.8" hidden="1" outlineLevel="1">
      <c r="B6728" s="187">
        <v>32024</v>
      </c>
      <c r="C6728" s="188">
        <v>9.3000000000000007</v>
      </c>
      <c r="D6728" s="104">
        <f t="shared" si="104"/>
        <v>9.3000000000000013E-2</v>
      </c>
      <c r="F6728" s="5"/>
    </row>
    <row r="6729" spans="2:6" ht="13.8" hidden="1" outlineLevel="1">
      <c r="B6729" s="187">
        <v>32027</v>
      </c>
      <c r="C6729" s="188" t="s">
        <v>380</v>
      </c>
      <c r="D6729" s="104">
        <f t="shared" si="104"/>
        <v>9.3000000000000013E-2</v>
      </c>
      <c r="F6729" s="5"/>
    </row>
    <row r="6730" spans="2:6" ht="13.8" hidden="1" outlineLevel="1">
      <c r="B6730" s="187">
        <v>32028</v>
      </c>
      <c r="C6730" s="188">
        <v>9.5</v>
      </c>
      <c r="D6730" s="104">
        <f t="shared" si="104"/>
        <v>9.5000000000000001E-2</v>
      </c>
      <c r="F6730" s="5"/>
    </row>
    <row r="6731" spans="2:6" ht="13.8" hidden="1" outlineLevel="1">
      <c r="B6731" s="187">
        <v>32029</v>
      </c>
      <c r="C6731" s="188">
        <v>9.48</v>
      </c>
      <c r="D6731" s="104">
        <f t="shared" si="104"/>
        <v>9.4800000000000009E-2</v>
      </c>
      <c r="F6731" s="5"/>
    </row>
    <row r="6732" spans="2:6" ht="13.8" hidden="1" outlineLevel="1">
      <c r="B6732" s="187">
        <v>32030</v>
      </c>
      <c r="C6732" s="188">
        <v>9.42</v>
      </c>
      <c r="D6732" s="104">
        <f t="shared" si="104"/>
        <v>9.4200000000000006E-2</v>
      </c>
      <c r="F6732" s="5"/>
    </row>
    <row r="6733" spans="2:6" ht="13.8" hidden="1" outlineLevel="1">
      <c r="B6733" s="187">
        <v>32031</v>
      </c>
      <c r="C6733" s="188">
        <v>9.33</v>
      </c>
      <c r="D6733" s="104">
        <f t="shared" si="104"/>
        <v>9.3299999999999994E-2</v>
      </c>
      <c r="F6733" s="5"/>
    </row>
    <row r="6734" spans="2:6" ht="13.8" hidden="1" outlineLevel="1">
      <c r="B6734" s="187">
        <v>32034</v>
      </c>
      <c r="C6734" s="188">
        <v>9.34</v>
      </c>
      <c r="D6734" s="104">
        <f t="shared" si="104"/>
        <v>9.3399999999999997E-2</v>
      </c>
      <c r="F6734" s="5"/>
    </row>
    <row r="6735" spans="2:6" ht="13.8" hidden="1" outlineLevel="1">
      <c r="B6735" s="187">
        <v>32035</v>
      </c>
      <c r="C6735" s="188">
        <v>9.44</v>
      </c>
      <c r="D6735" s="104">
        <f t="shared" si="104"/>
        <v>9.4399999999999998E-2</v>
      </c>
      <c r="F6735" s="5"/>
    </row>
    <row r="6736" spans="2:6" ht="13.8" hidden="1" outlineLevel="1">
      <c r="B6736" s="187">
        <v>32036</v>
      </c>
      <c r="C6736" s="188">
        <v>9.52</v>
      </c>
      <c r="D6736" s="104">
        <f t="shared" si="104"/>
        <v>9.5199999999999993E-2</v>
      </c>
      <c r="F6736" s="5"/>
    </row>
    <row r="6737" spans="2:6" ht="13.8" hidden="1" outlineLevel="1">
      <c r="B6737" s="187">
        <v>32037</v>
      </c>
      <c r="C6737" s="188">
        <v>9.48</v>
      </c>
      <c r="D6737" s="104">
        <f t="shared" si="104"/>
        <v>9.4800000000000009E-2</v>
      </c>
      <c r="F6737" s="5"/>
    </row>
    <row r="6738" spans="2:6" ht="13.8" hidden="1" outlineLevel="1">
      <c r="B6738" s="187">
        <v>32038</v>
      </c>
      <c r="C6738" s="188">
        <v>9.3800000000000008</v>
      </c>
      <c r="D6738" s="104">
        <f t="shared" si="104"/>
        <v>9.3800000000000008E-2</v>
      </c>
      <c r="F6738" s="5"/>
    </row>
    <row r="6739" spans="2:6" ht="13.8" hidden="1" outlineLevel="1">
      <c r="B6739" s="187">
        <v>32041</v>
      </c>
      <c r="C6739" s="188">
        <v>9.4499999999999993</v>
      </c>
      <c r="D6739" s="104">
        <f t="shared" si="104"/>
        <v>9.4499999999999987E-2</v>
      </c>
      <c r="F6739" s="5"/>
    </row>
    <row r="6740" spans="2:6" ht="13.8" hidden="1" outlineLevel="1">
      <c r="B6740" s="187">
        <v>32042</v>
      </c>
      <c r="C6740" s="188">
        <v>9.3699999999999992</v>
      </c>
      <c r="D6740" s="104">
        <f t="shared" si="104"/>
        <v>9.3699999999999992E-2</v>
      </c>
      <c r="F6740" s="5"/>
    </row>
    <row r="6741" spans="2:6" ht="13.8" hidden="1" outlineLevel="1">
      <c r="B6741" s="187">
        <v>32043</v>
      </c>
      <c r="C6741" s="188">
        <v>9.4</v>
      </c>
      <c r="D6741" s="104">
        <f t="shared" si="104"/>
        <v>9.4E-2</v>
      </c>
      <c r="F6741" s="5"/>
    </row>
    <row r="6742" spans="2:6" ht="13.8" hidden="1" outlineLevel="1">
      <c r="B6742" s="187">
        <v>32044</v>
      </c>
      <c r="C6742" s="188">
        <v>9.51</v>
      </c>
      <c r="D6742" s="104">
        <f t="shared" si="104"/>
        <v>9.5100000000000004E-2</v>
      </c>
      <c r="F6742" s="5"/>
    </row>
    <row r="6743" spans="2:6" ht="13.8" hidden="1" outlineLevel="1">
      <c r="B6743" s="187">
        <v>32045</v>
      </c>
      <c r="C6743" s="188">
        <v>9.5299999999999994</v>
      </c>
      <c r="D6743" s="104">
        <f t="shared" si="104"/>
        <v>9.5299999999999996E-2</v>
      </c>
      <c r="F6743" s="5"/>
    </row>
    <row r="6744" spans="2:6" ht="13.8" hidden="1" outlineLevel="1">
      <c r="B6744" s="187">
        <v>32048</v>
      </c>
      <c r="C6744" s="188">
        <v>9.52</v>
      </c>
      <c r="D6744" s="104">
        <f t="shared" si="104"/>
        <v>9.5199999999999993E-2</v>
      </c>
      <c r="F6744" s="5"/>
    </row>
    <row r="6745" spans="2:6" ht="13.8" hidden="1" outlineLevel="1">
      <c r="B6745" s="187">
        <v>32049</v>
      </c>
      <c r="C6745" s="188">
        <v>9.64</v>
      </c>
      <c r="D6745" s="104">
        <f t="shared" si="104"/>
        <v>9.64E-2</v>
      </c>
      <c r="F6745" s="5"/>
    </row>
    <row r="6746" spans="2:6" ht="13.8" hidden="1" outlineLevel="1">
      <c r="B6746" s="187">
        <v>32050</v>
      </c>
      <c r="C6746" s="188">
        <v>9.6300000000000008</v>
      </c>
      <c r="D6746" s="104">
        <f t="shared" si="104"/>
        <v>9.6300000000000011E-2</v>
      </c>
      <c r="F6746" s="5"/>
    </row>
    <row r="6747" spans="2:6" ht="13.8" hidden="1" outlineLevel="1">
      <c r="B6747" s="187">
        <v>32051</v>
      </c>
      <c r="C6747" s="188">
        <v>9.66</v>
      </c>
      <c r="D6747" s="104">
        <f t="shared" si="104"/>
        <v>9.6600000000000005E-2</v>
      </c>
      <c r="F6747" s="5"/>
    </row>
    <row r="6748" spans="2:6" ht="13.8" hidden="1" outlineLevel="1">
      <c r="B6748" s="187">
        <v>32052</v>
      </c>
      <c r="C6748" s="188">
        <v>9.6</v>
      </c>
      <c r="D6748" s="104">
        <f t="shared" si="104"/>
        <v>9.6000000000000002E-2</v>
      </c>
      <c r="F6748" s="5"/>
    </row>
    <row r="6749" spans="2:6" ht="13.8" hidden="1" outlineLevel="1">
      <c r="B6749" s="187">
        <v>32055</v>
      </c>
      <c r="C6749" s="188">
        <v>9.69</v>
      </c>
      <c r="D6749" s="104">
        <f t="shared" si="104"/>
        <v>9.69E-2</v>
      </c>
      <c r="F6749" s="5"/>
    </row>
    <row r="6750" spans="2:6" ht="13.8" hidden="1" outlineLevel="1">
      <c r="B6750" s="187">
        <v>32056</v>
      </c>
      <c r="C6750" s="188">
        <v>9.7200000000000006</v>
      </c>
      <c r="D6750" s="104">
        <f t="shared" ref="D6750:D6813" si="105">IF( LEN( C6750 ) = 0, #N/A, IF( C6750 = "ND", D6749, C6750 / 100 ) )</f>
        <v>9.7200000000000009E-2</v>
      </c>
      <c r="F6750" s="5"/>
    </row>
    <row r="6751" spans="2:6" ht="13.8" hidden="1" outlineLevel="1">
      <c r="B6751" s="187">
        <v>32057</v>
      </c>
      <c r="C6751" s="188">
        <v>9.7100000000000009</v>
      </c>
      <c r="D6751" s="104">
        <f t="shared" si="105"/>
        <v>9.7100000000000006E-2</v>
      </c>
      <c r="F6751" s="5"/>
    </row>
    <row r="6752" spans="2:6" ht="13.8" hidden="1" outlineLevel="1">
      <c r="B6752" s="187">
        <v>32058</v>
      </c>
      <c r="C6752" s="188">
        <v>9.86</v>
      </c>
      <c r="D6752" s="104">
        <f t="shared" si="105"/>
        <v>9.8599999999999993E-2</v>
      </c>
      <c r="F6752" s="5"/>
    </row>
    <row r="6753" spans="2:6" ht="13.8" hidden="1" outlineLevel="1">
      <c r="B6753" s="187">
        <v>32059</v>
      </c>
      <c r="C6753" s="188">
        <v>9.94</v>
      </c>
      <c r="D6753" s="104">
        <f t="shared" si="105"/>
        <v>9.9399999999999988E-2</v>
      </c>
      <c r="F6753" s="5"/>
    </row>
    <row r="6754" spans="2:6" ht="13.8" hidden="1" outlineLevel="1">
      <c r="B6754" s="187">
        <v>32062</v>
      </c>
      <c r="C6754" s="188" t="s">
        <v>380</v>
      </c>
      <c r="D6754" s="104">
        <f t="shared" si="105"/>
        <v>9.9399999999999988E-2</v>
      </c>
      <c r="F6754" s="5"/>
    </row>
    <row r="6755" spans="2:6" ht="13.8" hidden="1" outlineLevel="1">
      <c r="B6755" s="187">
        <v>32063</v>
      </c>
      <c r="C6755" s="188">
        <v>9.9</v>
      </c>
      <c r="D6755" s="104">
        <f t="shared" si="105"/>
        <v>9.9000000000000005E-2</v>
      </c>
      <c r="F6755" s="5"/>
    </row>
    <row r="6756" spans="2:6" ht="13.8" hidden="1" outlineLevel="1">
      <c r="B6756" s="187">
        <v>32064</v>
      </c>
      <c r="C6756" s="188">
        <v>10.130000000000001</v>
      </c>
      <c r="D6756" s="104">
        <f t="shared" si="105"/>
        <v>0.1013</v>
      </c>
      <c r="F6756" s="5"/>
    </row>
    <row r="6757" spans="2:6" ht="13.8" hidden="1" outlineLevel="1">
      <c r="B6757" s="187">
        <v>32065</v>
      </c>
      <c r="C6757" s="188">
        <v>10.18</v>
      </c>
      <c r="D6757" s="104">
        <f t="shared" si="105"/>
        <v>0.1018</v>
      </c>
      <c r="F6757" s="5"/>
    </row>
    <row r="6758" spans="2:6" ht="13.8" hidden="1" outlineLevel="1">
      <c r="B6758" s="187">
        <v>32066</v>
      </c>
      <c r="C6758" s="188">
        <v>10.23</v>
      </c>
      <c r="D6758" s="104">
        <f t="shared" si="105"/>
        <v>0.1023</v>
      </c>
      <c r="F6758" s="5"/>
    </row>
    <row r="6759" spans="2:6" ht="13.8" hidden="1" outlineLevel="1">
      <c r="B6759" s="187">
        <v>32069</v>
      </c>
      <c r="C6759" s="188">
        <v>10.15</v>
      </c>
      <c r="D6759" s="104">
        <f t="shared" si="105"/>
        <v>0.10150000000000001</v>
      </c>
      <c r="F6759" s="5"/>
    </row>
    <row r="6760" spans="2:6" ht="13.8" hidden="1" outlineLevel="1">
      <c r="B6760" s="187">
        <v>32070</v>
      </c>
      <c r="C6760" s="188">
        <v>9.4</v>
      </c>
      <c r="D6760" s="104">
        <f t="shared" si="105"/>
        <v>9.4E-2</v>
      </c>
      <c r="F6760" s="5"/>
    </row>
    <row r="6761" spans="2:6" ht="13.8" hidden="1" outlineLevel="1">
      <c r="B6761" s="187">
        <v>32071</v>
      </c>
      <c r="C6761" s="188">
        <v>9.3000000000000007</v>
      </c>
      <c r="D6761" s="104">
        <f t="shared" si="105"/>
        <v>9.3000000000000013E-2</v>
      </c>
      <c r="F6761" s="5"/>
    </row>
    <row r="6762" spans="2:6" ht="13.8" hidden="1" outlineLevel="1">
      <c r="B6762" s="187">
        <v>32072</v>
      </c>
      <c r="C6762" s="188">
        <v>8.9700000000000006</v>
      </c>
      <c r="D6762" s="104">
        <f t="shared" si="105"/>
        <v>8.9700000000000002E-2</v>
      </c>
      <c r="F6762" s="5"/>
    </row>
    <row r="6763" spans="2:6" ht="13.8" hidden="1" outlineLevel="1">
      <c r="B6763" s="187">
        <v>32073</v>
      </c>
      <c r="C6763" s="188">
        <v>8.98</v>
      </c>
      <c r="D6763" s="104">
        <f t="shared" si="105"/>
        <v>8.9800000000000005E-2</v>
      </c>
      <c r="F6763" s="5"/>
    </row>
    <row r="6764" spans="2:6" ht="13.8" hidden="1" outlineLevel="1">
      <c r="B6764" s="187">
        <v>32076</v>
      </c>
      <c r="C6764" s="188">
        <v>8.8000000000000007</v>
      </c>
      <c r="D6764" s="104">
        <f t="shared" si="105"/>
        <v>8.8000000000000009E-2</v>
      </c>
      <c r="F6764" s="5"/>
    </row>
    <row r="6765" spans="2:6" ht="13.8" hidden="1" outlineLevel="1">
      <c r="B6765" s="187">
        <v>32077</v>
      </c>
      <c r="C6765" s="188">
        <v>8.92</v>
      </c>
      <c r="D6765" s="104">
        <f t="shared" si="105"/>
        <v>8.9200000000000002E-2</v>
      </c>
      <c r="F6765" s="5"/>
    </row>
    <row r="6766" spans="2:6" ht="13.8" hidden="1" outlineLevel="1">
      <c r="B6766" s="187">
        <v>32078</v>
      </c>
      <c r="C6766" s="188">
        <v>9.01</v>
      </c>
      <c r="D6766" s="104">
        <f t="shared" si="105"/>
        <v>9.01E-2</v>
      </c>
      <c r="F6766" s="5"/>
    </row>
    <row r="6767" spans="2:6" ht="13.8" hidden="1" outlineLevel="1">
      <c r="B6767" s="187">
        <v>32079</v>
      </c>
      <c r="C6767" s="188">
        <v>8.89</v>
      </c>
      <c r="D6767" s="104">
        <f t="shared" si="105"/>
        <v>8.8900000000000007E-2</v>
      </c>
      <c r="F6767" s="5"/>
    </row>
    <row r="6768" spans="2:6" ht="13.8" hidden="1" outlineLevel="1">
      <c r="B6768" s="187">
        <v>32080</v>
      </c>
      <c r="C6768" s="188">
        <v>8.8800000000000008</v>
      </c>
      <c r="D6768" s="104">
        <f t="shared" si="105"/>
        <v>8.8800000000000004E-2</v>
      </c>
      <c r="F6768" s="5"/>
    </row>
    <row r="6769" spans="2:6" ht="13.8" hidden="1" outlineLevel="1">
      <c r="B6769" s="187">
        <v>32083</v>
      </c>
      <c r="C6769" s="188">
        <v>8.98</v>
      </c>
      <c r="D6769" s="104">
        <f t="shared" si="105"/>
        <v>8.9800000000000005E-2</v>
      </c>
      <c r="F6769" s="5"/>
    </row>
    <row r="6770" spans="2:6" ht="13.8" hidden="1" outlineLevel="1">
      <c r="B6770" s="187">
        <v>32084</v>
      </c>
      <c r="C6770" s="188">
        <v>8.91</v>
      </c>
      <c r="D6770" s="104">
        <f t="shared" si="105"/>
        <v>8.9099999999999999E-2</v>
      </c>
      <c r="F6770" s="5"/>
    </row>
    <row r="6771" spans="2:6" ht="13.8" hidden="1" outlineLevel="1">
      <c r="B6771" s="187">
        <v>32085</v>
      </c>
      <c r="C6771" s="188">
        <v>8.85</v>
      </c>
      <c r="D6771" s="104">
        <f t="shared" si="105"/>
        <v>8.8499999999999995E-2</v>
      </c>
      <c r="F6771" s="5"/>
    </row>
    <row r="6772" spans="2:6" ht="13.8" hidden="1" outlineLevel="1">
      <c r="B6772" s="187">
        <v>32086</v>
      </c>
      <c r="C6772" s="188">
        <v>8.7200000000000006</v>
      </c>
      <c r="D6772" s="104">
        <f t="shared" si="105"/>
        <v>8.72E-2</v>
      </c>
      <c r="F6772" s="5"/>
    </row>
    <row r="6773" spans="2:6" ht="13.8" hidden="1" outlineLevel="1">
      <c r="B6773" s="187">
        <v>32087</v>
      </c>
      <c r="C6773" s="188">
        <v>8.76</v>
      </c>
      <c r="D6773" s="104">
        <f t="shared" si="105"/>
        <v>8.7599999999999997E-2</v>
      </c>
      <c r="F6773" s="5"/>
    </row>
    <row r="6774" spans="2:6" ht="13.8" hidden="1" outlineLevel="1">
      <c r="B6774" s="187">
        <v>32090</v>
      </c>
      <c r="C6774" s="188">
        <v>8.7799999999999994</v>
      </c>
      <c r="D6774" s="104">
        <f t="shared" si="105"/>
        <v>8.7799999999999989E-2</v>
      </c>
      <c r="F6774" s="5"/>
    </row>
    <row r="6775" spans="2:6" ht="13.8" hidden="1" outlineLevel="1">
      <c r="B6775" s="187">
        <v>32091</v>
      </c>
      <c r="C6775" s="188">
        <v>8.7899999999999991</v>
      </c>
      <c r="D6775" s="104">
        <f t="shared" si="105"/>
        <v>8.7899999999999992E-2</v>
      </c>
      <c r="F6775" s="5"/>
    </row>
    <row r="6776" spans="2:6" ht="13.8" hidden="1" outlineLevel="1">
      <c r="B6776" s="187">
        <v>32092</v>
      </c>
      <c r="C6776" s="188" t="s">
        <v>380</v>
      </c>
      <c r="D6776" s="104">
        <f t="shared" si="105"/>
        <v>8.7899999999999992E-2</v>
      </c>
      <c r="F6776" s="5"/>
    </row>
    <row r="6777" spans="2:6" ht="13.8" hidden="1" outlineLevel="1">
      <c r="B6777" s="187">
        <v>32093</v>
      </c>
      <c r="C6777" s="188">
        <v>8.8000000000000007</v>
      </c>
      <c r="D6777" s="104">
        <f t="shared" si="105"/>
        <v>8.8000000000000009E-2</v>
      </c>
      <c r="F6777" s="5"/>
    </row>
    <row r="6778" spans="2:6" ht="13.8" hidden="1" outlineLevel="1">
      <c r="B6778" s="187">
        <v>32094</v>
      </c>
      <c r="C6778" s="188">
        <v>8.84</v>
      </c>
      <c r="D6778" s="104">
        <f t="shared" si="105"/>
        <v>8.8399999999999992E-2</v>
      </c>
      <c r="F6778" s="5"/>
    </row>
    <row r="6779" spans="2:6" ht="13.8" hidden="1" outlineLevel="1">
      <c r="B6779" s="187">
        <v>32097</v>
      </c>
      <c r="C6779" s="188">
        <v>8.82</v>
      </c>
      <c r="D6779" s="104">
        <f t="shared" si="105"/>
        <v>8.8200000000000001E-2</v>
      </c>
      <c r="F6779" s="5"/>
    </row>
    <row r="6780" spans="2:6" ht="13.8" hidden="1" outlineLevel="1">
      <c r="B6780" s="187">
        <v>32098</v>
      </c>
      <c r="C6780" s="188">
        <v>8.86</v>
      </c>
      <c r="D6780" s="104">
        <f t="shared" si="105"/>
        <v>8.8599999999999998E-2</v>
      </c>
      <c r="F6780" s="5"/>
    </row>
    <row r="6781" spans="2:6" ht="13.8" hidden="1" outlineLevel="1">
      <c r="B6781" s="187">
        <v>32099</v>
      </c>
      <c r="C6781" s="188">
        <v>8.85</v>
      </c>
      <c r="D6781" s="104">
        <f t="shared" si="105"/>
        <v>8.8499999999999995E-2</v>
      </c>
      <c r="F6781" s="5"/>
    </row>
    <row r="6782" spans="2:6" ht="13.8" hidden="1" outlineLevel="1">
      <c r="B6782" s="187">
        <v>32100</v>
      </c>
      <c r="C6782" s="188">
        <v>8.83</v>
      </c>
      <c r="D6782" s="104">
        <f t="shared" si="105"/>
        <v>8.8300000000000003E-2</v>
      </c>
      <c r="F6782" s="5"/>
    </row>
    <row r="6783" spans="2:6" ht="13.8" hidden="1" outlineLevel="1">
      <c r="B6783" s="187">
        <v>32101</v>
      </c>
      <c r="C6783" s="188">
        <v>8.7899999999999991</v>
      </c>
      <c r="D6783" s="104">
        <f t="shared" si="105"/>
        <v>8.7899999999999992E-2</v>
      </c>
      <c r="F6783" s="5"/>
    </row>
    <row r="6784" spans="2:6" ht="13.8" hidden="1" outlineLevel="1">
      <c r="B6784" s="187">
        <v>32104</v>
      </c>
      <c r="C6784" s="188">
        <v>8.8000000000000007</v>
      </c>
      <c r="D6784" s="104">
        <f t="shared" si="105"/>
        <v>8.8000000000000009E-2</v>
      </c>
      <c r="F6784" s="5"/>
    </row>
    <row r="6785" spans="2:6" ht="13.8" hidden="1" outlineLevel="1">
      <c r="B6785" s="187">
        <v>32105</v>
      </c>
      <c r="C6785" s="188">
        <v>8.89</v>
      </c>
      <c r="D6785" s="104">
        <f t="shared" si="105"/>
        <v>8.8900000000000007E-2</v>
      </c>
      <c r="F6785" s="5"/>
    </row>
    <row r="6786" spans="2:6" ht="13.8" hidden="1" outlineLevel="1">
      <c r="B6786" s="187">
        <v>32106</v>
      </c>
      <c r="C6786" s="188">
        <v>8.98</v>
      </c>
      <c r="D6786" s="104">
        <f t="shared" si="105"/>
        <v>8.9800000000000005E-2</v>
      </c>
      <c r="F6786" s="5"/>
    </row>
    <row r="6787" spans="2:6" ht="13.8" hidden="1" outlineLevel="1">
      <c r="B6787" s="187">
        <v>32107</v>
      </c>
      <c r="C6787" s="188" t="s">
        <v>380</v>
      </c>
      <c r="D6787" s="104">
        <f t="shared" si="105"/>
        <v>8.9800000000000005E-2</v>
      </c>
      <c r="F6787" s="5"/>
    </row>
    <row r="6788" spans="2:6" ht="13.8" hidden="1" outlineLevel="1">
      <c r="B6788" s="187">
        <v>32108</v>
      </c>
      <c r="C6788" s="188">
        <v>9.11</v>
      </c>
      <c r="D6788" s="104">
        <f t="shared" si="105"/>
        <v>9.11E-2</v>
      </c>
      <c r="F6788" s="5"/>
    </row>
    <row r="6789" spans="2:6" ht="13.8" hidden="1" outlineLevel="1">
      <c r="B6789" s="187">
        <v>32111</v>
      </c>
      <c r="C6789" s="188">
        <v>8.99</v>
      </c>
      <c r="D6789" s="104">
        <f t="shared" si="105"/>
        <v>8.9900000000000008E-2</v>
      </c>
      <c r="F6789" s="5"/>
    </row>
    <row r="6790" spans="2:6" ht="13.8" hidden="1" outlineLevel="1">
      <c r="B6790" s="187">
        <v>32112</v>
      </c>
      <c r="C6790" s="188">
        <v>9.01</v>
      </c>
      <c r="D6790" s="104">
        <f t="shared" si="105"/>
        <v>9.01E-2</v>
      </c>
      <c r="F6790" s="5"/>
    </row>
    <row r="6791" spans="2:6" ht="13.8" hidden="1" outlineLevel="1">
      <c r="B6791" s="187">
        <v>32113</v>
      </c>
      <c r="C6791" s="188">
        <v>9.01</v>
      </c>
      <c r="D6791" s="104">
        <f t="shared" si="105"/>
        <v>9.01E-2</v>
      </c>
      <c r="F6791" s="5"/>
    </row>
    <row r="6792" spans="2:6" ht="13.8" hidden="1" outlineLevel="1">
      <c r="B6792" s="187">
        <v>32114</v>
      </c>
      <c r="C6792" s="188">
        <v>8.94</v>
      </c>
      <c r="D6792" s="104">
        <f t="shared" si="105"/>
        <v>8.9399999999999993E-2</v>
      </c>
      <c r="F6792" s="5"/>
    </row>
    <row r="6793" spans="2:6" ht="13.8" hidden="1" outlineLevel="1">
      <c r="B6793" s="187">
        <v>32115</v>
      </c>
      <c r="C6793" s="188">
        <v>8.94</v>
      </c>
      <c r="D6793" s="104">
        <f t="shared" si="105"/>
        <v>8.9399999999999993E-2</v>
      </c>
      <c r="F6793" s="5"/>
    </row>
    <row r="6794" spans="2:6" ht="13.8" hidden="1" outlineLevel="1">
      <c r="B6794" s="187">
        <v>32118</v>
      </c>
      <c r="C6794" s="188">
        <v>9.07</v>
      </c>
      <c r="D6794" s="104">
        <f t="shared" si="105"/>
        <v>9.0700000000000003E-2</v>
      </c>
      <c r="F6794" s="5"/>
    </row>
    <row r="6795" spans="2:6" ht="13.8" hidden="1" outlineLevel="1">
      <c r="B6795" s="187">
        <v>32119</v>
      </c>
      <c r="C6795" s="188">
        <v>9.09</v>
      </c>
      <c r="D6795" s="104">
        <f t="shared" si="105"/>
        <v>9.0899999999999995E-2</v>
      </c>
      <c r="F6795" s="5"/>
    </row>
    <row r="6796" spans="2:6" ht="13.8" hidden="1" outlineLevel="1">
      <c r="B6796" s="187">
        <v>32120</v>
      </c>
      <c r="C6796" s="188">
        <v>9.0500000000000007</v>
      </c>
      <c r="D6796" s="104">
        <f t="shared" si="105"/>
        <v>9.0500000000000011E-2</v>
      </c>
      <c r="F6796" s="5"/>
    </row>
    <row r="6797" spans="2:6" ht="13.8" hidden="1" outlineLevel="1">
      <c r="B6797" s="187">
        <v>32121</v>
      </c>
      <c r="C6797" s="188">
        <v>9.23</v>
      </c>
      <c r="D6797" s="104">
        <f t="shared" si="105"/>
        <v>9.2300000000000007E-2</v>
      </c>
      <c r="F6797" s="5"/>
    </row>
    <row r="6798" spans="2:6" ht="13.8" hidden="1" outlineLevel="1">
      <c r="B6798" s="187">
        <v>32122</v>
      </c>
      <c r="C6798" s="188">
        <v>9.2799999999999994</v>
      </c>
      <c r="D6798" s="104">
        <f t="shared" si="105"/>
        <v>9.2799999999999994E-2</v>
      </c>
      <c r="F6798" s="5"/>
    </row>
    <row r="6799" spans="2:6" ht="13.8" hidden="1" outlineLevel="1">
      <c r="B6799" s="187">
        <v>32125</v>
      </c>
      <c r="C6799" s="188">
        <v>9.23</v>
      </c>
      <c r="D6799" s="104">
        <f t="shared" si="105"/>
        <v>9.2300000000000007E-2</v>
      </c>
      <c r="F6799" s="5"/>
    </row>
    <row r="6800" spans="2:6" ht="13.8" hidden="1" outlineLevel="1">
      <c r="B6800" s="187">
        <v>32126</v>
      </c>
      <c r="C6800" s="188">
        <v>9.09</v>
      </c>
      <c r="D6800" s="104">
        <f t="shared" si="105"/>
        <v>9.0899999999999995E-2</v>
      </c>
      <c r="F6800" s="5"/>
    </row>
    <row r="6801" spans="2:6" ht="13.8" hidden="1" outlineLevel="1">
      <c r="B6801" s="187">
        <v>32127</v>
      </c>
      <c r="C6801" s="188">
        <v>9</v>
      </c>
      <c r="D6801" s="104">
        <f t="shared" si="105"/>
        <v>0.09</v>
      </c>
      <c r="F6801" s="5"/>
    </row>
    <row r="6802" spans="2:6" ht="13.8" hidden="1" outlineLevel="1">
      <c r="B6802" s="187">
        <v>32128</v>
      </c>
      <c r="C6802" s="188">
        <v>9.0299999999999994</v>
      </c>
      <c r="D6802" s="104">
        <f t="shared" si="105"/>
        <v>9.0299999999999991E-2</v>
      </c>
      <c r="F6802" s="5"/>
    </row>
    <row r="6803" spans="2:6" ht="13.8" hidden="1" outlineLevel="1">
      <c r="B6803" s="187">
        <v>32129</v>
      </c>
      <c r="C6803" s="188">
        <v>8.89</v>
      </c>
      <c r="D6803" s="104">
        <f t="shared" si="105"/>
        <v>8.8900000000000007E-2</v>
      </c>
      <c r="F6803" s="5"/>
    </row>
    <row r="6804" spans="2:6" ht="13.8" hidden="1" outlineLevel="1">
      <c r="B6804" s="187">
        <v>32132</v>
      </c>
      <c r="C6804" s="188">
        <v>8.8800000000000008</v>
      </c>
      <c r="D6804" s="104">
        <f t="shared" si="105"/>
        <v>8.8800000000000004E-2</v>
      </c>
      <c r="F6804" s="5"/>
    </row>
    <row r="6805" spans="2:6" ht="13.8" hidden="1" outlineLevel="1">
      <c r="B6805" s="187">
        <v>32133</v>
      </c>
      <c r="C6805" s="188">
        <v>8.9499999999999993</v>
      </c>
      <c r="D6805" s="104">
        <f t="shared" si="105"/>
        <v>8.9499999999999996E-2</v>
      </c>
      <c r="F6805" s="5"/>
    </row>
    <row r="6806" spans="2:6" ht="13.8" hidden="1" outlineLevel="1">
      <c r="B6806" s="187">
        <v>32134</v>
      </c>
      <c r="C6806" s="188">
        <v>8.83</v>
      </c>
      <c r="D6806" s="104">
        <f t="shared" si="105"/>
        <v>8.8300000000000003E-2</v>
      </c>
      <c r="F6806" s="5"/>
    </row>
    <row r="6807" spans="2:6" ht="13.8" hidden="1" outlineLevel="1">
      <c r="B6807" s="187">
        <v>32135</v>
      </c>
      <c r="C6807" s="188">
        <v>8.82</v>
      </c>
      <c r="D6807" s="104">
        <f t="shared" si="105"/>
        <v>8.8200000000000001E-2</v>
      </c>
      <c r="F6807" s="5"/>
    </row>
    <row r="6808" spans="2:6" ht="13.8" hidden="1" outlineLevel="1">
      <c r="B6808" s="187">
        <v>32136</v>
      </c>
      <c r="C6808" s="188" t="s">
        <v>380</v>
      </c>
      <c r="D6808" s="104">
        <f t="shared" si="105"/>
        <v>8.8200000000000001E-2</v>
      </c>
      <c r="F6808" s="5"/>
    </row>
    <row r="6809" spans="2:6" ht="13.8" hidden="1" outlineLevel="1">
      <c r="B6809" s="187">
        <v>32139</v>
      </c>
      <c r="C6809" s="188">
        <v>8.93</v>
      </c>
      <c r="D6809" s="104">
        <f t="shared" si="105"/>
        <v>8.929999999999999E-2</v>
      </c>
      <c r="F6809" s="5"/>
    </row>
    <row r="6810" spans="2:6" ht="13.8" hidden="1" outlineLevel="1">
      <c r="B6810" s="187">
        <v>32140</v>
      </c>
      <c r="C6810" s="188">
        <v>8.85</v>
      </c>
      <c r="D6810" s="104">
        <f t="shared" si="105"/>
        <v>8.8499999999999995E-2</v>
      </c>
      <c r="F6810" s="5"/>
    </row>
    <row r="6811" spans="2:6" ht="13.8" hidden="1" outlineLevel="1">
      <c r="B6811" s="187">
        <v>32141</v>
      </c>
      <c r="C6811" s="188">
        <v>8.7799999999999994</v>
      </c>
      <c r="D6811" s="104">
        <f t="shared" si="105"/>
        <v>8.7799999999999989E-2</v>
      </c>
      <c r="F6811" s="5"/>
    </row>
    <row r="6812" spans="2:6" ht="13.8" hidden="1" outlineLevel="1">
      <c r="B6812" s="187">
        <v>32142</v>
      </c>
      <c r="C6812" s="188">
        <v>8.83</v>
      </c>
      <c r="D6812" s="104">
        <f t="shared" si="105"/>
        <v>8.8300000000000003E-2</v>
      </c>
      <c r="F6812" s="5"/>
    </row>
    <row r="6813" spans="2:6" ht="13.8" hidden="1" outlineLevel="1">
      <c r="B6813" s="187">
        <v>32143</v>
      </c>
      <c r="C6813" s="188" t="s">
        <v>380</v>
      </c>
      <c r="D6813" s="104">
        <f t="shared" si="105"/>
        <v>8.8300000000000003E-2</v>
      </c>
      <c r="F6813" s="5"/>
    </row>
    <row r="6814" spans="2:6" ht="13.8" hidden="1" outlineLevel="1">
      <c r="B6814" s="187">
        <v>32146</v>
      </c>
      <c r="C6814" s="188">
        <v>8.83</v>
      </c>
      <c r="D6814" s="104">
        <f t="shared" ref="D6814:D6877" si="106">IF( LEN( C6814 ) = 0, #N/A, IF( C6814 = "ND", D6813, C6814 / 100 ) )</f>
        <v>8.8300000000000003E-2</v>
      </c>
      <c r="F6814" s="5"/>
    </row>
    <row r="6815" spans="2:6" ht="13.8" hidden="1" outlineLevel="1">
      <c r="B6815" s="187">
        <v>32147</v>
      </c>
      <c r="C6815" s="188">
        <v>8.76</v>
      </c>
      <c r="D6815" s="104">
        <f t="shared" si="106"/>
        <v>8.7599999999999997E-2</v>
      </c>
      <c r="F6815" s="5"/>
    </row>
    <row r="6816" spans="2:6" ht="13.8" hidden="1" outlineLevel="1">
      <c r="B6816" s="187">
        <v>32148</v>
      </c>
      <c r="C6816" s="188">
        <v>8.82</v>
      </c>
      <c r="D6816" s="104">
        <f t="shared" si="106"/>
        <v>8.8200000000000001E-2</v>
      </c>
      <c r="F6816" s="5"/>
    </row>
    <row r="6817" spans="2:6" ht="13.8" hidden="1" outlineLevel="1">
      <c r="B6817" s="187">
        <v>32149</v>
      </c>
      <c r="C6817" s="188">
        <v>8.83</v>
      </c>
      <c r="D6817" s="104">
        <f t="shared" si="106"/>
        <v>8.8300000000000003E-2</v>
      </c>
      <c r="F6817" s="5"/>
    </row>
    <row r="6818" spans="2:6" ht="13.8" hidden="1" outlineLevel="1">
      <c r="B6818" s="187">
        <v>32150</v>
      </c>
      <c r="C6818" s="188">
        <v>8.9700000000000006</v>
      </c>
      <c r="D6818" s="104">
        <f t="shared" si="106"/>
        <v>8.9700000000000002E-2</v>
      </c>
      <c r="F6818" s="5"/>
    </row>
    <row r="6819" spans="2:6" ht="13.8" hidden="1" outlineLevel="1">
      <c r="B6819" s="187">
        <v>32153</v>
      </c>
      <c r="C6819" s="188">
        <v>8.94</v>
      </c>
      <c r="D6819" s="104">
        <f t="shared" si="106"/>
        <v>8.9399999999999993E-2</v>
      </c>
      <c r="F6819" s="5"/>
    </row>
    <row r="6820" spans="2:6" ht="13.8" hidden="1" outlineLevel="1">
      <c r="B6820" s="187">
        <v>32154</v>
      </c>
      <c r="C6820" s="188">
        <v>8.93</v>
      </c>
      <c r="D6820" s="104">
        <f t="shared" si="106"/>
        <v>8.929999999999999E-2</v>
      </c>
      <c r="F6820" s="5"/>
    </row>
    <row r="6821" spans="2:6" ht="13.8" hidden="1" outlineLevel="1">
      <c r="B6821" s="187">
        <v>32155</v>
      </c>
      <c r="C6821" s="188">
        <v>8.8699999999999992</v>
      </c>
      <c r="D6821" s="104">
        <f t="shared" si="106"/>
        <v>8.8699999999999987E-2</v>
      </c>
      <c r="F6821" s="5"/>
    </row>
    <row r="6822" spans="2:6" ht="13.8" hidden="1" outlineLevel="1">
      <c r="B6822" s="187">
        <v>32156</v>
      </c>
      <c r="C6822" s="188">
        <v>8.86</v>
      </c>
      <c r="D6822" s="104">
        <f t="shared" si="106"/>
        <v>8.8599999999999998E-2</v>
      </c>
      <c r="F6822" s="5"/>
    </row>
    <row r="6823" spans="2:6" ht="13.8" hidden="1" outlineLevel="1">
      <c r="B6823" s="187">
        <v>32157</v>
      </c>
      <c r="C6823" s="188">
        <v>8.6</v>
      </c>
      <c r="D6823" s="104">
        <f t="shared" si="106"/>
        <v>8.5999999999999993E-2</v>
      </c>
      <c r="F6823" s="5"/>
    </row>
    <row r="6824" spans="2:6" ht="13.8" hidden="1" outlineLevel="1">
      <c r="B6824" s="187">
        <v>32160</v>
      </c>
      <c r="C6824" s="188" t="s">
        <v>380</v>
      </c>
      <c r="D6824" s="104">
        <f t="shared" si="106"/>
        <v>8.5999999999999993E-2</v>
      </c>
      <c r="F6824" s="5"/>
    </row>
    <row r="6825" spans="2:6" ht="13.8" hidden="1" outlineLevel="1">
      <c r="B6825" s="187">
        <v>32161</v>
      </c>
      <c r="C6825" s="188">
        <v>8.65</v>
      </c>
      <c r="D6825" s="104">
        <f t="shared" si="106"/>
        <v>8.6500000000000007E-2</v>
      </c>
      <c r="F6825" s="5"/>
    </row>
    <row r="6826" spans="2:6" ht="13.8" hidden="1" outlineLevel="1">
      <c r="B6826" s="187">
        <v>32162</v>
      </c>
      <c r="C6826" s="188">
        <v>8.61</v>
      </c>
      <c r="D6826" s="104">
        <f t="shared" si="106"/>
        <v>8.6099999999999996E-2</v>
      </c>
      <c r="F6826" s="5"/>
    </row>
    <row r="6827" spans="2:6" ht="13.8" hidden="1" outlineLevel="1">
      <c r="B6827" s="187">
        <v>32163</v>
      </c>
      <c r="C6827" s="188">
        <v>8.5299999999999994</v>
      </c>
      <c r="D6827" s="104">
        <f t="shared" si="106"/>
        <v>8.5299999999999987E-2</v>
      </c>
      <c r="F6827" s="5"/>
    </row>
    <row r="6828" spans="2:6" ht="13.8" hidden="1" outlineLevel="1">
      <c r="B6828" s="187">
        <v>32164</v>
      </c>
      <c r="C6828" s="188">
        <v>8.49</v>
      </c>
      <c r="D6828" s="104">
        <f t="shared" si="106"/>
        <v>8.4900000000000003E-2</v>
      </c>
      <c r="F6828" s="5"/>
    </row>
    <row r="6829" spans="2:6" ht="13.8" hidden="1" outlineLevel="1">
      <c r="B6829" s="187">
        <v>32167</v>
      </c>
      <c r="C6829" s="188">
        <v>8.4499999999999993</v>
      </c>
      <c r="D6829" s="104">
        <f t="shared" si="106"/>
        <v>8.4499999999999992E-2</v>
      </c>
      <c r="F6829" s="5"/>
    </row>
    <row r="6830" spans="2:6" ht="13.8" hidden="1" outlineLevel="1">
      <c r="B6830" s="187">
        <v>32168</v>
      </c>
      <c r="C6830" s="188">
        <v>8.5399999999999991</v>
      </c>
      <c r="D6830" s="104">
        <f t="shared" si="106"/>
        <v>8.539999999999999E-2</v>
      </c>
      <c r="F6830" s="5"/>
    </row>
    <row r="6831" spans="2:6" ht="13.8" hidden="1" outlineLevel="1">
      <c r="B6831" s="187">
        <v>32169</v>
      </c>
      <c r="C6831" s="188">
        <v>8.3800000000000008</v>
      </c>
      <c r="D6831" s="104">
        <f t="shared" si="106"/>
        <v>8.3800000000000013E-2</v>
      </c>
      <c r="F6831" s="5"/>
    </row>
    <row r="6832" spans="2:6" ht="13.8" hidden="1" outlineLevel="1">
      <c r="B6832" s="187">
        <v>32170</v>
      </c>
      <c r="C6832" s="188">
        <v>8.33</v>
      </c>
      <c r="D6832" s="104">
        <f t="shared" si="106"/>
        <v>8.3299999999999999E-2</v>
      </c>
      <c r="F6832" s="5"/>
    </row>
    <row r="6833" spans="2:6" ht="13.8" hidden="1" outlineLevel="1">
      <c r="B6833" s="187">
        <v>32171</v>
      </c>
      <c r="C6833" s="188">
        <v>8.26</v>
      </c>
      <c r="D6833" s="104">
        <f t="shared" si="106"/>
        <v>8.2599999999999993E-2</v>
      </c>
      <c r="F6833" s="5"/>
    </row>
    <row r="6834" spans="2:6" ht="13.8" hidden="1" outlineLevel="1">
      <c r="B6834" s="187">
        <v>32174</v>
      </c>
      <c r="C6834" s="188">
        <v>8.26</v>
      </c>
      <c r="D6834" s="104">
        <f t="shared" si="106"/>
        <v>8.2599999999999993E-2</v>
      </c>
      <c r="F6834" s="5"/>
    </row>
    <row r="6835" spans="2:6" ht="13.8" hidden="1" outlineLevel="1">
      <c r="B6835" s="187">
        <v>32175</v>
      </c>
      <c r="C6835" s="188">
        <v>8.18</v>
      </c>
      <c r="D6835" s="104">
        <f t="shared" si="106"/>
        <v>8.1799999999999998E-2</v>
      </c>
      <c r="F6835" s="5"/>
    </row>
    <row r="6836" spans="2:6" ht="13.8" hidden="1" outlineLevel="1">
      <c r="B6836" s="187">
        <v>32176</v>
      </c>
      <c r="C6836" s="188">
        <v>8.2100000000000009</v>
      </c>
      <c r="D6836" s="104">
        <f t="shared" si="106"/>
        <v>8.2100000000000006E-2</v>
      </c>
      <c r="F6836" s="5"/>
    </row>
    <row r="6837" spans="2:6" ht="13.8" hidden="1" outlineLevel="1">
      <c r="B6837" s="187">
        <v>32177</v>
      </c>
      <c r="C6837" s="188">
        <v>8.24</v>
      </c>
      <c r="D6837" s="104">
        <f t="shared" si="106"/>
        <v>8.2400000000000001E-2</v>
      </c>
      <c r="F6837" s="5"/>
    </row>
    <row r="6838" spans="2:6" ht="13.8" hidden="1" outlineLevel="1">
      <c r="B6838" s="187">
        <v>32178</v>
      </c>
      <c r="C6838" s="188">
        <v>8.1199999999999992</v>
      </c>
      <c r="D6838" s="104">
        <f t="shared" si="106"/>
        <v>8.1199999999999994E-2</v>
      </c>
      <c r="F6838" s="5"/>
    </row>
    <row r="6839" spans="2:6" ht="13.8" hidden="1" outlineLevel="1">
      <c r="B6839" s="187">
        <v>32181</v>
      </c>
      <c r="C6839" s="188">
        <v>8.19</v>
      </c>
      <c r="D6839" s="104">
        <f t="shared" si="106"/>
        <v>8.1900000000000001E-2</v>
      </c>
      <c r="F6839" s="5"/>
    </row>
    <row r="6840" spans="2:6" ht="13.8" hidden="1" outlineLevel="1">
      <c r="B6840" s="187">
        <v>32182</v>
      </c>
      <c r="C6840" s="188">
        <v>8.16</v>
      </c>
      <c r="D6840" s="104">
        <f t="shared" si="106"/>
        <v>8.1600000000000006E-2</v>
      </c>
      <c r="F6840" s="5"/>
    </row>
    <row r="6841" spans="2:6" ht="13.8" hidden="1" outlineLevel="1">
      <c r="B6841" s="187">
        <v>32183</v>
      </c>
      <c r="C6841" s="188">
        <v>8.11</v>
      </c>
      <c r="D6841" s="104">
        <f t="shared" si="106"/>
        <v>8.1099999999999992E-2</v>
      </c>
      <c r="F6841" s="5"/>
    </row>
    <row r="6842" spans="2:6" ht="13.8" hidden="1" outlineLevel="1">
      <c r="B6842" s="187">
        <v>32184</v>
      </c>
      <c r="C6842" s="188">
        <v>8.16</v>
      </c>
      <c r="D6842" s="104">
        <f t="shared" si="106"/>
        <v>8.1600000000000006E-2</v>
      </c>
      <c r="F6842" s="5"/>
    </row>
    <row r="6843" spans="2:6" ht="13.8" hidden="1" outlineLevel="1">
      <c r="B6843" s="187">
        <v>32185</v>
      </c>
      <c r="C6843" s="188">
        <v>8.2799999999999994</v>
      </c>
      <c r="D6843" s="104">
        <f t="shared" si="106"/>
        <v>8.2799999999999999E-2</v>
      </c>
      <c r="F6843" s="5"/>
    </row>
    <row r="6844" spans="2:6" ht="13.8" hidden="1" outlineLevel="1">
      <c r="B6844" s="187">
        <v>32188</v>
      </c>
      <c r="C6844" s="188" t="s">
        <v>380</v>
      </c>
      <c r="D6844" s="104">
        <f t="shared" si="106"/>
        <v>8.2799999999999999E-2</v>
      </c>
      <c r="F6844" s="5"/>
    </row>
    <row r="6845" spans="2:6" ht="13.8" hidden="1" outlineLevel="1">
      <c r="B6845" s="187">
        <v>32189</v>
      </c>
      <c r="C6845" s="188">
        <v>8.31</v>
      </c>
      <c r="D6845" s="104">
        <f t="shared" si="106"/>
        <v>8.3100000000000007E-2</v>
      </c>
      <c r="F6845" s="5"/>
    </row>
    <row r="6846" spans="2:6" ht="13.8" hidden="1" outlineLevel="1">
      <c r="B6846" s="187">
        <v>32190</v>
      </c>
      <c r="C6846" s="188">
        <v>8.32</v>
      </c>
      <c r="D6846" s="104">
        <f t="shared" si="106"/>
        <v>8.3199999999999996E-2</v>
      </c>
      <c r="F6846" s="5"/>
    </row>
    <row r="6847" spans="2:6" ht="13.8" hidden="1" outlineLevel="1">
      <c r="B6847" s="187">
        <v>32191</v>
      </c>
      <c r="C6847" s="188">
        <v>8.2799999999999994</v>
      </c>
      <c r="D6847" s="104">
        <f t="shared" si="106"/>
        <v>8.2799999999999999E-2</v>
      </c>
      <c r="F6847" s="5"/>
    </row>
    <row r="6848" spans="2:6" ht="13.8" hidden="1" outlineLevel="1">
      <c r="B6848" s="187">
        <v>32192</v>
      </c>
      <c r="C6848" s="188">
        <v>8.26</v>
      </c>
      <c r="D6848" s="104">
        <f t="shared" si="106"/>
        <v>8.2599999999999993E-2</v>
      </c>
      <c r="F6848" s="5"/>
    </row>
    <row r="6849" spans="2:6" ht="13.8" hidden="1" outlineLevel="1">
      <c r="B6849" s="187">
        <v>32195</v>
      </c>
      <c r="C6849" s="188">
        <v>8.24</v>
      </c>
      <c r="D6849" s="104">
        <f t="shared" si="106"/>
        <v>8.2400000000000001E-2</v>
      </c>
      <c r="F6849" s="5"/>
    </row>
    <row r="6850" spans="2:6" ht="13.8" hidden="1" outlineLevel="1">
      <c r="B6850" s="187">
        <v>32196</v>
      </c>
      <c r="C6850" s="188">
        <v>8.17</v>
      </c>
      <c r="D6850" s="104">
        <f t="shared" si="106"/>
        <v>8.1699999999999995E-2</v>
      </c>
      <c r="F6850" s="5"/>
    </row>
    <row r="6851" spans="2:6" ht="13.8" hidden="1" outlineLevel="1">
      <c r="B6851" s="187">
        <v>32197</v>
      </c>
      <c r="C6851" s="188">
        <v>8.18</v>
      </c>
      <c r="D6851" s="104">
        <f t="shared" si="106"/>
        <v>8.1799999999999998E-2</v>
      </c>
      <c r="F6851" s="5"/>
    </row>
    <row r="6852" spans="2:6" ht="13.8" hidden="1" outlineLevel="1">
      <c r="B6852" s="187">
        <v>32198</v>
      </c>
      <c r="C6852" s="188">
        <v>8.23</v>
      </c>
      <c r="D6852" s="104">
        <f t="shared" si="106"/>
        <v>8.2299999999999998E-2</v>
      </c>
      <c r="F6852" s="5"/>
    </row>
    <row r="6853" spans="2:6" ht="13.8" hidden="1" outlineLevel="1">
      <c r="B6853" s="187">
        <v>32199</v>
      </c>
      <c r="C6853" s="188">
        <v>8.18</v>
      </c>
      <c r="D6853" s="104">
        <f t="shared" si="106"/>
        <v>8.1799999999999998E-2</v>
      </c>
      <c r="F6853" s="5"/>
    </row>
    <row r="6854" spans="2:6" ht="13.8" hidden="1" outlineLevel="1">
      <c r="B6854" s="187">
        <v>32202</v>
      </c>
      <c r="C6854" s="188">
        <v>8.16</v>
      </c>
      <c r="D6854" s="104">
        <f t="shared" si="106"/>
        <v>8.1600000000000006E-2</v>
      </c>
      <c r="F6854" s="5"/>
    </row>
    <row r="6855" spans="2:6" ht="13.8" hidden="1" outlineLevel="1">
      <c r="B6855" s="187">
        <v>32203</v>
      </c>
      <c r="C6855" s="188">
        <v>8.15</v>
      </c>
      <c r="D6855" s="104">
        <f t="shared" si="106"/>
        <v>8.1500000000000003E-2</v>
      </c>
      <c r="F6855" s="5"/>
    </row>
    <row r="6856" spans="2:6" ht="13.8" hidden="1" outlineLevel="1">
      <c r="B6856" s="187">
        <v>32204</v>
      </c>
      <c r="C6856" s="188">
        <v>8.1300000000000008</v>
      </c>
      <c r="D6856" s="104">
        <f t="shared" si="106"/>
        <v>8.1300000000000011E-2</v>
      </c>
      <c r="F6856" s="5"/>
    </row>
    <row r="6857" spans="2:6" ht="13.8" hidden="1" outlineLevel="1">
      <c r="B6857" s="187">
        <v>32205</v>
      </c>
      <c r="C6857" s="188">
        <v>8.1199999999999992</v>
      </c>
      <c r="D6857" s="104">
        <f t="shared" si="106"/>
        <v>8.1199999999999994E-2</v>
      </c>
      <c r="F6857" s="5"/>
    </row>
    <row r="6858" spans="2:6" ht="13.8" hidden="1" outlineLevel="1">
      <c r="B6858" s="187">
        <v>32206</v>
      </c>
      <c r="C6858" s="188">
        <v>8.2799999999999994</v>
      </c>
      <c r="D6858" s="104">
        <f t="shared" si="106"/>
        <v>8.2799999999999999E-2</v>
      </c>
      <c r="F6858" s="5"/>
    </row>
    <row r="6859" spans="2:6" ht="13.8" hidden="1" outlineLevel="1">
      <c r="B6859" s="187">
        <v>32209</v>
      </c>
      <c r="C6859" s="188">
        <v>8.3000000000000007</v>
      </c>
      <c r="D6859" s="104">
        <f t="shared" si="106"/>
        <v>8.3000000000000004E-2</v>
      </c>
      <c r="F6859" s="5"/>
    </row>
    <row r="6860" spans="2:6" ht="13.8" hidden="1" outlineLevel="1">
      <c r="B6860" s="187">
        <v>32210</v>
      </c>
      <c r="C6860" s="188">
        <v>8.33</v>
      </c>
      <c r="D6860" s="104">
        <f t="shared" si="106"/>
        <v>8.3299999999999999E-2</v>
      </c>
      <c r="F6860" s="5"/>
    </row>
    <row r="6861" spans="2:6" ht="13.8" hidden="1" outlineLevel="1">
      <c r="B6861" s="187">
        <v>32211</v>
      </c>
      <c r="C6861" s="188">
        <v>8.32</v>
      </c>
      <c r="D6861" s="104">
        <f t="shared" si="106"/>
        <v>8.3199999999999996E-2</v>
      </c>
      <c r="F6861" s="5"/>
    </row>
    <row r="6862" spans="2:6" ht="13.8" hidden="1" outlineLevel="1">
      <c r="B6862" s="187">
        <v>32212</v>
      </c>
      <c r="C6862" s="188">
        <v>8.35</v>
      </c>
      <c r="D6862" s="104">
        <f t="shared" si="106"/>
        <v>8.3499999999999991E-2</v>
      </c>
      <c r="F6862" s="5"/>
    </row>
    <row r="6863" spans="2:6" ht="13.8" hidden="1" outlineLevel="1">
      <c r="B6863" s="187">
        <v>32213</v>
      </c>
      <c r="C6863" s="188">
        <v>8.2899999999999991</v>
      </c>
      <c r="D6863" s="104">
        <f t="shared" si="106"/>
        <v>8.2899999999999988E-2</v>
      </c>
      <c r="F6863" s="5"/>
    </row>
    <row r="6864" spans="2:6" ht="13.8" hidden="1" outlineLevel="1">
      <c r="B6864" s="187">
        <v>32216</v>
      </c>
      <c r="C6864" s="188">
        <v>8.2899999999999991</v>
      </c>
      <c r="D6864" s="104">
        <f t="shared" si="106"/>
        <v>8.2899999999999988E-2</v>
      </c>
      <c r="F6864" s="5"/>
    </row>
    <row r="6865" spans="2:6" ht="13.8" hidden="1" outlineLevel="1">
      <c r="B6865" s="187">
        <v>32217</v>
      </c>
      <c r="C6865" s="188">
        <v>8.3000000000000007</v>
      </c>
      <c r="D6865" s="104">
        <f t="shared" si="106"/>
        <v>8.3000000000000004E-2</v>
      </c>
      <c r="F6865" s="5"/>
    </row>
    <row r="6866" spans="2:6" ht="13.8" hidden="1" outlineLevel="1">
      <c r="B6866" s="187">
        <v>32218</v>
      </c>
      <c r="C6866" s="188">
        <v>8.36</v>
      </c>
      <c r="D6866" s="104">
        <f t="shared" si="106"/>
        <v>8.3599999999999994E-2</v>
      </c>
      <c r="F6866" s="5"/>
    </row>
    <row r="6867" spans="2:6" ht="13.8" hidden="1" outlineLevel="1">
      <c r="B6867" s="187">
        <v>32219</v>
      </c>
      <c r="C6867" s="188">
        <v>8.3000000000000007</v>
      </c>
      <c r="D6867" s="104">
        <f t="shared" si="106"/>
        <v>8.3000000000000004E-2</v>
      </c>
      <c r="F6867" s="5"/>
    </row>
    <row r="6868" spans="2:6" ht="13.8" hidden="1" outlineLevel="1">
      <c r="B6868" s="187">
        <v>32220</v>
      </c>
      <c r="C6868" s="188">
        <v>8.41</v>
      </c>
      <c r="D6868" s="104">
        <f t="shared" si="106"/>
        <v>8.4100000000000008E-2</v>
      </c>
      <c r="F6868" s="5"/>
    </row>
    <row r="6869" spans="2:6" ht="13.8" hidden="1" outlineLevel="1">
      <c r="B6869" s="187">
        <v>32223</v>
      </c>
      <c r="C6869" s="188">
        <v>8.4700000000000006</v>
      </c>
      <c r="D6869" s="104">
        <f t="shared" si="106"/>
        <v>8.4700000000000011E-2</v>
      </c>
      <c r="F6869" s="5"/>
    </row>
    <row r="6870" spans="2:6" ht="13.8" hidden="1" outlineLevel="1">
      <c r="B6870" s="187">
        <v>32224</v>
      </c>
      <c r="C6870" s="188">
        <v>8.4600000000000009</v>
      </c>
      <c r="D6870" s="104">
        <f t="shared" si="106"/>
        <v>8.4600000000000009E-2</v>
      </c>
      <c r="F6870" s="5"/>
    </row>
    <row r="6871" spans="2:6" ht="13.8" hidden="1" outlineLevel="1">
      <c r="B6871" s="187">
        <v>32225</v>
      </c>
      <c r="C6871" s="188">
        <v>8.4700000000000006</v>
      </c>
      <c r="D6871" s="104">
        <f t="shared" si="106"/>
        <v>8.4700000000000011E-2</v>
      </c>
      <c r="F6871" s="5"/>
    </row>
    <row r="6872" spans="2:6" ht="13.8" hidden="1" outlineLevel="1">
      <c r="B6872" s="187">
        <v>32226</v>
      </c>
      <c r="C6872" s="188">
        <v>8.51</v>
      </c>
      <c r="D6872" s="104">
        <f t="shared" si="106"/>
        <v>8.5099999999999995E-2</v>
      </c>
      <c r="F6872" s="5"/>
    </row>
    <row r="6873" spans="2:6" ht="13.8" hidden="1" outlineLevel="1">
      <c r="B6873" s="187">
        <v>32227</v>
      </c>
      <c r="C6873" s="188">
        <v>8.4700000000000006</v>
      </c>
      <c r="D6873" s="104">
        <f t="shared" si="106"/>
        <v>8.4700000000000011E-2</v>
      </c>
      <c r="F6873" s="5"/>
    </row>
    <row r="6874" spans="2:6" ht="13.8" hidden="1" outlineLevel="1">
      <c r="B6874" s="187">
        <v>32230</v>
      </c>
      <c r="C6874" s="188">
        <v>8.58</v>
      </c>
      <c r="D6874" s="104">
        <f t="shared" si="106"/>
        <v>8.5800000000000001E-2</v>
      </c>
      <c r="F6874" s="5"/>
    </row>
    <row r="6875" spans="2:6" ht="13.8" hidden="1" outlineLevel="1">
      <c r="B6875" s="187">
        <v>32231</v>
      </c>
      <c r="C6875" s="188">
        <v>8.56</v>
      </c>
      <c r="D6875" s="104">
        <f t="shared" si="106"/>
        <v>8.5600000000000009E-2</v>
      </c>
      <c r="F6875" s="5"/>
    </row>
    <row r="6876" spans="2:6" ht="13.8" hidden="1" outlineLevel="1">
      <c r="B6876" s="187">
        <v>32232</v>
      </c>
      <c r="C6876" s="188">
        <v>8.57</v>
      </c>
      <c r="D6876" s="104">
        <f t="shared" si="106"/>
        <v>8.5699999999999998E-2</v>
      </c>
      <c r="F6876" s="5"/>
    </row>
    <row r="6877" spans="2:6" ht="13.8" hidden="1" outlineLevel="1">
      <c r="B6877" s="187">
        <v>32233</v>
      </c>
      <c r="C6877" s="188">
        <v>8.57</v>
      </c>
      <c r="D6877" s="104">
        <f t="shared" si="106"/>
        <v>8.5699999999999998E-2</v>
      </c>
      <c r="F6877" s="5"/>
    </row>
    <row r="6878" spans="2:6" ht="13.8" hidden="1" outlineLevel="1">
      <c r="B6878" s="187">
        <v>32234</v>
      </c>
      <c r="C6878" s="188" t="s">
        <v>380</v>
      </c>
      <c r="D6878" s="104">
        <f t="shared" ref="D6878:D6941" si="107">IF( LEN( C6878 ) = 0, #N/A, IF( C6878 = "ND", D6877, C6878 / 100 ) )</f>
        <v>8.5699999999999998E-2</v>
      </c>
      <c r="F6878" s="5"/>
    </row>
    <row r="6879" spans="2:6" ht="13.8" hidden="1" outlineLevel="1">
      <c r="B6879" s="187">
        <v>32237</v>
      </c>
      <c r="C6879" s="188">
        <v>8.68</v>
      </c>
      <c r="D6879" s="104">
        <f t="shared" si="107"/>
        <v>8.6800000000000002E-2</v>
      </c>
      <c r="F6879" s="5"/>
    </row>
    <row r="6880" spans="2:6" ht="13.8" hidden="1" outlineLevel="1">
      <c r="B6880" s="187">
        <v>32238</v>
      </c>
      <c r="C6880" s="188">
        <v>8.67</v>
      </c>
      <c r="D6880" s="104">
        <f t="shared" si="107"/>
        <v>8.6699999999999999E-2</v>
      </c>
      <c r="F6880" s="5"/>
    </row>
    <row r="6881" spans="2:6" ht="13.8" hidden="1" outlineLevel="1">
      <c r="B6881" s="187">
        <v>32239</v>
      </c>
      <c r="C6881" s="188">
        <v>8.61</v>
      </c>
      <c r="D6881" s="104">
        <f t="shared" si="107"/>
        <v>8.6099999999999996E-2</v>
      </c>
      <c r="F6881" s="5"/>
    </row>
    <row r="6882" spans="2:6" ht="13.8" hidden="1" outlineLevel="1">
      <c r="B6882" s="187">
        <v>32240</v>
      </c>
      <c r="C6882" s="188">
        <v>8.6</v>
      </c>
      <c r="D6882" s="104">
        <f t="shared" si="107"/>
        <v>8.5999999999999993E-2</v>
      </c>
      <c r="F6882" s="5"/>
    </row>
    <row r="6883" spans="2:6" ht="13.8" hidden="1" outlineLevel="1">
      <c r="B6883" s="187">
        <v>32241</v>
      </c>
      <c r="C6883" s="188">
        <v>8.52</v>
      </c>
      <c r="D6883" s="104">
        <f t="shared" si="107"/>
        <v>8.5199999999999998E-2</v>
      </c>
      <c r="F6883" s="5"/>
    </row>
    <row r="6884" spans="2:6" ht="13.8" hidden="1" outlineLevel="1">
      <c r="B6884" s="187">
        <v>32244</v>
      </c>
      <c r="C6884" s="188">
        <v>8.59</v>
      </c>
      <c r="D6884" s="104">
        <f t="shared" si="107"/>
        <v>8.5900000000000004E-2</v>
      </c>
      <c r="F6884" s="5"/>
    </row>
    <row r="6885" spans="2:6" ht="13.8" hidden="1" outlineLevel="1">
      <c r="B6885" s="187">
        <v>32245</v>
      </c>
      <c r="C6885" s="188">
        <v>8.57</v>
      </c>
      <c r="D6885" s="104">
        <f t="shared" si="107"/>
        <v>8.5699999999999998E-2</v>
      </c>
      <c r="F6885" s="5"/>
    </row>
    <row r="6886" spans="2:6" ht="13.8" hidden="1" outlineLevel="1">
      <c r="B6886" s="187">
        <v>32246</v>
      </c>
      <c r="C6886" s="188">
        <v>8.56</v>
      </c>
      <c r="D6886" s="104">
        <f t="shared" si="107"/>
        <v>8.5600000000000009E-2</v>
      </c>
      <c r="F6886" s="5"/>
    </row>
    <row r="6887" spans="2:6" ht="13.8" hidden="1" outlineLevel="1">
      <c r="B6887" s="187">
        <v>32247</v>
      </c>
      <c r="C6887" s="188">
        <v>8.67</v>
      </c>
      <c r="D6887" s="104">
        <f t="shared" si="107"/>
        <v>8.6699999999999999E-2</v>
      </c>
      <c r="F6887" s="5"/>
    </row>
    <row r="6888" spans="2:6" ht="13.8" hidden="1" outlineLevel="1">
      <c r="B6888" s="187">
        <v>32248</v>
      </c>
      <c r="C6888" s="188">
        <v>8.74</v>
      </c>
      <c r="D6888" s="104">
        <f t="shared" si="107"/>
        <v>8.7400000000000005E-2</v>
      </c>
      <c r="F6888" s="5"/>
    </row>
    <row r="6889" spans="2:6" ht="13.8" hidden="1" outlineLevel="1">
      <c r="B6889" s="187">
        <v>32251</v>
      </c>
      <c r="C6889" s="188">
        <v>8.81</v>
      </c>
      <c r="D6889" s="104">
        <f t="shared" si="107"/>
        <v>8.8100000000000012E-2</v>
      </c>
      <c r="F6889" s="5"/>
    </row>
    <row r="6890" spans="2:6" ht="13.8" hidden="1" outlineLevel="1">
      <c r="B6890" s="187">
        <v>32252</v>
      </c>
      <c r="C6890" s="188">
        <v>8.81</v>
      </c>
      <c r="D6890" s="104">
        <f t="shared" si="107"/>
        <v>8.8100000000000012E-2</v>
      </c>
      <c r="F6890" s="5"/>
    </row>
    <row r="6891" spans="2:6" ht="13.8" hidden="1" outlineLevel="1">
      <c r="B6891" s="187">
        <v>32253</v>
      </c>
      <c r="C6891" s="188">
        <v>8.83</v>
      </c>
      <c r="D6891" s="104">
        <f t="shared" si="107"/>
        <v>8.8300000000000003E-2</v>
      </c>
      <c r="F6891" s="5"/>
    </row>
    <row r="6892" spans="2:6" ht="13.8" hidden="1" outlineLevel="1">
      <c r="B6892" s="187">
        <v>32254</v>
      </c>
      <c r="C6892" s="188">
        <v>8.82</v>
      </c>
      <c r="D6892" s="104">
        <f t="shared" si="107"/>
        <v>8.8200000000000001E-2</v>
      </c>
      <c r="F6892" s="5"/>
    </row>
    <row r="6893" spans="2:6" ht="13.8" hidden="1" outlineLevel="1">
      <c r="B6893" s="187">
        <v>32255</v>
      </c>
      <c r="C6893" s="188">
        <v>8.7799999999999994</v>
      </c>
      <c r="D6893" s="104">
        <f t="shared" si="107"/>
        <v>8.7799999999999989E-2</v>
      </c>
      <c r="F6893" s="5"/>
    </row>
    <row r="6894" spans="2:6" ht="13.8" hidden="1" outlineLevel="1">
      <c r="B6894" s="187">
        <v>32258</v>
      </c>
      <c r="C6894" s="188">
        <v>8.7799999999999994</v>
      </c>
      <c r="D6894" s="104">
        <f t="shared" si="107"/>
        <v>8.7799999999999989E-2</v>
      </c>
      <c r="F6894" s="5"/>
    </row>
    <row r="6895" spans="2:6" ht="13.8" hidden="1" outlineLevel="1">
      <c r="B6895" s="187">
        <v>32259</v>
      </c>
      <c r="C6895" s="188">
        <v>8.8000000000000007</v>
      </c>
      <c r="D6895" s="104">
        <f t="shared" si="107"/>
        <v>8.8000000000000009E-2</v>
      </c>
      <c r="F6895" s="5"/>
    </row>
    <row r="6896" spans="2:6" ht="13.8" hidden="1" outlineLevel="1">
      <c r="B6896" s="187">
        <v>32260</v>
      </c>
      <c r="C6896" s="188">
        <v>8.8000000000000007</v>
      </c>
      <c r="D6896" s="104">
        <f t="shared" si="107"/>
        <v>8.8000000000000009E-2</v>
      </c>
      <c r="F6896" s="5"/>
    </row>
    <row r="6897" spans="2:6" ht="13.8" hidden="1" outlineLevel="1">
      <c r="B6897" s="187">
        <v>32261</v>
      </c>
      <c r="C6897" s="188">
        <v>8.86</v>
      </c>
      <c r="D6897" s="104">
        <f t="shared" si="107"/>
        <v>8.8599999999999998E-2</v>
      </c>
      <c r="F6897" s="5"/>
    </row>
    <row r="6898" spans="2:6" ht="13.8" hidden="1" outlineLevel="1">
      <c r="B6898" s="187">
        <v>32262</v>
      </c>
      <c r="C6898" s="188">
        <v>8.8699999999999992</v>
      </c>
      <c r="D6898" s="104">
        <f t="shared" si="107"/>
        <v>8.8699999999999987E-2</v>
      </c>
      <c r="F6898" s="5"/>
    </row>
    <row r="6899" spans="2:6" ht="13.8" hidden="1" outlineLevel="1">
      <c r="B6899" s="187">
        <v>32265</v>
      </c>
      <c r="C6899" s="188">
        <v>8.94</v>
      </c>
      <c r="D6899" s="104">
        <f t="shared" si="107"/>
        <v>8.9399999999999993E-2</v>
      </c>
      <c r="F6899" s="5"/>
    </row>
    <row r="6900" spans="2:6" ht="13.8" hidden="1" outlineLevel="1">
      <c r="B6900" s="187">
        <v>32266</v>
      </c>
      <c r="C6900" s="188">
        <v>8.89</v>
      </c>
      <c r="D6900" s="104">
        <f t="shared" si="107"/>
        <v>8.8900000000000007E-2</v>
      </c>
      <c r="F6900" s="5"/>
    </row>
    <row r="6901" spans="2:6" ht="13.8" hidden="1" outlineLevel="1">
      <c r="B6901" s="187">
        <v>32267</v>
      </c>
      <c r="C6901" s="188">
        <v>8.9</v>
      </c>
      <c r="D6901" s="104">
        <f t="shared" si="107"/>
        <v>8.900000000000001E-2</v>
      </c>
      <c r="F6901" s="5"/>
    </row>
    <row r="6902" spans="2:6" ht="13.8" hidden="1" outlineLevel="1">
      <c r="B6902" s="187">
        <v>32268</v>
      </c>
      <c r="C6902" s="188">
        <v>8.92</v>
      </c>
      <c r="D6902" s="104">
        <f t="shared" si="107"/>
        <v>8.9200000000000002E-2</v>
      </c>
      <c r="F6902" s="5"/>
    </row>
    <row r="6903" spans="2:6" ht="13.8" hidden="1" outlineLevel="1">
      <c r="B6903" s="187">
        <v>32269</v>
      </c>
      <c r="C6903" s="188">
        <v>9.01</v>
      </c>
      <c r="D6903" s="104">
        <f t="shared" si="107"/>
        <v>9.01E-2</v>
      </c>
      <c r="F6903" s="5"/>
    </row>
    <row r="6904" spans="2:6" ht="13.8" hidden="1" outlineLevel="1">
      <c r="B6904" s="187">
        <v>32272</v>
      </c>
      <c r="C6904" s="188">
        <v>9.0299999999999994</v>
      </c>
      <c r="D6904" s="104">
        <f t="shared" si="107"/>
        <v>9.0299999999999991E-2</v>
      </c>
      <c r="F6904" s="5"/>
    </row>
    <row r="6905" spans="2:6" ht="13.8" hidden="1" outlineLevel="1">
      <c r="B6905" s="187">
        <v>32273</v>
      </c>
      <c r="C6905" s="188">
        <v>9.07</v>
      </c>
      <c r="D6905" s="104">
        <f t="shared" si="107"/>
        <v>9.0700000000000003E-2</v>
      </c>
      <c r="F6905" s="5"/>
    </row>
    <row r="6906" spans="2:6" ht="13.8" hidden="1" outlineLevel="1">
      <c r="B6906" s="187">
        <v>32274</v>
      </c>
      <c r="C6906" s="188">
        <v>9.0500000000000007</v>
      </c>
      <c r="D6906" s="104">
        <f t="shared" si="107"/>
        <v>9.0500000000000011E-2</v>
      </c>
      <c r="F6906" s="5"/>
    </row>
    <row r="6907" spans="2:6" ht="13.8" hidden="1" outlineLevel="1">
      <c r="B6907" s="187">
        <v>32275</v>
      </c>
      <c r="C6907" s="188">
        <v>9.0399999999999991</v>
      </c>
      <c r="D6907" s="104">
        <f t="shared" si="107"/>
        <v>9.0399999999999994E-2</v>
      </c>
      <c r="F6907" s="5"/>
    </row>
    <row r="6908" spans="2:6" ht="13.8" hidden="1" outlineLevel="1">
      <c r="B6908" s="187">
        <v>32276</v>
      </c>
      <c r="C6908" s="188">
        <v>9</v>
      </c>
      <c r="D6908" s="104">
        <f t="shared" si="107"/>
        <v>0.09</v>
      </c>
      <c r="F6908" s="5"/>
    </row>
    <row r="6909" spans="2:6" ht="13.8" hidden="1" outlineLevel="1">
      <c r="B6909" s="187">
        <v>32279</v>
      </c>
      <c r="C6909" s="188">
        <v>9.01</v>
      </c>
      <c r="D6909" s="104">
        <f t="shared" si="107"/>
        <v>9.01E-2</v>
      </c>
      <c r="F6909" s="5"/>
    </row>
    <row r="6910" spans="2:6" ht="13.8" hidden="1" outlineLevel="1">
      <c r="B6910" s="187">
        <v>32280</v>
      </c>
      <c r="C6910" s="188">
        <v>9.1199999999999992</v>
      </c>
      <c r="D6910" s="104">
        <f t="shared" si="107"/>
        <v>9.1199999999999989E-2</v>
      </c>
      <c r="F6910" s="5"/>
    </row>
    <row r="6911" spans="2:6" ht="13.8" hidden="1" outlineLevel="1">
      <c r="B6911" s="187">
        <v>32281</v>
      </c>
      <c r="C6911" s="188">
        <v>9.19</v>
      </c>
      <c r="D6911" s="104">
        <f t="shared" si="107"/>
        <v>9.1899999999999996E-2</v>
      </c>
      <c r="F6911" s="5"/>
    </row>
    <row r="6912" spans="2:6" ht="13.8" hidden="1" outlineLevel="1">
      <c r="B6912" s="187">
        <v>32282</v>
      </c>
      <c r="C6912" s="188">
        <v>9.18</v>
      </c>
      <c r="D6912" s="104">
        <f t="shared" si="107"/>
        <v>9.1799999999999993E-2</v>
      </c>
      <c r="F6912" s="5"/>
    </row>
    <row r="6913" spans="2:6" ht="13.8" hidden="1" outlineLevel="1">
      <c r="B6913" s="187">
        <v>32283</v>
      </c>
      <c r="C6913" s="188">
        <v>9.2200000000000006</v>
      </c>
      <c r="D6913" s="104">
        <f t="shared" si="107"/>
        <v>9.2200000000000004E-2</v>
      </c>
      <c r="F6913" s="5"/>
    </row>
    <row r="6914" spans="2:6" ht="13.8" hidden="1" outlineLevel="1">
      <c r="B6914" s="187">
        <v>32286</v>
      </c>
      <c r="C6914" s="188">
        <v>9.23</v>
      </c>
      <c r="D6914" s="104">
        <f t="shared" si="107"/>
        <v>9.2300000000000007E-2</v>
      </c>
      <c r="F6914" s="5"/>
    </row>
    <row r="6915" spans="2:6" ht="13.8" hidden="1" outlineLevel="1">
      <c r="B6915" s="187">
        <v>32287</v>
      </c>
      <c r="C6915" s="188">
        <v>9.2200000000000006</v>
      </c>
      <c r="D6915" s="104">
        <f t="shared" si="107"/>
        <v>9.2200000000000004E-2</v>
      </c>
      <c r="F6915" s="5"/>
    </row>
    <row r="6916" spans="2:6" ht="13.8" hidden="1" outlineLevel="1">
      <c r="B6916" s="187">
        <v>32288</v>
      </c>
      <c r="C6916" s="188">
        <v>9.1999999999999993</v>
      </c>
      <c r="D6916" s="104">
        <f t="shared" si="107"/>
        <v>9.1999999999999998E-2</v>
      </c>
      <c r="F6916" s="5"/>
    </row>
    <row r="6917" spans="2:6" ht="13.8" hidden="1" outlineLevel="1">
      <c r="B6917" s="187">
        <v>32289</v>
      </c>
      <c r="C6917" s="188">
        <v>9.2100000000000009</v>
      </c>
      <c r="D6917" s="104">
        <f t="shared" si="107"/>
        <v>9.2100000000000015E-2</v>
      </c>
      <c r="F6917" s="5"/>
    </row>
    <row r="6918" spans="2:6" ht="13.8" hidden="1" outlineLevel="1">
      <c r="B6918" s="187">
        <v>32290</v>
      </c>
      <c r="C6918" s="188">
        <v>9.24</v>
      </c>
      <c r="D6918" s="104">
        <f t="shared" si="107"/>
        <v>9.2399999999999996E-2</v>
      </c>
      <c r="F6918" s="5"/>
    </row>
    <row r="6919" spans="2:6" ht="13.8" hidden="1" outlineLevel="1">
      <c r="B6919" s="187">
        <v>32293</v>
      </c>
      <c r="C6919" s="188" t="s">
        <v>380</v>
      </c>
      <c r="D6919" s="104">
        <f t="shared" si="107"/>
        <v>9.2399999999999996E-2</v>
      </c>
      <c r="F6919" s="5"/>
    </row>
    <row r="6920" spans="2:6" ht="13.8" hidden="1" outlineLevel="1">
      <c r="B6920" s="187">
        <v>32294</v>
      </c>
      <c r="C6920" s="188">
        <v>9.1999999999999993</v>
      </c>
      <c r="D6920" s="104">
        <f t="shared" si="107"/>
        <v>9.1999999999999998E-2</v>
      </c>
      <c r="F6920" s="5"/>
    </row>
    <row r="6921" spans="2:6" ht="13.8" hidden="1" outlineLevel="1">
      <c r="B6921" s="187">
        <v>32295</v>
      </c>
      <c r="C6921" s="188">
        <v>9.0299999999999994</v>
      </c>
      <c r="D6921" s="104">
        <f t="shared" si="107"/>
        <v>9.0299999999999991E-2</v>
      </c>
      <c r="F6921" s="5"/>
    </row>
    <row r="6922" spans="2:6" ht="13.8" hidden="1" outlineLevel="1">
      <c r="B6922" s="187">
        <v>32296</v>
      </c>
      <c r="C6922" s="188">
        <v>9.07</v>
      </c>
      <c r="D6922" s="104">
        <f t="shared" si="107"/>
        <v>9.0700000000000003E-2</v>
      </c>
      <c r="F6922" s="5"/>
    </row>
    <row r="6923" spans="2:6" ht="13.8" hidden="1" outlineLevel="1">
      <c r="B6923" s="187">
        <v>32297</v>
      </c>
      <c r="C6923" s="188">
        <v>8.9700000000000006</v>
      </c>
      <c r="D6923" s="104">
        <f t="shared" si="107"/>
        <v>8.9700000000000002E-2</v>
      </c>
      <c r="F6923" s="5"/>
    </row>
    <row r="6924" spans="2:6" ht="13.8" hidden="1" outlineLevel="1">
      <c r="B6924" s="187">
        <v>32300</v>
      </c>
      <c r="C6924" s="188">
        <v>8.9700000000000006</v>
      </c>
      <c r="D6924" s="104">
        <f t="shared" si="107"/>
        <v>8.9700000000000002E-2</v>
      </c>
      <c r="F6924" s="5"/>
    </row>
    <row r="6925" spans="2:6" ht="13.8" hidden="1" outlineLevel="1">
      <c r="B6925" s="187">
        <v>32301</v>
      </c>
      <c r="C6925" s="188">
        <v>9.02</v>
      </c>
      <c r="D6925" s="104">
        <f t="shared" si="107"/>
        <v>9.0200000000000002E-2</v>
      </c>
      <c r="F6925" s="5"/>
    </row>
    <row r="6926" spans="2:6" ht="13.8" hidden="1" outlineLevel="1">
      <c r="B6926" s="187">
        <v>32302</v>
      </c>
      <c r="C6926" s="188">
        <v>8.92</v>
      </c>
      <c r="D6926" s="104">
        <f t="shared" si="107"/>
        <v>8.9200000000000002E-2</v>
      </c>
      <c r="F6926" s="5"/>
    </row>
    <row r="6927" spans="2:6" ht="13.8" hidden="1" outlineLevel="1">
      <c r="B6927" s="187">
        <v>32303</v>
      </c>
      <c r="C6927" s="188">
        <v>8.9600000000000009</v>
      </c>
      <c r="D6927" s="104">
        <f t="shared" si="107"/>
        <v>8.9600000000000013E-2</v>
      </c>
      <c r="F6927" s="5"/>
    </row>
    <row r="6928" spans="2:6" ht="13.8" hidden="1" outlineLevel="1">
      <c r="B6928" s="187">
        <v>32304</v>
      </c>
      <c r="C6928" s="188">
        <v>8.92</v>
      </c>
      <c r="D6928" s="104">
        <f t="shared" si="107"/>
        <v>8.9200000000000002E-2</v>
      </c>
      <c r="F6928" s="5"/>
    </row>
    <row r="6929" spans="2:6" ht="13.8" hidden="1" outlineLevel="1">
      <c r="B6929" s="187">
        <v>32307</v>
      </c>
      <c r="C6929" s="188">
        <v>8.91</v>
      </c>
      <c r="D6929" s="104">
        <f t="shared" si="107"/>
        <v>8.9099999999999999E-2</v>
      </c>
      <c r="F6929" s="5"/>
    </row>
    <row r="6930" spans="2:6" ht="13.8" hidden="1" outlineLevel="1">
      <c r="B6930" s="187">
        <v>32308</v>
      </c>
      <c r="C6930" s="188">
        <v>8.69</v>
      </c>
      <c r="D6930" s="104">
        <f t="shared" si="107"/>
        <v>8.6899999999999991E-2</v>
      </c>
      <c r="F6930" s="5"/>
    </row>
    <row r="6931" spans="2:6" ht="13.8" hidden="1" outlineLevel="1">
      <c r="B6931" s="187">
        <v>32309</v>
      </c>
      <c r="C6931" s="188">
        <v>8.7100000000000009</v>
      </c>
      <c r="D6931" s="104">
        <f t="shared" si="107"/>
        <v>8.7100000000000011E-2</v>
      </c>
      <c r="F6931" s="5"/>
    </row>
    <row r="6932" spans="2:6" ht="13.8" hidden="1" outlineLevel="1">
      <c r="B6932" s="187">
        <v>32310</v>
      </c>
      <c r="C6932" s="188">
        <v>8.89</v>
      </c>
      <c r="D6932" s="104">
        <f t="shared" si="107"/>
        <v>8.8900000000000007E-2</v>
      </c>
      <c r="F6932" s="5"/>
    </row>
    <row r="6933" spans="2:6" ht="13.8" hidden="1" outlineLevel="1">
      <c r="B6933" s="187">
        <v>32311</v>
      </c>
      <c r="C6933" s="188">
        <v>9.02</v>
      </c>
      <c r="D6933" s="104">
        <f t="shared" si="107"/>
        <v>9.0200000000000002E-2</v>
      </c>
      <c r="F6933" s="5"/>
    </row>
    <row r="6934" spans="2:6" ht="13.8" hidden="1" outlineLevel="1">
      <c r="B6934" s="187">
        <v>32314</v>
      </c>
      <c r="C6934" s="188">
        <v>9.02</v>
      </c>
      <c r="D6934" s="104">
        <f t="shared" si="107"/>
        <v>9.0200000000000002E-2</v>
      </c>
      <c r="F6934" s="5"/>
    </row>
    <row r="6935" spans="2:6" ht="13.8" hidden="1" outlineLevel="1">
      <c r="B6935" s="187">
        <v>32315</v>
      </c>
      <c r="C6935" s="188">
        <v>9.0299999999999994</v>
      </c>
      <c r="D6935" s="104">
        <f t="shared" si="107"/>
        <v>9.0299999999999991E-2</v>
      </c>
      <c r="F6935" s="5"/>
    </row>
    <row r="6936" spans="2:6" ht="13.8" hidden="1" outlineLevel="1">
      <c r="B6936" s="187">
        <v>32316</v>
      </c>
      <c r="C6936" s="188">
        <v>8.9</v>
      </c>
      <c r="D6936" s="104">
        <f t="shared" si="107"/>
        <v>8.900000000000001E-2</v>
      </c>
      <c r="F6936" s="5"/>
    </row>
    <row r="6937" spans="2:6" ht="13.8" hidden="1" outlineLevel="1">
      <c r="B6937" s="187">
        <v>32317</v>
      </c>
      <c r="C6937" s="188">
        <v>8.8800000000000008</v>
      </c>
      <c r="D6937" s="104">
        <f t="shared" si="107"/>
        <v>8.8800000000000004E-2</v>
      </c>
      <c r="F6937" s="5"/>
    </row>
    <row r="6938" spans="2:6" ht="13.8" hidden="1" outlineLevel="1">
      <c r="B6938" s="187">
        <v>32318</v>
      </c>
      <c r="C6938" s="188">
        <v>8.85</v>
      </c>
      <c r="D6938" s="104">
        <f t="shared" si="107"/>
        <v>8.8499999999999995E-2</v>
      </c>
      <c r="F6938" s="5"/>
    </row>
    <row r="6939" spans="2:6" ht="13.8" hidden="1" outlineLevel="1">
      <c r="B6939" s="187">
        <v>32321</v>
      </c>
      <c r="C6939" s="188">
        <v>8.94</v>
      </c>
      <c r="D6939" s="104">
        <f t="shared" si="107"/>
        <v>8.9399999999999993E-2</v>
      </c>
      <c r="F6939" s="5"/>
    </row>
    <row r="6940" spans="2:6" ht="13.8" hidden="1" outlineLevel="1">
      <c r="B6940" s="187">
        <v>32322</v>
      </c>
      <c r="C6940" s="188">
        <v>8.8699999999999992</v>
      </c>
      <c r="D6940" s="104">
        <f t="shared" si="107"/>
        <v>8.8699999999999987E-2</v>
      </c>
      <c r="F6940" s="5"/>
    </row>
    <row r="6941" spans="2:6" ht="13.8" hidden="1" outlineLevel="1">
      <c r="B6941" s="187">
        <v>32323</v>
      </c>
      <c r="C6941" s="188">
        <v>8.8800000000000008</v>
      </c>
      <c r="D6941" s="104">
        <f t="shared" si="107"/>
        <v>8.8800000000000004E-2</v>
      </c>
      <c r="F6941" s="5"/>
    </row>
    <row r="6942" spans="2:6" ht="13.8" hidden="1" outlineLevel="1">
      <c r="B6942" s="187">
        <v>32324</v>
      </c>
      <c r="C6942" s="188">
        <v>8.82</v>
      </c>
      <c r="D6942" s="104">
        <f t="shared" ref="D6942:D7005" si="108">IF( LEN( C6942 ) = 0, #N/A, IF( C6942 = "ND", D6941, C6942 / 100 ) )</f>
        <v>8.8200000000000001E-2</v>
      </c>
      <c r="F6942" s="5"/>
    </row>
    <row r="6943" spans="2:6" ht="13.8" hidden="1" outlineLevel="1">
      <c r="B6943" s="187">
        <v>32325</v>
      </c>
      <c r="C6943" s="188">
        <v>8.77</v>
      </c>
      <c r="D6943" s="104">
        <f t="shared" si="108"/>
        <v>8.77E-2</v>
      </c>
      <c r="F6943" s="5"/>
    </row>
    <row r="6944" spans="2:6" ht="13.8" hidden="1" outlineLevel="1">
      <c r="B6944" s="187">
        <v>32328</v>
      </c>
      <c r="C6944" s="188" t="s">
        <v>380</v>
      </c>
      <c r="D6944" s="104">
        <f t="shared" si="108"/>
        <v>8.77E-2</v>
      </c>
      <c r="F6944" s="5"/>
    </row>
    <row r="6945" spans="2:6" ht="13.8" hidden="1" outlineLevel="1">
      <c r="B6945" s="187">
        <v>32329</v>
      </c>
      <c r="C6945" s="188">
        <v>8.82</v>
      </c>
      <c r="D6945" s="104">
        <f t="shared" si="108"/>
        <v>8.8200000000000001E-2</v>
      </c>
      <c r="F6945" s="5"/>
    </row>
    <row r="6946" spans="2:6" ht="13.8" hidden="1" outlineLevel="1">
      <c r="B6946" s="187">
        <v>32330</v>
      </c>
      <c r="C6946" s="188">
        <v>8.91</v>
      </c>
      <c r="D6946" s="104">
        <f t="shared" si="108"/>
        <v>8.9099999999999999E-2</v>
      </c>
      <c r="F6946" s="5"/>
    </row>
    <row r="6947" spans="2:6" ht="13.8" hidden="1" outlineLevel="1">
      <c r="B6947" s="187">
        <v>32331</v>
      </c>
      <c r="C6947" s="188">
        <v>8.9499999999999993</v>
      </c>
      <c r="D6947" s="104">
        <f t="shared" si="108"/>
        <v>8.9499999999999996E-2</v>
      </c>
      <c r="F6947" s="5"/>
    </row>
    <row r="6948" spans="2:6" ht="13.8" hidden="1" outlineLevel="1">
      <c r="B6948" s="187">
        <v>32332</v>
      </c>
      <c r="C6948" s="188">
        <v>9.0399999999999991</v>
      </c>
      <c r="D6948" s="104">
        <f t="shared" si="108"/>
        <v>9.0399999999999994E-2</v>
      </c>
      <c r="F6948" s="5"/>
    </row>
    <row r="6949" spans="2:6" ht="13.8" hidden="1" outlineLevel="1">
      <c r="B6949" s="187">
        <v>32335</v>
      </c>
      <c r="C6949" s="188">
        <v>9.02</v>
      </c>
      <c r="D6949" s="104">
        <f t="shared" si="108"/>
        <v>9.0200000000000002E-2</v>
      </c>
      <c r="F6949" s="5"/>
    </row>
    <row r="6950" spans="2:6" ht="13.8" hidden="1" outlineLevel="1">
      <c r="B6950" s="187">
        <v>32336</v>
      </c>
      <c r="C6950" s="188">
        <v>9.08</v>
      </c>
      <c r="D6950" s="104">
        <f t="shared" si="108"/>
        <v>9.0800000000000006E-2</v>
      </c>
      <c r="F6950" s="5"/>
    </row>
    <row r="6951" spans="2:6" ht="13.8" hidden="1" outlineLevel="1">
      <c r="B6951" s="187">
        <v>32337</v>
      </c>
      <c r="C6951" s="188">
        <v>9.1199999999999992</v>
      </c>
      <c r="D6951" s="104">
        <f t="shared" si="108"/>
        <v>9.1199999999999989E-2</v>
      </c>
      <c r="F6951" s="5"/>
    </row>
    <row r="6952" spans="2:6" ht="13.8" hidden="1" outlineLevel="1">
      <c r="B6952" s="187">
        <v>32338</v>
      </c>
      <c r="C6952" s="188">
        <v>9.1199999999999992</v>
      </c>
      <c r="D6952" s="104">
        <f t="shared" si="108"/>
        <v>9.1199999999999989E-2</v>
      </c>
      <c r="F6952" s="5"/>
    </row>
    <row r="6953" spans="2:6" ht="13.8" hidden="1" outlineLevel="1">
      <c r="B6953" s="187">
        <v>32339</v>
      </c>
      <c r="C6953" s="188">
        <v>9.08</v>
      </c>
      <c r="D6953" s="104">
        <f t="shared" si="108"/>
        <v>9.0800000000000006E-2</v>
      </c>
      <c r="F6953" s="5"/>
    </row>
    <row r="6954" spans="2:6" ht="13.8" hidden="1" outlineLevel="1">
      <c r="B6954" s="187">
        <v>32342</v>
      </c>
      <c r="C6954" s="188">
        <v>9.15</v>
      </c>
      <c r="D6954" s="104">
        <f t="shared" si="108"/>
        <v>9.1499999999999998E-2</v>
      </c>
      <c r="F6954" s="5"/>
    </row>
    <row r="6955" spans="2:6" ht="13.8" hidden="1" outlineLevel="1">
      <c r="B6955" s="187">
        <v>32343</v>
      </c>
      <c r="C6955" s="188">
        <v>9.1</v>
      </c>
      <c r="D6955" s="104">
        <f t="shared" si="108"/>
        <v>9.0999999999999998E-2</v>
      </c>
      <c r="F6955" s="5"/>
    </row>
    <row r="6956" spans="2:6" ht="13.8" hidden="1" outlineLevel="1">
      <c r="B6956" s="187">
        <v>32344</v>
      </c>
      <c r="C6956" s="188">
        <v>9.11</v>
      </c>
      <c r="D6956" s="104">
        <f t="shared" si="108"/>
        <v>9.11E-2</v>
      </c>
      <c r="F6956" s="5"/>
    </row>
    <row r="6957" spans="2:6" ht="13.8" hidden="1" outlineLevel="1">
      <c r="B6957" s="187">
        <v>32345</v>
      </c>
      <c r="C6957" s="188">
        <v>9.16</v>
      </c>
      <c r="D6957" s="104">
        <f t="shared" si="108"/>
        <v>9.1600000000000001E-2</v>
      </c>
      <c r="F6957" s="5"/>
    </row>
    <row r="6958" spans="2:6" ht="13.8" hidden="1" outlineLevel="1">
      <c r="B6958" s="187">
        <v>32346</v>
      </c>
      <c r="C6958" s="188">
        <v>9.11</v>
      </c>
      <c r="D6958" s="104">
        <f t="shared" si="108"/>
        <v>9.11E-2</v>
      </c>
      <c r="F6958" s="5"/>
    </row>
    <row r="6959" spans="2:6" ht="13.8" hidden="1" outlineLevel="1">
      <c r="B6959" s="187">
        <v>32349</v>
      </c>
      <c r="C6959" s="188">
        <v>9.07</v>
      </c>
      <c r="D6959" s="104">
        <f t="shared" si="108"/>
        <v>9.0700000000000003E-2</v>
      </c>
      <c r="F6959" s="5"/>
    </row>
    <row r="6960" spans="2:6" ht="13.8" hidden="1" outlineLevel="1">
      <c r="B6960" s="187">
        <v>32350</v>
      </c>
      <c r="C6960" s="188">
        <v>9.09</v>
      </c>
      <c r="D6960" s="104">
        <f t="shared" si="108"/>
        <v>9.0899999999999995E-2</v>
      </c>
      <c r="F6960" s="5"/>
    </row>
    <row r="6961" spans="2:6" ht="13.8" hidden="1" outlineLevel="1">
      <c r="B6961" s="187">
        <v>32351</v>
      </c>
      <c r="C6961" s="188">
        <v>9.14</v>
      </c>
      <c r="D6961" s="104">
        <f t="shared" si="108"/>
        <v>9.1400000000000009E-2</v>
      </c>
      <c r="F6961" s="5"/>
    </row>
    <row r="6962" spans="2:6" ht="13.8" hidden="1" outlineLevel="1">
      <c r="B6962" s="187">
        <v>32352</v>
      </c>
      <c r="C6962" s="188">
        <v>9.16</v>
      </c>
      <c r="D6962" s="104">
        <f t="shared" si="108"/>
        <v>9.1600000000000001E-2</v>
      </c>
      <c r="F6962" s="5"/>
    </row>
    <row r="6963" spans="2:6" ht="13.8" hidden="1" outlineLevel="1">
      <c r="B6963" s="187">
        <v>32353</v>
      </c>
      <c r="C6963" s="188">
        <v>9.1199999999999992</v>
      </c>
      <c r="D6963" s="104">
        <f t="shared" si="108"/>
        <v>9.1199999999999989E-2</v>
      </c>
      <c r="F6963" s="5"/>
    </row>
    <row r="6964" spans="2:6" ht="13.8" hidden="1" outlineLevel="1">
      <c r="B6964" s="187">
        <v>32356</v>
      </c>
      <c r="C6964" s="188">
        <v>9.07</v>
      </c>
      <c r="D6964" s="104">
        <f t="shared" si="108"/>
        <v>9.0700000000000003E-2</v>
      </c>
      <c r="F6964" s="5"/>
    </row>
    <row r="6965" spans="2:6" ht="13.8" hidden="1" outlineLevel="1">
      <c r="B6965" s="187">
        <v>32357</v>
      </c>
      <c r="C6965" s="188">
        <v>9</v>
      </c>
      <c r="D6965" s="104">
        <f t="shared" si="108"/>
        <v>0.09</v>
      </c>
      <c r="F6965" s="5"/>
    </row>
    <row r="6966" spans="2:6" ht="13.8" hidden="1" outlineLevel="1">
      <c r="B6966" s="187">
        <v>32358</v>
      </c>
      <c r="C6966" s="188">
        <v>9.0399999999999991</v>
      </c>
      <c r="D6966" s="104">
        <f t="shared" si="108"/>
        <v>9.0399999999999994E-2</v>
      </c>
      <c r="F6966" s="5"/>
    </row>
    <row r="6967" spans="2:6" ht="13.8" hidden="1" outlineLevel="1">
      <c r="B6967" s="187">
        <v>32359</v>
      </c>
      <c r="C6967" s="188">
        <v>8.99</v>
      </c>
      <c r="D6967" s="104">
        <f t="shared" si="108"/>
        <v>8.9900000000000008E-2</v>
      </c>
      <c r="F6967" s="5"/>
    </row>
    <row r="6968" spans="2:6" ht="13.8" hidden="1" outlineLevel="1">
      <c r="B6968" s="187">
        <v>32360</v>
      </c>
      <c r="C6968" s="188">
        <v>9.1199999999999992</v>
      </c>
      <c r="D6968" s="104">
        <f t="shared" si="108"/>
        <v>9.1199999999999989E-2</v>
      </c>
      <c r="F6968" s="5"/>
    </row>
    <row r="6969" spans="2:6" ht="13.8" hidden="1" outlineLevel="1">
      <c r="B6969" s="187">
        <v>32363</v>
      </c>
      <c r="C6969" s="188">
        <v>9.1199999999999992</v>
      </c>
      <c r="D6969" s="104">
        <f t="shared" si="108"/>
        <v>9.1199999999999989E-2</v>
      </c>
      <c r="F6969" s="5"/>
    </row>
    <row r="6970" spans="2:6" ht="13.8" hidden="1" outlineLevel="1">
      <c r="B6970" s="187">
        <v>32364</v>
      </c>
      <c r="C6970" s="188">
        <v>9.1999999999999993</v>
      </c>
      <c r="D6970" s="104">
        <f t="shared" si="108"/>
        <v>9.1999999999999998E-2</v>
      </c>
      <c r="F6970" s="5"/>
    </row>
    <row r="6971" spans="2:6" ht="13.8" hidden="1" outlineLevel="1">
      <c r="B6971" s="187">
        <v>32365</v>
      </c>
      <c r="C6971" s="188">
        <v>9.3000000000000007</v>
      </c>
      <c r="D6971" s="104">
        <f t="shared" si="108"/>
        <v>9.3000000000000013E-2</v>
      </c>
      <c r="F6971" s="5"/>
    </row>
    <row r="6972" spans="2:6" ht="13.8" hidden="1" outlineLevel="1">
      <c r="B6972" s="187">
        <v>32366</v>
      </c>
      <c r="C6972" s="188">
        <v>9.35</v>
      </c>
      <c r="D6972" s="104">
        <f t="shared" si="108"/>
        <v>9.35E-2</v>
      </c>
      <c r="F6972" s="5"/>
    </row>
    <row r="6973" spans="2:6" ht="13.8" hidden="1" outlineLevel="1">
      <c r="B6973" s="187">
        <v>32367</v>
      </c>
      <c r="C6973" s="188">
        <v>9.36</v>
      </c>
      <c r="D6973" s="104">
        <f t="shared" si="108"/>
        <v>9.3599999999999989E-2</v>
      </c>
      <c r="F6973" s="5"/>
    </row>
    <row r="6974" spans="2:6" ht="13.8" hidden="1" outlineLevel="1">
      <c r="B6974" s="187">
        <v>32370</v>
      </c>
      <c r="C6974" s="188">
        <v>9.3699999999999992</v>
      </c>
      <c r="D6974" s="104">
        <f t="shared" si="108"/>
        <v>9.3699999999999992E-2</v>
      </c>
      <c r="F6974" s="5"/>
    </row>
    <row r="6975" spans="2:6" ht="13.8" hidden="1" outlineLevel="1">
      <c r="B6975" s="187">
        <v>32371</v>
      </c>
      <c r="C6975" s="188">
        <v>9.35</v>
      </c>
      <c r="D6975" s="104">
        <f t="shared" si="108"/>
        <v>9.35E-2</v>
      </c>
      <c r="F6975" s="5"/>
    </row>
    <row r="6976" spans="2:6" ht="13.8" hidden="1" outlineLevel="1">
      <c r="B6976" s="187">
        <v>32372</v>
      </c>
      <c r="C6976" s="188">
        <v>9.3800000000000008</v>
      </c>
      <c r="D6976" s="104">
        <f t="shared" si="108"/>
        <v>9.3800000000000008E-2</v>
      </c>
      <c r="F6976" s="5"/>
    </row>
    <row r="6977" spans="2:6" ht="13.8" hidden="1" outlineLevel="1">
      <c r="B6977" s="187">
        <v>32373</v>
      </c>
      <c r="C6977" s="188">
        <v>9.35</v>
      </c>
      <c r="D6977" s="104">
        <f t="shared" si="108"/>
        <v>9.35E-2</v>
      </c>
      <c r="F6977" s="5"/>
    </row>
    <row r="6978" spans="2:6" ht="13.8" hidden="1" outlineLevel="1">
      <c r="B6978" s="187">
        <v>32374</v>
      </c>
      <c r="C6978" s="188">
        <v>9.35</v>
      </c>
      <c r="D6978" s="104">
        <f t="shared" si="108"/>
        <v>9.35E-2</v>
      </c>
      <c r="F6978" s="5"/>
    </row>
    <row r="6979" spans="2:6" ht="13.8" hidden="1" outlineLevel="1">
      <c r="B6979" s="187">
        <v>32377</v>
      </c>
      <c r="C6979" s="188">
        <v>9.3699999999999992</v>
      </c>
      <c r="D6979" s="104">
        <f t="shared" si="108"/>
        <v>9.3699999999999992E-2</v>
      </c>
      <c r="F6979" s="5"/>
    </row>
    <row r="6980" spans="2:6" ht="13.8" hidden="1" outlineLevel="1">
      <c r="B6980" s="187">
        <v>32378</v>
      </c>
      <c r="C6980" s="188">
        <v>9.32</v>
      </c>
      <c r="D6980" s="104">
        <f t="shared" si="108"/>
        <v>9.3200000000000005E-2</v>
      </c>
      <c r="F6980" s="5"/>
    </row>
    <row r="6981" spans="2:6" ht="13.8" hidden="1" outlineLevel="1">
      <c r="B6981" s="187">
        <v>32379</v>
      </c>
      <c r="C6981" s="188">
        <v>9.34</v>
      </c>
      <c r="D6981" s="104">
        <f t="shared" si="108"/>
        <v>9.3399999999999997E-2</v>
      </c>
      <c r="F6981" s="5"/>
    </row>
    <row r="6982" spans="2:6" ht="13.8" hidden="1" outlineLevel="1">
      <c r="B6982" s="187">
        <v>32380</v>
      </c>
      <c r="C6982" s="188">
        <v>9.41</v>
      </c>
      <c r="D6982" s="104">
        <f t="shared" si="108"/>
        <v>9.4100000000000003E-2</v>
      </c>
      <c r="F6982" s="5"/>
    </row>
    <row r="6983" spans="2:6" ht="13.8" hidden="1" outlineLevel="1">
      <c r="B6983" s="187">
        <v>32381</v>
      </c>
      <c r="C6983" s="188">
        <v>9.3800000000000008</v>
      </c>
      <c r="D6983" s="104">
        <f t="shared" si="108"/>
        <v>9.3800000000000008E-2</v>
      </c>
      <c r="F6983" s="5"/>
    </row>
    <row r="6984" spans="2:6" ht="13.8" hidden="1" outlineLevel="1">
      <c r="B6984" s="187">
        <v>32384</v>
      </c>
      <c r="C6984" s="188">
        <v>9.3000000000000007</v>
      </c>
      <c r="D6984" s="104">
        <f t="shared" si="108"/>
        <v>9.3000000000000013E-2</v>
      </c>
      <c r="F6984" s="5"/>
    </row>
    <row r="6985" spans="2:6" ht="13.8" hidden="1" outlineLevel="1">
      <c r="B6985" s="187">
        <v>32385</v>
      </c>
      <c r="C6985" s="188">
        <v>9.27</v>
      </c>
      <c r="D6985" s="104">
        <f t="shared" si="108"/>
        <v>9.2699999999999991E-2</v>
      </c>
      <c r="F6985" s="5"/>
    </row>
    <row r="6986" spans="2:6" ht="13.8" hidden="1" outlineLevel="1">
      <c r="B6986" s="187">
        <v>32386</v>
      </c>
      <c r="C6986" s="188">
        <v>9.25</v>
      </c>
      <c r="D6986" s="104">
        <f t="shared" si="108"/>
        <v>9.2499999999999999E-2</v>
      </c>
      <c r="F6986" s="5"/>
    </row>
    <row r="6987" spans="2:6" ht="13.8" hidden="1" outlineLevel="1">
      <c r="B6987" s="187">
        <v>32387</v>
      </c>
      <c r="C6987" s="188">
        <v>9.25</v>
      </c>
      <c r="D6987" s="104">
        <f t="shared" si="108"/>
        <v>9.2499999999999999E-2</v>
      </c>
      <c r="F6987" s="5"/>
    </row>
    <row r="6988" spans="2:6" ht="13.8" hidden="1" outlineLevel="1">
      <c r="B6988" s="187">
        <v>32388</v>
      </c>
      <c r="C6988" s="188">
        <v>9</v>
      </c>
      <c r="D6988" s="104">
        <f t="shared" si="108"/>
        <v>0.09</v>
      </c>
      <c r="F6988" s="5"/>
    </row>
    <row r="6989" spans="2:6" ht="13.8" hidden="1" outlineLevel="1">
      <c r="B6989" s="187">
        <v>32391</v>
      </c>
      <c r="C6989" s="188" t="s">
        <v>380</v>
      </c>
      <c r="D6989" s="104">
        <f t="shared" si="108"/>
        <v>0.09</v>
      </c>
      <c r="F6989" s="5"/>
    </row>
    <row r="6990" spans="2:6" ht="13.8" hidden="1" outlineLevel="1">
      <c r="B6990" s="187">
        <v>32392</v>
      </c>
      <c r="C6990" s="188">
        <v>8.99</v>
      </c>
      <c r="D6990" s="104">
        <f t="shared" si="108"/>
        <v>8.9900000000000008E-2</v>
      </c>
      <c r="F6990" s="5"/>
    </row>
    <row r="6991" spans="2:6" ht="13.8" hidden="1" outlineLevel="1">
      <c r="B6991" s="187">
        <v>32393</v>
      </c>
      <c r="C6991" s="188">
        <v>8.99</v>
      </c>
      <c r="D6991" s="104">
        <f t="shared" si="108"/>
        <v>8.9900000000000008E-2</v>
      </c>
      <c r="F6991" s="5"/>
    </row>
    <row r="6992" spans="2:6" ht="13.8" hidden="1" outlineLevel="1">
      <c r="B6992" s="187">
        <v>32394</v>
      </c>
      <c r="C6992" s="188">
        <v>8.99</v>
      </c>
      <c r="D6992" s="104">
        <f t="shared" si="108"/>
        <v>8.9900000000000008E-2</v>
      </c>
      <c r="F6992" s="5"/>
    </row>
    <row r="6993" spans="2:6" ht="13.8" hidden="1" outlineLevel="1">
      <c r="B6993" s="187">
        <v>32395</v>
      </c>
      <c r="C6993" s="188">
        <v>8.93</v>
      </c>
      <c r="D6993" s="104">
        <f t="shared" si="108"/>
        <v>8.929999999999999E-2</v>
      </c>
      <c r="F6993" s="5"/>
    </row>
    <row r="6994" spans="2:6" ht="13.8" hidden="1" outlineLevel="1">
      <c r="B6994" s="187">
        <v>32398</v>
      </c>
      <c r="C6994" s="188">
        <v>8.9700000000000006</v>
      </c>
      <c r="D6994" s="104">
        <f t="shared" si="108"/>
        <v>8.9700000000000002E-2</v>
      </c>
      <c r="F6994" s="5"/>
    </row>
    <row r="6995" spans="2:6" ht="13.8" hidden="1" outlineLevel="1">
      <c r="B6995" s="187">
        <v>32399</v>
      </c>
      <c r="C6995" s="188">
        <v>8.94</v>
      </c>
      <c r="D6995" s="104">
        <f t="shared" si="108"/>
        <v>8.9399999999999993E-2</v>
      </c>
      <c r="F6995" s="5"/>
    </row>
    <row r="6996" spans="2:6" ht="13.8" hidden="1" outlineLevel="1">
      <c r="B6996" s="187">
        <v>32400</v>
      </c>
      <c r="C6996" s="188">
        <v>8.8800000000000008</v>
      </c>
      <c r="D6996" s="104">
        <f t="shared" si="108"/>
        <v>8.8800000000000004E-2</v>
      </c>
      <c r="F6996" s="5"/>
    </row>
    <row r="6997" spans="2:6" ht="13.8" hidden="1" outlineLevel="1">
      <c r="B6997" s="187">
        <v>32401</v>
      </c>
      <c r="C6997" s="188">
        <v>8.91</v>
      </c>
      <c r="D6997" s="104">
        <f t="shared" si="108"/>
        <v>8.9099999999999999E-2</v>
      </c>
      <c r="F6997" s="5"/>
    </row>
    <row r="6998" spans="2:6" ht="13.8" hidden="1" outlineLevel="1">
      <c r="B6998" s="187">
        <v>32402</v>
      </c>
      <c r="C6998" s="188">
        <v>8.93</v>
      </c>
      <c r="D6998" s="104">
        <f t="shared" si="108"/>
        <v>8.929999999999999E-2</v>
      </c>
      <c r="F6998" s="5"/>
    </row>
    <row r="6999" spans="2:6" ht="13.8" hidden="1" outlineLevel="1">
      <c r="B6999" s="187">
        <v>32405</v>
      </c>
      <c r="C6999" s="188">
        <v>8.9700000000000006</v>
      </c>
      <c r="D6999" s="104">
        <f t="shared" si="108"/>
        <v>8.9700000000000002E-2</v>
      </c>
      <c r="F6999" s="5"/>
    </row>
    <row r="7000" spans="2:6" ht="13.8" hidden="1" outlineLevel="1">
      <c r="B7000" s="187">
        <v>32406</v>
      </c>
      <c r="C7000" s="188">
        <v>8.9700000000000006</v>
      </c>
      <c r="D7000" s="104">
        <f t="shared" si="108"/>
        <v>8.9700000000000002E-2</v>
      </c>
      <c r="F7000" s="5"/>
    </row>
    <row r="7001" spans="2:6" ht="13.8" hidden="1" outlineLevel="1">
      <c r="B7001" s="187">
        <v>32407</v>
      </c>
      <c r="C7001" s="188">
        <v>8.93</v>
      </c>
      <c r="D7001" s="104">
        <f t="shared" si="108"/>
        <v>8.929999999999999E-2</v>
      </c>
      <c r="F7001" s="5"/>
    </row>
    <row r="7002" spans="2:6" ht="13.8" hidden="1" outlineLevel="1">
      <c r="B7002" s="187">
        <v>32408</v>
      </c>
      <c r="C7002" s="188">
        <v>8.9499999999999993</v>
      </c>
      <c r="D7002" s="104">
        <f t="shared" si="108"/>
        <v>8.9499999999999996E-2</v>
      </c>
      <c r="F7002" s="5"/>
    </row>
    <row r="7003" spans="2:6" ht="13.8" hidden="1" outlineLevel="1">
      <c r="B7003" s="187">
        <v>32409</v>
      </c>
      <c r="C7003" s="188">
        <v>8.9700000000000006</v>
      </c>
      <c r="D7003" s="104">
        <f t="shared" si="108"/>
        <v>8.9700000000000002E-2</v>
      </c>
      <c r="F7003" s="5"/>
    </row>
    <row r="7004" spans="2:6" ht="13.8" hidden="1" outlineLevel="1">
      <c r="B7004" s="187">
        <v>32412</v>
      </c>
      <c r="C7004" s="188">
        <v>9</v>
      </c>
      <c r="D7004" s="104">
        <f t="shared" si="108"/>
        <v>0.09</v>
      </c>
      <c r="F7004" s="5"/>
    </row>
    <row r="7005" spans="2:6" ht="13.8" hidden="1" outlineLevel="1">
      <c r="B7005" s="187">
        <v>32413</v>
      </c>
      <c r="C7005" s="188">
        <v>9.0399999999999991</v>
      </c>
      <c r="D7005" s="104">
        <f t="shared" si="108"/>
        <v>9.0399999999999994E-2</v>
      </c>
      <c r="F7005" s="5"/>
    </row>
    <row r="7006" spans="2:6" ht="13.8" hidden="1" outlineLevel="1">
      <c r="B7006" s="187">
        <v>32414</v>
      </c>
      <c r="C7006" s="188">
        <v>9.06</v>
      </c>
      <c r="D7006" s="104">
        <f t="shared" ref="D7006:D7069" si="109">IF( LEN( C7006 ) = 0, #N/A, IF( C7006 = "ND", D7005, C7006 / 100 ) )</f>
        <v>9.06E-2</v>
      </c>
      <c r="F7006" s="5"/>
    </row>
    <row r="7007" spans="2:6" ht="13.8" hidden="1" outlineLevel="1">
      <c r="B7007" s="187">
        <v>32415</v>
      </c>
      <c r="C7007" s="188">
        <v>8.98</v>
      </c>
      <c r="D7007" s="104">
        <f t="shared" si="109"/>
        <v>8.9800000000000005E-2</v>
      </c>
      <c r="F7007" s="5"/>
    </row>
    <row r="7008" spans="2:6" ht="13.8" hidden="1" outlineLevel="1">
      <c r="B7008" s="187">
        <v>32416</v>
      </c>
      <c r="C7008" s="188">
        <v>8.8699999999999992</v>
      </c>
      <c r="D7008" s="104">
        <f t="shared" si="109"/>
        <v>8.8699999999999987E-2</v>
      </c>
      <c r="F7008" s="5"/>
    </row>
    <row r="7009" spans="2:6" ht="13.8" hidden="1" outlineLevel="1">
      <c r="B7009" s="187">
        <v>32419</v>
      </c>
      <c r="C7009" s="188">
        <v>8.84</v>
      </c>
      <c r="D7009" s="104">
        <f t="shared" si="109"/>
        <v>8.8399999999999992E-2</v>
      </c>
      <c r="F7009" s="5"/>
    </row>
    <row r="7010" spans="2:6" ht="13.8" hidden="1" outlineLevel="1">
      <c r="B7010" s="187">
        <v>32420</v>
      </c>
      <c r="C7010" s="188">
        <v>8.8699999999999992</v>
      </c>
      <c r="D7010" s="104">
        <f t="shared" si="109"/>
        <v>8.8699999999999987E-2</v>
      </c>
      <c r="F7010" s="5"/>
    </row>
    <row r="7011" spans="2:6" ht="13.8" hidden="1" outlineLevel="1">
      <c r="B7011" s="187">
        <v>32421</v>
      </c>
      <c r="C7011" s="188">
        <v>8.8699999999999992</v>
      </c>
      <c r="D7011" s="104">
        <f t="shared" si="109"/>
        <v>8.8699999999999987E-2</v>
      </c>
      <c r="F7011" s="5"/>
    </row>
    <row r="7012" spans="2:6" ht="13.8" hidden="1" outlineLevel="1">
      <c r="B7012" s="187">
        <v>32422</v>
      </c>
      <c r="C7012" s="188">
        <v>8.8699999999999992</v>
      </c>
      <c r="D7012" s="104">
        <f t="shared" si="109"/>
        <v>8.8699999999999987E-2</v>
      </c>
      <c r="F7012" s="5"/>
    </row>
    <row r="7013" spans="2:6" ht="13.8" hidden="1" outlineLevel="1">
      <c r="B7013" s="187">
        <v>32423</v>
      </c>
      <c r="C7013" s="188">
        <v>8.6999999999999993</v>
      </c>
      <c r="D7013" s="104">
        <f t="shared" si="109"/>
        <v>8.6999999999999994E-2</v>
      </c>
      <c r="F7013" s="5"/>
    </row>
    <row r="7014" spans="2:6" ht="13.8" hidden="1" outlineLevel="1">
      <c r="B7014" s="187">
        <v>32426</v>
      </c>
      <c r="C7014" s="188" t="s">
        <v>380</v>
      </c>
      <c r="D7014" s="104">
        <f t="shared" si="109"/>
        <v>8.6999999999999994E-2</v>
      </c>
      <c r="F7014" s="5"/>
    </row>
    <row r="7015" spans="2:6" ht="13.8" hidden="1" outlineLevel="1">
      <c r="B7015" s="187">
        <v>32427</v>
      </c>
      <c r="C7015" s="188">
        <v>8.75</v>
      </c>
      <c r="D7015" s="104">
        <f t="shared" si="109"/>
        <v>8.7499999999999994E-2</v>
      </c>
      <c r="F7015" s="5"/>
    </row>
    <row r="7016" spans="2:6" ht="13.8" hidden="1" outlineLevel="1">
      <c r="B7016" s="187">
        <v>32428</v>
      </c>
      <c r="C7016" s="188">
        <v>8.84</v>
      </c>
      <c r="D7016" s="104">
        <f t="shared" si="109"/>
        <v>8.8399999999999992E-2</v>
      </c>
      <c r="F7016" s="5"/>
    </row>
    <row r="7017" spans="2:6" ht="13.8" hidden="1" outlineLevel="1">
      <c r="B7017" s="187">
        <v>32429</v>
      </c>
      <c r="C7017" s="188">
        <v>8.84</v>
      </c>
      <c r="D7017" s="104">
        <f t="shared" si="109"/>
        <v>8.8399999999999992E-2</v>
      </c>
      <c r="F7017" s="5"/>
    </row>
    <row r="7018" spans="2:6" ht="13.8" hidden="1" outlineLevel="1">
      <c r="B7018" s="187">
        <v>32430</v>
      </c>
      <c r="C7018" s="188">
        <v>8.81</v>
      </c>
      <c r="D7018" s="104">
        <f t="shared" si="109"/>
        <v>8.8100000000000012E-2</v>
      </c>
      <c r="F7018" s="5"/>
    </row>
    <row r="7019" spans="2:6" ht="13.8" hidden="1" outlineLevel="1">
      <c r="B7019" s="187">
        <v>32433</v>
      </c>
      <c r="C7019" s="188">
        <v>8.7899999999999991</v>
      </c>
      <c r="D7019" s="104">
        <f t="shared" si="109"/>
        <v>8.7899999999999992E-2</v>
      </c>
      <c r="F7019" s="5"/>
    </row>
    <row r="7020" spans="2:6" ht="13.8" hidden="1" outlineLevel="1">
      <c r="B7020" s="187">
        <v>32434</v>
      </c>
      <c r="C7020" s="188">
        <v>8.7799999999999994</v>
      </c>
      <c r="D7020" s="104">
        <f t="shared" si="109"/>
        <v>8.7799999999999989E-2</v>
      </c>
      <c r="F7020" s="5"/>
    </row>
    <row r="7021" spans="2:6" ht="13.8" hidden="1" outlineLevel="1">
      <c r="B7021" s="187">
        <v>32435</v>
      </c>
      <c r="C7021" s="188">
        <v>8.82</v>
      </c>
      <c r="D7021" s="104">
        <f t="shared" si="109"/>
        <v>8.8200000000000001E-2</v>
      </c>
      <c r="F7021" s="5"/>
    </row>
    <row r="7022" spans="2:6" ht="13.8" hidden="1" outlineLevel="1">
      <c r="B7022" s="187">
        <v>32436</v>
      </c>
      <c r="C7022" s="188">
        <v>8.7899999999999991</v>
      </c>
      <c r="D7022" s="104">
        <f t="shared" si="109"/>
        <v>8.7899999999999992E-2</v>
      </c>
      <c r="F7022" s="5"/>
    </row>
    <row r="7023" spans="2:6" ht="13.8" hidden="1" outlineLevel="1">
      <c r="B7023" s="187">
        <v>32437</v>
      </c>
      <c r="C7023" s="188">
        <v>8.83</v>
      </c>
      <c r="D7023" s="104">
        <f t="shared" si="109"/>
        <v>8.8300000000000003E-2</v>
      </c>
      <c r="F7023" s="5"/>
    </row>
    <row r="7024" spans="2:6" ht="13.8" hidden="1" outlineLevel="1">
      <c r="B7024" s="187">
        <v>32440</v>
      </c>
      <c r="C7024" s="188">
        <v>8.83</v>
      </c>
      <c r="D7024" s="104">
        <f t="shared" si="109"/>
        <v>8.8300000000000003E-2</v>
      </c>
      <c r="F7024" s="5"/>
    </row>
    <row r="7025" spans="2:6" ht="13.8" hidden="1" outlineLevel="1">
      <c r="B7025" s="187">
        <v>32441</v>
      </c>
      <c r="C7025" s="188">
        <v>8.83</v>
      </c>
      <c r="D7025" s="104">
        <f t="shared" si="109"/>
        <v>8.8300000000000003E-2</v>
      </c>
      <c r="F7025" s="5"/>
    </row>
    <row r="7026" spans="2:6" ht="13.8" hidden="1" outlineLevel="1">
      <c r="B7026" s="187">
        <v>32442</v>
      </c>
      <c r="C7026" s="188">
        <v>8.7899999999999991</v>
      </c>
      <c r="D7026" s="104">
        <f t="shared" si="109"/>
        <v>8.7899999999999992E-2</v>
      </c>
      <c r="F7026" s="5"/>
    </row>
    <row r="7027" spans="2:6" ht="13.8" hidden="1" outlineLevel="1">
      <c r="B7027" s="187">
        <v>32443</v>
      </c>
      <c r="C7027" s="188">
        <v>8.7200000000000006</v>
      </c>
      <c r="D7027" s="104">
        <f t="shared" si="109"/>
        <v>8.72E-2</v>
      </c>
      <c r="F7027" s="5"/>
    </row>
    <row r="7028" spans="2:6" ht="13.8" hidden="1" outlineLevel="1">
      <c r="B7028" s="187">
        <v>32444</v>
      </c>
      <c r="C7028" s="188">
        <v>8.69</v>
      </c>
      <c r="D7028" s="104">
        <f t="shared" si="109"/>
        <v>8.6899999999999991E-2</v>
      </c>
      <c r="F7028" s="5"/>
    </row>
    <row r="7029" spans="2:6" ht="13.8" hidden="1" outlineLevel="1">
      <c r="B7029" s="187">
        <v>32447</v>
      </c>
      <c r="C7029" s="188">
        <v>8.65</v>
      </c>
      <c r="D7029" s="104">
        <f t="shared" si="109"/>
        <v>8.6500000000000007E-2</v>
      </c>
      <c r="F7029" s="5"/>
    </row>
    <row r="7030" spans="2:6" ht="13.8" hidden="1" outlineLevel="1">
      <c r="B7030" s="187">
        <v>32448</v>
      </c>
      <c r="C7030" s="188">
        <v>8.68</v>
      </c>
      <c r="D7030" s="104">
        <f t="shared" si="109"/>
        <v>8.6800000000000002E-2</v>
      </c>
      <c r="F7030" s="5"/>
    </row>
    <row r="7031" spans="2:6" ht="13.8" hidden="1" outlineLevel="1">
      <c r="B7031" s="187">
        <v>32449</v>
      </c>
      <c r="C7031" s="188">
        <v>8.73</v>
      </c>
      <c r="D7031" s="104">
        <f t="shared" si="109"/>
        <v>8.7300000000000003E-2</v>
      </c>
      <c r="F7031" s="5"/>
    </row>
    <row r="7032" spans="2:6" ht="13.8" hidden="1" outlineLevel="1">
      <c r="B7032" s="187">
        <v>32450</v>
      </c>
      <c r="C7032" s="188">
        <v>8.69</v>
      </c>
      <c r="D7032" s="104">
        <f t="shared" si="109"/>
        <v>8.6899999999999991E-2</v>
      </c>
      <c r="F7032" s="5"/>
    </row>
    <row r="7033" spans="2:6" ht="13.8" hidden="1" outlineLevel="1">
      <c r="B7033" s="187">
        <v>32451</v>
      </c>
      <c r="C7033" s="188">
        <v>8.85</v>
      </c>
      <c r="D7033" s="104">
        <f t="shared" si="109"/>
        <v>8.8499999999999995E-2</v>
      </c>
      <c r="F7033" s="5"/>
    </row>
    <row r="7034" spans="2:6" ht="13.8" hidden="1" outlineLevel="1">
      <c r="B7034" s="187">
        <v>32454</v>
      </c>
      <c r="C7034" s="188">
        <v>8.91</v>
      </c>
      <c r="D7034" s="104">
        <f t="shared" si="109"/>
        <v>8.9099999999999999E-2</v>
      </c>
      <c r="F7034" s="5"/>
    </row>
    <row r="7035" spans="2:6" ht="13.8" hidden="1" outlineLevel="1">
      <c r="B7035" s="187">
        <v>32455</v>
      </c>
      <c r="C7035" s="188">
        <v>8.91</v>
      </c>
      <c r="D7035" s="104">
        <f t="shared" si="109"/>
        <v>8.9099999999999999E-2</v>
      </c>
      <c r="F7035" s="5"/>
    </row>
    <row r="7036" spans="2:6" ht="13.8" hidden="1" outlineLevel="1">
      <c r="B7036" s="187">
        <v>32456</v>
      </c>
      <c r="C7036" s="188">
        <v>8.91</v>
      </c>
      <c r="D7036" s="104">
        <f t="shared" si="109"/>
        <v>8.9099999999999999E-2</v>
      </c>
      <c r="F7036" s="5"/>
    </row>
    <row r="7037" spans="2:6" ht="13.8" hidden="1" outlineLevel="1">
      <c r="B7037" s="187">
        <v>32457</v>
      </c>
      <c r="C7037" s="188">
        <v>8.9</v>
      </c>
      <c r="D7037" s="104">
        <f t="shared" si="109"/>
        <v>8.900000000000001E-2</v>
      </c>
      <c r="F7037" s="5"/>
    </row>
    <row r="7038" spans="2:6" ht="13.8" hidden="1" outlineLevel="1">
      <c r="B7038" s="187">
        <v>32458</v>
      </c>
      <c r="C7038" s="188" t="s">
        <v>380</v>
      </c>
      <c r="D7038" s="104">
        <f t="shared" si="109"/>
        <v>8.900000000000001E-2</v>
      </c>
      <c r="F7038" s="5"/>
    </row>
    <row r="7039" spans="2:6" ht="13.8" hidden="1" outlineLevel="1">
      <c r="B7039" s="187">
        <v>32461</v>
      </c>
      <c r="C7039" s="188">
        <v>8.91</v>
      </c>
      <c r="D7039" s="104">
        <f t="shared" si="109"/>
        <v>8.9099999999999999E-2</v>
      </c>
      <c r="F7039" s="5"/>
    </row>
    <row r="7040" spans="2:6" ht="13.8" hidden="1" outlineLevel="1">
      <c r="B7040" s="187">
        <v>32462</v>
      </c>
      <c r="C7040" s="188">
        <v>8.92</v>
      </c>
      <c r="D7040" s="104">
        <f t="shared" si="109"/>
        <v>8.9200000000000002E-2</v>
      </c>
      <c r="F7040" s="5"/>
    </row>
    <row r="7041" spans="2:6" ht="13.8" hidden="1" outlineLevel="1">
      <c r="B7041" s="187">
        <v>32463</v>
      </c>
      <c r="C7041" s="188">
        <v>9</v>
      </c>
      <c r="D7041" s="104">
        <f t="shared" si="109"/>
        <v>0.09</v>
      </c>
      <c r="F7041" s="5"/>
    </row>
    <row r="7042" spans="2:6" ht="13.8" hidden="1" outlineLevel="1">
      <c r="B7042" s="187">
        <v>32464</v>
      </c>
      <c r="C7042" s="188">
        <v>9.06</v>
      </c>
      <c r="D7042" s="104">
        <f t="shared" si="109"/>
        <v>9.06E-2</v>
      </c>
      <c r="F7042" s="5"/>
    </row>
    <row r="7043" spans="2:6" ht="13.8" hidden="1" outlineLevel="1">
      <c r="B7043" s="187">
        <v>32465</v>
      </c>
      <c r="C7043" s="188">
        <v>9.0500000000000007</v>
      </c>
      <c r="D7043" s="104">
        <f t="shared" si="109"/>
        <v>9.0500000000000011E-2</v>
      </c>
      <c r="F7043" s="5"/>
    </row>
    <row r="7044" spans="2:6" ht="13.8" hidden="1" outlineLevel="1">
      <c r="B7044" s="187">
        <v>32468</v>
      </c>
      <c r="C7044" s="188">
        <v>9.0399999999999991</v>
      </c>
      <c r="D7044" s="104">
        <f t="shared" si="109"/>
        <v>9.0399999999999994E-2</v>
      </c>
      <c r="F7044" s="5"/>
    </row>
    <row r="7045" spans="2:6" ht="13.8" hidden="1" outlineLevel="1">
      <c r="B7045" s="187">
        <v>32469</v>
      </c>
      <c r="C7045" s="188">
        <v>9.09</v>
      </c>
      <c r="D7045" s="104">
        <f t="shared" si="109"/>
        <v>9.0899999999999995E-2</v>
      </c>
      <c r="F7045" s="5"/>
    </row>
    <row r="7046" spans="2:6" ht="13.8" hidden="1" outlineLevel="1">
      <c r="B7046" s="187">
        <v>32470</v>
      </c>
      <c r="C7046" s="188">
        <v>9.08</v>
      </c>
      <c r="D7046" s="104">
        <f t="shared" si="109"/>
        <v>9.0800000000000006E-2</v>
      </c>
      <c r="F7046" s="5"/>
    </row>
    <row r="7047" spans="2:6" ht="13.8" hidden="1" outlineLevel="1">
      <c r="B7047" s="187">
        <v>32471</v>
      </c>
      <c r="C7047" s="188" t="s">
        <v>380</v>
      </c>
      <c r="D7047" s="104">
        <f t="shared" si="109"/>
        <v>9.0800000000000006E-2</v>
      </c>
      <c r="F7047" s="5"/>
    </row>
    <row r="7048" spans="2:6" ht="13.8" hidden="1" outlineLevel="1">
      <c r="B7048" s="187">
        <v>32472</v>
      </c>
      <c r="C7048" s="188">
        <v>9.17</v>
      </c>
      <c r="D7048" s="104">
        <f t="shared" si="109"/>
        <v>9.1700000000000004E-2</v>
      </c>
      <c r="F7048" s="5"/>
    </row>
    <row r="7049" spans="2:6" ht="13.8" hidden="1" outlineLevel="1">
      <c r="B7049" s="187">
        <v>32475</v>
      </c>
      <c r="C7049" s="188">
        <v>9.16</v>
      </c>
      <c r="D7049" s="104">
        <f t="shared" si="109"/>
        <v>9.1600000000000001E-2</v>
      </c>
      <c r="F7049" s="5"/>
    </row>
    <row r="7050" spans="2:6" ht="13.8" hidden="1" outlineLevel="1">
      <c r="B7050" s="187">
        <v>32476</v>
      </c>
      <c r="C7050" s="188">
        <v>9.1300000000000008</v>
      </c>
      <c r="D7050" s="104">
        <f t="shared" si="109"/>
        <v>9.1300000000000006E-2</v>
      </c>
      <c r="F7050" s="5"/>
    </row>
    <row r="7051" spans="2:6" ht="13.8" hidden="1" outlineLevel="1">
      <c r="B7051" s="187">
        <v>32477</v>
      </c>
      <c r="C7051" s="188">
        <v>9.06</v>
      </c>
      <c r="D7051" s="104">
        <f t="shared" si="109"/>
        <v>9.06E-2</v>
      </c>
      <c r="F7051" s="5"/>
    </row>
    <row r="7052" spans="2:6" ht="13.8" hidden="1" outlineLevel="1">
      <c r="B7052" s="187">
        <v>32478</v>
      </c>
      <c r="C7052" s="188">
        <v>9.01</v>
      </c>
      <c r="D7052" s="104">
        <f t="shared" si="109"/>
        <v>9.01E-2</v>
      </c>
      <c r="F7052" s="5"/>
    </row>
    <row r="7053" spans="2:6" ht="13.8" hidden="1" outlineLevel="1">
      <c r="B7053" s="187">
        <v>32479</v>
      </c>
      <c r="C7053" s="188">
        <v>9.18</v>
      </c>
      <c r="D7053" s="104">
        <f t="shared" si="109"/>
        <v>9.1799999999999993E-2</v>
      </c>
      <c r="F7053" s="5"/>
    </row>
    <row r="7054" spans="2:6" ht="13.8" hidden="1" outlineLevel="1">
      <c r="B7054" s="187">
        <v>32482</v>
      </c>
      <c r="C7054" s="188">
        <v>9.1300000000000008</v>
      </c>
      <c r="D7054" s="104">
        <f t="shared" si="109"/>
        <v>9.1300000000000006E-2</v>
      </c>
      <c r="F7054" s="5"/>
    </row>
    <row r="7055" spans="2:6" ht="13.8" hidden="1" outlineLevel="1">
      <c r="B7055" s="187">
        <v>32483</v>
      </c>
      <c r="C7055" s="188">
        <v>8.9499999999999993</v>
      </c>
      <c r="D7055" s="104">
        <f t="shared" si="109"/>
        <v>8.9499999999999996E-2</v>
      </c>
      <c r="F7055" s="5"/>
    </row>
    <row r="7056" spans="2:6" ht="13.8" hidden="1" outlineLevel="1">
      <c r="B7056" s="187">
        <v>32484</v>
      </c>
      <c r="C7056" s="188">
        <v>9</v>
      </c>
      <c r="D7056" s="104">
        <f t="shared" si="109"/>
        <v>0.09</v>
      </c>
      <c r="F7056" s="5"/>
    </row>
    <row r="7057" spans="2:6" ht="13.8" hidden="1" outlineLevel="1">
      <c r="B7057" s="187">
        <v>32485</v>
      </c>
      <c r="C7057" s="188">
        <v>9.02</v>
      </c>
      <c r="D7057" s="104">
        <f t="shared" si="109"/>
        <v>9.0200000000000002E-2</v>
      </c>
      <c r="F7057" s="5"/>
    </row>
    <row r="7058" spans="2:6" ht="13.8" hidden="1" outlineLevel="1">
      <c r="B7058" s="187">
        <v>32486</v>
      </c>
      <c r="C7058" s="188">
        <v>9.07</v>
      </c>
      <c r="D7058" s="104">
        <f t="shared" si="109"/>
        <v>9.0700000000000003E-2</v>
      </c>
      <c r="F7058" s="5"/>
    </row>
    <row r="7059" spans="2:6" ht="13.8" hidden="1" outlineLevel="1">
      <c r="B7059" s="187">
        <v>32489</v>
      </c>
      <c r="C7059" s="188">
        <v>9.08</v>
      </c>
      <c r="D7059" s="104">
        <f t="shared" si="109"/>
        <v>9.0800000000000006E-2</v>
      </c>
      <c r="F7059" s="5"/>
    </row>
    <row r="7060" spans="2:6" ht="13.8" hidden="1" outlineLevel="1">
      <c r="B7060" s="187">
        <v>32490</v>
      </c>
      <c r="C7060" s="188">
        <v>9.15</v>
      </c>
      <c r="D7060" s="104">
        <f t="shared" si="109"/>
        <v>9.1499999999999998E-2</v>
      </c>
      <c r="F7060" s="5"/>
    </row>
    <row r="7061" spans="2:6" ht="13.8" hidden="1" outlineLevel="1">
      <c r="B7061" s="187">
        <v>32491</v>
      </c>
      <c r="C7061" s="188">
        <v>9.19</v>
      </c>
      <c r="D7061" s="104">
        <f t="shared" si="109"/>
        <v>9.1899999999999996E-2</v>
      </c>
      <c r="F7061" s="5"/>
    </row>
    <row r="7062" spans="2:6" ht="13.8" hidden="1" outlineLevel="1">
      <c r="B7062" s="187">
        <v>32492</v>
      </c>
      <c r="C7062" s="188">
        <v>9.19</v>
      </c>
      <c r="D7062" s="104">
        <f t="shared" si="109"/>
        <v>9.1899999999999996E-2</v>
      </c>
      <c r="F7062" s="5"/>
    </row>
    <row r="7063" spans="2:6" ht="13.8" hidden="1" outlineLevel="1">
      <c r="B7063" s="187">
        <v>32493</v>
      </c>
      <c r="C7063" s="188">
        <v>9.17</v>
      </c>
      <c r="D7063" s="104">
        <f t="shared" si="109"/>
        <v>9.1700000000000004E-2</v>
      </c>
      <c r="F7063" s="5"/>
    </row>
    <row r="7064" spans="2:6" ht="13.8" hidden="1" outlineLevel="1">
      <c r="B7064" s="187">
        <v>32496</v>
      </c>
      <c r="C7064" s="188">
        <v>9.15</v>
      </c>
      <c r="D7064" s="104">
        <f t="shared" si="109"/>
        <v>9.1499999999999998E-2</v>
      </c>
      <c r="F7064" s="5"/>
    </row>
    <row r="7065" spans="2:6" ht="13.8" hidden="1" outlineLevel="1">
      <c r="B7065" s="187">
        <v>32497</v>
      </c>
      <c r="C7065" s="188">
        <v>9.08</v>
      </c>
      <c r="D7065" s="104">
        <f t="shared" si="109"/>
        <v>9.0800000000000006E-2</v>
      </c>
      <c r="F7065" s="5"/>
    </row>
    <row r="7066" spans="2:6" ht="13.8" hidden="1" outlineLevel="1">
      <c r="B7066" s="187">
        <v>32498</v>
      </c>
      <c r="C7066" s="188">
        <v>9.07</v>
      </c>
      <c r="D7066" s="104">
        <f t="shared" si="109"/>
        <v>9.0700000000000003E-2</v>
      </c>
      <c r="F7066" s="5"/>
    </row>
    <row r="7067" spans="2:6" ht="13.8" hidden="1" outlineLevel="1">
      <c r="B7067" s="187">
        <v>32499</v>
      </c>
      <c r="C7067" s="188">
        <v>9.07</v>
      </c>
      <c r="D7067" s="104">
        <f t="shared" si="109"/>
        <v>9.0700000000000003E-2</v>
      </c>
      <c r="F7067" s="5"/>
    </row>
    <row r="7068" spans="2:6" ht="13.8" hidden="1" outlineLevel="1">
      <c r="B7068" s="187">
        <v>32500</v>
      </c>
      <c r="C7068" s="188">
        <v>9.0500000000000007</v>
      </c>
      <c r="D7068" s="104">
        <f t="shared" si="109"/>
        <v>9.0500000000000011E-2</v>
      </c>
      <c r="F7068" s="5"/>
    </row>
    <row r="7069" spans="2:6" ht="13.8" hidden="1" outlineLevel="1">
      <c r="B7069" s="187">
        <v>32503</v>
      </c>
      <c r="C7069" s="188" t="s">
        <v>380</v>
      </c>
      <c r="D7069" s="104">
        <f t="shared" si="109"/>
        <v>9.0500000000000011E-2</v>
      </c>
      <c r="F7069" s="5"/>
    </row>
    <row r="7070" spans="2:6" ht="13.8" hidden="1" outlineLevel="1">
      <c r="B7070" s="187">
        <v>32504</v>
      </c>
      <c r="C7070" s="188">
        <v>9.1300000000000008</v>
      </c>
      <c r="D7070" s="104">
        <f t="shared" ref="D7070:D7133" si="110">IF( LEN( C7070 ) = 0, #N/A, IF( C7070 = "ND", D7069, C7070 / 100 ) )</f>
        <v>9.1300000000000006E-2</v>
      </c>
      <c r="F7070" s="5"/>
    </row>
    <row r="7071" spans="2:6" ht="13.8" hidden="1" outlineLevel="1">
      <c r="B7071" s="187">
        <v>32505</v>
      </c>
      <c r="C7071" s="188">
        <v>9.2100000000000009</v>
      </c>
      <c r="D7071" s="104">
        <f t="shared" si="110"/>
        <v>9.2100000000000015E-2</v>
      </c>
      <c r="F7071" s="5"/>
    </row>
    <row r="7072" spans="2:6" ht="13.8" hidden="1" outlineLevel="1">
      <c r="B7072" s="187">
        <v>32506</v>
      </c>
      <c r="C7072" s="188">
        <v>9.18</v>
      </c>
      <c r="D7072" s="104">
        <f t="shared" si="110"/>
        <v>9.1799999999999993E-2</v>
      </c>
      <c r="F7072" s="5"/>
    </row>
    <row r="7073" spans="2:6" ht="13.8" hidden="1" outlineLevel="1">
      <c r="B7073" s="187">
        <v>32507</v>
      </c>
      <c r="C7073" s="188">
        <v>9.14</v>
      </c>
      <c r="D7073" s="104">
        <f t="shared" si="110"/>
        <v>9.1400000000000009E-2</v>
      </c>
      <c r="F7073" s="5"/>
    </row>
    <row r="7074" spans="2:6" ht="13.8" hidden="1" outlineLevel="1">
      <c r="B7074" s="187">
        <v>32510</v>
      </c>
      <c r="C7074" s="188" t="s">
        <v>380</v>
      </c>
      <c r="D7074" s="104">
        <f t="shared" si="110"/>
        <v>9.1400000000000009E-2</v>
      </c>
      <c r="F7074" s="5"/>
    </row>
    <row r="7075" spans="2:6" ht="13.8" hidden="1" outlineLevel="1">
      <c r="B7075" s="187">
        <v>32511</v>
      </c>
      <c r="C7075" s="188">
        <v>9.23</v>
      </c>
      <c r="D7075" s="104">
        <f t="shared" si="110"/>
        <v>9.2300000000000007E-2</v>
      </c>
      <c r="F7075" s="5"/>
    </row>
    <row r="7076" spans="2:6" ht="13.8" hidden="1" outlineLevel="1">
      <c r="B7076" s="187">
        <v>32512</v>
      </c>
      <c r="C7076" s="188">
        <v>9.2200000000000006</v>
      </c>
      <c r="D7076" s="104">
        <f t="shared" si="110"/>
        <v>9.2200000000000004E-2</v>
      </c>
      <c r="F7076" s="5"/>
    </row>
    <row r="7077" spans="2:6" ht="13.8" hidden="1" outlineLevel="1">
      <c r="B7077" s="187">
        <v>32513</v>
      </c>
      <c r="C7077" s="188">
        <v>9.27</v>
      </c>
      <c r="D7077" s="104">
        <f t="shared" si="110"/>
        <v>9.2699999999999991E-2</v>
      </c>
      <c r="F7077" s="5"/>
    </row>
    <row r="7078" spans="2:6" ht="13.8" hidden="1" outlineLevel="1">
      <c r="B7078" s="187">
        <v>32514</v>
      </c>
      <c r="C7078" s="188">
        <v>9.25</v>
      </c>
      <c r="D7078" s="104">
        <f t="shared" si="110"/>
        <v>9.2499999999999999E-2</v>
      </c>
      <c r="F7078" s="5"/>
    </row>
    <row r="7079" spans="2:6" ht="13.8" hidden="1" outlineLevel="1">
      <c r="B7079" s="187">
        <v>32517</v>
      </c>
      <c r="C7079" s="188">
        <v>9.23</v>
      </c>
      <c r="D7079" s="104">
        <f t="shared" si="110"/>
        <v>9.2300000000000007E-2</v>
      </c>
      <c r="F7079" s="5"/>
    </row>
    <row r="7080" spans="2:6" ht="13.8" hidden="1" outlineLevel="1">
      <c r="B7080" s="187">
        <v>32518</v>
      </c>
      <c r="C7080" s="188">
        <v>9.24</v>
      </c>
      <c r="D7080" s="104">
        <f t="shared" si="110"/>
        <v>9.2399999999999996E-2</v>
      </c>
      <c r="F7080" s="5"/>
    </row>
    <row r="7081" spans="2:6" ht="13.8" hidden="1" outlineLevel="1">
      <c r="B7081" s="187">
        <v>32519</v>
      </c>
      <c r="C7081" s="188">
        <v>9.24</v>
      </c>
      <c r="D7081" s="104">
        <f t="shared" si="110"/>
        <v>9.2399999999999996E-2</v>
      </c>
      <c r="F7081" s="5"/>
    </row>
    <row r="7082" spans="2:6" ht="13.8" hidden="1" outlineLevel="1">
      <c r="B7082" s="187">
        <v>32520</v>
      </c>
      <c r="C7082" s="188">
        <v>9.14</v>
      </c>
      <c r="D7082" s="104">
        <f t="shared" si="110"/>
        <v>9.1400000000000009E-2</v>
      </c>
      <c r="F7082" s="5"/>
    </row>
    <row r="7083" spans="2:6" ht="13.8" hidden="1" outlineLevel="1">
      <c r="B7083" s="187">
        <v>32521</v>
      </c>
      <c r="C7083" s="188">
        <v>9.06</v>
      </c>
      <c r="D7083" s="104">
        <f t="shared" si="110"/>
        <v>9.06E-2</v>
      </c>
      <c r="F7083" s="5"/>
    </row>
    <row r="7084" spans="2:6" ht="13.8" hidden="1" outlineLevel="1">
      <c r="B7084" s="187">
        <v>32524</v>
      </c>
      <c r="C7084" s="188" t="s">
        <v>380</v>
      </c>
      <c r="D7084" s="104">
        <f t="shared" si="110"/>
        <v>9.06E-2</v>
      </c>
      <c r="F7084" s="5"/>
    </row>
    <row r="7085" spans="2:6" ht="13.8" hidden="1" outlineLevel="1">
      <c r="B7085" s="187">
        <v>32525</v>
      </c>
      <c r="C7085" s="188">
        <v>9.06</v>
      </c>
      <c r="D7085" s="104">
        <f t="shared" si="110"/>
        <v>9.06E-2</v>
      </c>
      <c r="F7085" s="5"/>
    </row>
    <row r="7086" spans="2:6" ht="13.8" hidden="1" outlineLevel="1">
      <c r="B7086" s="187">
        <v>32526</v>
      </c>
      <c r="C7086" s="188">
        <v>8.99</v>
      </c>
      <c r="D7086" s="104">
        <f t="shared" si="110"/>
        <v>8.9900000000000008E-2</v>
      </c>
      <c r="F7086" s="5"/>
    </row>
    <row r="7087" spans="2:6" ht="13.8" hidden="1" outlineLevel="1">
      <c r="B7087" s="187">
        <v>32527</v>
      </c>
      <c r="C7087" s="188">
        <v>9</v>
      </c>
      <c r="D7087" s="104">
        <f t="shared" si="110"/>
        <v>0.09</v>
      </c>
      <c r="F7087" s="5"/>
    </row>
    <row r="7088" spans="2:6" ht="13.8" hidden="1" outlineLevel="1">
      <c r="B7088" s="187">
        <v>32528</v>
      </c>
      <c r="C7088" s="188">
        <v>9.0299999999999994</v>
      </c>
      <c r="D7088" s="104">
        <f t="shared" si="110"/>
        <v>9.0299999999999991E-2</v>
      </c>
      <c r="F7088" s="5"/>
    </row>
    <row r="7089" spans="2:6" ht="13.8" hidden="1" outlineLevel="1">
      <c r="B7089" s="187">
        <v>32531</v>
      </c>
      <c r="C7089" s="188">
        <v>9</v>
      </c>
      <c r="D7089" s="104">
        <f t="shared" si="110"/>
        <v>0.09</v>
      </c>
      <c r="F7089" s="5"/>
    </row>
    <row r="7090" spans="2:6" ht="13.8" hidden="1" outlineLevel="1">
      <c r="B7090" s="187">
        <v>32532</v>
      </c>
      <c r="C7090" s="188">
        <v>8.93</v>
      </c>
      <c r="D7090" s="104">
        <f t="shared" si="110"/>
        <v>8.929999999999999E-2</v>
      </c>
      <c r="F7090" s="5"/>
    </row>
    <row r="7091" spans="2:6" ht="13.8" hidden="1" outlineLevel="1">
      <c r="B7091" s="187">
        <v>32533</v>
      </c>
      <c r="C7091" s="188">
        <v>8.99</v>
      </c>
      <c r="D7091" s="104">
        <f t="shared" si="110"/>
        <v>8.9900000000000008E-2</v>
      </c>
      <c r="F7091" s="5"/>
    </row>
    <row r="7092" spans="2:6" ht="13.8" hidden="1" outlineLevel="1">
      <c r="B7092" s="187">
        <v>32534</v>
      </c>
      <c r="C7092" s="188">
        <v>8.99</v>
      </c>
      <c r="D7092" s="104">
        <f t="shared" si="110"/>
        <v>8.9900000000000008E-2</v>
      </c>
      <c r="F7092" s="5"/>
    </row>
    <row r="7093" spans="2:6" ht="13.8" hidden="1" outlineLevel="1">
      <c r="B7093" s="187">
        <v>32535</v>
      </c>
      <c r="C7093" s="188">
        <v>8.9499999999999993</v>
      </c>
      <c r="D7093" s="104">
        <f t="shared" si="110"/>
        <v>8.9499999999999996E-2</v>
      </c>
      <c r="F7093" s="5"/>
    </row>
    <row r="7094" spans="2:6" ht="13.8" hidden="1" outlineLevel="1">
      <c r="B7094" s="187">
        <v>32538</v>
      </c>
      <c r="C7094" s="188">
        <v>9</v>
      </c>
      <c r="D7094" s="104">
        <f t="shared" si="110"/>
        <v>0.09</v>
      </c>
      <c r="F7094" s="5"/>
    </row>
    <row r="7095" spans="2:6" ht="13.8" hidden="1" outlineLevel="1">
      <c r="B7095" s="187">
        <v>32539</v>
      </c>
      <c r="C7095" s="188">
        <v>9.01</v>
      </c>
      <c r="D7095" s="104">
        <f t="shared" si="110"/>
        <v>9.01E-2</v>
      </c>
      <c r="F7095" s="5"/>
    </row>
    <row r="7096" spans="2:6" ht="13.8" hidden="1" outlineLevel="1">
      <c r="B7096" s="187">
        <v>32540</v>
      </c>
      <c r="C7096" s="188">
        <v>8.99</v>
      </c>
      <c r="D7096" s="104">
        <f t="shared" si="110"/>
        <v>8.9900000000000008E-2</v>
      </c>
      <c r="F7096" s="5"/>
    </row>
    <row r="7097" spans="2:6" ht="13.8" hidden="1" outlineLevel="1">
      <c r="B7097" s="187">
        <v>32541</v>
      </c>
      <c r="C7097" s="188">
        <v>8.98</v>
      </c>
      <c r="D7097" s="104">
        <f t="shared" si="110"/>
        <v>8.9800000000000005E-2</v>
      </c>
      <c r="F7097" s="5"/>
    </row>
    <row r="7098" spans="2:6" ht="13.8" hidden="1" outlineLevel="1">
      <c r="B7098" s="187">
        <v>32542</v>
      </c>
      <c r="C7098" s="188">
        <v>9.01</v>
      </c>
      <c r="D7098" s="104">
        <f t="shared" si="110"/>
        <v>9.01E-2</v>
      </c>
      <c r="F7098" s="5"/>
    </row>
    <row r="7099" spans="2:6" ht="13.8" hidden="1" outlineLevel="1">
      <c r="B7099" s="187">
        <v>32545</v>
      </c>
      <c r="C7099" s="188">
        <v>9.01</v>
      </c>
      <c r="D7099" s="104">
        <f t="shared" si="110"/>
        <v>9.01E-2</v>
      </c>
      <c r="F7099" s="5"/>
    </row>
    <row r="7100" spans="2:6" ht="13.8" hidden="1" outlineLevel="1">
      <c r="B7100" s="187">
        <v>32546</v>
      </c>
      <c r="C7100" s="188">
        <v>8.9600000000000009</v>
      </c>
      <c r="D7100" s="104">
        <f t="shared" si="110"/>
        <v>8.9600000000000013E-2</v>
      </c>
      <c r="F7100" s="5"/>
    </row>
    <row r="7101" spans="2:6" ht="13.8" hidden="1" outlineLevel="1">
      <c r="B7101" s="187">
        <v>32547</v>
      </c>
      <c r="C7101" s="188">
        <v>8.9499999999999993</v>
      </c>
      <c r="D7101" s="104">
        <f t="shared" si="110"/>
        <v>8.9499999999999996E-2</v>
      </c>
      <c r="F7101" s="5"/>
    </row>
    <row r="7102" spans="2:6" ht="13.8" hidden="1" outlineLevel="1">
      <c r="B7102" s="187">
        <v>32548</v>
      </c>
      <c r="C7102" s="188">
        <v>9.1300000000000008</v>
      </c>
      <c r="D7102" s="104">
        <f t="shared" si="110"/>
        <v>9.1300000000000006E-2</v>
      </c>
      <c r="F7102" s="5"/>
    </row>
    <row r="7103" spans="2:6" ht="13.8" hidden="1" outlineLevel="1">
      <c r="B7103" s="187">
        <v>32549</v>
      </c>
      <c r="C7103" s="188">
        <v>9.19</v>
      </c>
      <c r="D7103" s="104">
        <f t="shared" si="110"/>
        <v>9.1899999999999996E-2</v>
      </c>
      <c r="F7103" s="5"/>
    </row>
    <row r="7104" spans="2:6" ht="13.8" hidden="1" outlineLevel="1">
      <c r="B7104" s="187">
        <v>32552</v>
      </c>
      <c r="C7104" s="188">
        <v>9.1999999999999993</v>
      </c>
      <c r="D7104" s="104">
        <f t="shared" si="110"/>
        <v>9.1999999999999998E-2</v>
      </c>
      <c r="F7104" s="5"/>
    </row>
    <row r="7105" spans="2:6" ht="13.8" hidden="1" outlineLevel="1">
      <c r="B7105" s="187">
        <v>32553</v>
      </c>
      <c r="C7105" s="188">
        <v>9.23</v>
      </c>
      <c r="D7105" s="104">
        <f t="shared" si="110"/>
        <v>9.2300000000000007E-2</v>
      </c>
      <c r="F7105" s="5"/>
    </row>
    <row r="7106" spans="2:6" ht="13.8" hidden="1" outlineLevel="1">
      <c r="B7106" s="187">
        <v>32554</v>
      </c>
      <c r="C7106" s="188">
        <v>9.2200000000000006</v>
      </c>
      <c r="D7106" s="104">
        <f t="shared" si="110"/>
        <v>9.2200000000000004E-2</v>
      </c>
      <c r="F7106" s="5"/>
    </row>
    <row r="7107" spans="2:6" ht="13.8" hidden="1" outlineLevel="1">
      <c r="B7107" s="187">
        <v>32555</v>
      </c>
      <c r="C7107" s="188">
        <v>9.2100000000000009</v>
      </c>
      <c r="D7107" s="104">
        <f t="shared" si="110"/>
        <v>9.2100000000000015E-2</v>
      </c>
      <c r="F7107" s="5"/>
    </row>
    <row r="7108" spans="2:6" ht="13.8" hidden="1" outlineLevel="1">
      <c r="B7108" s="187">
        <v>32556</v>
      </c>
      <c r="C7108" s="188">
        <v>9.1999999999999993</v>
      </c>
      <c r="D7108" s="104">
        <f t="shared" si="110"/>
        <v>9.1999999999999998E-2</v>
      </c>
      <c r="F7108" s="5"/>
    </row>
    <row r="7109" spans="2:6" ht="13.8" hidden="1" outlineLevel="1">
      <c r="B7109" s="187">
        <v>32559</v>
      </c>
      <c r="C7109" s="188" t="s">
        <v>380</v>
      </c>
      <c r="D7109" s="104">
        <f t="shared" si="110"/>
        <v>9.1999999999999998E-2</v>
      </c>
      <c r="F7109" s="5"/>
    </row>
    <row r="7110" spans="2:6" ht="13.8" hidden="1" outlineLevel="1">
      <c r="B7110" s="187">
        <v>32560</v>
      </c>
      <c r="C7110" s="188">
        <v>9.2200000000000006</v>
      </c>
      <c r="D7110" s="104">
        <f t="shared" si="110"/>
        <v>9.2200000000000004E-2</v>
      </c>
      <c r="F7110" s="5"/>
    </row>
    <row r="7111" spans="2:6" ht="13.8" hidden="1" outlineLevel="1">
      <c r="B7111" s="187">
        <v>32561</v>
      </c>
      <c r="C7111" s="188">
        <v>9.2899999999999991</v>
      </c>
      <c r="D7111" s="104">
        <f t="shared" si="110"/>
        <v>9.2899999999999996E-2</v>
      </c>
      <c r="F7111" s="5"/>
    </row>
    <row r="7112" spans="2:6" ht="13.8" hidden="1" outlineLevel="1">
      <c r="B7112" s="187">
        <v>32562</v>
      </c>
      <c r="C7112" s="188">
        <v>9.36</v>
      </c>
      <c r="D7112" s="104">
        <f t="shared" si="110"/>
        <v>9.3599999999999989E-2</v>
      </c>
      <c r="F7112" s="5"/>
    </row>
    <row r="7113" spans="2:6" ht="13.8" hidden="1" outlineLevel="1">
      <c r="B7113" s="187">
        <v>32563</v>
      </c>
      <c r="C7113" s="188">
        <v>9.3800000000000008</v>
      </c>
      <c r="D7113" s="104">
        <f t="shared" si="110"/>
        <v>9.3800000000000008E-2</v>
      </c>
      <c r="F7113" s="5"/>
    </row>
    <row r="7114" spans="2:6" ht="13.8" hidden="1" outlineLevel="1">
      <c r="B7114" s="187">
        <v>32566</v>
      </c>
      <c r="C7114" s="188">
        <v>9.36</v>
      </c>
      <c r="D7114" s="104">
        <f t="shared" si="110"/>
        <v>9.3599999999999989E-2</v>
      </c>
      <c r="F7114" s="5"/>
    </row>
    <row r="7115" spans="2:6" ht="13.8" hidden="1" outlineLevel="1">
      <c r="B7115" s="187">
        <v>32567</v>
      </c>
      <c r="C7115" s="188">
        <v>9.32</v>
      </c>
      <c r="D7115" s="104">
        <f t="shared" si="110"/>
        <v>9.3200000000000005E-2</v>
      </c>
      <c r="F7115" s="5"/>
    </row>
    <row r="7116" spans="2:6" ht="13.8" hidden="1" outlineLevel="1">
      <c r="B7116" s="187">
        <v>32568</v>
      </c>
      <c r="C7116" s="188">
        <v>9.36</v>
      </c>
      <c r="D7116" s="104">
        <f t="shared" si="110"/>
        <v>9.3599999999999989E-2</v>
      </c>
      <c r="F7116" s="5"/>
    </row>
    <row r="7117" spans="2:6" ht="13.8" hidden="1" outlineLevel="1">
      <c r="B7117" s="187">
        <v>32569</v>
      </c>
      <c r="C7117" s="188">
        <v>9.31</v>
      </c>
      <c r="D7117" s="104">
        <f t="shared" si="110"/>
        <v>9.3100000000000002E-2</v>
      </c>
      <c r="F7117" s="5"/>
    </row>
    <row r="7118" spans="2:6" ht="13.8" hidden="1" outlineLevel="1">
      <c r="B7118" s="187">
        <v>32570</v>
      </c>
      <c r="C7118" s="188">
        <v>9.31</v>
      </c>
      <c r="D7118" s="104">
        <f t="shared" si="110"/>
        <v>9.3100000000000002E-2</v>
      </c>
      <c r="F7118" s="5"/>
    </row>
    <row r="7119" spans="2:6" ht="13.8" hidden="1" outlineLevel="1">
      <c r="B7119" s="187">
        <v>32573</v>
      </c>
      <c r="C7119" s="188">
        <v>9.26</v>
      </c>
      <c r="D7119" s="104">
        <f t="shared" si="110"/>
        <v>9.2600000000000002E-2</v>
      </c>
      <c r="F7119" s="5"/>
    </row>
    <row r="7120" spans="2:6" ht="13.8" hidden="1" outlineLevel="1">
      <c r="B7120" s="187">
        <v>32574</v>
      </c>
      <c r="C7120" s="188">
        <v>9.26</v>
      </c>
      <c r="D7120" s="104">
        <f t="shared" si="110"/>
        <v>9.2600000000000002E-2</v>
      </c>
      <c r="F7120" s="5"/>
    </row>
    <row r="7121" spans="2:6" ht="13.8" hidden="1" outlineLevel="1">
      <c r="B7121" s="187">
        <v>32575</v>
      </c>
      <c r="C7121" s="188">
        <v>9.23</v>
      </c>
      <c r="D7121" s="104">
        <f t="shared" si="110"/>
        <v>9.2300000000000007E-2</v>
      </c>
      <c r="F7121" s="5"/>
    </row>
    <row r="7122" spans="2:6" ht="13.8" hidden="1" outlineLevel="1">
      <c r="B7122" s="187">
        <v>32576</v>
      </c>
      <c r="C7122" s="188">
        <v>9.24</v>
      </c>
      <c r="D7122" s="104">
        <f t="shared" si="110"/>
        <v>9.2399999999999996E-2</v>
      </c>
      <c r="F7122" s="5"/>
    </row>
    <row r="7123" spans="2:6" ht="13.8" hidden="1" outlineLevel="1">
      <c r="B7123" s="187">
        <v>32577</v>
      </c>
      <c r="C7123" s="188">
        <v>9.34</v>
      </c>
      <c r="D7123" s="104">
        <f t="shared" si="110"/>
        <v>9.3399999999999997E-2</v>
      </c>
      <c r="F7123" s="5"/>
    </row>
    <row r="7124" spans="2:6" ht="13.8" hidden="1" outlineLevel="1">
      <c r="B7124" s="187">
        <v>32580</v>
      </c>
      <c r="C7124" s="188">
        <v>9.35</v>
      </c>
      <c r="D7124" s="104">
        <f t="shared" si="110"/>
        <v>9.35E-2</v>
      </c>
      <c r="F7124" s="5"/>
    </row>
    <row r="7125" spans="2:6" ht="13.8" hidden="1" outlineLevel="1">
      <c r="B7125" s="187">
        <v>32581</v>
      </c>
      <c r="C7125" s="188">
        <v>9.32</v>
      </c>
      <c r="D7125" s="104">
        <f t="shared" si="110"/>
        <v>9.3200000000000005E-2</v>
      </c>
      <c r="F7125" s="5"/>
    </row>
    <row r="7126" spans="2:6" ht="13.8" hidden="1" outlineLevel="1">
      <c r="B7126" s="187">
        <v>32582</v>
      </c>
      <c r="C7126" s="188">
        <v>9.31</v>
      </c>
      <c r="D7126" s="104">
        <f t="shared" si="110"/>
        <v>9.3100000000000002E-2</v>
      </c>
      <c r="F7126" s="5"/>
    </row>
    <row r="7127" spans="2:6" ht="13.8" hidden="1" outlineLevel="1">
      <c r="B7127" s="187">
        <v>32583</v>
      </c>
      <c r="C7127" s="188">
        <v>9.3000000000000007</v>
      </c>
      <c r="D7127" s="104">
        <f t="shared" si="110"/>
        <v>9.3000000000000013E-2</v>
      </c>
      <c r="F7127" s="5"/>
    </row>
    <row r="7128" spans="2:6" ht="13.8" hidden="1" outlineLevel="1">
      <c r="B7128" s="187">
        <v>32584</v>
      </c>
      <c r="C7128" s="188">
        <v>9.49</v>
      </c>
      <c r="D7128" s="104">
        <f t="shared" si="110"/>
        <v>9.4899999999999998E-2</v>
      </c>
      <c r="F7128" s="5"/>
    </row>
    <row r="7129" spans="2:6" ht="13.8" hidden="1" outlineLevel="1">
      <c r="B7129" s="187">
        <v>32587</v>
      </c>
      <c r="C7129" s="188">
        <v>9.5299999999999994</v>
      </c>
      <c r="D7129" s="104">
        <f t="shared" si="110"/>
        <v>9.5299999999999996E-2</v>
      </c>
      <c r="F7129" s="5"/>
    </row>
    <row r="7130" spans="2:6" ht="13.8" hidden="1" outlineLevel="1">
      <c r="B7130" s="187">
        <v>32588</v>
      </c>
      <c r="C7130" s="188">
        <v>9.5299999999999994</v>
      </c>
      <c r="D7130" s="104">
        <f t="shared" si="110"/>
        <v>9.5299999999999996E-2</v>
      </c>
      <c r="F7130" s="5"/>
    </row>
    <row r="7131" spans="2:6" ht="13.8" hidden="1" outlineLevel="1">
      <c r="B7131" s="187">
        <v>32589</v>
      </c>
      <c r="C7131" s="188">
        <v>9.4499999999999993</v>
      </c>
      <c r="D7131" s="104">
        <f t="shared" si="110"/>
        <v>9.4499999999999987E-2</v>
      </c>
      <c r="F7131" s="5"/>
    </row>
    <row r="7132" spans="2:6" ht="13.8" hidden="1" outlineLevel="1">
      <c r="B7132" s="187">
        <v>32590</v>
      </c>
      <c r="C7132" s="188">
        <v>9.43</v>
      </c>
      <c r="D7132" s="104">
        <f t="shared" si="110"/>
        <v>9.4299999999999995E-2</v>
      </c>
      <c r="F7132" s="5"/>
    </row>
    <row r="7133" spans="2:6" ht="13.8" hidden="1" outlineLevel="1">
      <c r="B7133" s="187">
        <v>32591</v>
      </c>
      <c r="C7133" s="188" t="s">
        <v>380</v>
      </c>
      <c r="D7133" s="104">
        <f t="shared" si="110"/>
        <v>9.4299999999999995E-2</v>
      </c>
      <c r="F7133" s="5"/>
    </row>
    <row r="7134" spans="2:6" ht="13.8" hidden="1" outlineLevel="1">
      <c r="B7134" s="187">
        <v>32594</v>
      </c>
      <c r="C7134" s="188">
        <v>9.44</v>
      </c>
      <c r="D7134" s="104">
        <f t="shared" ref="D7134:D7197" si="111">IF( LEN( C7134 ) = 0, #N/A, IF( C7134 = "ND", D7133, C7134 / 100 ) )</f>
        <v>9.4399999999999998E-2</v>
      </c>
      <c r="F7134" s="5"/>
    </row>
    <row r="7135" spans="2:6" ht="13.8" hidden="1" outlineLevel="1">
      <c r="B7135" s="187">
        <v>32595</v>
      </c>
      <c r="C7135" s="188">
        <v>9.41</v>
      </c>
      <c r="D7135" s="104">
        <f t="shared" si="111"/>
        <v>9.4100000000000003E-2</v>
      </c>
      <c r="F7135" s="5"/>
    </row>
    <row r="7136" spans="2:6" ht="13.8" hidden="1" outlineLevel="1">
      <c r="B7136" s="187">
        <v>32596</v>
      </c>
      <c r="C7136" s="188">
        <v>9.36</v>
      </c>
      <c r="D7136" s="104">
        <f t="shared" si="111"/>
        <v>9.3599999999999989E-2</v>
      </c>
      <c r="F7136" s="5"/>
    </row>
    <row r="7137" spans="2:6" ht="13.8" hidden="1" outlineLevel="1">
      <c r="B7137" s="187">
        <v>32597</v>
      </c>
      <c r="C7137" s="188">
        <v>9.34</v>
      </c>
      <c r="D7137" s="104">
        <f t="shared" si="111"/>
        <v>9.3399999999999997E-2</v>
      </c>
      <c r="F7137" s="5"/>
    </row>
    <row r="7138" spans="2:6" ht="13.8" hidden="1" outlineLevel="1">
      <c r="B7138" s="187">
        <v>32598</v>
      </c>
      <c r="C7138" s="188">
        <v>9.3000000000000007</v>
      </c>
      <c r="D7138" s="104">
        <f t="shared" si="111"/>
        <v>9.3000000000000013E-2</v>
      </c>
      <c r="F7138" s="5"/>
    </row>
    <row r="7139" spans="2:6" ht="13.8" hidden="1" outlineLevel="1">
      <c r="B7139" s="187">
        <v>32601</v>
      </c>
      <c r="C7139" s="188">
        <v>9.2100000000000009</v>
      </c>
      <c r="D7139" s="104">
        <f t="shared" si="111"/>
        <v>9.2100000000000015E-2</v>
      </c>
      <c r="F7139" s="5"/>
    </row>
    <row r="7140" spans="2:6" ht="13.8" hidden="1" outlineLevel="1">
      <c r="B7140" s="187">
        <v>32602</v>
      </c>
      <c r="C7140" s="188">
        <v>9.17</v>
      </c>
      <c r="D7140" s="104">
        <f t="shared" si="111"/>
        <v>9.1700000000000004E-2</v>
      </c>
      <c r="F7140" s="5"/>
    </row>
    <row r="7141" spans="2:6" ht="13.8" hidden="1" outlineLevel="1">
      <c r="B7141" s="187">
        <v>32603</v>
      </c>
      <c r="C7141" s="188">
        <v>9.17</v>
      </c>
      <c r="D7141" s="104">
        <f t="shared" si="111"/>
        <v>9.1700000000000004E-2</v>
      </c>
      <c r="F7141" s="5"/>
    </row>
    <row r="7142" spans="2:6" ht="13.8" hidden="1" outlineLevel="1">
      <c r="B7142" s="187">
        <v>32604</v>
      </c>
      <c r="C7142" s="188">
        <v>9.1999999999999993</v>
      </c>
      <c r="D7142" s="104">
        <f t="shared" si="111"/>
        <v>9.1999999999999998E-2</v>
      </c>
      <c r="F7142" s="5"/>
    </row>
    <row r="7143" spans="2:6" ht="13.8" hidden="1" outlineLevel="1">
      <c r="B7143" s="187">
        <v>32605</v>
      </c>
      <c r="C7143" s="188">
        <v>9.27</v>
      </c>
      <c r="D7143" s="104">
        <f t="shared" si="111"/>
        <v>9.2699999999999991E-2</v>
      </c>
      <c r="F7143" s="5"/>
    </row>
    <row r="7144" spans="2:6" ht="13.8" hidden="1" outlineLevel="1">
      <c r="B7144" s="187">
        <v>32608</v>
      </c>
      <c r="C7144" s="188">
        <v>9.27</v>
      </c>
      <c r="D7144" s="104">
        <f t="shared" si="111"/>
        <v>9.2699999999999991E-2</v>
      </c>
      <c r="F7144" s="5"/>
    </row>
    <row r="7145" spans="2:6" ht="13.8" hidden="1" outlineLevel="1">
      <c r="B7145" s="187">
        <v>32609</v>
      </c>
      <c r="C7145" s="188">
        <v>9.27</v>
      </c>
      <c r="D7145" s="104">
        <f t="shared" si="111"/>
        <v>9.2699999999999991E-2</v>
      </c>
      <c r="F7145" s="5"/>
    </row>
    <row r="7146" spans="2:6" ht="13.8" hidden="1" outlineLevel="1">
      <c r="B7146" s="187">
        <v>32610</v>
      </c>
      <c r="C7146" s="188">
        <v>9.2899999999999991</v>
      </c>
      <c r="D7146" s="104">
        <f t="shared" si="111"/>
        <v>9.2899999999999996E-2</v>
      </c>
      <c r="F7146" s="5"/>
    </row>
    <row r="7147" spans="2:6" ht="13.8" hidden="1" outlineLevel="1">
      <c r="B7147" s="187">
        <v>32611</v>
      </c>
      <c r="C7147" s="188">
        <v>9.34</v>
      </c>
      <c r="D7147" s="104">
        <f t="shared" si="111"/>
        <v>9.3399999999999997E-2</v>
      </c>
      <c r="F7147" s="5"/>
    </row>
    <row r="7148" spans="2:6" ht="13.8" hidden="1" outlineLevel="1">
      <c r="B7148" s="187">
        <v>32612</v>
      </c>
      <c r="C7148" s="188">
        <v>9.18</v>
      </c>
      <c r="D7148" s="104">
        <f t="shared" si="111"/>
        <v>9.1799999999999993E-2</v>
      </c>
      <c r="F7148" s="5"/>
    </row>
    <row r="7149" spans="2:6" ht="13.8" hidden="1" outlineLevel="1">
      <c r="B7149" s="187">
        <v>32615</v>
      </c>
      <c r="C7149" s="188">
        <v>9.1999999999999993</v>
      </c>
      <c r="D7149" s="104">
        <f t="shared" si="111"/>
        <v>9.1999999999999998E-2</v>
      </c>
      <c r="F7149" s="5"/>
    </row>
    <row r="7150" spans="2:6" ht="13.8" hidden="1" outlineLevel="1">
      <c r="B7150" s="187">
        <v>32616</v>
      </c>
      <c r="C7150" s="188">
        <v>9.06</v>
      </c>
      <c r="D7150" s="104">
        <f t="shared" si="111"/>
        <v>9.06E-2</v>
      </c>
      <c r="F7150" s="5"/>
    </row>
    <row r="7151" spans="2:6" ht="13.8" hidden="1" outlineLevel="1">
      <c r="B7151" s="187">
        <v>32617</v>
      </c>
      <c r="C7151" s="188">
        <v>9.08</v>
      </c>
      <c r="D7151" s="104">
        <f t="shared" si="111"/>
        <v>9.0800000000000006E-2</v>
      </c>
      <c r="F7151" s="5"/>
    </row>
    <row r="7152" spans="2:6" ht="13.8" hidden="1" outlineLevel="1">
      <c r="B7152" s="187">
        <v>32618</v>
      </c>
      <c r="C7152" s="188">
        <v>9.1999999999999993</v>
      </c>
      <c r="D7152" s="104">
        <f t="shared" si="111"/>
        <v>9.1999999999999998E-2</v>
      </c>
      <c r="F7152" s="5"/>
    </row>
    <row r="7153" spans="2:6" ht="13.8" hidden="1" outlineLevel="1">
      <c r="B7153" s="187">
        <v>32619</v>
      </c>
      <c r="C7153" s="188">
        <v>9.15</v>
      </c>
      <c r="D7153" s="104">
        <f t="shared" si="111"/>
        <v>9.1499999999999998E-2</v>
      </c>
      <c r="F7153" s="5"/>
    </row>
    <row r="7154" spans="2:6" ht="13.8" hidden="1" outlineLevel="1">
      <c r="B7154" s="187">
        <v>32622</v>
      </c>
      <c r="C7154" s="188">
        <v>9.15</v>
      </c>
      <c r="D7154" s="104">
        <f t="shared" si="111"/>
        <v>9.1499999999999998E-2</v>
      </c>
      <c r="F7154" s="5"/>
    </row>
    <row r="7155" spans="2:6" ht="13.8" hidden="1" outlineLevel="1">
      <c r="B7155" s="187">
        <v>32623</v>
      </c>
      <c r="C7155" s="188">
        <v>9.1199999999999992</v>
      </c>
      <c r="D7155" s="104">
        <f t="shared" si="111"/>
        <v>9.1199999999999989E-2</v>
      </c>
      <c r="F7155" s="5"/>
    </row>
    <row r="7156" spans="2:6" ht="13.8" hidden="1" outlineLevel="1">
      <c r="B7156" s="187">
        <v>32624</v>
      </c>
      <c r="C7156" s="188">
        <v>9.11</v>
      </c>
      <c r="D7156" s="104">
        <f t="shared" si="111"/>
        <v>9.11E-2</v>
      </c>
      <c r="F7156" s="5"/>
    </row>
    <row r="7157" spans="2:6" ht="13.8" hidden="1" outlineLevel="1">
      <c r="B7157" s="187">
        <v>32625</v>
      </c>
      <c r="C7157" s="188">
        <v>9.0500000000000007</v>
      </c>
      <c r="D7157" s="104">
        <f t="shared" si="111"/>
        <v>9.0500000000000011E-2</v>
      </c>
      <c r="F7157" s="5"/>
    </row>
    <row r="7158" spans="2:6" ht="13.8" hidden="1" outlineLevel="1">
      <c r="B7158" s="187">
        <v>32626</v>
      </c>
      <c r="C7158" s="188">
        <v>9.02</v>
      </c>
      <c r="D7158" s="104">
        <f t="shared" si="111"/>
        <v>9.0200000000000002E-2</v>
      </c>
      <c r="F7158" s="5"/>
    </row>
    <row r="7159" spans="2:6" ht="13.8" hidden="1" outlineLevel="1">
      <c r="B7159" s="187">
        <v>32629</v>
      </c>
      <c r="C7159" s="188">
        <v>9.14</v>
      </c>
      <c r="D7159" s="104">
        <f t="shared" si="111"/>
        <v>9.1400000000000009E-2</v>
      </c>
      <c r="F7159" s="5"/>
    </row>
    <row r="7160" spans="2:6" ht="13.8" hidden="1" outlineLevel="1">
      <c r="B7160" s="187">
        <v>32630</v>
      </c>
      <c r="C7160" s="188">
        <v>9.08</v>
      </c>
      <c r="D7160" s="104">
        <f t="shared" si="111"/>
        <v>9.0800000000000006E-2</v>
      </c>
      <c r="F7160" s="5"/>
    </row>
    <row r="7161" spans="2:6" ht="13.8" hidden="1" outlineLevel="1">
      <c r="B7161" s="187">
        <v>32631</v>
      </c>
      <c r="C7161" s="188">
        <v>9.06</v>
      </c>
      <c r="D7161" s="104">
        <f t="shared" si="111"/>
        <v>9.06E-2</v>
      </c>
      <c r="F7161" s="5"/>
    </row>
    <row r="7162" spans="2:6" ht="13.8" hidden="1" outlineLevel="1">
      <c r="B7162" s="187">
        <v>32632</v>
      </c>
      <c r="C7162" s="188">
        <v>9.06</v>
      </c>
      <c r="D7162" s="104">
        <f t="shared" si="111"/>
        <v>9.06E-2</v>
      </c>
      <c r="F7162" s="5"/>
    </row>
    <row r="7163" spans="2:6" ht="13.8" hidden="1" outlineLevel="1">
      <c r="B7163" s="187">
        <v>32633</v>
      </c>
      <c r="C7163" s="188">
        <v>8.99</v>
      </c>
      <c r="D7163" s="104">
        <f t="shared" si="111"/>
        <v>8.9900000000000008E-2</v>
      </c>
      <c r="F7163" s="5"/>
    </row>
    <row r="7164" spans="2:6" ht="13.8" hidden="1" outlineLevel="1">
      <c r="B7164" s="187">
        <v>32636</v>
      </c>
      <c r="C7164" s="188">
        <v>9.0399999999999991</v>
      </c>
      <c r="D7164" s="104">
        <f t="shared" si="111"/>
        <v>9.0399999999999994E-2</v>
      </c>
      <c r="F7164" s="5"/>
    </row>
    <row r="7165" spans="2:6" ht="13.8" hidden="1" outlineLevel="1">
      <c r="B7165" s="187">
        <v>32637</v>
      </c>
      <c r="C7165" s="188">
        <v>9.15</v>
      </c>
      <c r="D7165" s="104">
        <f t="shared" si="111"/>
        <v>9.1499999999999998E-2</v>
      </c>
      <c r="F7165" s="5"/>
    </row>
    <row r="7166" spans="2:6" ht="13.8" hidden="1" outlineLevel="1">
      <c r="B7166" s="187">
        <v>32638</v>
      </c>
      <c r="C7166" s="188">
        <v>9.16</v>
      </c>
      <c r="D7166" s="104">
        <f t="shared" si="111"/>
        <v>9.1600000000000001E-2</v>
      </c>
      <c r="F7166" s="5"/>
    </row>
    <row r="7167" spans="2:6" ht="13.8" hidden="1" outlineLevel="1">
      <c r="B7167" s="187">
        <v>32639</v>
      </c>
      <c r="C7167" s="188">
        <v>9.1</v>
      </c>
      <c r="D7167" s="104">
        <f t="shared" si="111"/>
        <v>9.0999999999999998E-2</v>
      </c>
      <c r="F7167" s="5"/>
    </row>
    <row r="7168" spans="2:6" ht="13.8" hidden="1" outlineLevel="1">
      <c r="B7168" s="187">
        <v>32640</v>
      </c>
      <c r="C7168" s="188">
        <v>8.81</v>
      </c>
      <c r="D7168" s="104">
        <f t="shared" si="111"/>
        <v>8.8100000000000012E-2</v>
      </c>
      <c r="F7168" s="5"/>
    </row>
    <row r="7169" spans="2:6" ht="13.8" hidden="1" outlineLevel="1">
      <c r="B7169" s="187">
        <v>32643</v>
      </c>
      <c r="C7169" s="188">
        <v>8.82</v>
      </c>
      <c r="D7169" s="104">
        <f t="shared" si="111"/>
        <v>8.8200000000000001E-2</v>
      </c>
      <c r="F7169" s="5"/>
    </row>
    <row r="7170" spans="2:6" ht="13.8" hidden="1" outlineLevel="1">
      <c r="B7170" s="187">
        <v>32644</v>
      </c>
      <c r="C7170" s="188">
        <v>8.82</v>
      </c>
      <c r="D7170" s="104">
        <f t="shared" si="111"/>
        <v>8.8200000000000001E-2</v>
      </c>
      <c r="F7170" s="5"/>
    </row>
    <row r="7171" spans="2:6" ht="13.8" hidden="1" outlineLevel="1">
      <c r="B7171" s="187">
        <v>32645</v>
      </c>
      <c r="C7171" s="188">
        <v>8.8000000000000007</v>
      </c>
      <c r="D7171" s="104">
        <f t="shared" si="111"/>
        <v>8.8000000000000009E-2</v>
      </c>
      <c r="F7171" s="5"/>
    </row>
    <row r="7172" spans="2:6" ht="13.8" hidden="1" outlineLevel="1">
      <c r="B7172" s="187">
        <v>32646</v>
      </c>
      <c r="C7172" s="188">
        <v>8.7799999999999994</v>
      </c>
      <c r="D7172" s="104">
        <f t="shared" si="111"/>
        <v>8.7799999999999989E-2</v>
      </c>
      <c r="F7172" s="5"/>
    </row>
    <row r="7173" spans="2:6" ht="13.8" hidden="1" outlineLevel="1">
      <c r="B7173" s="187">
        <v>32647</v>
      </c>
      <c r="C7173" s="188">
        <v>8.7100000000000009</v>
      </c>
      <c r="D7173" s="104">
        <f t="shared" si="111"/>
        <v>8.7100000000000011E-2</v>
      </c>
      <c r="F7173" s="5"/>
    </row>
    <row r="7174" spans="2:6" ht="13.8" hidden="1" outlineLevel="1">
      <c r="B7174" s="187">
        <v>32650</v>
      </c>
      <c r="C7174" s="188">
        <v>8.58</v>
      </c>
      <c r="D7174" s="104">
        <f t="shared" si="111"/>
        <v>8.5800000000000001E-2</v>
      </c>
      <c r="F7174" s="5"/>
    </row>
    <row r="7175" spans="2:6" ht="13.8" hidden="1" outlineLevel="1">
      <c r="B7175" s="187">
        <v>32651</v>
      </c>
      <c r="C7175" s="188">
        <v>8.6</v>
      </c>
      <c r="D7175" s="104">
        <f t="shared" si="111"/>
        <v>8.5999999999999993E-2</v>
      </c>
      <c r="F7175" s="5"/>
    </row>
    <row r="7176" spans="2:6" ht="13.8" hidden="1" outlineLevel="1">
      <c r="B7176" s="187">
        <v>32652</v>
      </c>
      <c r="C7176" s="188">
        <v>8.6300000000000008</v>
      </c>
      <c r="D7176" s="104">
        <f t="shared" si="111"/>
        <v>8.6300000000000002E-2</v>
      </c>
      <c r="F7176" s="5"/>
    </row>
    <row r="7177" spans="2:6" ht="13.8" hidden="1" outlineLevel="1">
      <c r="B7177" s="187">
        <v>32653</v>
      </c>
      <c r="C7177" s="188">
        <v>8.67</v>
      </c>
      <c r="D7177" s="104">
        <f t="shared" si="111"/>
        <v>8.6699999999999999E-2</v>
      </c>
      <c r="F7177" s="5"/>
    </row>
    <row r="7178" spans="2:6" ht="13.8" hidden="1" outlineLevel="1">
      <c r="B7178" s="187">
        <v>32654</v>
      </c>
      <c r="C7178" s="188">
        <v>8.66</v>
      </c>
      <c r="D7178" s="104">
        <f t="shared" si="111"/>
        <v>8.6599999999999996E-2</v>
      </c>
      <c r="F7178" s="5"/>
    </row>
    <row r="7179" spans="2:6" ht="13.8" hidden="1" outlineLevel="1">
      <c r="B7179" s="187">
        <v>32657</v>
      </c>
      <c r="C7179" s="188" t="s">
        <v>380</v>
      </c>
      <c r="D7179" s="104">
        <f t="shared" si="111"/>
        <v>8.6599999999999996E-2</v>
      </c>
      <c r="F7179" s="5"/>
    </row>
    <row r="7180" spans="2:6" ht="13.8" hidden="1" outlineLevel="1">
      <c r="B7180" s="187">
        <v>32658</v>
      </c>
      <c r="C7180" s="188">
        <v>8.64</v>
      </c>
      <c r="D7180" s="104">
        <f t="shared" si="111"/>
        <v>8.6400000000000005E-2</v>
      </c>
      <c r="F7180" s="5"/>
    </row>
    <row r="7181" spans="2:6" ht="13.8" hidden="1" outlineLevel="1">
      <c r="B7181" s="187">
        <v>32659</v>
      </c>
      <c r="C7181" s="188">
        <v>8.6</v>
      </c>
      <c r="D7181" s="104">
        <f t="shared" si="111"/>
        <v>8.5999999999999993E-2</v>
      </c>
      <c r="F7181" s="5"/>
    </row>
    <row r="7182" spans="2:6" ht="13.8" hidden="1" outlineLevel="1">
      <c r="B7182" s="187">
        <v>32660</v>
      </c>
      <c r="C7182" s="188">
        <v>8.61</v>
      </c>
      <c r="D7182" s="104">
        <f t="shared" si="111"/>
        <v>8.6099999999999996E-2</v>
      </c>
      <c r="F7182" s="5"/>
    </row>
    <row r="7183" spans="2:6" ht="13.8" hidden="1" outlineLevel="1">
      <c r="B7183" s="187">
        <v>32661</v>
      </c>
      <c r="C7183" s="188">
        <v>8.43</v>
      </c>
      <c r="D7183" s="104">
        <f t="shared" si="111"/>
        <v>8.43E-2</v>
      </c>
      <c r="F7183" s="5"/>
    </row>
    <row r="7184" spans="2:6" ht="13.8" hidden="1" outlineLevel="1">
      <c r="B7184" s="187">
        <v>32664</v>
      </c>
      <c r="C7184" s="188">
        <v>8.36</v>
      </c>
      <c r="D7184" s="104">
        <f t="shared" si="111"/>
        <v>8.3599999999999994E-2</v>
      </c>
      <c r="F7184" s="5"/>
    </row>
    <row r="7185" spans="2:6" ht="13.8" hidden="1" outlineLevel="1">
      <c r="B7185" s="187">
        <v>32665</v>
      </c>
      <c r="C7185" s="188">
        <v>8.36</v>
      </c>
      <c r="D7185" s="104">
        <f t="shared" si="111"/>
        <v>8.3599999999999994E-2</v>
      </c>
      <c r="F7185" s="5"/>
    </row>
    <row r="7186" spans="2:6" ht="13.8" hidden="1" outlineLevel="1">
      <c r="B7186" s="187">
        <v>32666</v>
      </c>
      <c r="C7186" s="188">
        <v>8.27</v>
      </c>
      <c r="D7186" s="104">
        <f t="shared" si="111"/>
        <v>8.2699999999999996E-2</v>
      </c>
      <c r="F7186" s="5"/>
    </row>
    <row r="7187" spans="2:6" ht="13.8" hidden="1" outlineLevel="1">
      <c r="B7187" s="187">
        <v>32667</v>
      </c>
      <c r="C7187" s="188">
        <v>8.27</v>
      </c>
      <c r="D7187" s="104">
        <f t="shared" si="111"/>
        <v>8.2699999999999996E-2</v>
      </c>
      <c r="F7187" s="5"/>
    </row>
    <row r="7188" spans="2:6" ht="13.8" hidden="1" outlineLevel="1">
      <c r="B7188" s="187">
        <v>32668</v>
      </c>
      <c r="C7188" s="188">
        <v>8.15</v>
      </c>
      <c r="D7188" s="104">
        <f t="shared" si="111"/>
        <v>8.1500000000000003E-2</v>
      </c>
      <c r="F7188" s="5"/>
    </row>
    <row r="7189" spans="2:6" ht="13.8" hidden="1" outlineLevel="1">
      <c r="B7189" s="187">
        <v>32671</v>
      </c>
      <c r="C7189" s="188">
        <v>8.16</v>
      </c>
      <c r="D7189" s="104">
        <f t="shared" si="111"/>
        <v>8.1600000000000006E-2</v>
      </c>
      <c r="F7189" s="5"/>
    </row>
    <row r="7190" spans="2:6" ht="13.8" hidden="1" outlineLevel="1">
      <c r="B7190" s="187">
        <v>32672</v>
      </c>
      <c r="C7190" s="188">
        <v>8.25</v>
      </c>
      <c r="D7190" s="104">
        <f t="shared" si="111"/>
        <v>8.2500000000000004E-2</v>
      </c>
      <c r="F7190" s="5"/>
    </row>
    <row r="7191" spans="2:6" ht="13.8" hidden="1" outlineLevel="1">
      <c r="B7191" s="187">
        <v>32673</v>
      </c>
      <c r="C7191" s="188">
        <v>8.1999999999999993</v>
      </c>
      <c r="D7191" s="104">
        <f t="shared" si="111"/>
        <v>8.199999999999999E-2</v>
      </c>
      <c r="F7191" s="5"/>
    </row>
    <row r="7192" spans="2:6" ht="13.8" hidden="1" outlineLevel="1">
      <c r="B7192" s="187">
        <v>32674</v>
      </c>
      <c r="C7192" s="188">
        <v>8.33</v>
      </c>
      <c r="D7192" s="104">
        <f t="shared" si="111"/>
        <v>8.3299999999999999E-2</v>
      </c>
      <c r="F7192" s="5"/>
    </row>
    <row r="7193" spans="2:6" ht="13.8" hidden="1" outlineLevel="1">
      <c r="B7193" s="187">
        <v>32675</v>
      </c>
      <c r="C7193" s="188">
        <v>8.35</v>
      </c>
      <c r="D7193" s="104">
        <f t="shared" si="111"/>
        <v>8.3499999999999991E-2</v>
      </c>
      <c r="F7193" s="5"/>
    </row>
    <row r="7194" spans="2:6" ht="13.8" hidden="1" outlineLevel="1">
      <c r="B7194" s="187">
        <v>32678</v>
      </c>
      <c r="C7194" s="188">
        <v>8.3699999999999992</v>
      </c>
      <c r="D7194" s="104">
        <f t="shared" si="111"/>
        <v>8.3699999999999997E-2</v>
      </c>
      <c r="F7194" s="5"/>
    </row>
    <row r="7195" spans="2:6" ht="13.8" hidden="1" outlineLevel="1">
      <c r="B7195" s="187">
        <v>32679</v>
      </c>
      <c r="C7195" s="188">
        <v>8.31</v>
      </c>
      <c r="D7195" s="104">
        <f t="shared" si="111"/>
        <v>8.3100000000000007E-2</v>
      </c>
      <c r="F7195" s="5"/>
    </row>
    <row r="7196" spans="2:6" ht="13.8" hidden="1" outlineLevel="1">
      <c r="B7196" s="187">
        <v>32680</v>
      </c>
      <c r="C7196" s="188">
        <v>8.3699999999999992</v>
      </c>
      <c r="D7196" s="104">
        <f t="shared" si="111"/>
        <v>8.3699999999999997E-2</v>
      </c>
      <c r="F7196" s="5"/>
    </row>
    <row r="7197" spans="2:6" ht="13.8" hidden="1" outlineLevel="1">
      <c r="B7197" s="187">
        <v>32681</v>
      </c>
      <c r="C7197" s="188">
        <v>8.3800000000000008</v>
      </c>
      <c r="D7197" s="104">
        <f t="shared" si="111"/>
        <v>8.3800000000000013E-2</v>
      </c>
      <c r="F7197" s="5"/>
    </row>
    <row r="7198" spans="2:6" ht="13.8" hidden="1" outlineLevel="1">
      <c r="B7198" s="187">
        <v>32682</v>
      </c>
      <c r="C7198" s="188">
        <v>8.25</v>
      </c>
      <c r="D7198" s="104">
        <f t="shared" ref="D7198:D7261" si="112">IF( LEN( C7198 ) = 0, #N/A, IF( C7198 = "ND", D7197, C7198 / 100 ) )</f>
        <v>8.2500000000000004E-2</v>
      </c>
      <c r="F7198" s="5"/>
    </row>
    <row r="7199" spans="2:6" ht="13.8" hidden="1" outlineLevel="1">
      <c r="B7199" s="187">
        <v>32685</v>
      </c>
      <c r="C7199" s="188">
        <v>8.18</v>
      </c>
      <c r="D7199" s="104">
        <f t="shared" si="112"/>
        <v>8.1799999999999998E-2</v>
      </c>
      <c r="F7199" s="5"/>
    </row>
    <row r="7200" spans="2:6" ht="13.8" hidden="1" outlineLevel="1">
      <c r="B7200" s="187">
        <v>32686</v>
      </c>
      <c r="C7200" s="188">
        <v>8.11</v>
      </c>
      <c r="D7200" s="104">
        <f t="shared" si="112"/>
        <v>8.1099999999999992E-2</v>
      </c>
      <c r="F7200" s="5"/>
    </row>
    <row r="7201" spans="2:6" ht="13.8" hidden="1" outlineLevel="1">
      <c r="B7201" s="187">
        <v>32687</v>
      </c>
      <c r="C7201" s="188">
        <v>8.17</v>
      </c>
      <c r="D7201" s="104">
        <f t="shared" si="112"/>
        <v>8.1699999999999995E-2</v>
      </c>
      <c r="F7201" s="5"/>
    </row>
    <row r="7202" spans="2:6" ht="13.8" hidden="1" outlineLevel="1">
      <c r="B7202" s="187">
        <v>32688</v>
      </c>
      <c r="C7202" s="188">
        <v>8.1199999999999992</v>
      </c>
      <c r="D7202" s="104">
        <f t="shared" si="112"/>
        <v>8.1199999999999994E-2</v>
      </c>
      <c r="F7202" s="5"/>
    </row>
    <row r="7203" spans="2:6" ht="13.8" hidden="1" outlineLevel="1">
      <c r="B7203" s="187">
        <v>32689</v>
      </c>
      <c r="C7203" s="188">
        <v>8.1</v>
      </c>
      <c r="D7203" s="104">
        <f t="shared" si="112"/>
        <v>8.1000000000000003E-2</v>
      </c>
      <c r="F7203" s="5"/>
    </row>
    <row r="7204" spans="2:6" ht="13.8" hidden="1" outlineLevel="1">
      <c r="B7204" s="187">
        <v>32692</v>
      </c>
      <c r="C7204" s="188">
        <v>8.09</v>
      </c>
      <c r="D7204" s="104">
        <f t="shared" si="112"/>
        <v>8.09E-2</v>
      </c>
      <c r="F7204" s="5"/>
    </row>
    <row r="7205" spans="2:6" ht="13.8" hidden="1" outlineLevel="1">
      <c r="B7205" s="187">
        <v>32693</v>
      </c>
      <c r="C7205" s="188" t="s">
        <v>380</v>
      </c>
      <c r="D7205" s="104">
        <f t="shared" si="112"/>
        <v>8.09E-2</v>
      </c>
      <c r="F7205" s="5"/>
    </row>
    <row r="7206" spans="2:6" ht="13.8" hidden="1" outlineLevel="1">
      <c r="B7206" s="187">
        <v>32694</v>
      </c>
      <c r="C7206" s="188">
        <v>8.11</v>
      </c>
      <c r="D7206" s="104">
        <f t="shared" si="112"/>
        <v>8.1099999999999992E-2</v>
      </c>
      <c r="F7206" s="5"/>
    </row>
    <row r="7207" spans="2:6" ht="13.8" hidden="1" outlineLevel="1">
      <c r="B7207" s="187">
        <v>32695</v>
      </c>
      <c r="C7207" s="188">
        <v>8.08</v>
      </c>
      <c r="D7207" s="104">
        <f t="shared" si="112"/>
        <v>8.0799999999999997E-2</v>
      </c>
      <c r="F7207" s="5"/>
    </row>
    <row r="7208" spans="2:6" ht="13.8" hidden="1" outlineLevel="1">
      <c r="B7208" s="187">
        <v>32696</v>
      </c>
      <c r="C7208" s="188">
        <v>8.02</v>
      </c>
      <c r="D7208" s="104">
        <f t="shared" si="112"/>
        <v>8.0199999999999994E-2</v>
      </c>
      <c r="F7208" s="5"/>
    </row>
    <row r="7209" spans="2:6" ht="13.8" hidden="1" outlineLevel="1">
      <c r="B7209" s="187">
        <v>32699</v>
      </c>
      <c r="C7209" s="188">
        <v>7.99</v>
      </c>
      <c r="D7209" s="104">
        <f t="shared" si="112"/>
        <v>7.9899999999999999E-2</v>
      </c>
      <c r="F7209" s="5"/>
    </row>
    <row r="7210" spans="2:6" ht="13.8" hidden="1" outlineLevel="1">
      <c r="B7210" s="187">
        <v>32700</v>
      </c>
      <c r="C7210" s="188">
        <v>8</v>
      </c>
      <c r="D7210" s="104">
        <f t="shared" si="112"/>
        <v>0.08</v>
      </c>
      <c r="F7210" s="5"/>
    </row>
    <row r="7211" spans="2:6" ht="13.8" hidden="1" outlineLevel="1">
      <c r="B7211" s="187">
        <v>32701</v>
      </c>
      <c r="C7211" s="188">
        <v>8</v>
      </c>
      <c r="D7211" s="104">
        <f t="shared" si="112"/>
        <v>0.08</v>
      </c>
      <c r="F7211" s="5"/>
    </row>
    <row r="7212" spans="2:6" ht="13.8" hidden="1" outlineLevel="1">
      <c r="B7212" s="187">
        <v>32702</v>
      </c>
      <c r="C7212" s="188">
        <v>8</v>
      </c>
      <c r="D7212" s="104">
        <f t="shared" si="112"/>
        <v>0.08</v>
      </c>
      <c r="F7212" s="5"/>
    </row>
    <row r="7213" spans="2:6" ht="13.8" hidden="1" outlineLevel="1">
      <c r="B7213" s="187">
        <v>32703</v>
      </c>
      <c r="C7213" s="188">
        <v>8.0399999999999991</v>
      </c>
      <c r="D7213" s="104">
        <f t="shared" si="112"/>
        <v>8.0399999999999985E-2</v>
      </c>
      <c r="F7213" s="5"/>
    </row>
    <row r="7214" spans="2:6" ht="13.8" hidden="1" outlineLevel="1">
      <c r="B7214" s="187">
        <v>32706</v>
      </c>
      <c r="C7214" s="188">
        <v>8.0500000000000007</v>
      </c>
      <c r="D7214" s="104">
        <f t="shared" si="112"/>
        <v>8.0500000000000002E-2</v>
      </c>
      <c r="F7214" s="5"/>
    </row>
    <row r="7215" spans="2:6" ht="13.8" hidden="1" outlineLevel="1">
      <c r="B7215" s="187">
        <v>32707</v>
      </c>
      <c r="C7215" s="188">
        <v>8.1300000000000008</v>
      </c>
      <c r="D7215" s="104">
        <f t="shared" si="112"/>
        <v>8.1300000000000011E-2</v>
      </c>
      <c r="F7215" s="5"/>
    </row>
    <row r="7216" spans="2:6" ht="13.8" hidden="1" outlineLevel="1">
      <c r="B7216" s="187">
        <v>32708</v>
      </c>
      <c r="C7216" s="188">
        <v>8.09</v>
      </c>
      <c r="D7216" s="104">
        <f t="shared" si="112"/>
        <v>8.09E-2</v>
      </c>
      <c r="F7216" s="5"/>
    </row>
    <row r="7217" spans="2:6" ht="13.8" hidden="1" outlineLevel="1">
      <c r="B7217" s="187">
        <v>32709</v>
      </c>
      <c r="C7217" s="188">
        <v>8.01</v>
      </c>
      <c r="D7217" s="104">
        <f t="shared" si="112"/>
        <v>8.0100000000000005E-2</v>
      </c>
      <c r="F7217" s="5"/>
    </row>
    <row r="7218" spans="2:6" ht="13.8" hidden="1" outlineLevel="1">
      <c r="B7218" s="187">
        <v>32710</v>
      </c>
      <c r="C7218" s="188">
        <v>8.07</v>
      </c>
      <c r="D7218" s="104">
        <f t="shared" si="112"/>
        <v>8.0700000000000008E-2</v>
      </c>
      <c r="F7218" s="5"/>
    </row>
    <row r="7219" spans="2:6" ht="13.8" hidden="1" outlineLevel="1">
      <c r="B7219" s="187">
        <v>32713</v>
      </c>
      <c r="C7219" s="188">
        <v>8.0500000000000007</v>
      </c>
      <c r="D7219" s="104">
        <f t="shared" si="112"/>
        <v>8.0500000000000002E-2</v>
      </c>
      <c r="F7219" s="5"/>
    </row>
    <row r="7220" spans="2:6" ht="13.8" hidden="1" outlineLevel="1">
      <c r="B7220" s="187">
        <v>32714</v>
      </c>
      <c r="C7220" s="188">
        <v>8.01</v>
      </c>
      <c r="D7220" s="104">
        <f t="shared" si="112"/>
        <v>8.0100000000000005E-2</v>
      </c>
      <c r="F7220" s="5"/>
    </row>
    <row r="7221" spans="2:6" ht="13.8" hidden="1" outlineLevel="1">
      <c r="B7221" s="187">
        <v>32715</v>
      </c>
      <c r="C7221" s="188">
        <v>8.02</v>
      </c>
      <c r="D7221" s="104">
        <f t="shared" si="112"/>
        <v>8.0199999999999994E-2</v>
      </c>
      <c r="F7221" s="5"/>
    </row>
    <row r="7222" spans="2:6" ht="13.8" hidden="1" outlineLevel="1">
      <c r="B7222" s="187">
        <v>32716</v>
      </c>
      <c r="C7222" s="188">
        <v>7.92</v>
      </c>
      <c r="D7222" s="104">
        <f t="shared" si="112"/>
        <v>7.9199999999999993E-2</v>
      </c>
      <c r="F7222" s="5"/>
    </row>
    <row r="7223" spans="2:6" ht="13.8" hidden="1" outlineLevel="1">
      <c r="B7223" s="187">
        <v>32717</v>
      </c>
      <c r="C7223" s="188">
        <v>7.87</v>
      </c>
      <c r="D7223" s="104">
        <f t="shared" si="112"/>
        <v>7.8700000000000006E-2</v>
      </c>
      <c r="F7223" s="5"/>
    </row>
    <row r="7224" spans="2:6" ht="13.8" hidden="1" outlineLevel="1">
      <c r="B7224" s="187">
        <v>32720</v>
      </c>
      <c r="C7224" s="188">
        <v>7.82</v>
      </c>
      <c r="D7224" s="104">
        <f t="shared" si="112"/>
        <v>7.8200000000000006E-2</v>
      </c>
      <c r="F7224" s="5"/>
    </row>
    <row r="7225" spans="2:6" ht="13.8" hidden="1" outlineLevel="1">
      <c r="B7225" s="187">
        <v>32721</v>
      </c>
      <c r="C7225" s="188">
        <v>7.74</v>
      </c>
      <c r="D7225" s="104">
        <f t="shared" si="112"/>
        <v>7.7399999999999997E-2</v>
      </c>
      <c r="F7225" s="5"/>
    </row>
    <row r="7226" spans="2:6" ht="13.8" hidden="1" outlineLevel="1">
      <c r="B7226" s="187">
        <v>32722</v>
      </c>
      <c r="C7226" s="188">
        <v>7.76</v>
      </c>
      <c r="D7226" s="104">
        <f t="shared" si="112"/>
        <v>7.7600000000000002E-2</v>
      </c>
      <c r="F7226" s="5"/>
    </row>
    <row r="7227" spans="2:6" ht="13.8" hidden="1" outlineLevel="1">
      <c r="B7227" s="187">
        <v>32723</v>
      </c>
      <c r="C7227" s="188">
        <v>7.8</v>
      </c>
      <c r="D7227" s="104">
        <f t="shared" si="112"/>
        <v>7.8E-2</v>
      </c>
      <c r="F7227" s="5"/>
    </row>
    <row r="7228" spans="2:6" ht="13.8" hidden="1" outlineLevel="1">
      <c r="B7228" s="187">
        <v>32724</v>
      </c>
      <c r="C7228" s="188">
        <v>8</v>
      </c>
      <c r="D7228" s="104">
        <f t="shared" si="112"/>
        <v>0.08</v>
      </c>
      <c r="F7228" s="5"/>
    </row>
    <row r="7229" spans="2:6" ht="13.8" hidden="1" outlineLevel="1">
      <c r="B7229" s="187">
        <v>32727</v>
      </c>
      <c r="C7229" s="188">
        <v>8.0299999999999994</v>
      </c>
      <c r="D7229" s="104">
        <f t="shared" si="112"/>
        <v>8.0299999999999996E-2</v>
      </c>
      <c r="F7229" s="5"/>
    </row>
    <row r="7230" spans="2:6" ht="13.8" hidden="1" outlineLevel="1">
      <c r="B7230" s="187">
        <v>32728</v>
      </c>
      <c r="C7230" s="188">
        <v>8</v>
      </c>
      <c r="D7230" s="104">
        <f t="shared" si="112"/>
        <v>0.08</v>
      </c>
      <c r="F7230" s="5"/>
    </row>
    <row r="7231" spans="2:6" ht="13.8" hidden="1" outlineLevel="1">
      <c r="B7231" s="187">
        <v>32729</v>
      </c>
      <c r="C7231" s="188">
        <v>8.0500000000000007</v>
      </c>
      <c r="D7231" s="104">
        <f t="shared" si="112"/>
        <v>8.0500000000000002E-2</v>
      </c>
      <c r="F7231" s="5"/>
    </row>
    <row r="7232" spans="2:6" ht="13.8" hidden="1" outlineLevel="1">
      <c r="B7232" s="187">
        <v>32730</v>
      </c>
      <c r="C7232" s="188">
        <v>8.02</v>
      </c>
      <c r="D7232" s="104">
        <f t="shared" si="112"/>
        <v>8.0199999999999994E-2</v>
      </c>
      <c r="F7232" s="5"/>
    </row>
    <row r="7233" spans="2:6" ht="13.8" hidden="1" outlineLevel="1">
      <c r="B7233" s="187">
        <v>32731</v>
      </c>
      <c r="C7233" s="188">
        <v>8.09</v>
      </c>
      <c r="D7233" s="104">
        <f t="shared" si="112"/>
        <v>8.09E-2</v>
      </c>
      <c r="F7233" s="5"/>
    </row>
    <row r="7234" spans="2:6" ht="13.8" hidden="1" outlineLevel="1">
      <c r="B7234" s="187">
        <v>32734</v>
      </c>
      <c r="C7234" s="188">
        <v>8.24</v>
      </c>
      <c r="D7234" s="104">
        <f t="shared" si="112"/>
        <v>8.2400000000000001E-2</v>
      </c>
      <c r="F7234" s="5"/>
    </row>
    <row r="7235" spans="2:6" ht="13.8" hidden="1" outlineLevel="1">
      <c r="B7235" s="187">
        <v>32735</v>
      </c>
      <c r="C7235" s="188">
        <v>8.2100000000000009</v>
      </c>
      <c r="D7235" s="104">
        <f t="shared" si="112"/>
        <v>8.2100000000000006E-2</v>
      </c>
      <c r="F7235" s="5"/>
    </row>
    <row r="7236" spans="2:6" ht="13.8" hidden="1" outlineLevel="1">
      <c r="B7236" s="187">
        <v>32736</v>
      </c>
      <c r="C7236" s="188">
        <v>8.1199999999999992</v>
      </c>
      <c r="D7236" s="104">
        <f t="shared" si="112"/>
        <v>8.1199999999999994E-2</v>
      </c>
      <c r="F7236" s="5"/>
    </row>
    <row r="7237" spans="2:6" ht="13.8" hidden="1" outlineLevel="1">
      <c r="B7237" s="187">
        <v>32737</v>
      </c>
      <c r="C7237" s="188">
        <v>8.18</v>
      </c>
      <c r="D7237" s="104">
        <f t="shared" si="112"/>
        <v>8.1799999999999998E-2</v>
      </c>
      <c r="F7237" s="5"/>
    </row>
    <row r="7238" spans="2:6" ht="13.8" hidden="1" outlineLevel="1">
      <c r="B7238" s="187">
        <v>32738</v>
      </c>
      <c r="C7238" s="188">
        <v>8.15</v>
      </c>
      <c r="D7238" s="104">
        <f t="shared" si="112"/>
        <v>8.1500000000000003E-2</v>
      </c>
      <c r="F7238" s="5"/>
    </row>
    <row r="7239" spans="2:6" ht="13.8" hidden="1" outlineLevel="1">
      <c r="B7239" s="187">
        <v>32741</v>
      </c>
      <c r="C7239" s="188">
        <v>8.1999999999999993</v>
      </c>
      <c r="D7239" s="104">
        <f t="shared" si="112"/>
        <v>8.199999999999999E-2</v>
      </c>
      <c r="F7239" s="5"/>
    </row>
    <row r="7240" spans="2:6" ht="13.8" hidden="1" outlineLevel="1">
      <c r="B7240" s="187">
        <v>32742</v>
      </c>
      <c r="C7240" s="188">
        <v>8.2899999999999991</v>
      </c>
      <c r="D7240" s="104">
        <f t="shared" si="112"/>
        <v>8.2899999999999988E-2</v>
      </c>
      <c r="F7240" s="5"/>
    </row>
    <row r="7241" spans="2:6" ht="13.8" hidden="1" outlineLevel="1">
      <c r="B7241" s="187">
        <v>32743</v>
      </c>
      <c r="C7241" s="188">
        <v>8.25</v>
      </c>
      <c r="D7241" s="104">
        <f t="shared" si="112"/>
        <v>8.2500000000000004E-2</v>
      </c>
      <c r="F7241" s="5"/>
    </row>
    <row r="7242" spans="2:6" ht="13.8" hidden="1" outlineLevel="1">
      <c r="B7242" s="187">
        <v>32744</v>
      </c>
      <c r="C7242" s="188">
        <v>8.1999999999999993</v>
      </c>
      <c r="D7242" s="104">
        <f t="shared" si="112"/>
        <v>8.199999999999999E-2</v>
      </c>
      <c r="F7242" s="5"/>
    </row>
    <row r="7243" spans="2:6" ht="13.8" hidden="1" outlineLevel="1">
      <c r="B7243" s="187">
        <v>32745</v>
      </c>
      <c r="C7243" s="188">
        <v>8.2100000000000009</v>
      </c>
      <c r="D7243" s="104">
        <f t="shared" si="112"/>
        <v>8.2100000000000006E-2</v>
      </c>
      <c r="F7243" s="5"/>
    </row>
    <row r="7244" spans="2:6" ht="13.8" hidden="1" outlineLevel="1">
      <c r="B7244" s="187">
        <v>32748</v>
      </c>
      <c r="C7244" s="188">
        <v>8.27</v>
      </c>
      <c r="D7244" s="104">
        <f t="shared" si="112"/>
        <v>8.2699999999999996E-2</v>
      </c>
      <c r="F7244" s="5"/>
    </row>
    <row r="7245" spans="2:6" ht="13.8" hidden="1" outlineLevel="1">
      <c r="B7245" s="187">
        <v>32749</v>
      </c>
      <c r="C7245" s="188">
        <v>8.27</v>
      </c>
      <c r="D7245" s="104">
        <f t="shared" si="112"/>
        <v>8.2699999999999996E-2</v>
      </c>
      <c r="F7245" s="5"/>
    </row>
    <row r="7246" spans="2:6" ht="13.8" hidden="1" outlineLevel="1">
      <c r="B7246" s="187">
        <v>32750</v>
      </c>
      <c r="C7246" s="188">
        <v>8.25</v>
      </c>
      <c r="D7246" s="104">
        <f t="shared" si="112"/>
        <v>8.2500000000000004E-2</v>
      </c>
      <c r="F7246" s="5"/>
    </row>
    <row r="7247" spans="2:6" ht="13.8" hidden="1" outlineLevel="1">
      <c r="B7247" s="187">
        <v>32751</v>
      </c>
      <c r="C7247" s="188">
        <v>8.26</v>
      </c>
      <c r="D7247" s="104">
        <f t="shared" si="112"/>
        <v>8.2599999999999993E-2</v>
      </c>
      <c r="F7247" s="5"/>
    </row>
    <row r="7248" spans="2:6" ht="13.8" hidden="1" outlineLevel="1">
      <c r="B7248" s="187">
        <v>32752</v>
      </c>
      <c r="C7248" s="188">
        <v>8.19</v>
      </c>
      <c r="D7248" s="104">
        <f t="shared" si="112"/>
        <v>8.1900000000000001E-2</v>
      </c>
      <c r="F7248" s="5"/>
    </row>
    <row r="7249" spans="2:6" ht="13.8" hidden="1" outlineLevel="1">
      <c r="B7249" s="187">
        <v>32755</v>
      </c>
      <c r="C7249" s="188" t="s">
        <v>380</v>
      </c>
      <c r="D7249" s="104">
        <f t="shared" si="112"/>
        <v>8.1900000000000001E-2</v>
      </c>
      <c r="F7249" s="5"/>
    </row>
    <row r="7250" spans="2:6" ht="13.8" hidden="1" outlineLevel="1">
      <c r="B7250" s="187">
        <v>32756</v>
      </c>
      <c r="C7250" s="188">
        <v>8.19</v>
      </c>
      <c r="D7250" s="104">
        <f t="shared" si="112"/>
        <v>8.1900000000000001E-2</v>
      </c>
      <c r="F7250" s="5"/>
    </row>
    <row r="7251" spans="2:6" ht="13.8" hidden="1" outlineLevel="1">
      <c r="B7251" s="187">
        <v>32757</v>
      </c>
      <c r="C7251" s="188">
        <v>8.17</v>
      </c>
      <c r="D7251" s="104">
        <f t="shared" si="112"/>
        <v>8.1699999999999995E-2</v>
      </c>
      <c r="F7251" s="5"/>
    </row>
    <row r="7252" spans="2:6" ht="13.8" hidden="1" outlineLevel="1">
      <c r="B7252" s="187">
        <v>32758</v>
      </c>
      <c r="C7252" s="188">
        <v>8.17</v>
      </c>
      <c r="D7252" s="104">
        <f t="shared" si="112"/>
        <v>8.1699999999999995E-2</v>
      </c>
      <c r="F7252" s="5"/>
    </row>
    <row r="7253" spans="2:6" ht="13.8" hidden="1" outlineLevel="1">
      <c r="B7253" s="187">
        <v>32759</v>
      </c>
      <c r="C7253" s="188">
        <v>8.14</v>
      </c>
      <c r="D7253" s="104">
        <f t="shared" si="112"/>
        <v>8.14E-2</v>
      </c>
      <c r="F7253" s="5"/>
    </row>
    <row r="7254" spans="2:6" ht="13.8" hidden="1" outlineLevel="1">
      <c r="B7254" s="187">
        <v>32762</v>
      </c>
      <c r="C7254" s="188">
        <v>8.1300000000000008</v>
      </c>
      <c r="D7254" s="104">
        <f t="shared" si="112"/>
        <v>8.1300000000000011E-2</v>
      </c>
      <c r="F7254" s="5"/>
    </row>
    <row r="7255" spans="2:6" ht="13.8" hidden="1" outlineLevel="1">
      <c r="B7255" s="187">
        <v>32763</v>
      </c>
      <c r="C7255" s="188">
        <v>8.1300000000000008</v>
      </c>
      <c r="D7255" s="104">
        <f t="shared" si="112"/>
        <v>8.1300000000000011E-2</v>
      </c>
      <c r="F7255" s="5"/>
    </row>
    <row r="7256" spans="2:6" ht="13.8" hidden="1" outlineLevel="1">
      <c r="B7256" s="187">
        <v>32764</v>
      </c>
      <c r="C7256" s="188">
        <v>8.18</v>
      </c>
      <c r="D7256" s="104">
        <f t="shared" si="112"/>
        <v>8.1799999999999998E-2</v>
      </c>
      <c r="F7256" s="5"/>
    </row>
    <row r="7257" spans="2:6" ht="13.8" hidden="1" outlineLevel="1">
      <c r="B7257" s="187">
        <v>32765</v>
      </c>
      <c r="C7257" s="188">
        <v>8.1300000000000008</v>
      </c>
      <c r="D7257" s="104">
        <f t="shared" si="112"/>
        <v>8.1300000000000011E-2</v>
      </c>
      <c r="F7257" s="5"/>
    </row>
    <row r="7258" spans="2:6" ht="13.8" hidden="1" outlineLevel="1">
      <c r="B7258" s="187">
        <v>32766</v>
      </c>
      <c r="C7258" s="188">
        <v>8.09</v>
      </c>
      <c r="D7258" s="104">
        <f t="shared" si="112"/>
        <v>8.09E-2</v>
      </c>
      <c r="F7258" s="5"/>
    </row>
    <row r="7259" spans="2:6" ht="13.8" hidden="1" outlineLevel="1">
      <c r="B7259" s="187">
        <v>32769</v>
      </c>
      <c r="C7259" s="188">
        <v>8.1</v>
      </c>
      <c r="D7259" s="104">
        <f t="shared" si="112"/>
        <v>8.1000000000000003E-2</v>
      </c>
      <c r="F7259" s="5"/>
    </row>
    <row r="7260" spans="2:6" ht="13.8" hidden="1" outlineLevel="1">
      <c r="B7260" s="187">
        <v>32770</v>
      </c>
      <c r="C7260" s="188">
        <v>8.09</v>
      </c>
      <c r="D7260" s="104">
        <f t="shared" si="112"/>
        <v>8.09E-2</v>
      </c>
      <c r="F7260" s="5"/>
    </row>
    <row r="7261" spans="2:6" ht="13.8" hidden="1" outlineLevel="1">
      <c r="B7261" s="187">
        <v>32771</v>
      </c>
      <c r="C7261" s="188">
        <v>8.15</v>
      </c>
      <c r="D7261" s="104">
        <f t="shared" si="112"/>
        <v>8.1500000000000003E-2</v>
      </c>
      <c r="F7261" s="5"/>
    </row>
    <row r="7262" spans="2:6" ht="13.8" hidden="1" outlineLevel="1">
      <c r="B7262" s="187">
        <v>32772</v>
      </c>
      <c r="C7262" s="188">
        <v>8.1999999999999993</v>
      </c>
      <c r="D7262" s="104">
        <f t="shared" ref="D7262:D7325" si="113">IF( LEN( C7262 ) = 0, #N/A, IF( C7262 = "ND", D7261, C7262 / 100 ) )</f>
        <v>8.199999999999999E-2</v>
      </c>
      <c r="F7262" s="5"/>
    </row>
    <row r="7263" spans="2:6" ht="13.8" hidden="1" outlineLevel="1">
      <c r="B7263" s="187">
        <v>32773</v>
      </c>
      <c r="C7263" s="188">
        <v>8.2200000000000006</v>
      </c>
      <c r="D7263" s="104">
        <f t="shared" si="113"/>
        <v>8.2200000000000009E-2</v>
      </c>
      <c r="F7263" s="5"/>
    </row>
    <row r="7264" spans="2:6" ht="13.8" hidden="1" outlineLevel="1">
      <c r="B7264" s="187">
        <v>32776</v>
      </c>
      <c r="C7264" s="188">
        <v>8.32</v>
      </c>
      <c r="D7264" s="104">
        <f t="shared" si="113"/>
        <v>8.3199999999999996E-2</v>
      </c>
      <c r="F7264" s="5"/>
    </row>
    <row r="7265" spans="2:6" ht="13.8" hidden="1" outlineLevel="1">
      <c r="B7265" s="187">
        <v>32777</v>
      </c>
      <c r="C7265" s="188">
        <v>8.3000000000000007</v>
      </c>
      <c r="D7265" s="104">
        <f t="shared" si="113"/>
        <v>8.3000000000000004E-2</v>
      </c>
      <c r="F7265" s="5"/>
    </row>
    <row r="7266" spans="2:6" ht="13.8" hidden="1" outlineLevel="1">
      <c r="B7266" s="187">
        <v>32778</v>
      </c>
      <c r="C7266" s="188">
        <v>8.3000000000000007</v>
      </c>
      <c r="D7266" s="104">
        <f t="shared" si="113"/>
        <v>8.3000000000000004E-2</v>
      </c>
      <c r="F7266" s="5"/>
    </row>
    <row r="7267" spans="2:6" ht="13.8" hidden="1" outlineLevel="1">
      <c r="B7267" s="187">
        <v>32779</v>
      </c>
      <c r="C7267" s="188">
        <v>8.3000000000000007</v>
      </c>
      <c r="D7267" s="104">
        <f t="shared" si="113"/>
        <v>8.3000000000000004E-2</v>
      </c>
      <c r="F7267" s="5"/>
    </row>
    <row r="7268" spans="2:6" ht="13.8" hidden="1" outlineLevel="1">
      <c r="B7268" s="187">
        <v>32780</v>
      </c>
      <c r="C7268" s="188">
        <v>8.31</v>
      </c>
      <c r="D7268" s="104">
        <f t="shared" si="113"/>
        <v>8.3100000000000007E-2</v>
      </c>
      <c r="F7268" s="5"/>
    </row>
    <row r="7269" spans="2:6" ht="13.8" hidden="1" outlineLevel="1">
      <c r="B7269" s="187">
        <v>32783</v>
      </c>
      <c r="C7269" s="188">
        <v>8.2799999999999994</v>
      </c>
      <c r="D7269" s="104">
        <f t="shared" si="113"/>
        <v>8.2799999999999999E-2</v>
      </c>
      <c r="F7269" s="5"/>
    </row>
    <row r="7270" spans="2:6" ht="13.8" hidden="1" outlineLevel="1">
      <c r="B7270" s="187">
        <v>32784</v>
      </c>
      <c r="C7270" s="188">
        <v>8.23</v>
      </c>
      <c r="D7270" s="104">
        <f t="shared" si="113"/>
        <v>8.2299999999999998E-2</v>
      </c>
      <c r="F7270" s="5"/>
    </row>
    <row r="7271" spans="2:6" ht="13.8" hidden="1" outlineLevel="1">
      <c r="B7271" s="187">
        <v>32785</v>
      </c>
      <c r="C7271" s="188">
        <v>8.2200000000000006</v>
      </c>
      <c r="D7271" s="104">
        <f t="shared" si="113"/>
        <v>8.2200000000000009E-2</v>
      </c>
      <c r="F7271" s="5"/>
    </row>
    <row r="7272" spans="2:6" ht="13.8" hidden="1" outlineLevel="1">
      <c r="B7272" s="187">
        <v>32786</v>
      </c>
      <c r="C7272" s="188">
        <v>8.15</v>
      </c>
      <c r="D7272" s="104">
        <f t="shared" si="113"/>
        <v>8.1500000000000003E-2</v>
      </c>
      <c r="F7272" s="5"/>
    </row>
    <row r="7273" spans="2:6" ht="13.8" hidden="1" outlineLevel="1">
      <c r="B7273" s="187">
        <v>32787</v>
      </c>
      <c r="C7273" s="188">
        <v>8.0299999999999994</v>
      </c>
      <c r="D7273" s="104">
        <f t="shared" si="113"/>
        <v>8.0299999999999996E-2</v>
      </c>
      <c r="F7273" s="5"/>
    </row>
    <row r="7274" spans="2:6" ht="13.8" hidden="1" outlineLevel="1">
      <c r="B7274" s="187">
        <v>32790</v>
      </c>
      <c r="C7274" s="188" t="s">
        <v>380</v>
      </c>
      <c r="D7274" s="104">
        <f t="shared" si="113"/>
        <v>8.0299999999999996E-2</v>
      </c>
      <c r="F7274" s="5"/>
    </row>
    <row r="7275" spans="2:6" ht="13.8" hidden="1" outlineLevel="1">
      <c r="B7275" s="187">
        <v>32791</v>
      </c>
      <c r="C7275" s="188">
        <v>8.0299999999999994</v>
      </c>
      <c r="D7275" s="104">
        <f t="shared" si="113"/>
        <v>8.0299999999999996E-2</v>
      </c>
      <c r="F7275" s="5"/>
    </row>
    <row r="7276" spans="2:6" ht="13.8" hidden="1" outlineLevel="1">
      <c r="B7276" s="187">
        <v>32792</v>
      </c>
      <c r="C7276" s="188">
        <v>8.07</v>
      </c>
      <c r="D7276" s="104">
        <f t="shared" si="113"/>
        <v>8.0700000000000008E-2</v>
      </c>
      <c r="F7276" s="5"/>
    </row>
    <row r="7277" spans="2:6" ht="13.8" hidden="1" outlineLevel="1">
      <c r="B7277" s="187">
        <v>32793</v>
      </c>
      <c r="C7277" s="188">
        <v>8.0399999999999991</v>
      </c>
      <c r="D7277" s="104">
        <f t="shared" si="113"/>
        <v>8.0399999999999985E-2</v>
      </c>
      <c r="F7277" s="5"/>
    </row>
    <row r="7278" spans="2:6" ht="13.8" hidden="1" outlineLevel="1">
      <c r="B7278" s="187">
        <v>32794</v>
      </c>
      <c r="C7278" s="188">
        <v>7.87</v>
      </c>
      <c r="D7278" s="104">
        <f t="shared" si="113"/>
        <v>7.8700000000000006E-2</v>
      </c>
      <c r="F7278" s="5"/>
    </row>
    <row r="7279" spans="2:6" ht="13.8" hidden="1" outlineLevel="1">
      <c r="B7279" s="187">
        <v>32797</v>
      </c>
      <c r="C7279" s="188">
        <v>7.98</v>
      </c>
      <c r="D7279" s="104">
        <f t="shared" si="113"/>
        <v>7.980000000000001E-2</v>
      </c>
      <c r="F7279" s="5"/>
    </row>
    <row r="7280" spans="2:6" ht="13.8" hidden="1" outlineLevel="1">
      <c r="B7280" s="187">
        <v>32798</v>
      </c>
      <c r="C7280" s="188">
        <v>8</v>
      </c>
      <c r="D7280" s="104">
        <f t="shared" si="113"/>
        <v>0.08</v>
      </c>
      <c r="F7280" s="5"/>
    </row>
    <row r="7281" spans="2:6" ht="13.8" hidden="1" outlineLevel="1">
      <c r="B7281" s="187">
        <v>32799</v>
      </c>
      <c r="C7281" s="188">
        <v>8.01</v>
      </c>
      <c r="D7281" s="104">
        <f t="shared" si="113"/>
        <v>8.0100000000000005E-2</v>
      </c>
      <c r="F7281" s="5"/>
    </row>
    <row r="7282" spans="2:6" ht="13.8" hidden="1" outlineLevel="1">
      <c r="B7282" s="187">
        <v>32800</v>
      </c>
      <c r="C7282" s="188">
        <v>7.96</v>
      </c>
      <c r="D7282" s="104">
        <f t="shared" si="113"/>
        <v>7.9600000000000004E-2</v>
      </c>
      <c r="F7282" s="5"/>
    </row>
    <row r="7283" spans="2:6" ht="13.8" hidden="1" outlineLevel="1">
      <c r="B7283" s="187">
        <v>32801</v>
      </c>
      <c r="C7283" s="188">
        <v>7.98</v>
      </c>
      <c r="D7283" s="104">
        <f t="shared" si="113"/>
        <v>7.980000000000001E-2</v>
      </c>
      <c r="F7283" s="5"/>
    </row>
    <row r="7284" spans="2:6" ht="13.8" hidden="1" outlineLevel="1">
      <c r="B7284" s="187">
        <v>32804</v>
      </c>
      <c r="C7284" s="188">
        <v>7.92</v>
      </c>
      <c r="D7284" s="104">
        <f t="shared" si="113"/>
        <v>7.9199999999999993E-2</v>
      </c>
      <c r="F7284" s="5"/>
    </row>
    <row r="7285" spans="2:6" ht="13.8" hidden="1" outlineLevel="1">
      <c r="B7285" s="187">
        <v>32805</v>
      </c>
      <c r="C7285" s="188">
        <v>7.87</v>
      </c>
      <c r="D7285" s="104">
        <f t="shared" si="113"/>
        <v>7.8700000000000006E-2</v>
      </c>
      <c r="F7285" s="5"/>
    </row>
    <row r="7286" spans="2:6" ht="13.8" hidden="1" outlineLevel="1">
      <c r="B7286" s="187">
        <v>32806</v>
      </c>
      <c r="C7286" s="188">
        <v>7.86</v>
      </c>
      <c r="D7286" s="104">
        <f t="shared" si="113"/>
        <v>7.8600000000000003E-2</v>
      </c>
      <c r="F7286" s="5"/>
    </row>
    <row r="7287" spans="2:6" ht="13.8" hidden="1" outlineLevel="1">
      <c r="B7287" s="187">
        <v>32807</v>
      </c>
      <c r="C7287" s="188">
        <v>7.88</v>
      </c>
      <c r="D7287" s="104">
        <f t="shared" si="113"/>
        <v>7.8799999999999995E-2</v>
      </c>
      <c r="F7287" s="5"/>
    </row>
    <row r="7288" spans="2:6" ht="13.8" hidden="1" outlineLevel="1">
      <c r="B7288" s="187">
        <v>32808</v>
      </c>
      <c r="C7288" s="188">
        <v>7.94</v>
      </c>
      <c r="D7288" s="104">
        <f t="shared" si="113"/>
        <v>7.9399999999999998E-2</v>
      </c>
      <c r="F7288" s="5"/>
    </row>
    <row r="7289" spans="2:6" ht="13.8" hidden="1" outlineLevel="1">
      <c r="B7289" s="187">
        <v>32811</v>
      </c>
      <c r="C7289" s="188">
        <v>7.92</v>
      </c>
      <c r="D7289" s="104">
        <f t="shared" si="113"/>
        <v>7.9199999999999993E-2</v>
      </c>
      <c r="F7289" s="5"/>
    </row>
    <row r="7290" spans="2:6" ht="13.8" hidden="1" outlineLevel="1">
      <c r="B7290" s="187">
        <v>32812</v>
      </c>
      <c r="C7290" s="188">
        <v>7.92</v>
      </c>
      <c r="D7290" s="104">
        <f t="shared" si="113"/>
        <v>7.9199999999999993E-2</v>
      </c>
      <c r="F7290" s="5"/>
    </row>
    <row r="7291" spans="2:6" ht="13.8" hidden="1" outlineLevel="1">
      <c r="B7291" s="187">
        <v>32813</v>
      </c>
      <c r="C7291" s="188">
        <v>7.91</v>
      </c>
      <c r="D7291" s="104">
        <f t="shared" si="113"/>
        <v>7.9100000000000004E-2</v>
      </c>
      <c r="F7291" s="5"/>
    </row>
    <row r="7292" spans="2:6" ht="13.8" hidden="1" outlineLevel="1">
      <c r="B7292" s="187">
        <v>32814</v>
      </c>
      <c r="C7292" s="188">
        <v>7.87</v>
      </c>
      <c r="D7292" s="104">
        <f t="shared" si="113"/>
        <v>7.8700000000000006E-2</v>
      </c>
      <c r="F7292" s="5"/>
    </row>
    <row r="7293" spans="2:6" ht="13.8" hidden="1" outlineLevel="1">
      <c r="B7293" s="187">
        <v>32815</v>
      </c>
      <c r="C7293" s="188">
        <v>7.96</v>
      </c>
      <c r="D7293" s="104">
        <f t="shared" si="113"/>
        <v>7.9600000000000004E-2</v>
      </c>
      <c r="F7293" s="5"/>
    </row>
    <row r="7294" spans="2:6" ht="13.8" hidden="1" outlineLevel="1">
      <c r="B7294" s="187">
        <v>32818</v>
      </c>
      <c r="C7294" s="188">
        <v>8</v>
      </c>
      <c r="D7294" s="104">
        <f t="shared" si="113"/>
        <v>0.08</v>
      </c>
      <c r="F7294" s="5"/>
    </row>
    <row r="7295" spans="2:6" ht="13.8" hidden="1" outlineLevel="1">
      <c r="B7295" s="187">
        <v>32819</v>
      </c>
      <c r="C7295" s="188">
        <v>7.9</v>
      </c>
      <c r="D7295" s="104">
        <f t="shared" si="113"/>
        <v>7.9000000000000001E-2</v>
      </c>
      <c r="F7295" s="5"/>
    </row>
    <row r="7296" spans="2:6" ht="13.8" hidden="1" outlineLevel="1">
      <c r="B7296" s="187">
        <v>32820</v>
      </c>
      <c r="C7296" s="188">
        <v>7.87</v>
      </c>
      <c r="D7296" s="104">
        <f t="shared" si="113"/>
        <v>7.8700000000000006E-2</v>
      </c>
      <c r="F7296" s="5"/>
    </row>
    <row r="7297" spans="2:6" ht="13.8" hidden="1" outlineLevel="1">
      <c r="B7297" s="187">
        <v>32821</v>
      </c>
      <c r="C7297" s="188">
        <v>7.9</v>
      </c>
      <c r="D7297" s="104">
        <f t="shared" si="113"/>
        <v>7.9000000000000001E-2</v>
      </c>
      <c r="F7297" s="5"/>
    </row>
    <row r="7298" spans="2:6" ht="13.8" hidden="1" outlineLevel="1">
      <c r="B7298" s="187">
        <v>32822</v>
      </c>
      <c r="C7298" s="188">
        <v>7.92</v>
      </c>
      <c r="D7298" s="104">
        <f t="shared" si="113"/>
        <v>7.9199999999999993E-2</v>
      </c>
      <c r="F7298" s="5"/>
    </row>
    <row r="7299" spans="2:6" ht="13.8" hidden="1" outlineLevel="1">
      <c r="B7299" s="187">
        <v>32825</v>
      </c>
      <c r="C7299" s="188">
        <v>7.89</v>
      </c>
      <c r="D7299" s="104">
        <f t="shared" si="113"/>
        <v>7.8899999999999998E-2</v>
      </c>
      <c r="F7299" s="5"/>
    </row>
    <row r="7300" spans="2:6" ht="13.8" hidden="1" outlineLevel="1">
      <c r="B7300" s="187">
        <v>32826</v>
      </c>
      <c r="C7300" s="188">
        <v>7.87</v>
      </c>
      <c r="D7300" s="104">
        <f t="shared" si="113"/>
        <v>7.8700000000000006E-2</v>
      </c>
      <c r="F7300" s="5"/>
    </row>
    <row r="7301" spans="2:6" ht="13.8" hidden="1" outlineLevel="1">
      <c r="B7301" s="187">
        <v>32827</v>
      </c>
      <c r="C7301" s="188">
        <v>7.82</v>
      </c>
      <c r="D7301" s="104">
        <f t="shared" si="113"/>
        <v>7.8200000000000006E-2</v>
      </c>
      <c r="F7301" s="5"/>
    </row>
    <row r="7302" spans="2:6" ht="13.8" hidden="1" outlineLevel="1">
      <c r="B7302" s="187">
        <v>32828</v>
      </c>
      <c r="C7302" s="188">
        <v>7.82</v>
      </c>
      <c r="D7302" s="104">
        <f t="shared" si="113"/>
        <v>7.8200000000000006E-2</v>
      </c>
      <c r="F7302" s="5"/>
    </row>
    <row r="7303" spans="2:6" ht="13.8" hidden="1" outlineLevel="1">
      <c r="B7303" s="187">
        <v>32829</v>
      </c>
      <c r="C7303" s="188">
        <v>7.88</v>
      </c>
      <c r="D7303" s="104">
        <f t="shared" si="113"/>
        <v>7.8799999999999995E-2</v>
      </c>
      <c r="F7303" s="5"/>
    </row>
    <row r="7304" spans="2:6" ht="13.8" hidden="1" outlineLevel="1">
      <c r="B7304" s="187">
        <v>32832</v>
      </c>
      <c r="C7304" s="188">
        <v>7.86</v>
      </c>
      <c r="D7304" s="104">
        <f t="shared" si="113"/>
        <v>7.8600000000000003E-2</v>
      </c>
      <c r="F7304" s="5"/>
    </row>
    <row r="7305" spans="2:6" ht="13.8" hidden="1" outlineLevel="1">
      <c r="B7305" s="187">
        <v>32833</v>
      </c>
      <c r="C7305" s="188">
        <v>7.85</v>
      </c>
      <c r="D7305" s="104">
        <f t="shared" si="113"/>
        <v>7.85E-2</v>
      </c>
      <c r="F7305" s="5"/>
    </row>
    <row r="7306" spans="2:6" ht="13.8" hidden="1" outlineLevel="1">
      <c r="B7306" s="187">
        <v>32834</v>
      </c>
      <c r="C7306" s="188">
        <v>7.81</v>
      </c>
      <c r="D7306" s="104">
        <f t="shared" si="113"/>
        <v>7.8100000000000003E-2</v>
      </c>
      <c r="F7306" s="5"/>
    </row>
    <row r="7307" spans="2:6" ht="13.8" hidden="1" outlineLevel="1">
      <c r="B7307" s="187">
        <v>32835</v>
      </c>
      <c r="C7307" s="188" t="s">
        <v>380</v>
      </c>
      <c r="D7307" s="104">
        <f t="shared" si="113"/>
        <v>7.8100000000000003E-2</v>
      </c>
      <c r="F7307" s="5"/>
    </row>
    <row r="7308" spans="2:6" ht="13.8" hidden="1" outlineLevel="1">
      <c r="B7308" s="187">
        <v>32836</v>
      </c>
      <c r="C7308" s="188">
        <v>7.8</v>
      </c>
      <c r="D7308" s="104">
        <f t="shared" si="113"/>
        <v>7.8E-2</v>
      </c>
      <c r="F7308" s="5"/>
    </row>
    <row r="7309" spans="2:6" ht="13.8" hidden="1" outlineLevel="1">
      <c r="B7309" s="187">
        <v>32839</v>
      </c>
      <c r="C7309" s="188">
        <v>7.85</v>
      </c>
      <c r="D7309" s="104">
        <f t="shared" si="113"/>
        <v>7.85E-2</v>
      </c>
      <c r="F7309" s="5"/>
    </row>
    <row r="7310" spans="2:6" ht="13.8" hidden="1" outlineLevel="1">
      <c r="B7310" s="187">
        <v>32840</v>
      </c>
      <c r="C7310" s="188">
        <v>7.86</v>
      </c>
      <c r="D7310" s="104">
        <f t="shared" si="113"/>
        <v>7.8600000000000003E-2</v>
      </c>
      <c r="F7310" s="5"/>
    </row>
    <row r="7311" spans="2:6" ht="13.8" hidden="1" outlineLevel="1">
      <c r="B7311" s="187">
        <v>32841</v>
      </c>
      <c r="C7311" s="188">
        <v>7.88</v>
      </c>
      <c r="D7311" s="104">
        <f t="shared" si="113"/>
        <v>7.8799999999999995E-2</v>
      </c>
      <c r="F7311" s="5"/>
    </row>
    <row r="7312" spans="2:6" ht="13.8" hidden="1" outlineLevel="1">
      <c r="B7312" s="187">
        <v>32842</v>
      </c>
      <c r="C7312" s="188">
        <v>7.84</v>
      </c>
      <c r="D7312" s="104">
        <f t="shared" si="113"/>
        <v>7.8399999999999997E-2</v>
      </c>
      <c r="F7312" s="5"/>
    </row>
    <row r="7313" spans="2:6" ht="13.8" hidden="1" outlineLevel="1">
      <c r="B7313" s="187">
        <v>32843</v>
      </c>
      <c r="C7313" s="188">
        <v>7.81</v>
      </c>
      <c r="D7313" s="104">
        <f t="shared" si="113"/>
        <v>7.8100000000000003E-2</v>
      </c>
      <c r="F7313" s="5"/>
    </row>
    <row r="7314" spans="2:6" ht="13.8" hidden="1" outlineLevel="1">
      <c r="B7314" s="187">
        <v>32846</v>
      </c>
      <c r="C7314" s="188">
        <v>7.82</v>
      </c>
      <c r="D7314" s="104">
        <f t="shared" si="113"/>
        <v>7.8200000000000006E-2</v>
      </c>
      <c r="F7314" s="5"/>
    </row>
    <row r="7315" spans="2:6" ht="13.8" hidden="1" outlineLevel="1">
      <c r="B7315" s="187">
        <v>32847</v>
      </c>
      <c r="C7315" s="188">
        <v>7.82</v>
      </c>
      <c r="D7315" s="104">
        <f t="shared" si="113"/>
        <v>7.8200000000000006E-2</v>
      </c>
      <c r="F7315" s="5"/>
    </row>
    <row r="7316" spans="2:6" ht="13.8" hidden="1" outlineLevel="1">
      <c r="B7316" s="187">
        <v>32848</v>
      </c>
      <c r="C7316" s="188">
        <v>7.85</v>
      </c>
      <c r="D7316" s="104">
        <f t="shared" si="113"/>
        <v>7.85E-2</v>
      </c>
      <c r="F7316" s="5"/>
    </row>
    <row r="7317" spans="2:6" ht="13.8" hidden="1" outlineLevel="1">
      <c r="B7317" s="187">
        <v>32849</v>
      </c>
      <c r="C7317" s="188">
        <v>7.88</v>
      </c>
      <c r="D7317" s="104">
        <f t="shared" si="113"/>
        <v>7.8799999999999995E-2</v>
      </c>
      <c r="F7317" s="5"/>
    </row>
    <row r="7318" spans="2:6" ht="13.8" hidden="1" outlineLevel="1">
      <c r="B7318" s="187">
        <v>32850</v>
      </c>
      <c r="C7318" s="188">
        <v>7.82</v>
      </c>
      <c r="D7318" s="104">
        <f t="shared" si="113"/>
        <v>7.8200000000000006E-2</v>
      </c>
      <c r="F7318" s="5"/>
    </row>
    <row r="7319" spans="2:6" ht="13.8" hidden="1" outlineLevel="1">
      <c r="B7319" s="187">
        <v>32853</v>
      </c>
      <c r="C7319" s="188">
        <v>7.83</v>
      </c>
      <c r="D7319" s="104">
        <f t="shared" si="113"/>
        <v>7.8299999999999995E-2</v>
      </c>
      <c r="F7319" s="5"/>
    </row>
    <row r="7320" spans="2:6" ht="13.8" hidden="1" outlineLevel="1">
      <c r="B7320" s="187">
        <v>32854</v>
      </c>
      <c r="C7320" s="188">
        <v>7.84</v>
      </c>
      <c r="D7320" s="104">
        <f t="shared" si="113"/>
        <v>7.8399999999999997E-2</v>
      </c>
      <c r="F7320" s="5"/>
    </row>
    <row r="7321" spans="2:6" ht="13.8" hidden="1" outlineLevel="1">
      <c r="B7321" s="187">
        <v>32855</v>
      </c>
      <c r="C7321" s="188">
        <v>7.82</v>
      </c>
      <c r="D7321" s="104">
        <f t="shared" si="113"/>
        <v>7.8200000000000006E-2</v>
      </c>
      <c r="F7321" s="5"/>
    </row>
    <row r="7322" spans="2:6" ht="13.8" hidden="1" outlineLevel="1">
      <c r="B7322" s="187">
        <v>32856</v>
      </c>
      <c r="C7322" s="188">
        <v>7.79</v>
      </c>
      <c r="D7322" s="104">
        <f t="shared" si="113"/>
        <v>7.7899999999999997E-2</v>
      </c>
      <c r="F7322" s="5"/>
    </row>
    <row r="7323" spans="2:6" ht="13.8" hidden="1" outlineLevel="1">
      <c r="B7323" s="187">
        <v>32857</v>
      </c>
      <c r="C7323" s="188">
        <v>7.8</v>
      </c>
      <c r="D7323" s="104">
        <f t="shared" si="113"/>
        <v>7.8E-2</v>
      </c>
      <c r="F7323" s="5"/>
    </row>
    <row r="7324" spans="2:6" ht="13.8" hidden="1" outlineLevel="1">
      <c r="B7324" s="187">
        <v>32860</v>
      </c>
      <c r="C7324" s="188">
        <v>7.77</v>
      </c>
      <c r="D7324" s="104">
        <f t="shared" si="113"/>
        <v>7.7699999999999991E-2</v>
      </c>
      <c r="F7324" s="5"/>
    </row>
    <row r="7325" spans="2:6" ht="13.8" hidden="1" outlineLevel="1">
      <c r="B7325" s="187">
        <v>32861</v>
      </c>
      <c r="C7325" s="188">
        <v>7.78</v>
      </c>
      <c r="D7325" s="104">
        <f t="shared" si="113"/>
        <v>7.7800000000000008E-2</v>
      </c>
      <c r="F7325" s="5"/>
    </row>
    <row r="7326" spans="2:6" ht="13.8" hidden="1" outlineLevel="1">
      <c r="B7326" s="187">
        <v>32862</v>
      </c>
      <c r="C7326" s="188">
        <v>7.77</v>
      </c>
      <c r="D7326" s="104">
        <f t="shared" ref="D7326:D7389" si="114">IF( LEN( C7326 ) = 0, #N/A, IF( C7326 = "ND", D7325, C7326 / 100 ) )</f>
        <v>7.7699999999999991E-2</v>
      </c>
      <c r="F7326" s="5"/>
    </row>
    <row r="7327" spans="2:6" ht="13.8" hidden="1" outlineLevel="1">
      <c r="B7327" s="187">
        <v>32863</v>
      </c>
      <c r="C7327" s="188">
        <v>7.77</v>
      </c>
      <c r="D7327" s="104">
        <f t="shared" si="114"/>
        <v>7.7699999999999991E-2</v>
      </c>
      <c r="F7327" s="5"/>
    </row>
    <row r="7328" spans="2:6" ht="13.8" hidden="1" outlineLevel="1">
      <c r="B7328" s="187">
        <v>32864</v>
      </c>
      <c r="C7328" s="188">
        <v>7.82</v>
      </c>
      <c r="D7328" s="104">
        <f t="shared" si="114"/>
        <v>7.8200000000000006E-2</v>
      </c>
      <c r="F7328" s="5"/>
    </row>
    <row r="7329" spans="2:6" ht="13.8" hidden="1" outlineLevel="1">
      <c r="B7329" s="187">
        <v>32867</v>
      </c>
      <c r="C7329" s="188" t="s">
        <v>380</v>
      </c>
      <c r="D7329" s="104">
        <f t="shared" si="114"/>
        <v>7.8200000000000006E-2</v>
      </c>
      <c r="F7329" s="5"/>
    </row>
    <row r="7330" spans="2:6" ht="13.8" hidden="1" outlineLevel="1">
      <c r="B7330" s="187">
        <v>32868</v>
      </c>
      <c r="C7330" s="188">
        <v>7.95</v>
      </c>
      <c r="D7330" s="104">
        <f t="shared" si="114"/>
        <v>7.9500000000000001E-2</v>
      </c>
      <c r="F7330" s="5"/>
    </row>
    <row r="7331" spans="2:6" ht="13.8" hidden="1" outlineLevel="1">
      <c r="B7331" s="187">
        <v>32869</v>
      </c>
      <c r="C7331" s="188">
        <v>7.94</v>
      </c>
      <c r="D7331" s="104">
        <f t="shared" si="114"/>
        <v>7.9399999999999998E-2</v>
      </c>
      <c r="F7331" s="5"/>
    </row>
    <row r="7332" spans="2:6" ht="13.8" hidden="1" outlineLevel="1">
      <c r="B7332" s="187">
        <v>32870</v>
      </c>
      <c r="C7332" s="188">
        <v>7.91</v>
      </c>
      <c r="D7332" s="104">
        <f t="shared" si="114"/>
        <v>7.9100000000000004E-2</v>
      </c>
      <c r="F7332" s="5"/>
    </row>
    <row r="7333" spans="2:6" ht="13.8" hidden="1" outlineLevel="1">
      <c r="B7333" s="187">
        <v>32871</v>
      </c>
      <c r="C7333" s="188">
        <v>7.93</v>
      </c>
      <c r="D7333" s="104">
        <f t="shared" si="114"/>
        <v>7.9299999999999995E-2</v>
      </c>
      <c r="F7333" s="5"/>
    </row>
    <row r="7334" spans="2:6" ht="13.8" hidden="1" outlineLevel="1">
      <c r="B7334" s="187">
        <v>32874</v>
      </c>
      <c r="C7334" s="188" t="s">
        <v>380</v>
      </c>
      <c r="D7334" s="104">
        <f t="shared" si="114"/>
        <v>7.9299999999999995E-2</v>
      </c>
      <c r="F7334" s="5"/>
    </row>
    <row r="7335" spans="2:6" ht="13.8" hidden="1" outlineLevel="1">
      <c r="B7335" s="187">
        <v>32875</v>
      </c>
      <c r="C7335" s="188">
        <v>7.94</v>
      </c>
      <c r="D7335" s="104">
        <f t="shared" si="114"/>
        <v>7.9399999999999998E-2</v>
      </c>
      <c r="F7335" s="5"/>
    </row>
    <row r="7336" spans="2:6" ht="13.8" hidden="1" outlineLevel="1">
      <c r="B7336" s="187">
        <v>32876</v>
      </c>
      <c r="C7336" s="188">
        <v>7.99</v>
      </c>
      <c r="D7336" s="104">
        <f t="shared" si="114"/>
        <v>7.9899999999999999E-2</v>
      </c>
      <c r="F7336" s="5"/>
    </row>
    <row r="7337" spans="2:6" ht="13.8" hidden="1" outlineLevel="1">
      <c r="B7337" s="187">
        <v>32877</v>
      </c>
      <c r="C7337" s="188">
        <v>7.98</v>
      </c>
      <c r="D7337" s="104">
        <f t="shared" si="114"/>
        <v>7.980000000000001E-2</v>
      </c>
      <c r="F7337" s="5"/>
    </row>
    <row r="7338" spans="2:6" ht="13.8" hidden="1" outlineLevel="1">
      <c r="B7338" s="187">
        <v>32878</v>
      </c>
      <c r="C7338" s="188">
        <v>7.99</v>
      </c>
      <c r="D7338" s="104">
        <f t="shared" si="114"/>
        <v>7.9899999999999999E-2</v>
      </c>
      <c r="F7338" s="5"/>
    </row>
    <row r="7339" spans="2:6" ht="13.8" hidden="1" outlineLevel="1">
      <c r="B7339" s="187">
        <v>32881</v>
      </c>
      <c r="C7339" s="188">
        <v>8.02</v>
      </c>
      <c r="D7339" s="104">
        <f t="shared" si="114"/>
        <v>8.0199999999999994E-2</v>
      </c>
      <c r="F7339" s="5"/>
    </row>
    <row r="7340" spans="2:6" ht="13.8" hidden="1" outlineLevel="1">
      <c r="B7340" s="187">
        <v>32882</v>
      </c>
      <c r="C7340" s="188">
        <v>8.02</v>
      </c>
      <c r="D7340" s="104">
        <f t="shared" si="114"/>
        <v>8.0199999999999994E-2</v>
      </c>
      <c r="F7340" s="5"/>
    </row>
    <row r="7341" spans="2:6" ht="13.8" hidden="1" outlineLevel="1">
      <c r="B7341" s="187">
        <v>32883</v>
      </c>
      <c r="C7341" s="188">
        <v>8.0299999999999994</v>
      </c>
      <c r="D7341" s="104">
        <f t="shared" si="114"/>
        <v>8.0299999999999996E-2</v>
      </c>
      <c r="F7341" s="5"/>
    </row>
    <row r="7342" spans="2:6" ht="13.8" hidden="1" outlineLevel="1">
      <c r="B7342" s="187">
        <v>32884</v>
      </c>
      <c r="C7342" s="188">
        <v>8.0399999999999991</v>
      </c>
      <c r="D7342" s="104">
        <f t="shared" si="114"/>
        <v>8.0399999999999985E-2</v>
      </c>
      <c r="F7342" s="5"/>
    </row>
    <row r="7343" spans="2:6" ht="13.8" hidden="1" outlineLevel="1">
      <c r="B7343" s="187">
        <v>32885</v>
      </c>
      <c r="C7343" s="188">
        <v>8.1</v>
      </c>
      <c r="D7343" s="104">
        <f t="shared" si="114"/>
        <v>8.1000000000000003E-2</v>
      </c>
      <c r="F7343" s="5"/>
    </row>
    <row r="7344" spans="2:6" ht="13.8" hidden="1" outlineLevel="1">
      <c r="B7344" s="187">
        <v>32888</v>
      </c>
      <c r="C7344" s="188" t="s">
        <v>380</v>
      </c>
      <c r="D7344" s="104">
        <f t="shared" si="114"/>
        <v>8.1000000000000003E-2</v>
      </c>
      <c r="F7344" s="5"/>
    </row>
    <row r="7345" spans="2:6" ht="13.8" hidden="1" outlineLevel="1">
      <c r="B7345" s="187">
        <v>32889</v>
      </c>
      <c r="C7345" s="188">
        <v>8.1999999999999993</v>
      </c>
      <c r="D7345" s="104">
        <f t="shared" si="114"/>
        <v>8.199999999999999E-2</v>
      </c>
      <c r="F7345" s="5"/>
    </row>
    <row r="7346" spans="2:6" ht="13.8" hidden="1" outlineLevel="1">
      <c r="B7346" s="187">
        <v>32890</v>
      </c>
      <c r="C7346" s="188">
        <v>8.19</v>
      </c>
      <c r="D7346" s="104">
        <f t="shared" si="114"/>
        <v>8.1900000000000001E-2</v>
      </c>
      <c r="F7346" s="5"/>
    </row>
    <row r="7347" spans="2:6" ht="13.8" hidden="1" outlineLevel="1">
      <c r="B7347" s="187">
        <v>32891</v>
      </c>
      <c r="C7347" s="188">
        <v>8.32</v>
      </c>
      <c r="D7347" s="104">
        <f t="shared" si="114"/>
        <v>8.3199999999999996E-2</v>
      </c>
      <c r="F7347" s="5"/>
    </row>
    <row r="7348" spans="2:6" ht="13.8" hidden="1" outlineLevel="1">
      <c r="B7348" s="187">
        <v>32892</v>
      </c>
      <c r="C7348" s="188">
        <v>8.26</v>
      </c>
      <c r="D7348" s="104">
        <f t="shared" si="114"/>
        <v>8.2599999999999993E-2</v>
      </c>
      <c r="F7348" s="5"/>
    </row>
    <row r="7349" spans="2:6" ht="13.8" hidden="1" outlineLevel="1">
      <c r="B7349" s="187">
        <v>32895</v>
      </c>
      <c r="C7349" s="188">
        <v>8.27</v>
      </c>
      <c r="D7349" s="104">
        <f t="shared" si="114"/>
        <v>8.2699999999999996E-2</v>
      </c>
      <c r="F7349" s="5"/>
    </row>
    <row r="7350" spans="2:6" ht="13.8" hidden="1" outlineLevel="1">
      <c r="B7350" s="187">
        <v>32896</v>
      </c>
      <c r="C7350" s="188">
        <v>8.26</v>
      </c>
      <c r="D7350" s="104">
        <f t="shared" si="114"/>
        <v>8.2599999999999993E-2</v>
      </c>
      <c r="F7350" s="5"/>
    </row>
    <row r="7351" spans="2:6" ht="13.8" hidden="1" outlineLevel="1">
      <c r="B7351" s="187">
        <v>32897</v>
      </c>
      <c r="C7351" s="188">
        <v>8.3800000000000008</v>
      </c>
      <c r="D7351" s="104">
        <f t="shared" si="114"/>
        <v>8.3800000000000013E-2</v>
      </c>
      <c r="F7351" s="5"/>
    </row>
    <row r="7352" spans="2:6" ht="13.8" hidden="1" outlineLevel="1">
      <c r="B7352" s="187">
        <v>32898</v>
      </c>
      <c r="C7352" s="188">
        <v>8.42</v>
      </c>
      <c r="D7352" s="104">
        <f t="shared" si="114"/>
        <v>8.4199999999999997E-2</v>
      </c>
      <c r="F7352" s="5"/>
    </row>
    <row r="7353" spans="2:6" ht="13.8" hidden="1" outlineLevel="1">
      <c r="B7353" s="187">
        <v>32899</v>
      </c>
      <c r="C7353" s="188">
        <v>8.49</v>
      </c>
      <c r="D7353" s="104">
        <f t="shared" si="114"/>
        <v>8.4900000000000003E-2</v>
      </c>
      <c r="F7353" s="5"/>
    </row>
    <row r="7354" spans="2:6" ht="13.8" hidden="1" outlineLevel="1">
      <c r="B7354" s="187">
        <v>32902</v>
      </c>
      <c r="C7354" s="188">
        <v>8.5</v>
      </c>
      <c r="D7354" s="104">
        <f t="shared" si="114"/>
        <v>8.5000000000000006E-2</v>
      </c>
      <c r="F7354" s="5"/>
    </row>
    <row r="7355" spans="2:6" ht="13.8" hidden="1" outlineLevel="1">
      <c r="B7355" s="187">
        <v>32903</v>
      </c>
      <c r="C7355" s="188">
        <v>8.51</v>
      </c>
      <c r="D7355" s="104">
        <f t="shared" si="114"/>
        <v>8.5099999999999995E-2</v>
      </c>
      <c r="F7355" s="5"/>
    </row>
    <row r="7356" spans="2:6" ht="13.8" hidden="1" outlineLevel="1">
      <c r="B7356" s="187">
        <v>32904</v>
      </c>
      <c r="C7356" s="188">
        <v>8.43</v>
      </c>
      <c r="D7356" s="104">
        <f t="shared" si="114"/>
        <v>8.43E-2</v>
      </c>
      <c r="F7356" s="5"/>
    </row>
    <row r="7357" spans="2:6" ht="13.8" hidden="1" outlineLevel="1">
      <c r="B7357" s="187">
        <v>32905</v>
      </c>
      <c r="C7357" s="188">
        <v>8.42</v>
      </c>
      <c r="D7357" s="104">
        <f t="shared" si="114"/>
        <v>8.4199999999999997E-2</v>
      </c>
      <c r="F7357" s="5"/>
    </row>
    <row r="7358" spans="2:6" ht="13.8" hidden="1" outlineLevel="1">
      <c r="B7358" s="187">
        <v>32906</v>
      </c>
      <c r="C7358" s="188">
        <v>8.5</v>
      </c>
      <c r="D7358" s="104">
        <f t="shared" si="114"/>
        <v>8.5000000000000006E-2</v>
      </c>
      <c r="F7358" s="5"/>
    </row>
    <row r="7359" spans="2:6" ht="13.8" hidden="1" outlineLevel="1">
      <c r="B7359" s="187">
        <v>32909</v>
      </c>
      <c r="C7359" s="188">
        <v>8.5299999999999994</v>
      </c>
      <c r="D7359" s="104">
        <f t="shared" si="114"/>
        <v>8.5299999999999987E-2</v>
      </c>
      <c r="F7359" s="5"/>
    </row>
    <row r="7360" spans="2:6" ht="13.8" hidden="1" outlineLevel="1">
      <c r="B7360" s="187">
        <v>32910</v>
      </c>
      <c r="C7360" s="188">
        <v>8.57</v>
      </c>
      <c r="D7360" s="104">
        <f t="shared" si="114"/>
        <v>8.5699999999999998E-2</v>
      </c>
      <c r="F7360" s="5"/>
    </row>
    <row r="7361" spans="2:6" ht="13.8" hidden="1" outlineLevel="1">
      <c r="B7361" s="187">
        <v>32911</v>
      </c>
      <c r="C7361" s="188">
        <v>8.52</v>
      </c>
      <c r="D7361" s="104">
        <f t="shared" si="114"/>
        <v>8.5199999999999998E-2</v>
      </c>
      <c r="F7361" s="5"/>
    </row>
    <row r="7362" spans="2:6" ht="13.8" hidden="1" outlineLevel="1">
      <c r="B7362" s="187">
        <v>32912</v>
      </c>
      <c r="C7362" s="188">
        <v>8.49</v>
      </c>
      <c r="D7362" s="104">
        <f t="shared" si="114"/>
        <v>8.4900000000000003E-2</v>
      </c>
      <c r="F7362" s="5"/>
    </row>
    <row r="7363" spans="2:6" ht="13.8" hidden="1" outlineLevel="1">
      <c r="B7363" s="187">
        <v>32913</v>
      </c>
      <c r="C7363" s="188">
        <v>8.31</v>
      </c>
      <c r="D7363" s="104">
        <f t="shared" si="114"/>
        <v>8.3100000000000007E-2</v>
      </c>
      <c r="F7363" s="5"/>
    </row>
    <row r="7364" spans="2:6" ht="13.8" hidden="1" outlineLevel="1">
      <c r="B7364" s="187">
        <v>32916</v>
      </c>
      <c r="C7364" s="188">
        <v>8.4</v>
      </c>
      <c r="D7364" s="104">
        <f t="shared" si="114"/>
        <v>8.4000000000000005E-2</v>
      </c>
      <c r="F7364" s="5"/>
    </row>
    <row r="7365" spans="2:6" ht="13.8" hidden="1" outlineLevel="1">
      <c r="B7365" s="187">
        <v>32917</v>
      </c>
      <c r="C7365" s="188">
        <v>8.35</v>
      </c>
      <c r="D7365" s="104">
        <f t="shared" si="114"/>
        <v>8.3499999999999991E-2</v>
      </c>
      <c r="F7365" s="5"/>
    </row>
    <row r="7366" spans="2:6" ht="13.8" hidden="1" outlineLevel="1">
      <c r="B7366" s="187">
        <v>32918</v>
      </c>
      <c r="C7366" s="188">
        <v>8.36</v>
      </c>
      <c r="D7366" s="104">
        <f t="shared" si="114"/>
        <v>8.3599999999999994E-2</v>
      </c>
      <c r="F7366" s="5"/>
    </row>
    <row r="7367" spans="2:6" ht="13.8" hidden="1" outlineLevel="1">
      <c r="B7367" s="187">
        <v>32919</v>
      </c>
      <c r="C7367" s="188">
        <v>8.43</v>
      </c>
      <c r="D7367" s="104">
        <f t="shared" si="114"/>
        <v>8.43E-2</v>
      </c>
      <c r="F7367" s="5"/>
    </row>
    <row r="7368" spans="2:6" ht="13.8" hidden="1" outlineLevel="1">
      <c r="B7368" s="187">
        <v>32920</v>
      </c>
      <c r="C7368" s="188">
        <v>8.42</v>
      </c>
      <c r="D7368" s="104">
        <f t="shared" si="114"/>
        <v>8.4199999999999997E-2</v>
      </c>
      <c r="F7368" s="5"/>
    </row>
    <row r="7369" spans="2:6" ht="13.8" hidden="1" outlineLevel="1">
      <c r="B7369" s="187">
        <v>32923</v>
      </c>
      <c r="C7369" s="188" t="s">
        <v>380</v>
      </c>
      <c r="D7369" s="104">
        <f t="shared" si="114"/>
        <v>8.4199999999999997E-2</v>
      </c>
      <c r="F7369" s="5"/>
    </row>
    <row r="7370" spans="2:6" ht="13.8" hidden="1" outlineLevel="1">
      <c r="B7370" s="187">
        <v>32924</v>
      </c>
      <c r="C7370" s="188">
        <v>8.6199999999999992</v>
      </c>
      <c r="D7370" s="104">
        <f t="shared" si="114"/>
        <v>8.6199999999999999E-2</v>
      </c>
      <c r="F7370" s="5"/>
    </row>
    <row r="7371" spans="2:6" ht="13.8" hidden="1" outlineLevel="1">
      <c r="B7371" s="187">
        <v>32925</v>
      </c>
      <c r="C7371" s="188">
        <v>8.6199999999999992</v>
      </c>
      <c r="D7371" s="104">
        <f t="shared" si="114"/>
        <v>8.6199999999999999E-2</v>
      </c>
      <c r="F7371" s="5"/>
    </row>
    <row r="7372" spans="2:6" ht="13.8" hidden="1" outlineLevel="1">
      <c r="B7372" s="187">
        <v>32926</v>
      </c>
      <c r="C7372" s="188">
        <v>8.5399999999999991</v>
      </c>
      <c r="D7372" s="104">
        <f t="shared" si="114"/>
        <v>8.539999999999999E-2</v>
      </c>
      <c r="F7372" s="5"/>
    </row>
    <row r="7373" spans="2:6" ht="13.8" hidden="1" outlineLevel="1">
      <c r="B7373" s="187">
        <v>32927</v>
      </c>
      <c r="C7373" s="188">
        <v>8.5299999999999994</v>
      </c>
      <c r="D7373" s="104">
        <f t="shared" si="114"/>
        <v>8.5299999999999987E-2</v>
      </c>
      <c r="F7373" s="5"/>
    </row>
    <row r="7374" spans="2:6" ht="13.8" hidden="1" outlineLevel="1">
      <c r="B7374" s="187">
        <v>32930</v>
      </c>
      <c r="C7374" s="188">
        <v>8.4600000000000009</v>
      </c>
      <c r="D7374" s="104">
        <f t="shared" si="114"/>
        <v>8.4600000000000009E-2</v>
      </c>
      <c r="F7374" s="5"/>
    </row>
    <row r="7375" spans="2:6" ht="13.8" hidden="1" outlineLevel="1">
      <c r="B7375" s="187">
        <v>32931</v>
      </c>
      <c r="C7375" s="188">
        <v>8.41</v>
      </c>
      <c r="D7375" s="104">
        <f t="shared" si="114"/>
        <v>8.4100000000000008E-2</v>
      </c>
      <c r="F7375" s="5"/>
    </row>
    <row r="7376" spans="2:6" ht="13.8" hidden="1" outlineLevel="1">
      <c r="B7376" s="187">
        <v>32932</v>
      </c>
      <c r="C7376" s="188">
        <v>8.51</v>
      </c>
      <c r="D7376" s="104">
        <f t="shared" si="114"/>
        <v>8.5099999999999995E-2</v>
      </c>
      <c r="F7376" s="5"/>
    </row>
    <row r="7377" spans="2:6" ht="13.8" hidden="1" outlineLevel="1">
      <c r="B7377" s="187">
        <v>32933</v>
      </c>
      <c r="C7377" s="188">
        <v>8.59</v>
      </c>
      <c r="D7377" s="104">
        <f t="shared" si="114"/>
        <v>8.5900000000000004E-2</v>
      </c>
      <c r="F7377" s="5"/>
    </row>
    <row r="7378" spans="2:6" ht="13.8" hidden="1" outlineLevel="1">
      <c r="B7378" s="187">
        <v>32934</v>
      </c>
      <c r="C7378" s="188">
        <v>8.5399999999999991</v>
      </c>
      <c r="D7378" s="104">
        <f t="shared" si="114"/>
        <v>8.539999999999999E-2</v>
      </c>
      <c r="F7378" s="5"/>
    </row>
    <row r="7379" spans="2:6" ht="13.8" hidden="1" outlineLevel="1">
      <c r="B7379" s="187">
        <v>32937</v>
      </c>
      <c r="C7379" s="188">
        <v>8.65</v>
      </c>
      <c r="D7379" s="104">
        <f t="shared" si="114"/>
        <v>8.6500000000000007E-2</v>
      </c>
      <c r="F7379" s="5"/>
    </row>
    <row r="7380" spans="2:6" ht="13.8" hidden="1" outlineLevel="1">
      <c r="B7380" s="187">
        <v>32938</v>
      </c>
      <c r="C7380" s="188">
        <v>8.59</v>
      </c>
      <c r="D7380" s="104">
        <f t="shared" si="114"/>
        <v>8.5900000000000004E-2</v>
      </c>
      <c r="F7380" s="5"/>
    </row>
    <row r="7381" spans="2:6" ht="13.8" hidden="1" outlineLevel="1">
      <c r="B7381" s="187">
        <v>32939</v>
      </c>
      <c r="C7381" s="188">
        <v>8.58</v>
      </c>
      <c r="D7381" s="104">
        <f t="shared" si="114"/>
        <v>8.5800000000000001E-2</v>
      </c>
      <c r="F7381" s="5"/>
    </row>
    <row r="7382" spans="2:6" ht="13.8" hidden="1" outlineLevel="1">
      <c r="B7382" s="187">
        <v>32940</v>
      </c>
      <c r="C7382" s="188">
        <v>8.57</v>
      </c>
      <c r="D7382" s="104">
        <f t="shared" si="114"/>
        <v>8.5699999999999998E-2</v>
      </c>
      <c r="F7382" s="5"/>
    </row>
    <row r="7383" spans="2:6" ht="13.8" hidden="1" outlineLevel="1">
      <c r="B7383" s="187">
        <v>32941</v>
      </c>
      <c r="C7383" s="188">
        <v>8.65</v>
      </c>
      <c r="D7383" s="104">
        <f t="shared" si="114"/>
        <v>8.6500000000000007E-2</v>
      </c>
      <c r="F7383" s="5"/>
    </row>
    <row r="7384" spans="2:6" ht="13.8" hidden="1" outlineLevel="1">
      <c r="B7384" s="187">
        <v>32944</v>
      </c>
      <c r="C7384" s="188">
        <v>8.6300000000000008</v>
      </c>
      <c r="D7384" s="104">
        <f t="shared" si="114"/>
        <v>8.6300000000000002E-2</v>
      </c>
      <c r="F7384" s="5"/>
    </row>
    <row r="7385" spans="2:6" ht="13.8" hidden="1" outlineLevel="1">
      <c r="B7385" s="187">
        <v>32945</v>
      </c>
      <c r="C7385" s="188">
        <v>8.73</v>
      </c>
      <c r="D7385" s="104">
        <f t="shared" si="114"/>
        <v>8.7300000000000003E-2</v>
      </c>
      <c r="F7385" s="5"/>
    </row>
    <row r="7386" spans="2:6" ht="13.8" hidden="1" outlineLevel="1">
      <c r="B7386" s="187">
        <v>32946</v>
      </c>
      <c r="C7386" s="188">
        <v>8.65</v>
      </c>
      <c r="D7386" s="104">
        <f t="shared" si="114"/>
        <v>8.6500000000000007E-2</v>
      </c>
      <c r="F7386" s="5"/>
    </row>
    <row r="7387" spans="2:6" ht="13.8" hidden="1" outlineLevel="1">
      <c r="B7387" s="187">
        <v>32947</v>
      </c>
      <c r="C7387" s="188">
        <v>8.66</v>
      </c>
      <c r="D7387" s="104">
        <f t="shared" si="114"/>
        <v>8.6599999999999996E-2</v>
      </c>
      <c r="F7387" s="5"/>
    </row>
    <row r="7388" spans="2:6" ht="13.8" hidden="1" outlineLevel="1">
      <c r="B7388" s="187">
        <v>32948</v>
      </c>
      <c r="C7388" s="188">
        <v>8.59</v>
      </c>
      <c r="D7388" s="104">
        <f t="shared" si="114"/>
        <v>8.5900000000000004E-2</v>
      </c>
      <c r="F7388" s="5"/>
    </row>
    <row r="7389" spans="2:6" ht="13.8" hidden="1" outlineLevel="1">
      <c r="B7389" s="187">
        <v>32951</v>
      </c>
      <c r="C7389" s="188">
        <v>8.59</v>
      </c>
      <c r="D7389" s="104">
        <f t="shared" si="114"/>
        <v>8.5900000000000004E-2</v>
      </c>
      <c r="F7389" s="5"/>
    </row>
    <row r="7390" spans="2:6" ht="13.8" hidden="1" outlineLevel="1">
      <c r="B7390" s="187">
        <v>32952</v>
      </c>
      <c r="C7390" s="188">
        <v>8.5399999999999991</v>
      </c>
      <c r="D7390" s="104">
        <f t="shared" ref="D7390:D7453" si="115">IF( LEN( C7390 ) = 0, #N/A, IF( C7390 = "ND", D7389, C7390 / 100 ) )</f>
        <v>8.539999999999999E-2</v>
      </c>
      <c r="F7390" s="5"/>
    </row>
    <row r="7391" spans="2:6" ht="13.8" hidden="1" outlineLevel="1">
      <c r="B7391" s="187">
        <v>32953</v>
      </c>
      <c r="C7391" s="188">
        <v>8.5500000000000007</v>
      </c>
      <c r="D7391" s="104">
        <f t="shared" si="115"/>
        <v>8.5500000000000007E-2</v>
      </c>
      <c r="F7391" s="5"/>
    </row>
    <row r="7392" spans="2:6" ht="13.8" hidden="1" outlineLevel="1">
      <c r="B7392" s="187">
        <v>32954</v>
      </c>
      <c r="C7392" s="188">
        <v>8.5299999999999994</v>
      </c>
      <c r="D7392" s="104">
        <f t="shared" si="115"/>
        <v>8.5299999999999987E-2</v>
      </c>
      <c r="F7392" s="5"/>
    </row>
    <row r="7393" spans="2:6" ht="13.8" hidden="1" outlineLevel="1">
      <c r="B7393" s="187">
        <v>32955</v>
      </c>
      <c r="C7393" s="188">
        <v>8.52</v>
      </c>
      <c r="D7393" s="104">
        <f t="shared" si="115"/>
        <v>8.5199999999999998E-2</v>
      </c>
      <c r="F7393" s="5"/>
    </row>
    <row r="7394" spans="2:6" ht="13.8" hidden="1" outlineLevel="1">
      <c r="B7394" s="187">
        <v>32958</v>
      </c>
      <c r="C7394" s="188">
        <v>8.51</v>
      </c>
      <c r="D7394" s="104">
        <f t="shared" si="115"/>
        <v>8.5099999999999995E-2</v>
      </c>
      <c r="F7394" s="5"/>
    </row>
    <row r="7395" spans="2:6" ht="13.8" hidden="1" outlineLevel="1">
      <c r="B7395" s="187">
        <v>32959</v>
      </c>
      <c r="C7395" s="188">
        <v>8.52</v>
      </c>
      <c r="D7395" s="104">
        <f t="shared" si="115"/>
        <v>8.5199999999999998E-2</v>
      </c>
      <c r="F7395" s="5"/>
    </row>
    <row r="7396" spans="2:6" ht="13.8" hidden="1" outlineLevel="1">
      <c r="B7396" s="187">
        <v>32960</v>
      </c>
      <c r="C7396" s="188">
        <v>8.51</v>
      </c>
      <c r="D7396" s="104">
        <f t="shared" si="115"/>
        <v>8.5099999999999995E-2</v>
      </c>
      <c r="F7396" s="5"/>
    </row>
    <row r="7397" spans="2:6" ht="13.8" hidden="1" outlineLevel="1">
      <c r="B7397" s="187">
        <v>32961</v>
      </c>
      <c r="C7397" s="188">
        <v>8.6</v>
      </c>
      <c r="D7397" s="104">
        <f t="shared" si="115"/>
        <v>8.5999999999999993E-2</v>
      </c>
      <c r="F7397" s="5"/>
    </row>
    <row r="7398" spans="2:6" ht="13.8" hidden="1" outlineLevel="1">
      <c r="B7398" s="187">
        <v>32962</v>
      </c>
      <c r="C7398" s="188">
        <v>8.65</v>
      </c>
      <c r="D7398" s="104">
        <f t="shared" si="115"/>
        <v>8.6500000000000007E-2</v>
      </c>
      <c r="F7398" s="5"/>
    </row>
    <row r="7399" spans="2:6" ht="13.8" hidden="1" outlineLevel="1">
      <c r="B7399" s="187">
        <v>32965</v>
      </c>
      <c r="C7399" s="188">
        <v>8.65</v>
      </c>
      <c r="D7399" s="104">
        <f t="shared" si="115"/>
        <v>8.6500000000000007E-2</v>
      </c>
      <c r="F7399" s="5"/>
    </row>
    <row r="7400" spans="2:6" ht="13.8" hidden="1" outlineLevel="1">
      <c r="B7400" s="187">
        <v>32966</v>
      </c>
      <c r="C7400" s="188">
        <v>8.6300000000000008</v>
      </c>
      <c r="D7400" s="104">
        <f t="shared" si="115"/>
        <v>8.6300000000000002E-2</v>
      </c>
      <c r="F7400" s="5"/>
    </row>
    <row r="7401" spans="2:6" ht="13.8" hidden="1" outlineLevel="1">
      <c r="B7401" s="187">
        <v>32967</v>
      </c>
      <c r="C7401" s="188">
        <v>8.5500000000000007</v>
      </c>
      <c r="D7401" s="104">
        <f t="shared" si="115"/>
        <v>8.5500000000000007E-2</v>
      </c>
      <c r="F7401" s="5"/>
    </row>
    <row r="7402" spans="2:6" ht="13.8" hidden="1" outlineLevel="1">
      <c r="B7402" s="187">
        <v>32968</v>
      </c>
      <c r="C7402" s="188">
        <v>8.57</v>
      </c>
      <c r="D7402" s="104">
        <f t="shared" si="115"/>
        <v>8.5699999999999998E-2</v>
      </c>
      <c r="F7402" s="5"/>
    </row>
    <row r="7403" spans="2:6" ht="13.8" hidden="1" outlineLevel="1">
      <c r="B7403" s="187">
        <v>32969</v>
      </c>
      <c r="C7403" s="188">
        <v>8.56</v>
      </c>
      <c r="D7403" s="104">
        <f t="shared" si="115"/>
        <v>8.5600000000000009E-2</v>
      </c>
      <c r="F7403" s="5"/>
    </row>
    <row r="7404" spans="2:6" ht="13.8" hidden="1" outlineLevel="1">
      <c r="B7404" s="187">
        <v>32972</v>
      </c>
      <c r="C7404" s="188">
        <v>8.59</v>
      </c>
      <c r="D7404" s="104">
        <f t="shared" si="115"/>
        <v>8.5900000000000004E-2</v>
      </c>
      <c r="F7404" s="5"/>
    </row>
    <row r="7405" spans="2:6" ht="13.8" hidden="1" outlineLevel="1">
      <c r="B7405" s="187">
        <v>32973</v>
      </c>
      <c r="C7405" s="188">
        <v>8.6</v>
      </c>
      <c r="D7405" s="104">
        <f t="shared" si="115"/>
        <v>8.5999999999999993E-2</v>
      </c>
      <c r="F7405" s="5"/>
    </row>
    <row r="7406" spans="2:6" ht="13.8" hidden="1" outlineLevel="1">
      <c r="B7406" s="187">
        <v>32974</v>
      </c>
      <c r="C7406" s="188">
        <v>8.6300000000000008</v>
      </c>
      <c r="D7406" s="104">
        <f t="shared" si="115"/>
        <v>8.6300000000000002E-2</v>
      </c>
      <c r="F7406" s="5"/>
    </row>
    <row r="7407" spans="2:6" ht="13.8" hidden="1" outlineLevel="1">
      <c r="B7407" s="187">
        <v>32975</v>
      </c>
      <c r="C7407" s="188">
        <v>8.64</v>
      </c>
      <c r="D7407" s="104">
        <f t="shared" si="115"/>
        <v>8.6400000000000005E-2</v>
      </c>
      <c r="F7407" s="5"/>
    </row>
    <row r="7408" spans="2:6" ht="13.8" hidden="1" outlineLevel="1">
      <c r="B7408" s="187">
        <v>32976</v>
      </c>
      <c r="C7408" s="188" t="s">
        <v>380</v>
      </c>
      <c r="D7408" s="104">
        <f t="shared" si="115"/>
        <v>8.6400000000000005E-2</v>
      </c>
      <c r="F7408" s="5"/>
    </row>
    <row r="7409" spans="2:6" ht="13.8" hidden="1" outlineLevel="1">
      <c r="B7409" s="187">
        <v>32979</v>
      </c>
      <c r="C7409" s="188">
        <v>8.68</v>
      </c>
      <c r="D7409" s="104">
        <f t="shared" si="115"/>
        <v>8.6800000000000002E-2</v>
      </c>
      <c r="F7409" s="5"/>
    </row>
    <row r="7410" spans="2:6" ht="13.8" hidden="1" outlineLevel="1">
      <c r="B7410" s="187">
        <v>32980</v>
      </c>
      <c r="C7410" s="188">
        <v>8.77</v>
      </c>
      <c r="D7410" s="104">
        <f t="shared" si="115"/>
        <v>8.77E-2</v>
      </c>
      <c r="F7410" s="5"/>
    </row>
    <row r="7411" spans="2:6" ht="13.8" hidden="1" outlineLevel="1">
      <c r="B7411" s="187">
        <v>32981</v>
      </c>
      <c r="C7411" s="188">
        <v>8.86</v>
      </c>
      <c r="D7411" s="104">
        <f t="shared" si="115"/>
        <v>8.8599999999999998E-2</v>
      </c>
      <c r="F7411" s="5"/>
    </row>
    <row r="7412" spans="2:6" ht="13.8" hidden="1" outlineLevel="1">
      <c r="B7412" s="187">
        <v>32982</v>
      </c>
      <c r="C7412" s="188">
        <v>8.8699999999999992</v>
      </c>
      <c r="D7412" s="104">
        <f t="shared" si="115"/>
        <v>8.8699999999999987E-2</v>
      </c>
      <c r="F7412" s="5"/>
    </row>
    <row r="7413" spans="2:6" ht="13.8" hidden="1" outlineLevel="1">
      <c r="B7413" s="187">
        <v>32983</v>
      </c>
      <c r="C7413" s="188">
        <v>8.9499999999999993</v>
      </c>
      <c r="D7413" s="104">
        <f t="shared" si="115"/>
        <v>8.9499999999999996E-2</v>
      </c>
      <c r="F7413" s="5"/>
    </row>
    <row r="7414" spans="2:6" ht="13.8" hidden="1" outlineLevel="1">
      <c r="B7414" s="187">
        <v>32986</v>
      </c>
      <c r="C7414" s="188">
        <v>8.98</v>
      </c>
      <c r="D7414" s="104">
        <f t="shared" si="115"/>
        <v>8.9800000000000005E-2</v>
      </c>
      <c r="F7414" s="5"/>
    </row>
    <row r="7415" spans="2:6" ht="13.8" hidden="1" outlineLevel="1">
      <c r="B7415" s="187">
        <v>32987</v>
      </c>
      <c r="C7415" s="188">
        <v>9</v>
      </c>
      <c r="D7415" s="104">
        <f t="shared" si="115"/>
        <v>0.09</v>
      </c>
      <c r="F7415" s="5"/>
    </row>
    <row r="7416" spans="2:6" ht="13.8" hidden="1" outlineLevel="1">
      <c r="B7416" s="187">
        <v>32988</v>
      </c>
      <c r="C7416" s="188">
        <v>9.01</v>
      </c>
      <c r="D7416" s="104">
        <f t="shared" si="115"/>
        <v>9.01E-2</v>
      </c>
      <c r="F7416" s="5"/>
    </row>
    <row r="7417" spans="2:6" ht="13.8" hidden="1" outlineLevel="1">
      <c r="B7417" s="187">
        <v>32989</v>
      </c>
      <c r="C7417" s="188">
        <v>9.07</v>
      </c>
      <c r="D7417" s="104">
        <f t="shared" si="115"/>
        <v>9.0700000000000003E-2</v>
      </c>
      <c r="F7417" s="5"/>
    </row>
    <row r="7418" spans="2:6" ht="13.8" hidden="1" outlineLevel="1">
      <c r="B7418" s="187">
        <v>32990</v>
      </c>
      <c r="C7418" s="188">
        <v>9.06</v>
      </c>
      <c r="D7418" s="104">
        <f t="shared" si="115"/>
        <v>9.06E-2</v>
      </c>
      <c r="F7418" s="5"/>
    </row>
    <row r="7419" spans="2:6" ht="13.8" hidden="1" outlineLevel="1">
      <c r="B7419" s="187">
        <v>32993</v>
      </c>
      <c r="C7419" s="188">
        <v>9.0399999999999991</v>
      </c>
      <c r="D7419" s="104">
        <f t="shared" si="115"/>
        <v>9.0399999999999994E-2</v>
      </c>
      <c r="F7419" s="5"/>
    </row>
    <row r="7420" spans="2:6" ht="13.8" hidden="1" outlineLevel="1">
      <c r="B7420" s="187">
        <v>32994</v>
      </c>
      <c r="C7420" s="188">
        <v>9.08</v>
      </c>
      <c r="D7420" s="104">
        <f t="shared" si="115"/>
        <v>9.0800000000000006E-2</v>
      </c>
      <c r="F7420" s="5"/>
    </row>
    <row r="7421" spans="2:6" ht="13.8" hidden="1" outlineLevel="1">
      <c r="B7421" s="187">
        <v>32995</v>
      </c>
      <c r="C7421" s="188">
        <v>9.09</v>
      </c>
      <c r="D7421" s="104">
        <f t="shared" si="115"/>
        <v>9.0899999999999995E-2</v>
      </c>
      <c r="F7421" s="5"/>
    </row>
    <row r="7422" spans="2:6" ht="13.8" hidden="1" outlineLevel="1">
      <c r="B7422" s="187">
        <v>32996</v>
      </c>
      <c r="C7422" s="188">
        <v>9.0399999999999991</v>
      </c>
      <c r="D7422" s="104">
        <f t="shared" si="115"/>
        <v>9.0399999999999994E-2</v>
      </c>
      <c r="F7422" s="5"/>
    </row>
    <row r="7423" spans="2:6" ht="13.8" hidden="1" outlineLevel="1">
      <c r="B7423" s="187">
        <v>32997</v>
      </c>
      <c r="C7423" s="188">
        <v>8.84</v>
      </c>
      <c r="D7423" s="104">
        <f t="shared" si="115"/>
        <v>8.8399999999999992E-2</v>
      </c>
      <c r="F7423" s="5"/>
    </row>
    <row r="7424" spans="2:6" ht="13.8" hidden="1" outlineLevel="1">
      <c r="B7424" s="187">
        <v>33000</v>
      </c>
      <c r="C7424" s="188">
        <v>8.8699999999999992</v>
      </c>
      <c r="D7424" s="104">
        <f t="shared" si="115"/>
        <v>8.8699999999999987E-2</v>
      </c>
      <c r="F7424" s="5"/>
    </row>
    <row r="7425" spans="2:6" ht="13.8" hidden="1" outlineLevel="1">
      <c r="B7425" s="187">
        <v>33001</v>
      </c>
      <c r="C7425" s="188">
        <v>8.84</v>
      </c>
      <c r="D7425" s="104">
        <f t="shared" si="115"/>
        <v>8.8399999999999992E-2</v>
      </c>
      <c r="F7425" s="5"/>
    </row>
    <row r="7426" spans="2:6" ht="13.8" hidden="1" outlineLevel="1">
      <c r="B7426" s="187">
        <v>33002</v>
      </c>
      <c r="C7426" s="188">
        <v>8.8800000000000008</v>
      </c>
      <c r="D7426" s="104">
        <f t="shared" si="115"/>
        <v>8.8800000000000004E-2</v>
      </c>
      <c r="F7426" s="5"/>
    </row>
    <row r="7427" spans="2:6" ht="13.8" hidden="1" outlineLevel="1">
      <c r="B7427" s="187">
        <v>33003</v>
      </c>
      <c r="C7427" s="188">
        <v>8.82</v>
      </c>
      <c r="D7427" s="104">
        <f t="shared" si="115"/>
        <v>8.8200000000000001E-2</v>
      </c>
      <c r="F7427" s="5"/>
    </row>
    <row r="7428" spans="2:6" ht="13.8" hidden="1" outlineLevel="1">
      <c r="B7428" s="187">
        <v>33004</v>
      </c>
      <c r="C7428" s="188">
        <v>8.64</v>
      </c>
      <c r="D7428" s="104">
        <f t="shared" si="115"/>
        <v>8.6400000000000005E-2</v>
      </c>
      <c r="F7428" s="5"/>
    </row>
    <row r="7429" spans="2:6" ht="13.8" hidden="1" outlineLevel="1">
      <c r="B7429" s="187">
        <v>33007</v>
      </c>
      <c r="C7429" s="188">
        <v>8.61</v>
      </c>
      <c r="D7429" s="104">
        <f t="shared" si="115"/>
        <v>8.6099999999999996E-2</v>
      </c>
      <c r="F7429" s="5"/>
    </row>
    <row r="7430" spans="2:6" ht="13.8" hidden="1" outlineLevel="1">
      <c r="B7430" s="187">
        <v>33008</v>
      </c>
      <c r="C7430" s="188">
        <v>8.65</v>
      </c>
      <c r="D7430" s="104">
        <f t="shared" si="115"/>
        <v>8.6500000000000007E-2</v>
      </c>
      <c r="F7430" s="5"/>
    </row>
    <row r="7431" spans="2:6" ht="13.8" hidden="1" outlineLevel="1">
      <c r="B7431" s="187">
        <v>33009</v>
      </c>
      <c r="C7431" s="188">
        <v>8.68</v>
      </c>
      <c r="D7431" s="104">
        <f t="shared" si="115"/>
        <v>8.6800000000000002E-2</v>
      </c>
      <c r="F7431" s="5"/>
    </row>
    <row r="7432" spans="2:6" ht="13.8" hidden="1" outlineLevel="1">
      <c r="B7432" s="187">
        <v>33010</v>
      </c>
      <c r="C7432" s="188">
        <v>8.69</v>
      </c>
      <c r="D7432" s="104">
        <f t="shared" si="115"/>
        <v>8.6899999999999991E-2</v>
      </c>
      <c r="F7432" s="5"/>
    </row>
    <row r="7433" spans="2:6" ht="13.8" hidden="1" outlineLevel="1">
      <c r="B7433" s="187">
        <v>33011</v>
      </c>
      <c r="C7433" s="188">
        <v>8.75</v>
      </c>
      <c r="D7433" s="104">
        <f t="shared" si="115"/>
        <v>8.7499999999999994E-2</v>
      </c>
      <c r="F7433" s="5"/>
    </row>
    <row r="7434" spans="2:6" ht="13.8" hidden="1" outlineLevel="1">
      <c r="B7434" s="187">
        <v>33014</v>
      </c>
      <c r="C7434" s="188">
        <v>8.74</v>
      </c>
      <c r="D7434" s="104">
        <f t="shared" si="115"/>
        <v>8.7400000000000005E-2</v>
      </c>
      <c r="F7434" s="5"/>
    </row>
    <row r="7435" spans="2:6" ht="13.8" hidden="1" outlineLevel="1">
      <c r="B7435" s="187">
        <v>33015</v>
      </c>
      <c r="C7435" s="188">
        <v>8.65</v>
      </c>
      <c r="D7435" s="104">
        <f t="shared" si="115"/>
        <v>8.6500000000000007E-2</v>
      </c>
      <c r="F7435" s="5"/>
    </row>
    <row r="7436" spans="2:6" ht="13.8" hidden="1" outlineLevel="1">
      <c r="B7436" s="187">
        <v>33016</v>
      </c>
      <c r="C7436" s="188">
        <v>8.61</v>
      </c>
      <c r="D7436" s="104">
        <f t="shared" si="115"/>
        <v>8.6099999999999996E-2</v>
      </c>
      <c r="F7436" s="5"/>
    </row>
    <row r="7437" spans="2:6" ht="13.8" hidden="1" outlineLevel="1">
      <c r="B7437" s="187">
        <v>33017</v>
      </c>
      <c r="C7437" s="188">
        <v>8.6300000000000008</v>
      </c>
      <c r="D7437" s="104">
        <f t="shared" si="115"/>
        <v>8.6300000000000002E-2</v>
      </c>
      <c r="F7437" s="5"/>
    </row>
    <row r="7438" spans="2:6" ht="13.8" hidden="1" outlineLevel="1">
      <c r="B7438" s="187">
        <v>33018</v>
      </c>
      <c r="C7438" s="188">
        <v>8.69</v>
      </c>
      <c r="D7438" s="104">
        <f t="shared" si="115"/>
        <v>8.6899999999999991E-2</v>
      </c>
      <c r="F7438" s="5"/>
    </row>
    <row r="7439" spans="2:6" ht="13.8" hidden="1" outlineLevel="1">
      <c r="B7439" s="187">
        <v>33021</v>
      </c>
      <c r="C7439" s="188" t="s">
        <v>380</v>
      </c>
      <c r="D7439" s="104">
        <f t="shared" si="115"/>
        <v>8.6899999999999991E-2</v>
      </c>
      <c r="F7439" s="5"/>
    </row>
    <row r="7440" spans="2:6" ht="13.8" hidden="1" outlineLevel="1">
      <c r="B7440" s="187">
        <v>33022</v>
      </c>
      <c r="C7440" s="188">
        <v>8.66</v>
      </c>
      <c r="D7440" s="104">
        <f t="shared" si="115"/>
        <v>8.6599999999999996E-2</v>
      </c>
      <c r="F7440" s="5"/>
    </row>
    <row r="7441" spans="2:6" ht="13.8" hidden="1" outlineLevel="1">
      <c r="B7441" s="187">
        <v>33023</v>
      </c>
      <c r="C7441" s="188">
        <v>8.6199999999999992</v>
      </c>
      <c r="D7441" s="104">
        <f t="shared" si="115"/>
        <v>8.6199999999999999E-2</v>
      </c>
      <c r="F7441" s="5"/>
    </row>
    <row r="7442" spans="2:6" ht="13.8" hidden="1" outlineLevel="1">
      <c r="B7442" s="187">
        <v>33024</v>
      </c>
      <c r="C7442" s="188">
        <v>8.6</v>
      </c>
      <c r="D7442" s="104">
        <f t="shared" si="115"/>
        <v>8.5999999999999993E-2</v>
      </c>
      <c r="F7442" s="5"/>
    </row>
    <row r="7443" spans="2:6" ht="13.8" hidden="1" outlineLevel="1">
      <c r="B7443" s="187">
        <v>33025</v>
      </c>
      <c r="C7443" s="188">
        <v>8.44</v>
      </c>
      <c r="D7443" s="104">
        <f t="shared" si="115"/>
        <v>8.4399999999999989E-2</v>
      </c>
      <c r="F7443" s="5"/>
    </row>
    <row r="7444" spans="2:6" ht="13.8" hidden="1" outlineLevel="1">
      <c r="B7444" s="187">
        <v>33028</v>
      </c>
      <c r="C7444" s="188">
        <v>8.44</v>
      </c>
      <c r="D7444" s="104">
        <f t="shared" si="115"/>
        <v>8.4399999999999989E-2</v>
      </c>
      <c r="F7444" s="5"/>
    </row>
    <row r="7445" spans="2:6" ht="13.8" hidden="1" outlineLevel="1">
      <c r="B7445" s="187">
        <v>33029</v>
      </c>
      <c r="C7445" s="188">
        <v>8.4700000000000006</v>
      </c>
      <c r="D7445" s="104">
        <f t="shared" si="115"/>
        <v>8.4700000000000011E-2</v>
      </c>
      <c r="F7445" s="5"/>
    </row>
    <row r="7446" spans="2:6" ht="13.8" hidden="1" outlineLevel="1">
      <c r="B7446" s="187">
        <v>33030</v>
      </c>
      <c r="C7446" s="188">
        <v>8.4600000000000009</v>
      </c>
      <c r="D7446" s="104">
        <f t="shared" si="115"/>
        <v>8.4600000000000009E-2</v>
      </c>
      <c r="F7446" s="5"/>
    </row>
    <row r="7447" spans="2:6" ht="13.8" hidden="1" outlineLevel="1">
      <c r="B7447" s="187">
        <v>33031</v>
      </c>
      <c r="C7447" s="188">
        <v>8.4600000000000009</v>
      </c>
      <c r="D7447" s="104">
        <f t="shared" si="115"/>
        <v>8.4600000000000009E-2</v>
      </c>
      <c r="F7447" s="5"/>
    </row>
    <row r="7448" spans="2:6" ht="13.8" hidden="1" outlineLevel="1">
      <c r="B7448" s="187">
        <v>33032</v>
      </c>
      <c r="C7448" s="188">
        <v>8.4600000000000009</v>
      </c>
      <c r="D7448" s="104">
        <f t="shared" si="115"/>
        <v>8.4600000000000009E-2</v>
      </c>
      <c r="F7448" s="5"/>
    </row>
    <row r="7449" spans="2:6" ht="13.8" hidden="1" outlineLevel="1">
      <c r="B7449" s="187">
        <v>33035</v>
      </c>
      <c r="C7449" s="188">
        <v>8.48</v>
      </c>
      <c r="D7449" s="104">
        <f t="shared" si="115"/>
        <v>8.48E-2</v>
      </c>
      <c r="F7449" s="5"/>
    </row>
    <row r="7450" spans="2:6" ht="13.8" hidden="1" outlineLevel="1">
      <c r="B7450" s="187">
        <v>33036</v>
      </c>
      <c r="C7450" s="188">
        <v>8.48</v>
      </c>
      <c r="D7450" s="104">
        <f t="shared" si="115"/>
        <v>8.48E-2</v>
      </c>
      <c r="F7450" s="5"/>
    </row>
    <row r="7451" spans="2:6" ht="13.8" hidden="1" outlineLevel="1">
      <c r="B7451" s="187">
        <v>33037</v>
      </c>
      <c r="C7451" s="188">
        <v>8.4</v>
      </c>
      <c r="D7451" s="104">
        <f t="shared" si="115"/>
        <v>8.4000000000000005E-2</v>
      </c>
      <c r="F7451" s="5"/>
    </row>
    <row r="7452" spans="2:6" ht="13.8" hidden="1" outlineLevel="1">
      <c r="B7452" s="187">
        <v>33038</v>
      </c>
      <c r="C7452" s="188">
        <v>8.3800000000000008</v>
      </c>
      <c r="D7452" s="104">
        <f t="shared" si="115"/>
        <v>8.3800000000000013E-2</v>
      </c>
      <c r="F7452" s="5"/>
    </row>
    <row r="7453" spans="2:6" ht="13.8" hidden="1" outlineLevel="1">
      <c r="B7453" s="187">
        <v>33039</v>
      </c>
      <c r="C7453" s="188">
        <v>8.4600000000000009</v>
      </c>
      <c r="D7453" s="104">
        <f t="shared" si="115"/>
        <v>8.4600000000000009E-2</v>
      </c>
      <c r="F7453" s="5"/>
    </row>
    <row r="7454" spans="2:6" ht="13.8" hidden="1" outlineLevel="1">
      <c r="B7454" s="187">
        <v>33042</v>
      </c>
      <c r="C7454" s="188">
        <v>8.5</v>
      </c>
      <c r="D7454" s="104">
        <f t="shared" ref="D7454:D7517" si="116">IF( LEN( C7454 ) = 0, #N/A, IF( C7454 = "ND", D7453, C7454 / 100 ) )</f>
        <v>8.5000000000000006E-2</v>
      </c>
      <c r="F7454" s="5"/>
    </row>
    <row r="7455" spans="2:6" ht="13.8" hidden="1" outlineLevel="1">
      <c r="B7455" s="187">
        <v>33043</v>
      </c>
      <c r="C7455" s="188">
        <v>8.51</v>
      </c>
      <c r="D7455" s="104">
        <f t="shared" si="116"/>
        <v>8.5099999999999995E-2</v>
      </c>
      <c r="F7455" s="5"/>
    </row>
    <row r="7456" spans="2:6" ht="13.8" hidden="1" outlineLevel="1">
      <c r="B7456" s="187">
        <v>33044</v>
      </c>
      <c r="C7456" s="188">
        <v>8.5500000000000007</v>
      </c>
      <c r="D7456" s="104">
        <f t="shared" si="116"/>
        <v>8.5500000000000007E-2</v>
      </c>
      <c r="F7456" s="5"/>
    </row>
    <row r="7457" spans="2:6" ht="13.8" hidden="1" outlineLevel="1">
      <c r="B7457" s="187">
        <v>33045</v>
      </c>
      <c r="C7457" s="188">
        <v>8.52</v>
      </c>
      <c r="D7457" s="104">
        <f t="shared" si="116"/>
        <v>8.5199999999999998E-2</v>
      </c>
      <c r="F7457" s="5"/>
    </row>
    <row r="7458" spans="2:6" ht="13.8" hidden="1" outlineLevel="1">
      <c r="B7458" s="187">
        <v>33046</v>
      </c>
      <c r="C7458" s="188">
        <v>8.51</v>
      </c>
      <c r="D7458" s="104">
        <f t="shared" si="116"/>
        <v>8.5099999999999995E-2</v>
      </c>
      <c r="F7458" s="5"/>
    </row>
    <row r="7459" spans="2:6" ht="13.8" hidden="1" outlineLevel="1">
      <c r="B7459" s="187">
        <v>33049</v>
      </c>
      <c r="C7459" s="188">
        <v>8.58</v>
      </c>
      <c r="D7459" s="104">
        <f t="shared" si="116"/>
        <v>8.5800000000000001E-2</v>
      </c>
      <c r="F7459" s="5"/>
    </row>
    <row r="7460" spans="2:6" ht="13.8" hidden="1" outlineLevel="1">
      <c r="B7460" s="187">
        <v>33050</v>
      </c>
      <c r="C7460" s="188">
        <v>8.56</v>
      </c>
      <c r="D7460" s="104">
        <f t="shared" si="116"/>
        <v>8.5600000000000009E-2</v>
      </c>
      <c r="F7460" s="5"/>
    </row>
    <row r="7461" spans="2:6" ht="13.8" hidden="1" outlineLevel="1">
      <c r="B7461" s="187">
        <v>33051</v>
      </c>
      <c r="C7461" s="188">
        <v>8.52</v>
      </c>
      <c r="D7461" s="104">
        <f t="shared" si="116"/>
        <v>8.5199999999999998E-2</v>
      </c>
      <c r="F7461" s="5"/>
    </row>
    <row r="7462" spans="2:6" ht="13.8" hidden="1" outlineLevel="1">
      <c r="B7462" s="187">
        <v>33052</v>
      </c>
      <c r="C7462" s="188">
        <v>8.4700000000000006</v>
      </c>
      <c r="D7462" s="104">
        <f t="shared" si="116"/>
        <v>8.4700000000000011E-2</v>
      </c>
      <c r="F7462" s="5"/>
    </row>
    <row r="7463" spans="2:6" ht="13.8" hidden="1" outlineLevel="1">
      <c r="B7463" s="187">
        <v>33053</v>
      </c>
      <c r="C7463" s="188">
        <v>8.43</v>
      </c>
      <c r="D7463" s="104">
        <f t="shared" si="116"/>
        <v>8.43E-2</v>
      </c>
      <c r="F7463" s="5"/>
    </row>
    <row r="7464" spans="2:6" ht="13.8" hidden="1" outlineLevel="1">
      <c r="B7464" s="187">
        <v>33056</v>
      </c>
      <c r="C7464" s="188">
        <v>8.43</v>
      </c>
      <c r="D7464" s="104">
        <f t="shared" si="116"/>
        <v>8.43E-2</v>
      </c>
      <c r="F7464" s="5"/>
    </row>
    <row r="7465" spans="2:6" ht="13.8" hidden="1" outlineLevel="1">
      <c r="B7465" s="187">
        <v>33057</v>
      </c>
      <c r="C7465" s="188">
        <v>8.4</v>
      </c>
      <c r="D7465" s="104">
        <f t="shared" si="116"/>
        <v>8.4000000000000005E-2</v>
      </c>
      <c r="F7465" s="5"/>
    </row>
    <row r="7466" spans="2:6" ht="13.8" hidden="1" outlineLevel="1">
      <c r="B7466" s="187">
        <v>33058</v>
      </c>
      <c r="C7466" s="188" t="s">
        <v>380</v>
      </c>
      <c r="D7466" s="104">
        <f t="shared" si="116"/>
        <v>8.4000000000000005E-2</v>
      </c>
      <c r="F7466" s="5"/>
    </row>
    <row r="7467" spans="2:6" ht="13.8" hidden="1" outlineLevel="1">
      <c r="B7467" s="187">
        <v>33059</v>
      </c>
      <c r="C7467" s="188">
        <v>8.42</v>
      </c>
      <c r="D7467" s="104">
        <f t="shared" si="116"/>
        <v>8.4199999999999997E-2</v>
      </c>
      <c r="F7467" s="5"/>
    </row>
    <row r="7468" spans="2:6" ht="13.8" hidden="1" outlineLevel="1">
      <c r="B7468" s="187">
        <v>33060</v>
      </c>
      <c r="C7468" s="188">
        <v>8.51</v>
      </c>
      <c r="D7468" s="104">
        <f t="shared" si="116"/>
        <v>8.5099999999999995E-2</v>
      </c>
      <c r="F7468" s="5"/>
    </row>
    <row r="7469" spans="2:6" ht="13.8" hidden="1" outlineLevel="1">
      <c r="B7469" s="187">
        <v>33063</v>
      </c>
      <c r="C7469" s="188">
        <v>8.57</v>
      </c>
      <c r="D7469" s="104">
        <f t="shared" si="116"/>
        <v>8.5699999999999998E-2</v>
      </c>
      <c r="F7469" s="5"/>
    </row>
    <row r="7470" spans="2:6" ht="13.8" hidden="1" outlineLevel="1">
      <c r="B7470" s="187">
        <v>33064</v>
      </c>
      <c r="C7470" s="188">
        <v>8.57</v>
      </c>
      <c r="D7470" s="104">
        <f t="shared" si="116"/>
        <v>8.5699999999999998E-2</v>
      </c>
      <c r="F7470" s="5"/>
    </row>
    <row r="7471" spans="2:6" ht="13.8" hidden="1" outlineLevel="1">
      <c r="B7471" s="187">
        <v>33065</v>
      </c>
      <c r="C7471" s="188">
        <v>8.57</v>
      </c>
      <c r="D7471" s="104">
        <f t="shared" si="116"/>
        <v>8.5699999999999998E-2</v>
      </c>
      <c r="F7471" s="5"/>
    </row>
    <row r="7472" spans="2:6" ht="13.8" hidden="1" outlineLevel="1">
      <c r="B7472" s="187">
        <v>33066</v>
      </c>
      <c r="C7472" s="188">
        <v>8.5</v>
      </c>
      <c r="D7472" s="104">
        <f t="shared" si="116"/>
        <v>8.5000000000000006E-2</v>
      </c>
      <c r="F7472" s="5"/>
    </row>
    <row r="7473" spans="2:6" ht="13.8" hidden="1" outlineLevel="1">
      <c r="B7473" s="187">
        <v>33067</v>
      </c>
      <c r="C7473" s="188">
        <v>8.4499999999999993</v>
      </c>
      <c r="D7473" s="104">
        <f t="shared" si="116"/>
        <v>8.4499999999999992E-2</v>
      </c>
      <c r="F7473" s="5"/>
    </row>
    <row r="7474" spans="2:6" ht="13.8" hidden="1" outlineLevel="1">
      <c r="B7474" s="187">
        <v>33070</v>
      </c>
      <c r="C7474" s="188">
        <v>8.44</v>
      </c>
      <c r="D7474" s="104">
        <f t="shared" si="116"/>
        <v>8.4399999999999989E-2</v>
      </c>
      <c r="F7474" s="5"/>
    </row>
    <row r="7475" spans="2:6" ht="13.8" hidden="1" outlineLevel="1">
      <c r="B7475" s="187">
        <v>33071</v>
      </c>
      <c r="C7475" s="188">
        <v>8.44</v>
      </c>
      <c r="D7475" s="104">
        <f t="shared" si="116"/>
        <v>8.4399999999999989E-2</v>
      </c>
      <c r="F7475" s="5"/>
    </row>
    <row r="7476" spans="2:6" ht="13.8" hidden="1" outlineLevel="1">
      <c r="B7476" s="187">
        <v>33072</v>
      </c>
      <c r="C7476" s="188">
        <v>8.5</v>
      </c>
      <c r="D7476" s="104">
        <f t="shared" si="116"/>
        <v>8.5000000000000006E-2</v>
      </c>
      <c r="F7476" s="5"/>
    </row>
    <row r="7477" spans="2:6" ht="13.8" hidden="1" outlineLevel="1">
      <c r="B7477" s="187">
        <v>33073</v>
      </c>
      <c r="C7477" s="188">
        <v>8.51</v>
      </c>
      <c r="D7477" s="104">
        <f t="shared" si="116"/>
        <v>8.5099999999999995E-2</v>
      </c>
      <c r="F7477" s="5"/>
    </row>
    <row r="7478" spans="2:6" ht="13.8" hidden="1" outlineLevel="1">
      <c r="B7478" s="187">
        <v>33074</v>
      </c>
      <c r="C7478" s="188">
        <v>8.48</v>
      </c>
      <c r="D7478" s="104">
        <f t="shared" si="116"/>
        <v>8.48E-2</v>
      </c>
      <c r="F7478" s="5"/>
    </row>
    <row r="7479" spans="2:6" ht="13.8" hidden="1" outlineLevel="1">
      <c r="B7479" s="187">
        <v>33077</v>
      </c>
      <c r="C7479" s="188">
        <v>8.48</v>
      </c>
      <c r="D7479" s="104">
        <f t="shared" si="116"/>
        <v>8.48E-2</v>
      </c>
      <c r="F7479" s="5"/>
    </row>
    <row r="7480" spans="2:6" ht="13.8" hidden="1" outlineLevel="1">
      <c r="B7480" s="187">
        <v>33078</v>
      </c>
      <c r="C7480" s="188">
        <v>8.5299999999999994</v>
      </c>
      <c r="D7480" s="104">
        <f t="shared" si="116"/>
        <v>8.5299999999999987E-2</v>
      </c>
      <c r="F7480" s="5"/>
    </row>
    <row r="7481" spans="2:6" ht="13.8" hidden="1" outlineLevel="1">
      <c r="B7481" s="187">
        <v>33079</v>
      </c>
      <c r="C7481" s="188">
        <v>8.49</v>
      </c>
      <c r="D7481" s="104">
        <f t="shared" si="116"/>
        <v>8.4900000000000003E-2</v>
      </c>
      <c r="F7481" s="5"/>
    </row>
    <row r="7482" spans="2:6" ht="13.8" hidden="1" outlineLevel="1">
      <c r="B7482" s="187">
        <v>33080</v>
      </c>
      <c r="C7482" s="188">
        <v>8.49</v>
      </c>
      <c r="D7482" s="104">
        <f t="shared" si="116"/>
        <v>8.4900000000000003E-2</v>
      </c>
      <c r="F7482" s="5"/>
    </row>
    <row r="7483" spans="2:6" ht="13.8" hidden="1" outlineLevel="1">
      <c r="B7483" s="187">
        <v>33081</v>
      </c>
      <c r="C7483" s="188">
        <v>8.42</v>
      </c>
      <c r="D7483" s="104">
        <f t="shared" si="116"/>
        <v>8.4199999999999997E-2</v>
      </c>
      <c r="F7483" s="5"/>
    </row>
    <row r="7484" spans="2:6" ht="13.8" hidden="1" outlineLevel="1">
      <c r="B7484" s="187">
        <v>33084</v>
      </c>
      <c r="C7484" s="188">
        <v>8.34</v>
      </c>
      <c r="D7484" s="104">
        <f t="shared" si="116"/>
        <v>8.3400000000000002E-2</v>
      </c>
      <c r="F7484" s="5"/>
    </row>
    <row r="7485" spans="2:6" ht="13.8" hidden="1" outlineLevel="1">
      <c r="B7485" s="187">
        <v>33085</v>
      </c>
      <c r="C7485" s="188">
        <v>8.36</v>
      </c>
      <c r="D7485" s="104">
        <f t="shared" si="116"/>
        <v>8.3599999999999994E-2</v>
      </c>
      <c r="F7485" s="5"/>
    </row>
    <row r="7486" spans="2:6" ht="13.8" hidden="1" outlineLevel="1">
      <c r="B7486" s="187">
        <v>33086</v>
      </c>
      <c r="C7486" s="188">
        <v>8.2899999999999991</v>
      </c>
      <c r="D7486" s="104">
        <f t="shared" si="116"/>
        <v>8.2899999999999988E-2</v>
      </c>
      <c r="F7486" s="5"/>
    </row>
    <row r="7487" spans="2:6" ht="13.8" hidden="1" outlineLevel="1">
      <c r="B7487" s="187">
        <v>33087</v>
      </c>
      <c r="C7487" s="188">
        <v>8.41</v>
      </c>
      <c r="D7487" s="104">
        <f t="shared" si="116"/>
        <v>8.4100000000000008E-2</v>
      </c>
      <c r="F7487" s="5"/>
    </row>
    <row r="7488" spans="2:6" ht="13.8" hidden="1" outlineLevel="1">
      <c r="B7488" s="187">
        <v>33088</v>
      </c>
      <c r="C7488" s="188">
        <v>8.43</v>
      </c>
      <c r="D7488" s="104">
        <f t="shared" si="116"/>
        <v>8.43E-2</v>
      </c>
      <c r="F7488" s="5"/>
    </row>
    <row r="7489" spans="2:6" ht="13.8" hidden="1" outlineLevel="1">
      <c r="B7489" s="187">
        <v>33091</v>
      </c>
      <c r="C7489" s="188">
        <v>8.7100000000000009</v>
      </c>
      <c r="D7489" s="104">
        <f t="shared" si="116"/>
        <v>8.7100000000000011E-2</v>
      </c>
      <c r="F7489" s="5"/>
    </row>
    <row r="7490" spans="2:6" ht="13.8" hidden="1" outlineLevel="1">
      <c r="B7490" s="187">
        <v>33092</v>
      </c>
      <c r="C7490" s="188">
        <v>8.7799999999999994</v>
      </c>
      <c r="D7490" s="104">
        <f t="shared" si="116"/>
        <v>8.7799999999999989E-2</v>
      </c>
      <c r="F7490" s="5"/>
    </row>
    <row r="7491" spans="2:6" ht="13.8" hidden="1" outlineLevel="1">
      <c r="B7491" s="187">
        <v>33093</v>
      </c>
      <c r="C7491" s="188">
        <v>8.77</v>
      </c>
      <c r="D7491" s="104">
        <f t="shared" si="116"/>
        <v>8.77E-2</v>
      </c>
      <c r="F7491" s="5"/>
    </row>
    <row r="7492" spans="2:6" ht="13.8" hidden="1" outlineLevel="1">
      <c r="B7492" s="187">
        <v>33094</v>
      </c>
      <c r="C7492" s="188">
        <v>8.66</v>
      </c>
      <c r="D7492" s="104">
        <f t="shared" si="116"/>
        <v>8.6599999999999996E-2</v>
      </c>
      <c r="F7492" s="5"/>
    </row>
    <row r="7493" spans="2:6" ht="13.8" hidden="1" outlineLevel="1">
      <c r="B7493" s="187">
        <v>33095</v>
      </c>
      <c r="C7493" s="188">
        <v>8.68</v>
      </c>
      <c r="D7493" s="104">
        <f t="shared" si="116"/>
        <v>8.6800000000000002E-2</v>
      </c>
      <c r="F7493" s="5"/>
    </row>
    <row r="7494" spans="2:6" ht="13.8" hidden="1" outlineLevel="1">
      <c r="B7494" s="187">
        <v>33098</v>
      </c>
      <c r="C7494" s="188">
        <v>8.7100000000000009</v>
      </c>
      <c r="D7494" s="104">
        <f t="shared" si="116"/>
        <v>8.7100000000000011E-2</v>
      </c>
      <c r="F7494" s="5"/>
    </row>
    <row r="7495" spans="2:6" ht="13.8" hidden="1" outlineLevel="1">
      <c r="B7495" s="187">
        <v>33099</v>
      </c>
      <c r="C7495" s="188">
        <v>8.66</v>
      </c>
      <c r="D7495" s="104">
        <f t="shared" si="116"/>
        <v>8.6599999999999996E-2</v>
      </c>
      <c r="F7495" s="5"/>
    </row>
    <row r="7496" spans="2:6" ht="13.8" hidden="1" outlineLevel="1">
      <c r="B7496" s="187">
        <v>33100</v>
      </c>
      <c r="C7496" s="188">
        <v>8.64</v>
      </c>
      <c r="D7496" s="104">
        <f t="shared" si="116"/>
        <v>8.6400000000000005E-2</v>
      </c>
      <c r="F7496" s="5"/>
    </row>
    <row r="7497" spans="2:6" ht="13.8" hidden="1" outlineLevel="1">
      <c r="B7497" s="187">
        <v>33101</v>
      </c>
      <c r="C7497" s="188">
        <v>8.76</v>
      </c>
      <c r="D7497" s="104">
        <f t="shared" si="116"/>
        <v>8.7599999999999997E-2</v>
      </c>
      <c r="F7497" s="5"/>
    </row>
    <row r="7498" spans="2:6" ht="13.8" hidden="1" outlineLevel="1">
      <c r="B7498" s="187">
        <v>33102</v>
      </c>
      <c r="C7498" s="188">
        <v>8.8000000000000007</v>
      </c>
      <c r="D7498" s="104">
        <f t="shared" si="116"/>
        <v>8.8000000000000009E-2</v>
      </c>
      <c r="F7498" s="5"/>
    </row>
    <row r="7499" spans="2:6" ht="13.8" hidden="1" outlineLevel="1">
      <c r="B7499" s="187">
        <v>33105</v>
      </c>
      <c r="C7499" s="188">
        <v>8.81</v>
      </c>
      <c r="D7499" s="104">
        <f t="shared" si="116"/>
        <v>8.8100000000000012E-2</v>
      </c>
      <c r="F7499" s="5"/>
    </row>
    <row r="7500" spans="2:6" ht="13.8" hidden="1" outlineLevel="1">
      <c r="B7500" s="187">
        <v>33106</v>
      </c>
      <c r="C7500" s="188">
        <v>8.84</v>
      </c>
      <c r="D7500" s="104">
        <f t="shared" si="116"/>
        <v>8.8399999999999992E-2</v>
      </c>
      <c r="F7500" s="5"/>
    </row>
    <row r="7501" spans="2:6" ht="13.8" hidden="1" outlineLevel="1">
      <c r="B7501" s="187">
        <v>33107</v>
      </c>
      <c r="C7501" s="188">
        <v>8.91</v>
      </c>
      <c r="D7501" s="104">
        <f t="shared" si="116"/>
        <v>8.9099999999999999E-2</v>
      </c>
      <c r="F7501" s="5"/>
    </row>
    <row r="7502" spans="2:6" ht="13.8" hidden="1" outlineLevel="1">
      <c r="B7502" s="187">
        <v>33108</v>
      </c>
      <c r="C7502" s="188">
        <v>9</v>
      </c>
      <c r="D7502" s="104">
        <f t="shared" si="116"/>
        <v>0.09</v>
      </c>
      <c r="F7502" s="5"/>
    </row>
    <row r="7503" spans="2:6" ht="13.8" hidden="1" outlineLevel="1">
      <c r="B7503" s="187">
        <v>33109</v>
      </c>
      <c r="C7503" s="188">
        <v>9.0500000000000007</v>
      </c>
      <c r="D7503" s="104">
        <f t="shared" si="116"/>
        <v>9.0500000000000011E-2</v>
      </c>
      <c r="F7503" s="5"/>
    </row>
    <row r="7504" spans="2:6" ht="13.8" hidden="1" outlineLevel="1">
      <c r="B7504" s="187">
        <v>33112</v>
      </c>
      <c r="C7504" s="188">
        <v>8.9</v>
      </c>
      <c r="D7504" s="104">
        <f t="shared" si="116"/>
        <v>8.900000000000001E-2</v>
      </c>
      <c r="F7504" s="5"/>
    </row>
    <row r="7505" spans="2:6" ht="13.8" hidden="1" outlineLevel="1">
      <c r="B7505" s="187">
        <v>33113</v>
      </c>
      <c r="C7505" s="188">
        <v>8.94</v>
      </c>
      <c r="D7505" s="104">
        <f t="shared" si="116"/>
        <v>8.9399999999999993E-2</v>
      </c>
      <c r="F7505" s="5"/>
    </row>
    <row r="7506" spans="2:6" ht="13.8" hidden="1" outlineLevel="1">
      <c r="B7506" s="187">
        <v>33114</v>
      </c>
      <c r="C7506" s="188">
        <v>8.84</v>
      </c>
      <c r="D7506" s="104">
        <f t="shared" si="116"/>
        <v>8.8399999999999992E-2</v>
      </c>
      <c r="F7506" s="5"/>
    </row>
    <row r="7507" spans="2:6" ht="13.8" hidden="1" outlineLevel="1">
      <c r="B7507" s="187">
        <v>33115</v>
      </c>
      <c r="C7507" s="188">
        <v>8.86</v>
      </c>
      <c r="D7507" s="104">
        <f t="shared" si="116"/>
        <v>8.8599999999999998E-2</v>
      </c>
      <c r="F7507" s="5"/>
    </row>
    <row r="7508" spans="2:6" ht="13.8" hidden="1" outlineLevel="1">
      <c r="B7508" s="187">
        <v>33116</v>
      </c>
      <c r="C7508" s="188">
        <v>8.86</v>
      </c>
      <c r="D7508" s="104">
        <f t="shared" si="116"/>
        <v>8.8599999999999998E-2</v>
      </c>
      <c r="F7508" s="5"/>
    </row>
    <row r="7509" spans="2:6" ht="13.8" hidden="1" outlineLevel="1">
      <c r="B7509" s="187">
        <v>33119</v>
      </c>
      <c r="C7509" s="188" t="s">
        <v>380</v>
      </c>
      <c r="D7509" s="104">
        <f t="shared" si="116"/>
        <v>8.8599999999999998E-2</v>
      </c>
      <c r="F7509" s="5"/>
    </row>
    <row r="7510" spans="2:6" ht="13.8" hidden="1" outlineLevel="1">
      <c r="B7510" s="187">
        <v>33120</v>
      </c>
      <c r="C7510" s="188">
        <v>8.9</v>
      </c>
      <c r="D7510" s="104">
        <f t="shared" si="116"/>
        <v>8.900000000000001E-2</v>
      </c>
      <c r="F7510" s="5"/>
    </row>
    <row r="7511" spans="2:6" ht="13.8" hidden="1" outlineLevel="1">
      <c r="B7511" s="187">
        <v>33121</v>
      </c>
      <c r="C7511" s="188">
        <v>8.86</v>
      </c>
      <c r="D7511" s="104">
        <f t="shared" si="116"/>
        <v>8.8599999999999998E-2</v>
      </c>
      <c r="F7511" s="5"/>
    </row>
    <row r="7512" spans="2:6" ht="13.8" hidden="1" outlineLevel="1">
      <c r="B7512" s="187">
        <v>33122</v>
      </c>
      <c r="C7512" s="188">
        <v>8.84</v>
      </c>
      <c r="D7512" s="104">
        <f t="shared" si="116"/>
        <v>8.8399999999999992E-2</v>
      </c>
      <c r="F7512" s="5"/>
    </row>
    <row r="7513" spans="2:6" ht="13.8" hidden="1" outlineLevel="1">
      <c r="B7513" s="187">
        <v>33123</v>
      </c>
      <c r="C7513" s="188">
        <v>8.81</v>
      </c>
      <c r="D7513" s="104">
        <f t="shared" si="116"/>
        <v>8.8100000000000012E-2</v>
      </c>
      <c r="F7513" s="5"/>
    </row>
    <row r="7514" spans="2:6" ht="13.8" hidden="1" outlineLevel="1">
      <c r="B7514" s="187">
        <v>33126</v>
      </c>
      <c r="C7514" s="188">
        <v>8.85</v>
      </c>
      <c r="D7514" s="104">
        <f t="shared" si="116"/>
        <v>8.8499999999999995E-2</v>
      </c>
      <c r="F7514" s="5"/>
    </row>
    <row r="7515" spans="2:6" ht="13.8" hidden="1" outlineLevel="1">
      <c r="B7515" s="187">
        <v>33127</v>
      </c>
      <c r="C7515" s="188">
        <v>8.83</v>
      </c>
      <c r="D7515" s="104">
        <f t="shared" si="116"/>
        <v>8.8300000000000003E-2</v>
      </c>
      <c r="F7515" s="5"/>
    </row>
    <row r="7516" spans="2:6" ht="13.8" hidden="1" outlineLevel="1">
      <c r="B7516" s="187">
        <v>33128</v>
      </c>
      <c r="C7516" s="188">
        <v>8.82</v>
      </c>
      <c r="D7516" s="104">
        <f t="shared" si="116"/>
        <v>8.8200000000000001E-2</v>
      </c>
      <c r="F7516" s="5"/>
    </row>
    <row r="7517" spans="2:6" ht="13.8" hidden="1" outlineLevel="1">
      <c r="B7517" s="187">
        <v>33129</v>
      </c>
      <c r="C7517" s="188">
        <v>8.82</v>
      </c>
      <c r="D7517" s="104">
        <f t="shared" si="116"/>
        <v>8.8200000000000001E-2</v>
      </c>
      <c r="F7517" s="5"/>
    </row>
    <row r="7518" spans="2:6" ht="13.8" hidden="1" outlineLevel="1">
      <c r="B7518" s="187">
        <v>33130</v>
      </c>
      <c r="C7518" s="188">
        <v>8.8699999999999992</v>
      </c>
      <c r="D7518" s="104">
        <f t="shared" ref="D7518:D7581" si="117">IF( LEN( C7518 ) = 0, #N/A, IF( C7518 = "ND", D7517, C7518 / 100 ) )</f>
        <v>8.8699999999999987E-2</v>
      </c>
      <c r="F7518" s="5"/>
    </row>
    <row r="7519" spans="2:6" ht="13.8" hidden="1" outlineLevel="1">
      <c r="B7519" s="187">
        <v>33133</v>
      </c>
      <c r="C7519" s="188">
        <v>8.9</v>
      </c>
      <c r="D7519" s="104">
        <f t="shared" si="117"/>
        <v>8.900000000000001E-2</v>
      </c>
      <c r="F7519" s="5"/>
    </row>
    <row r="7520" spans="2:6" ht="13.8" hidden="1" outlineLevel="1">
      <c r="B7520" s="187">
        <v>33134</v>
      </c>
      <c r="C7520" s="188">
        <v>8.9</v>
      </c>
      <c r="D7520" s="104">
        <f t="shared" si="117"/>
        <v>8.900000000000001E-2</v>
      </c>
      <c r="F7520" s="5"/>
    </row>
    <row r="7521" spans="2:6" ht="13.8" hidden="1" outlineLevel="1">
      <c r="B7521" s="187">
        <v>33135</v>
      </c>
      <c r="C7521" s="188">
        <v>8.8800000000000008</v>
      </c>
      <c r="D7521" s="104">
        <f t="shared" si="117"/>
        <v>8.8800000000000004E-2</v>
      </c>
      <c r="F7521" s="5"/>
    </row>
    <row r="7522" spans="2:6" ht="13.8" hidden="1" outlineLevel="1">
      <c r="B7522" s="187">
        <v>33136</v>
      </c>
      <c r="C7522" s="188">
        <v>8.91</v>
      </c>
      <c r="D7522" s="104">
        <f t="shared" si="117"/>
        <v>8.9099999999999999E-2</v>
      </c>
      <c r="F7522" s="5"/>
    </row>
    <row r="7523" spans="2:6" ht="13.8" hidden="1" outlineLevel="1">
      <c r="B7523" s="187">
        <v>33137</v>
      </c>
      <c r="C7523" s="188">
        <v>8.99</v>
      </c>
      <c r="D7523" s="104">
        <f t="shared" si="117"/>
        <v>8.9900000000000008E-2</v>
      </c>
      <c r="F7523" s="5"/>
    </row>
    <row r="7524" spans="2:6" ht="13.8" hidden="1" outlineLevel="1">
      <c r="B7524" s="187">
        <v>33140</v>
      </c>
      <c r="C7524" s="188">
        <v>9.0399999999999991</v>
      </c>
      <c r="D7524" s="104">
        <f t="shared" si="117"/>
        <v>9.0399999999999994E-2</v>
      </c>
      <c r="F7524" s="5"/>
    </row>
    <row r="7525" spans="2:6" ht="13.8" hidden="1" outlineLevel="1">
      <c r="B7525" s="187">
        <v>33141</v>
      </c>
      <c r="C7525" s="188">
        <v>9.02</v>
      </c>
      <c r="D7525" s="104">
        <f t="shared" si="117"/>
        <v>9.0200000000000002E-2</v>
      </c>
      <c r="F7525" s="5"/>
    </row>
    <row r="7526" spans="2:6" ht="13.8" hidden="1" outlineLevel="1">
      <c r="B7526" s="187">
        <v>33142</v>
      </c>
      <c r="C7526" s="188">
        <v>9</v>
      </c>
      <c r="D7526" s="104">
        <f t="shared" si="117"/>
        <v>0.09</v>
      </c>
      <c r="F7526" s="5"/>
    </row>
    <row r="7527" spans="2:6" ht="13.8" hidden="1" outlineLevel="1">
      <c r="B7527" s="187">
        <v>33143</v>
      </c>
      <c r="C7527" s="188">
        <v>8.91</v>
      </c>
      <c r="D7527" s="104">
        <f t="shared" si="117"/>
        <v>8.9099999999999999E-2</v>
      </c>
      <c r="F7527" s="5"/>
    </row>
    <row r="7528" spans="2:6" ht="13.8" hidden="1" outlineLevel="1">
      <c r="B7528" s="187">
        <v>33144</v>
      </c>
      <c r="C7528" s="188">
        <v>8.82</v>
      </c>
      <c r="D7528" s="104">
        <f t="shared" si="117"/>
        <v>8.8200000000000001E-2</v>
      </c>
      <c r="F7528" s="5"/>
    </row>
    <row r="7529" spans="2:6" ht="13.8" hidden="1" outlineLevel="1">
      <c r="B7529" s="187">
        <v>33147</v>
      </c>
      <c r="C7529" s="188">
        <v>8.7100000000000009</v>
      </c>
      <c r="D7529" s="104">
        <f t="shared" si="117"/>
        <v>8.7100000000000011E-2</v>
      </c>
      <c r="F7529" s="5"/>
    </row>
    <row r="7530" spans="2:6" ht="13.8" hidden="1" outlineLevel="1">
      <c r="B7530" s="187">
        <v>33148</v>
      </c>
      <c r="C7530" s="188">
        <v>8.69</v>
      </c>
      <c r="D7530" s="104">
        <f t="shared" si="117"/>
        <v>8.6899999999999991E-2</v>
      </c>
      <c r="F7530" s="5"/>
    </row>
    <row r="7531" spans="2:6" ht="13.8" hidden="1" outlineLevel="1">
      <c r="B7531" s="187">
        <v>33149</v>
      </c>
      <c r="C7531" s="188">
        <v>8.7100000000000009</v>
      </c>
      <c r="D7531" s="104">
        <f t="shared" si="117"/>
        <v>8.7100000000000011E-2</v>
      </c>
      <c r="F7531" s="5"/>
    </row>
    <row r="7532" spans="2:6" ht="13.8" hidden="1" outlineLevel="1">
      <c r="B7532" s="187">
        <v>33150</v>
      </c>
      <c r="C7532" s="188">
        <v>8.67</v>
      </c>
      <c r="D7532" s="104">
        <f t="shared" si="117"/>
        <v>8.6699999999999999E-2</v>
      </c>
      <c r="F7532" s="5"/>
    </row>
    <row r="7533" spans="2:6" ht="13.8" hidden="1" outlineLevel="1">
      <c r="B7533" s="187">
        <v>33151</v>
      </c>
      <c r="C7533" s="188">
        <v>8.65</v>
      </c>
      <c r="D7533" s="104">
        <f t="shared" si="117"/>
        <v>8.6500000000000007E-2</v>
      </c>
      <c r="F7533" s="5"/>
    </row>
    <row r="7534" spans="2:6" ht="13.8" hidden="1" outlineLevel="1">
      <c r="B7534" s="187">
        <v>33154</v>
      </c>
      <c r="C7534" s="188" t="s">
        <v>380</v>
      </c>
      <c r="D7534" s="104">
        <f t="shared" si="117"/>
        <v>8.6500000000000007E-2</v>
      </c>
      <c r="F7534" s="5"/>
    </row>
    <row r="7535" spans="2:6" ht="13.8" hidden="1" outlineLevel="1">
      <c r="B7535" s="187">
        <v>33155</v>
      </c>
      <c r="C7535" s="188">
        <v>8.83</v>
      </c>
      <c r="D7535" s="104">
        <f t="shared" si="117"/>
        <v>8.8300000000000003E-2</v>
      </c>
      <c r="F7535" s="5"/>
    </row>
    <row r="7536" spans="2:6" ht="13.8" hidden="1" outlineLevel="1">
      <c r="B7536" s="187">
        <v>33156</v>
      </c>
      <c r="C7536" s="188">
        <v>8.89</v>
      </c>
      <c r="D7536" s="104">
        <f t="shared" si="117"/>
        <v>8.8900000000000007E-2</v>
      </c>
      <c r="F7536" s="5"/>
    </row>
    <row r="7537" spans="2:6" ht="13.8" hidden="1" outlineLevel="1">
      <c r="B7537" s="187">
        <v>33157</v>
      </c>
      <c r="C7537" s="188">
        <v>8.92</v>
      </c>
      <c r="D7537" s="104">
        <f t="shared" si="117"/>
        <v>8.9200000000000002E-2</v>
      </c>
      <c r="F7537" s="5"/>
    </row>
    <row r="7538" spans="2:6" ht="13.8" hidden="1" outlineLevel="1">
      <c r="B7538" s="187">
        <v>33158</v>
      </c>
      <c r="C7538" s="188">
        <v>8.84</v>
      </c>
      <c r="D7538" s="104">
        <f t="shared" si="117"/>
        <v>8.8399999999999992E-2</v>
      </c>
      <c r="F7538" s="5"/>
    </row>
    <row r="7539" spans="2:6" ht="13.8" hidden="1" outlineLevel="1">
      <c r="B7539" s="187">
        <v>33161</v>
      </c>
      <c r="C7539" s="188">
        <v>8.8000000000000007</v>
      </c>
      <c r="D7539" s="104">
        <f t="shared" si="117"/>
        <v>8.8000000000000009E-2</v>
      </c>
      <c r="F7539" s="5"/>
    </row>
    <row r="7540" spans="2:6" ht="13.8" hidden="1" outlineLevel="1">
      <c r="B7540" s="187">
        <v>33162</v>
      </c>
      <c r="C7540" s="188">
        <v>8.7899999999999991</v>
      </c>
      <c r="D7540" s="104">
        <f t="shared" si="117"/>
        <v>8.7899999999999992E-2</v>
      </c>
      <c r="F7540" s="5"/>
    </row>
    <row r="7541" spans="2:6" ht="13.8" hidden="1" outlineLevel="1">
      <c r="B7541" s="187">
        <v>33163</v>
      </c>
      <c r="C7541" s="188">
        <v>8.76</v>
      </c>
      <c r="D7541" s="104">
        <f t="shared" si="117"/>
        <v>8.7599999999999997E-2</v>
      </c>
      <c r="F7541" s="5"/>
    </row>
    <row r="7542" spans="2:6" ht="13.8" hidden="1" outlineLevel="1">
      <c r="B7542" s="187">
        <v>33164</v>
      </c>
      <c r="C7542" s="188">
        <v>8.7100000000000009</v>
      </c>
      <c r="D7542" s="104">
        <f t="shared" si="117"/>
        <v>8.7100000000000011E-2</v>
      </c>
      <c r="F7542" s="5"/>
    </row>
    <row r="7543" spans="2:6" ht="13.8" hidden="1" outlineLevel="1">
      <c r="B7543" s="187">
        <v>33165</v>
      </c>
      <c r="C7543" s="188">
        <v>8.6199999999999992</v>
      </c>
      <c r="D7543" s="104">
        <f t="shared" si="117"/>
        <v>8.6199999999999999E-2</v>
      </c>
      <c r="F7543" s="5"/>
    </row>
    <row r="7544" spans="2:6" ht="13.8" hidden="1" outlineLevel="1">
      <c r="B7544" s="187">
        <v>33168</v>
      </c>
      <c r="C7544" s="188">
        <v>8.6300000000000008</v>
      </c>
      <c r="D7544" s="104">
        <f t="shared" si="117"/>
        <v>8.6300000000000002E-2</v>
      </c>
      <c r="F7544" s="5"/>
    </row>
    <row r="7545" spans="2:6" ht="13.8" hidden="1" outlineLevel="1">
      <c r="B7545" s="187">
        <v>33169</v>
      </c>
      <c r="C7545" s="188">
        <v>8.65</v>
      </c>
      <c r="D7545" s="104">
        <f t="shared" si="117"/>
        <v>8.6500000000000007E-2</v>
      </c>
      <c r="F7545" s="5"/>
    </row>
    <row r="7546" spans="2:6" ht="13.8" hidden="1" outlineLevel="1">
      <c r="B7546" s="187">
        <v>33170</v>
      </c>
      <c r="C7546" s="188">
        <v>8.66</v>
      </c>
      <c r="D7546" s="104">
        <f t="shared" si="117"/>
        <v>8.6599999999999996E-2</v>
      </c>
      <c r="F7546" s="5"/>
    </row>
    <row r="7547" spans="2:6" ht="13.8" hidden="1" outlineLevel="1">
      <c r="B7547" s="187">
        <v>33171</v>
      </c>
      <c r="C7547" s="188">
        <v>8.6199999999999992</v>
      </c>
      <c r="D7547" s="104">
        <f t="shared" si="117"/>
        <v>8.6199999999999999E-2</v>
      </c>
      <c r="F7547" s="5"/>
    </row>
    <row r="7548" spans="2:6" ht="13.8" hidden="1" outlineLevel="1">
      <c r="B7548" s="187">
        <v>33172</v>
      </c>
      <c r="C7548" s="188">
        <v>8.6300000000000008</v>
      </c>
      <c r="D7548" s="104">
        <f t="shared" si="117"/>
        <v>8.6300000000000002E-2</v>
      </c>
      <c r="F7548" s="5"/>
    </row>
    <row r="7549" spans="2:6" ht="13.8" hidden="1" outlineLevel="1">
      <c r="B7549" s="187">
        <v>33175</v>
      </c>
      <c r="C7549" s="188">
        <v>8.6999999999999993</v>
      </c>
      <c r="D7549" s="104">
        <f t="shared" si="117"/>
        <v>8.6999999999999994E-2</v>
      </c>
      <c r="F7549" s="5"/>
    </row>
    <row r="7550" spans="2:6" ht="13.8" hidden="1" outlineLevel="1">
      <c r="B7550" s="187">
        <v>33176</v>
      </c>
      <c r="C7550" s="188">
        <v>8.6999999999999993</v>
      </c>
      <c r="D7550" s="104">
        <f t="shared" si="117"/>
        <v>8.6999999999999994E-2</v>
      </c>
      <c r="F7550" s="5"/>
    </row>
    <row r="7551" spans="2:6" ht="13.8" hidden="1" outlineLevel="1">
      <c r="B7551" s="187">
        <v>33177</v>
      </c>
      <c r="C7551" s="188">
        <v>8.65</v>
      </c>
      <c r="D7551" s="104">
        <f t="shared" si="117"/>
        <v>8.6500000000000007E-2</v>
      </c>
      <c r="F7551" s="5"/>
    </row>
    <row r="7552" spans="2:6" ht="13.8" hidden="1" outlineLevel="1">
      <c r="B7552" s="187">
        <v>33178</v>
      </c>
      <c r="C7552" s="188">
        <v>8.57</v>
      </c>
      <c r="D7552" s="104">
        <f t="shared" si="117"/>
        <v>8.5699999999999998E-2</v>
      </c>
      <c r="F7552" s="5"/>
    </row>
    <row r="7553" spans="2:6" ht="13.8" hidden="1" outlineLevel="1">
      <c r="B7553" s="187">
        <v>33179</v>
      </c>
      <c r="C7553" s="188">
        <v>8.57</v>
      </c>
      <c r="D7553" s="104">
        <f t="shared" si="117"/>
        <v>8.5699999999999998E-2</v>
      </c>
      <c r="F7553" s="5"/>
    </row>
    <row r="7554" spans="2:6" ht="13.8" hidden="1" outlineLevel="1">
      <c r="B7554" s="187">
        <v>33182</v>
      </c>
      <c r="C7554" s="188">
        <v>8.5</v>
      </c>
      <c r="D7554" s="104">
        <f t="shared" si="117"/>
        <v>8.5000000000000006E-2</v>
      </c>
      <c r="F7554" s="5"/>
    </row>
    <row r="7555" spans="2:6" ht="13.8" hidden="1" outlineLevel="1">
      <c r="B7555" s="187">
        <v>33183</v>
      </c>
      <c r="C7555" s="188">
        <v>8.52</v>
      </c>
      <c r="D7555" s="104">
        <f t="shared" si="117"/>
        <v>8.5199999999999998E-2</v>
      </c>
      <c r="F7555" s="5"/>
    </row>
    <row r="7556" spans="2:6" ht="13.8" hidden="1" outlineLevel="1">
      <c r="B7556" s="187">
        <v>33184</v>
      </c>
      <c r="C7556" s="188">
        <v>8.57</v>
      </c>
      <c r="D7556" s="104">
        <f t="shared" si="117"/>
        <v>8.5699999999999998E-2</v>
      </c>
      <c r="F7556" s="5"/>
    </row>
    <row r="7557" spans="2:6" ht="13.8" hidden="1" outlineLevel="1">
      <c r="B7557" s="187">
        <v>33185</v>
      </c>
      <c r="C7557" s="188">
        <v>8.58</v>
      </c>
      <c r="D7557" s="104">
        <f t="shared" si="117"/>
        <v>8.5800000000000001E-2</v>
      </c>
      <c r="F7557" s="5"/>
    </row>
    <row r="7558" spans="2:6" ht="13.8" hidden="1" outlineLevel="1">
      <c r="B7558" s="187">
        <v>33186</v>
      </c>
      <c r="C7558" s="188">
        <v>8.49</v>
      </c>
      <c r="D7558" s="104">
        <f t="shared" si="117"/>
        <v>8.4900000000000003E-2</v>
      </c>
      <c r="F7558" s="5"/>
    </row>
    <row r="7559" spans="2:6" ht="13.8" hidden="1" outlineLevel="1">
      <c r="B7559" s="187">
        <v>33189</v>
      </c>
      <c r="C7559" s="188" t="s">
        <v>380</v>
      </c>
      <c r="D7559" s="104">
        <f t="shared" si="117"/>
        <v>8.4900000000000003E-2</v>
      </c>
      <c r="F7559" s="5"/>
    </row>
    <row r="7560" spans="2:6" ht="13.8" hidden="1" outlineLevel="1">
      <c r="B7560" s="187">
        <v>33190</v>
      </c>
      <c r="C7560" s="188">
        <v>8.3699999999999992</v>
      </c>
      <c r="D7560" s="104">
        <f t="shared" si="117"/>
        <v>8.3699999999999997E-2</v>
      </c>
      <c r="F7560" s="5"/>
    </row>
    <row r="7561" spans="2:6" ht="13.8" hidden="1" outlineLevel="1">
      <c r="B7561" s="187">
        <v>33191</v>
      </c>
      <c r="C7561" s="188">
        <v>8.36</v>
      </c>
      <c r="D7561" s="104">
        <f t="shared" si="117"/>
        <v>8.3599999999999994E-2</v>
      </c>
      <c r="F7561" s="5"/>
    </row>
    <row r="7562" spans="2:6" ht="13.8" hidden="1" outlineLevel="1">
      <c r="B7562" s="187">
        <v>33192</v>
      </c>
      <c r="C7562" s="188">
        <v>8.3699999999999992</v>
      </c>
      <c r="D7562" s="104">
        <f t="shared" si="117"/>
        <v>8.3699999999999997E-2</v>
      </c>
      <c r="F7562" s="5"/>
    </row>
    <row r="7563" spans="2:6" ht="13.8" hidden="1" outlineLevel="1">
      <c r="B7563" s="187">
        <v>33193</v>
      </c>
      <c r="C7563" s="188">
        <v>8.3000000000000007</v>
      </c>
      <c r="D7563" s="104">
        <f t="shared" si="117"/>
        <v>8.3000000000000004E-2</v>
      </c>
      <c r="F7563" s="5"/>
    </row>
    <row r="7564" spans="2:6" ht="13.8" hidden="1" outlineLevel="1">
      <c r="B7564" s="187">
        <v>33196</v>
      </c>
      <c r="C7564" s="188">
        <v>8.35</v>
      </c>
      <c r="D7564" s="104">
        <f t="shared" si="117"/>
        <v>8.3499999999999991E-2</v>
      </c>
      <c r="F7564" s="5"/>
    </row>
    <row r="7565" spans="2:6" ht="13.8" hidden="1" outlineLevel="1">
      <c r="B7565" s="187">
        <v>33197</v>
      </c>
      <c r="C7565" s="188">
        <v>8.31</v>
      </c>
      <c r="D7565" s="104">
        <f t="shared" si="117"/>
        <v>8.3100000000000007E-2</v>
      </c>
      <c r="F7565" s="5"/>
    </row>
    <row r="7566" spans="2:6" ht="13.8" hidden="1" outlineLevel="1">
      <c r="B7566" s="187">
        <v>33198</v>
      </c>
      <c r="C7566" s="188">
        <v>8.27</v>
      </c>
      <c r="D7566" s="104">
        <f t="shared" si="117"/>
        <v>8.2699999999999996E-2</v>
      </c>
      <c r="F7566" s="5"/>
    </row>
    <row r="7567" spans="2:6" ht="13.8" hidden="1" outlineLevel="1">
      <c r="B7567" s="187">
        <v>33199</v>
      </c>
      <c r="C7567" s="188" t="s">
        <v>380</v>
      </c>
      <c r="D7567" s="104">
        <f t="shared" si="117"/>
        <v>8.2699999999999996E-2</v>
      </c>
      <c r="F7567" s="5"/>
    </row>
    <row r="7568" spans="2:6" ht="13.8" hidden="1" outlineLevel="1">
      <c r="B7568" s="187">
        <v>33200</v>
      </c>
      <c r="C7568" s="188">
        <v>8.2799999999999994</v>
      </c>
      <c r="D7568" s="104">
        <f t="shared" si="117"/>
        <v>8.2799999999999999E-2</v>
      </c>
      <c r="F7568" s="5"/>
    </row>
    <row r="7569" spans="2:6" ht="13.8" hidden="1" outlineLevel="1">
      <c r="B7569" s="187">
        <v>33203</v>
      </c>
      <c r="C7569" s="188">
        <v>8.27</v>
      </c>
      <c r="D7569" s="104">
        <f t="shared" si="117"/>
        <v>8.2699999999999996E-2</v>
      </c>
      <c r="F7569" s="5"/>
    </row>
    <row r="7570" spans="2:6" ht="13.8" hidden="1" outlineLevel="1">
      <c r="B7570" s="187">
        <v>33204</v>
      </c>
      <c r="C7570" s="188">
        <v>8.2799999999999994</v>
      </c>
      <c r="D7570" s="104">
        <f t="shared" si="117"/>
        <v>8.2799999999999999E-2</v>
      </c>
      <c r="F7570" s="5"/>
    </row>
    <row r="7571" spans="2:6" ht="13.8" hidden="1" outlineLevel="1">
      <c r="B7571" s="187">
        <v>33205</v>
      </c>
      <c r="C7571" s="188">
        <v>8.3000000000000007</v>
      </c>
      <c r="D7571" s="104">
        <f t="shared" si="117"/>
        <v>8.3000000000000004E-2</v>
      </c>
      <c r="F7571" s="5"/>
    </row>
    <row r="7572" spans="2:6" ht="13.8" hidden="1" outlineLevel="1">
      <c r="B7572" s="187">
        <v>33206</v>
      </c>
      <c r="C7572" s="188">
        <v>8.32</v>
      </c>
      <c r="D7572" s="104">
        <f t="shared" si="117"/>
        <v>8.3199999999999996E-2</v>
      </c>
      <c r="F7572" s="5"/>
    </row>
    <row r="7573" spans="2:6" ht="13.8" hidden="1" outlineLevel="1">
      <c r="B7573" s="187">
        <v>33207</v>
      </c>
      <c r="C7573" s="188">
        <v>8.26</v>
      </c>
      <c r="D7573" s="104">
        <f t="shared" si="117"/>
        <v>8.2599999999999993E-2</v>
      </c>
      <c r="F7573" s="5"/>
    </row>
    <row r="7574" spans="2:6" ht="13.8" hidden="1" outlineLevel="1">
      <c r="B7574" s="187">
        <v>33210</v>
      </c>
      <c r="C7574" s="188">
        <v>8.2200000000000006</v>
      </c>
      <c r="D7574" s="104">
        <f t="shared" si="117"/>
        <v>8.2200000000000009E-2</v>
      </c>
      <c r="F7574" s="5"/>
    </row>
    <row r="7575" spans="2:6" ht="13.8" hidden="1" outlineLevel="1">
      <c r="B7575" s="187">
        <v>33211</v>
      </c>
      <c r="C7575" s="188">
        <v>8.1999999999999993</v>
      </c>
      <c r="D7575" s="104">
        <f t="shared" si="117"/>
        <v>8.199999999999999E-2</v>
      </c>
      <c r="F7575" s="5"/>
    </row>
    <row r="7576" spans="2:6" ht="13.8" hidden="1" outlineLevel="1">
      <c r="B7576" s="187">
        <v>33212</v>
      </c>
      <c r="C7576" s="188">
        <v>8.16</v>
      </c>
      <c r="D7576" s="104">
        <f t="shared" si="117"/>
        <v>8.1600000000000006E-2</v>
      </c>
      <c r="F7576" s="5"/>
    </row>
    <row r="7577" spans="2:6" ht="13.8" hidden="1" outlineLevel="1">
      <c r="B7577" s="187">
        <v>33213</v>
      </c>
      <c r="C7577" s="188">
        <v>8.18</v>
      </c>
      <c r="D7577" s="104">
        <f t="shared" si="117"/>
        <v>8.1799999999999998E-2</v>
      </c>
      <c r="F7577" s="5"/>
    </row>
    <row r="7578" spans="2:6" ht="13.8" hidden="1" outlineLevel="1">
      <c r="B7578" s="187">
        <v>33214</v>
      </c>
      <c r="C7578" s="188">
        <v>8.0299999999999994</v>
      </c>
      <c r="D7578" s="104">
        <f t="shared" si="117"/>
        <v>8.0299999999999996E-2</v>
      </c>
      <c r="F7578" s="5"/>
    </row>
    <row r="7579" spans="2:6" ht="13.8" hidden="1" outlineLevel="1">
      <c r="B7579" s="187">
        <v>33217</v>
      </c>
      <c r="C7579" s="188">
        <v>7.98</v>
      </c>
      <c r="D7579" s="104">
        <f t="shared" si="117"/>
        <v>7.980000000000001E-2</v>
      </c>
      <c r="F7579" s="5"/>
    </row>
    <row r="7580" spans="2:6" ht="13.8" hidden="1" outlineLevel="1">
      <c r="B7580" s="187">
        <v>33218</v>
      </c>
      <c r="C7580" s="188">
        <v>7.94</v>
      </c>
      <c r="D7580" s="104">
        <f t="shared" si="117"/>
        <v>7.9399999999999998E-2</v>
      </c>
      <c r="F7580" s="5"/>
    </row>
    <row r="7581" spans="2:6" ht="13.8" hidden="1" outlineLevel="1">
      <c r="B7581" s="187">
        <v>33219</v>
      </c>
      <c r="C7581" s="188">
        <v>7.91</v>
      </c>
      <c r="D7581" s="104">
        <f t="shared" si="117"/>
        <v>7.9100000000000004E-2</v>
      </c>
      <c r="F7581" s="5"/>
    </row>
    <row r="7582" spans="2:6" ht="13.8" hidden="1" outlineLevel="1">
      <c r="B7582" s="187">
        <v>33220</v>
      </c>
      <c r="C7582" s="188">
        <v>7.98</v>
      </c>
      <c r="D7582" s="104">
        <f t="shared" ref="D7582:D7645" si="118">IF( LEN( C7582 ) = 0, #N/A, IF( C7582 = "ND", D7581, C7582 / 100 ) )</f>
        <v>7.980000000000001E-2</v>
      </c>
      <c r="F7582" s="5"/>
    </row>
    <row r="7583" spans="2:6" ht="13.8" hidden="1" outlineLevel="1">
      <c r="B7583" s="187">
        <v>33221</v>
      </c>
      <c r="C7583" s="188">
        <v>8.0500000000000007</v>
      </c>
      <c r="D7583" s="104">
        <f t="shared" si="118"/>
        <v>8.0500000000000002E-2</v>
      </c>
      <c r="F7583" s="5"/>
    </row>
    <row r="7584" spans="2:6" ht="13.8" hidden="1" outlineLevel="1">
      <c r="B7584" s="187">
        <v>33224</v>
      </c>
      <c r="C7584" s="188">
        <v>8.02</v>
      </c>
      <c r="D7584" s="104">
        <f t="shared" si="118"/>
        <v>8.0199999999999994E-2</v>
      </c>
      <c r="F7584" s="5"/>
    </row>
    <row r="7585" spans="2:6" ht="13.8" hidden="1" outlineLevel="1">
      <c r="B7585" s="187">
        <v>33225</v>
      </c>
      <c r="C7585" s="188">
        <v>7.99</v>
      </c>
      <c r="D7585" s="104">
        <f t="shared" si="118"/>
        <v>7.9899999999999999E-2</v>
      </c>
      <c r="F7585" s="5"/>
    </row>
    <row r="7586" spans="2:6" ht="13.8" hidden="1" outlineLevel="1">
      <c r="B7586" s="187">
        <v>33226</v>
      </c>
      <c r="C7586" s="188">
        <v>8</v>
      </c>
      <c r="D7586" s="104">
        <f t="shared" si="118"/>
        <v>0.08</v>
      </c>
      <c r="F7586" s="5"/>
    </row>
    <row r="7587" spans="2:6" ht="13.8" hidden="1" outlineLevel="1">
      <c r="B7587" s="187">
        <v>33227</v>
      </c>
      <c r="C7587" s="188">
        <v>8.0500000000000007</v>
      </c>
      <c r="D7587" s="104">
        <f t="shared" si="118"/>
        <v>8.0500000000000002E-2</v>
      </c>
      <c r="F7587" s="5"/>
    </row>
    <row r="7588" spans="2:6" ht="13.8" hidden="1" outlineLevel="1">
      <c r="B7588" s="187">
        <v>33228</v>
      </c>
      <c r="C7588" s="188">
        <v>8.11</v>
      </c>
      <c r="D7588" s="104">
        <f t="shared" si="118"/>
        <v>8.1099999999999992E-2</v>
      </c>
      <c r="F7588" s="5"/>
    </row>
    <row r="7589" spans="2:6" ht="13.8" hidden="1" outlineLevel="1">
      <c r="B7589" s="187">
        <v>33231</v>
      </c>
      <c r="C7589" s="188">
        <v>8.1999999999999993</v>
      </c>
      <c r="D7589" s="104">
        <f t="shared" si="118"/>
        <v>8.199999999999999E-2</v>
      </c>
      <c r="F7589" s="5"/>
    </row>
    <row r="7590" spans="2:6" ht="13.8" hidden="1" outlineLevel="1">
      <c r="B7590" s="187">
        <v>33232</v>
      </c>
      <c r="C7590" s="188" t="s">
        <v>380</v>
      </c>
      <c r="D7590" s="104">
        <f t="shared" si="118"/>
        <v>8.199999999999999E-2</v>
      </c>
      <c r="F7590" s="5"/>
    </row>
    <row r="7591" spans="2:6" ht="13.8" hidden="1" outlineLevel="1">
      <c r="B7591" s="187">
        <v>33233</v>
      </c>
      <c r="C7591" s="188">
        <v>8.15</v>
      </c>
      <c r="D7591" s="104">
        <f t="shared" si="118"/>
        <v>8.1500000000000003E-2</v>
      </c>
      <c r="F7591" s="5"/>
    </row>
    <row r="7592" spans="2:6" ht="13.8" hidden="1" outlineLevel="1">
      <c r="B7592" s="187">
        <v>33234</v>
      </c>
      <c r="C7592" s="188">
        <v>8.11</v>
      </c>
      <c r="D7592" s="104">
        <f t="shared" si="118"/>
        <v>8.1099999999999992E-2</v>
      </c>
      <c r="F7592" s="5"/>
    </row>
    <row r="7593" spans="2:6" ht="13.8" hidden="1" outlineLevel="1">
      <c r="B7593" s="187">
        <v>33235</v>
      </c>
      <c r="C7593" s="188">
        <v>8.14</v>
      </c>
      <c r="D7593" s="104">
        <f t="shared" si="118"/>
        <v>8.14E-2</v>
      </c>
      <c r="F7593" s="5"/>
    </row>
    <row r="7594" spans="2:6" ht="13.8" hidden="1" outlineLevel="1">
      <c r="B7594" s="187">
        <v>33238</v>
      </c>
      <c r="C7594" s="188">
        <v>8.08</v>
      </c>
      <c r="D7594" s="104">
        <f t="shared" si="118"/>
        <v>8.0799999999999997E-2</v>
      </c>
      <c r="F7594" s="5"/>
    </row>
    <row r="7595" spans="2:6" ht="13.8" hidden="1" outlineLevel="1">
      <c r="B7595" s="187">
        <v>33239</v>
      </c>
      <c r="C7595" s="188" t="s">
        <v>380</v>
      </c>
      <c r="D7595" s="104">
        <f t="shared" si="118"/>
        <v>8.0799999999999997E-2</v>
      </c>
      <c r="F7595" s="5"/>
    </row>
    <row r="7596" spans="2:6" ht="13.8" hidden="1" outlineLevel="1">
      <c r="B7596" s="187">
        <v>33240</v>
      </c>
      <c r="C7596" s="188">
        <v>7.97</v>
      </c>
      <c r="D7596" s="104">
        <f t="shared" si="118"/>
        <v>7.9699999999999993E-2</v>
      </c>
      <c r="F7596" s="5"/>
    </row>
    <row r="7597" spans="2:6" ht="13.8" hidden="1" outlineLevel="1">
      <c r="B7597" s="187">
        <v>33241</v>
      </c>
      <c r="C7597" s="188">
        <v>7.93</v>
      </c>
      <c r="D7597" s="104">
        <f t="shared" si="118"/>
        <v>7.9299999999999995E-2</v>
      </c>
      <c r="F7597" s="5"/>
    </row>
    <row r="7598" spans="2:6" ht="13.8" hidden="1" outlineLevel="1">
      <c r="B7598" s="187">
        <v>33242</v>
      </c>
      <c r="C7598" s="188">
        <v>8.02</v>
      </c>
      <c r="D7598" s="104">
        <f t="shared" si="118"/>
        <v>8.0199999999999994E-2</v>
      </c>
      <c r="F7598" s="5"/>
    </row>
    <row r="7599" spans="2:6" ht="13.8" hidden="1" outlineLevel="1">
      <c r="B7599" s="187">
        <v>33245</v>
      </c>
      <c r="C7599" s="188">
        <v>8.1300000000000008</v>
      </c>
      <c r="D7599" s="104">
        <f t="shared" si="118"/>
        <v>8.1300000000000011E-2</v>
      </c>
      <c r="F7599" s="5"/>
    </row>
    <row r="7600" spans="2:6" ht="13.8" hidden="1" outlineLevel="1">
      <c r="B7600" s="187">
        <v>33246</v>
      </c>
      <c r="C7600" s="188">
        <v>8.16</v>
      </c>
      <c r="D7600" s="104">
        <f t="shared" si="118"/>
        <v>8.1600000000000006E-2</v>
      </c>
      <c r="F7600" s="5"/>
    </row>
    <row r="7601" spans="2:6" ht="13.8" hidden="1" outlineLevel="1">
      <c r="B7601" s="187">
        <v>33247</v>
      </c>
      <c r="C7601" s="188">
        <v>8.25</v>
      </c>
      <c r="D7601" s="104">
        <f t="shared" si="118"/>
        <v>8.2500000000000004E-2</v>
      </c>
      <c r="F7601" s="5"/>
    </row>
    <row r="7602" spans="2:6" ht="13.8" hidden="1" outlineLevel="1">
      <c r="B7602" s="187">
        <v>33248</v>
      </c>
      <c r="C7602" s="188">
        <v>8.16</v>
      </c>
      <c r="D7602" s="104">
        <f t="shared" si="118"/>
        <v>8.1600000000000006E-2</v>
      </c>
      <c r="F7602" s="5"/>
    </row>
    <row r="7603" spans="2:6" ht="13.8" hidden="1" outlineLevel="1">
      <c r="B7603" s="187">
        <v>33249</v>
      </c>
      <c r="C7603" s="188">
        <v>8.1999999999999993</v>
      </c>
      <c r="D7603" s="104">
        <f t="shared" si="118"/>
        <v>8.199999999999999E-2</v>
      </c>
      <c r="F7603" s="5"/>
    </row>
    <row r="7604" spans="2:6" ht="13.8" hidden="1" outlineLevel="1">
      <c r="B7604" s="187">
        <v>33252</v>
      </c>
      <c r="C7604" s="188">
        <v>8.23</v>
      </c>
      <c r="D7604" s="104">
        <f t="shared" si="118"/>
        <v>8.2299999999999998E-2</v>
      </c>
      <c r="F7604" s="5"/>
    </row>
    <row r="7605" spans="2:6" ht="13.8" hidden="1" outlineLevel="1">
      <c r="B7605" s="187">
        <v>33253</v>
      </c>
      <c r="C7605" s="188">
        <v>8.2200000000000006</v>
      </c>
      <c r="D7605" s="104">
        <f t="shared" si="118"/>
        <v>8.2200000000000009E-2</v>
      </c>
      <c r="F7605" s="5"/>
    </row>
    <row r="7606" spans="2:6" ht="13.8" hidden="1" outlineLevel="1">
      <c r="B7606" s="187">
        <v>33254</v>
      </c>
      <c r="C7606" s="188">
        <v>8.24</v>
      </c>
      <c r="D7606" s="104">
        <f t="shared" si="118"/>
        <v>8.2400000000000001E-2</v>
      </c>
      <c r="F7606" s="5"/>
    </row>
    <row r="7607" spans="2:6" ht="13.8" hidden="1" outlineLevel="1">
      <c r="B7607" s="187">
        <v>33255</v>
      </c>
      <c r="C7607" s="188">
        <v>8.0500000000000007</v>
      </c>
      <c r="D7607" s="104">
        <f t="shared" si="118"/>
        <v>8.0500000000000002E-2</v>
      </c>
      <c r="F7607" s="5"/>
    </row>
    <row r="7608" spans="2:6" ht="13.8" hidden="1" outlineLevel="1">
      <c r="B7608" s="187">
        <v>33256</v>
      </c>
      <c r="C7608" s="188">
        <v>8.0299999999999994</v>
      </c>
      <c r="D7608" s="104">
        <f t="shared" si="118"/>
        <v>8.0299999999999996E-2</v>
      </c>
      <c r="F7608" s="5"/>
    </row>
    <row r="7609" spans="2:6" ht="13.8" hidden="1" outlineLevel="1">
      <c r="B7609" s="187">
        <v>33259</v>
      </c>
      <c r="C7609" s="188" t="s">
        <v>380</v>
      </c>
      <c r="D7609" s="104">
        <f t="shared" si="118"/>
        <v>8.0299999999999996E-2</v>
      </c>
      <c r="F7609" s="5"/>
    </row>
    <row r="7610" spans="2:6" ht="13.8" hidden="1" outlineLevel="1">
      <c r="B7610" s="187">
        <v>33260</v>
      </c>
      <c r="C7610" s="188">
        <v>8.07</v>
      </c>
      <c r="D7610" s="104">
        <f t="shared" si="118"/>
        <v>8.0700000000000008E-2</v>
      </c>
      <c r="F7610" s="5"/>
    </row>
    <row r="7611" spans="2:6" ht="13.8" hidden="1" outlineLevel="1">
      <c r="B7611" s="187">
        <v>33261</v>
      </c>
      <c r="C7611" s="188">
        <v>8.0399999999999991</v>
      </c>
      <c r="D7611" s="104">
        <f t="shared" si="118"/>
        <v>8.0399999999999985E-2</v>
      </c>
      <c r="F7611" s="5"/>
    </row>
    <row r="7612" spans="2:6" ht="13.8" hidden="1" outlineLevel="1">
      <c r="B7612" s="187">
        <v>33262</v>
      </c>
      <c r="C7612" s="188">
        <v>8</v>
      </c>
      <c r="D7612" s="104">
        <f t="shared" si="118"/>
        <v>0.08</v>
      </c>
      <c r="F7612" s="5"/>
    </row>
    <row r="7613" spans="2:6" ht="13.8" hidden="1" outlineLevel="1">
      <c r="B7613" s="187">
        <v>33263</v>
      </c>
      <c r="C7613" s="188">
        <v>8.06</v>
      </c>
      <c r="D7613" s="104">
        <f t="shared" si="118"/>
        <v>8.0600000000000005E-2</v>
      </c>
      <c r="F7613" s="5"/>
    </row>
    <row r="7614" spans="2:6" ht="13.8" hidden="1" outlineLevel="1">
      <c r="B7614" s="187">
        <v>33266</v>
      </c>
      <c r="C7614" s="188">
        <v>8.06</v>
      </c>
      <c r="D7614" s="104">
        <f t="shared" si="118"/>
        <v>8.0600000000000005E-2</v>
      </c>
      <c r="F7614" s="5"/>
    </row>
    <row r="7615" spans="2:6" ht="13.8" hidden="1" outlineLevel="1">
      <c r="B7615" s="187">
        <v>33267</v>
      </c>
      <c r="C7615" s="188">
        <v>8.0500000000000007</v>
      </c>
      <c r="D7615" s="104">
        <f t="shared" si="118"/>
        <v>8.0500000000000002E-2</v>
      </c>
      <c r="F7615" s="5"/>
    </row>
    <row r="7616" spans="2:6" ht="13.8" hidden="1" outlineLevel="1">
      <c r="B7616" s="187">
        <v>33268</v>
      </c>
      <c r="C7616" s="188">
        <v>8.0500000000000007</v>
      </c>
      <c r="D7616" s="104">
        <f t="shared" si="118"/>
        <v>8.0500000000000002E-2</v>
      </c>
      <c r="F7616" s="5"/>
    </row>
    <row r="7617" spans="2:6" ht="13.8" hidden="1" outlineLevel="1">
      <c r="B7617" s="187">
        <v>33269</v>
      </c>
      <c r="C7617" s="188">
        <v>8.0299999999999994</v>
      </c>
      <c r="D7617" s="104">
        <f t="shared" si="118"/>
        <v>8.0299999999999996E-2</v>
      </c>
      <c r="F7617" s="5"/>
    </row>
    <row r="7618" spans="2:6" ht="13.8" hidden="1" outlineLevel="1">
      <c r="B7618" s="187">
        <v>33270</v>
      </c>
      <c r="C7618" s="188">
        <v>7.91</v>
      </c>
      <c r="D7618" s="104">
        <f t="shared" si="118"/>
        <v>7.9100000000000004E-2</v>
      </c>
      <c r="F7618" s="5"/>
    </row>
    <row r="7619" spans="2:6" ht="13.8" hidden="1" outlineLevel="1">
      <c r="B7619" s="187">
        <v>33273</v>
      </c>
      <c r="C7619" s="188">
        <v>7.88</v>
      </c>
      <c r="D7619" s="104">
        <f t="shared" si="118"/>
        <v>7.8799999999999995E-2</v>
      </c>
      <c r="F7619" s="5"/>
    </row>
    <row r="7620" spans="2:6" ht="13.8" hidden="1" outlineLevel="1">
      <c r="B7620" s="187">
        <v>33274</v>
      </c>
      <c r="C7620" s="188">
        <v>7.85</v>
      </c>
      <c r="D7620" s="104">
        <f t="shared" si="118"/>
        <v>7.85E-2</v>
      </c>
      <c r="F7620" s="5"/>
    </row>
    <row r="7621" spans="2:6" ht="13.8" hidden="1" outlineLevel="1">
      <c r="B7621" s="187">
        <v>33275</v>
      </c>
      <c r="C7621" s="188">
        <v>7.79</v>
      </c>
      <c r="D7621" s="104">
        <f t="shared" si="118"/>
        <v>7.7899999999999997E-2</v>
      </c>
      <c r="F7621" s="5"/>
    </row>
    <row r="7622" spans="2:6" ht="13.8" hidden="1" outlineLevel="1">
      <c r="B7622" s="187">
        <v>33276</v>
      </c>
      <c r="C7622" s="188">
        <v>7.82</v>
      </c>
      <c r="D7622" s="104">
        <f t="shared" si="118"/>
        <v>7.8200000000000006E-2</v>
      </c>
      <c r="F7622" s="5"/>
    </row>
    <row r="7623" spans="2:6" ht="13.8" hidden="1" outlineLevel="1">
      <c r="B7623" s="187">
        <v>33277</v>
      </c>
      <c r="C7623" s="188">
        <v>7.77</v>
      </c>
      <c r="D7623" s="104">
        <f t="shared" si="118"/>
        <v>7.7699999999999991E-2</v>
      </c>
      <c r="F7623" s="5"/>
    </row>
    <row r="7624" spans="2:6" ht="13.8" hidden="1" outlineLevel="1">
      <c r="B7624" s="187">
        <v>33280</v>
      </c>
      <c r="C7624" s="188">
        <v>7.78</v>
      </c>
      <c r="D7624" s="104">
        <f t="shared" si="118"/>
        <v>7.7800000000000008E-2</v>
      </c>
      <c r="F7624" s="5"/>
    </row>
    <row r="7625" spans="2:6" ht="13.8" hidden="1" outlineLevel="1">
      <c r="B7625" s="187">
        <v>33281</v>
      </c>
      <c r="C7625" s="188">
        <v>7.78</v>
      </c>
      <c r="D7625" s="104">
        <f t="shared" si="118"/>
        <v>7.7800000000000008E-2</v>
      </c>
      <c r="F7625" s="5"/>
    </row>
    <row r="7626" spans="2:6" ht="13.8" hidden="1" outlineLevel="1">
      <c r="B7626" s="187">
        <v>33282</v>
      </c>
      <c r="C7626" s="188">
        <v>7.78</v>
      </c>
      <c r="D7626" s="104">
        <f t="shared" si="118"/>
        <v>7.7800000000000008E-2</v>
      </c>
      <c r="F7626" s="5"/>
    </row>
    <row r="7627" spans="2:6" ht="13.8" hidden="1" outlineLevel="1">
      <c r="B7627" s="187">
        <v>33283</v>
      </c>
      <c r="C7627" s="188">
        <v>7.8</v>
      </c>
      <c r="D7627" s="104">
        <f t="shared" si="118"/>
        <v>7.8E-2</v>
      </c>
      <c r="F7627" s="5"/>
    </row>
    <row r="7628" spans="2:6" ht="13.8" hidden="1" outlineLevel="1">
      <c r="B7628" s="187">
        <v>33284</v>
      </c>
      <c r="C7628" s="188">
        <v>7.78</v>
      </c>
      <c r="D7628" s="104">
        <f t="shared" si="118"/>
        <v>7.7800000000000008E-2</v>
      </c>
      <c r="F7628" s="5"/>
    </row>
    <row r="7629" spans="2:6" ht="13.8" hidden="1" outlineLevel="1">
      <c r="B7629" s="187">
        <v>33287</v>
      </c>
      <c r="C7629" s="188" t="s">
        <v>380</v>
      </c>
      <c r="D7629" s="104">
        <f t="shared" si="118"/>
        <v>7.7800000000000008E-2</v>
      </c>
      <c r="F7629" s="5"/>
    </row>
    <row r="7630" spans="2:6" ht="13.8" hidden="1" outlineLevel="1">
      <c r="B7630" s="187">
        <v>33288</v>
      </c>
      <c r="C7630" s="188">
        <v>7.8</v>
      </c>
      <c r="D7630" s="104">
        <f t="shared" si="118"/>
        <v>7.8E-2</v>
      </c>
      <c r="F7630" s="5"/>
    </row>
    <row r="7631" spans="2:6" ht="13.8" hidden="1" outlineLevel="1">
      <c r="B7631" s="187">
        <v>33289</v>
      </c>
      <c r="C7631" s="188">
        <v>7.84</v>
      </c>
      <c r="D7631" s="104">
        <f t="shared" si="118"/>
        <v>7.8399999999999997E-2</v>
      </c>
      <c r="F7631" s="5"/>
    </row>
    <row r="7632" spans="2:6" ht="13.8" hidden="1" outlineLevel="1">
      <c r="B7632" s="187">
        <v>33290</v>
      </c>
      <c r="C7632" s="188">
        <v>7.88</v>
      </c>
      <c r="D7632" s="104">
        <f t="shared" si="118"/>
        <v>7.8799999999999995E-2</v>
      </c>
      <c r="F7632" s="5"/>
    </row>
    <row r="7633" spans="2:6" ht="13.8" hidden="1" outlineLevel="1">
      <c r="B7633" s="187">
        <v>33291</v>
      </c>
      <c r="C7633" s="188">
        <v>7.91</v>
      </c>
      <c r="D7633" s="104">
        <f t="shared" si="118"/>
        <v>7.9100000000000004E-2</v>
      </c>
      <c r="F7633" s="5"/>
    </row>
    <row r="7634" spans="2:6" ht="13.8" hidden="1" outlineLevel="1">
      <c r="B7634" s="187">
        <v>33294</v>
      </c>
      <c r="C7634" s="188">
        <v>7.91</v>
      </c>
      <c r="D7634" s="104">
        <f t="shared" si="118"/>
        <v>7.9100000000000004E-2</v>
      </c>
      <c r="F7634" s="5"/>
    </row>
    <row r="7635" spans="2:6" ht="13.8" hidden="1" outlineLevel="1">
      <c r="B7635" s="187">
        <v>33295</v>
      </c>
      <c r="C7635" s="188">
        <v>7.96</v>
      </c>
      <c r="D7635" s="104">
        <f t="shared" si="118"/>
        <v>7.9600000000000004E-2</v>
      </c>
      <c r="F7635" s="5"/>
    </row>
    <row r="7636" spans="2:6" ht="13.8" hidden="1" outlineLevel="1">
      <c r="B7636" s="187">
        <v>33296</v>
      </c>
      <c r="C7636" s="188">
        <v>7.98</v>
      </c>
      <c r="D7636" s="104">
        <f t="shared" si="118"/>
        <v>7.980000000000001E-2</v>
      </c>
      <c r="F7636" s="5"/>
    </row>
    <row r="7637" spans="2:6" ht="13.8" hidden="1" outlineLevel="1">
      <c r="B7637" s="187">
        <v>33297</v>
      </c>
      <c r="C7637" s="188">
        <v>8.02</v>
      </c>
      <c r="D7637" s="104">
        <f t="shared" si="118"/>
        <v>8.0199999999999994E-2</v>
      </c>
      <c r="F7637" s="5"/>
    </row>
    <row r="7638" spans="2:6" ht="13.8" hidden="1" outlineLevel="1">
      <c r="B7638" s="187">
        <v>33298</v>
      </c>
      <c r="C7638" s="188">
        <v>8.1199999999999992</v>
      </c>
      <c r="D7638" s="104">
        <f t="shared" si="118"/>
        <v>8.1199999999999994E-2</v>
      </c>
      <c r="F7638" s="5"/>
    </row>
    <row r="7639" spans="2:6" ht="13.8" hidden="1" outlineLevel="1">
      <c r="B7639" s="187">
        <v>33301</v>
      </c>
      <c r="C7639" s="188">
        <v>8.1199999999999992</v>
      </c>
      <c r="D7639" s="104">
        <f t="shared" si="118"/>
        <v>8.1199999999999994E-2</v>
      </c>
      <c r="F7639" s="5"/>
    </row>
    <row r="7640" spans="2:6" ht="13.8" hidden="1" outlineLevel="1">
      <c r="B7640" s="187">
        <v>33302</v>
      </c>
      <c r="C7640" s="188">
        <v>8.08</v>
      </c>
      <c r="D7640" s="104">
        <f t="shared" si="118"/>
        <v>8.0799999999999997E-2</v>
      </c>
      <c r="F7640" s="5"/>
    </row>
    <row r="7641" spans="2:6" ht="13.8" hidden="1" outlineLevel="1">
      <c r="B7641" s="187">
        <v>33303</v>
      </c>
      <c r="C7641" s="188">
        <v>8.11</v>
      </c>
      <c r="D7641" s="104">
        <f t="shared" si="118"/>
        <v>8.1099999999999992E-2</v>
      </c>
      <c r="F7641" s="5"/>
    </row>
    <row r="7642" spans="2:6" ht="13.8" hidden="1" outlineLevel="1">
      <c r="B7642" s="187">
        <v>33304</v>
      </c>
      <c r="C7642" s="188">
        <v>8.07</v>
      </c>
      <c r="D7642" s="104">
        <f t="shared" si="118"/>
        <v>8.0700000000000008E-2</v>
      </c>
      <c r="F7642" s="5"/>
    </row>
    <row r="7643" spans="2:6" ht="13.8" hidden="1" outlineLevel="1">
      <c r="B7643" s="187">
        <v>33305</v>
      </c>
      <c r="C7643" s="188">
        <v>8.1300000000000008</v>
      </c>
      <c r="D7643" s="104">
        <f t="shared" si="118"/>
        <v>8.1300000000000011E-2</v>
      </c>
      <c r="F7643" s="5"/>
    </row>
    <row r="7644" spans="2:6" ht="13.8" hidden="1" outlineLevel="1">
      <c r="B7644" s="187">
        <v>33308</v>
      </c>
      <c r="C7644" s="188">
        <v>8.06</v>
      </c>
      <c r="D7644" s="104">
        <f t="shared" si="118"/>
        <v>8.0600000000000005E-2</v>
      </c>
      <c r="F7644" s="5"/>
    </row>
    <row r="7645" spans="2:6" ht="13.8" hidden="1" outlineLevel="1">
      <c r="B7645" s="187">
        <v>33309</v>
      </c>
      <c r="C7645" s="188">
        <v>8.09</v>
      </c>
      <c r="D7645" s="104">
        <f t="shared" si="118"/>
        <v>8.09E-2</v>
      </c>
      <c r="F7645" s="5"/>
    </row>
    <row r="7646" spans="2:6" ht="13.8" hidden="1" outlineLevel="1">
      <c r="B7646" s="187">
        <v>33310</v>
      </c>
      <c r="C7646" s="188">
        <v>8.02</v>
      </c>
      <c r="D7646" s="104">
        <f t="shared" ref="D7646:D7709" si="119">IF( LEN( C7646 ) = 0, #N/A, IF( C7646 = "ND", D7645, C7646 / 100 ) )</f>
        <v>8.0199999999999994E-2</v>
      </c>
      <c r="F7646" s="5"/>
    </row>
    <row r="7647" spans="2:6" ht="13.8" hidden="1" outlineLevel="1">
      <c r="B7647" s="187">
        <v>33311</v>
      </c>
      <c r="C7647" s="188">
        <v>8.02</v>
      </c>
      <c r="D7647" s="104">
        <f t="shared" si="119"/>
        <v>8.0199999999999994E-2</v>
      </c>
      <c r="F7647" s="5"/>
    </row>
    <row r="7648" spans="2:6" ht="13.8" hidden="1" outlineLevel="1">
      <c r="B7648" s="187">
        <v>33312</v>
      </c>
      <c r="C7648" s="188">
        <v>8.1</v>
      </c>
      <c r="D7648" s="104">
        <f t="shared" si="119"/>
        <v>8.1000000000000003E-2</v>
      </c>
      <c r="F7648" s="5"/>
    </row>
    <row r="7649" spans="2:6" ht="13.8" hidden="1" outlineLevel="1">
      <c r="B7649" s="187">
        <v>33315</v>
      </c>
      <c r="C7649" s="188">
        <v>8.15</v>
      </c>
      <c r="D7649" s="104">
        <f t="shared" si="119"/>
        <v>8.1500000000000003E-2</v>
      </c>
      <c r="F7649" s="5"/>
    </row>
    <row r="7650" spans="2:6" ht="13.8" hidden="1" outlineLevel="1">
      <c r="B7650" s="187">
        <v>33316</v>
      </c>
      <c r="C7650" s="188">
        <v>8.25</v>
      </c>
      <c r="D7650" s="104">
        <f t="shared" si="119"/>
        <v>8.2500000000000004E-2</v>
      </c>
      <c r="F7650" s="5"/>
    </row>
    <row r="7651" spans="2:6" ht="13.8" hidden="1" outlineLevel="1">
      <c r="B7651" s="187">
        <v>33317</v>
      </c>
      <c r="C7651" s="188">
        <v>8.1999999999999993</v>
      </c>
      <c r="D7651" s="104">
        <f t="shared" si="119"/>
        <v>8.199999999999999E-2</v>
      </c>
      <c r="F7651" s="5"/>
    </row>
    <row r="7652" spans="2:6" ht="13.8" hidden="1" outlineLevel="1">
      <c r="B7652" s="187">
        <v>33318</v>
      </c>
      <c r="C7652" s="188">
        <v>8.16</v>
      </c>
      <c r="D7652" s="104">
        <f t="shared" si="119"/>
        <v>8.1600000000000006E-2</v>
      </c>
      <c r="F7652" s="5"/>
    </row>
    <row r="7653" spans="2:6" ht="13.8" hidden="1" outlineLevel="1">
      <c r="B7653" s="187">
        <v>33319</v>
      </c>
      <c r="C7653" s="188">
        <v>8.1300000000000008</v>
      </c>
      <c r="D7653" s="104">
        <f t="shared" si="119"/>
        <v>8.1300000000000011E-2</v>
      </c>
      <c r="F7653" s="5"/>
    </row>
    <row r="7654" spans="2:6" ht="13.8" hidden="1" outlineLevel="1">
      <c r="B7654" s="187">
        <v>33322</v>
      </c>
      <c r="C7654" s="188">
        <v>8.1300000000000008</v>
      </c>
      <c r="D7654" s="104">
        <f t="shared" si="119"/>
        <v>8.1300000000000011E-2</v>
      </c>
      <c r="F7654" s="5"/>
    </row>
    <row r="7655" spans="2:6" ht="13.8" hidden="1" outlineLevel="1">
      <c r="B7655" s="187">
        <v>33323</v>
      </c>
      <c r="C7655" s="188">
        <v>8.1300000000000008</v>
      </c>
      <c r="D7655" s="104">
        <f t="shared" si="119"/>
        <v>8.1300000000000011E-2</v>
      </c>
      <c r="F7655" s="5"/>
    </row>
    <row r="7656" spans="2:6" ht="13.8" hidden="1" outlineLevel="1">
      <c r="B7656" s="187">
        <v>33324</v>
      </c>
      <c r="C7656" s="188">
        <v>8.08</v>
      </c>
      <c r="D7656" s="104">
        <f t="shared" si="119"/>
        <v>8.0799999999999997E-2</v>
      </c>
      <c r="F7656" s="5"/>
    </row>
    <row r="7657" spans="2:6" ht="13.8" hidden="1" outlineLevel="1">
      <c r="B7657" s="187">
        <v>33325</v>
      </c>
      <c r="C7657" s="188">
        <v>8.0500000000000007</v>
      </c>
      <c r="D7657" s="104">
        <f t="shared" si="119"/>
        <v>8.0500000000000002E-2</v>
      </c>
      <c r="F7657" s="5"/>
    </row>
    <row r="7658" spans="2:6" ht="13.8" hidden="1" outlineLevel="1">
      <c r="B7658" s="187">
        <v>33326</v>
      </c>
      <c r="C7658" s="188" t="s">
        <v>380</v>
      </c>
      <c r="D7658" s="104">
        <f t="shared" si="119"/>
        <v>8.0500000000000002E-2</v>
      </c>
      <c r="F7658" s="5"/>
    </row>
    <row r="7659" spans="2:6" ht="13.8" hidden="1" outlineLevel="1">
      <c r="B7659" s="187">
        <v>33329</v>
      </c>
      <c r="C7659" s="188">
        <v>8.07</v>
      </c>
      <c r="D7659" s="104">
        <f t="shared" si="119"/>
        <v>8.0700000000000008E-2</v>
      </c>
      <c r="F7659" s="5"/>
    </row>
    <row r="7660" spans="2:6" ht="13.8" hidden="1" outlineLevel="1">
      <c r="B7660" s="187">
        <v>33330</v>
      </c>
      <c r="C7660" s="188">
        <v>8.0299999999999994</v>
      </c>
      <c r="D7660" s="104">
        <f t="shared" si="119"/>
        <v>8.0299999999999996E-2</v>
      </c>
      <c r="F7660" s="5"/>
    </row>
    <row r="7661" spans="2:6" ht="13.8" hidden="1" outlineLevel="1">
      <c r="B7661" s="187">
        <v>33331</v>
      </c>
      <c r="C7661" s="188">
        <v>8.0500000000000007</v>
      </c>
      <c r="D7661" s="104">
        <f t="shared" si="119"/>
        <v>8.0500000000000002E-2</v>
      </c>
      <c r="F7661" s="5"/>
    </row>
    <row r="7662" spans="2:6" ht="13.8" hidden="1" outlineLevel="1">
      <c r="B7662" s="187">
        <v>33332</v>
      </c>
      <c r="C7662" s="188">
        <v>8</v>
      </c>
      <c r="D7662" s="104">
        <f t="shared" si="119"/>
        <v>0.08</v>
      </c>
      <c r="F7662" s="5"/>
    </row>
    <row r="7663" spans="2:6" ht="13.8" hidden="1" outlineLevel="1">
      <c r="B7663" s="187">
        <v>33333</v>
      </c>
      <c r="C7663" s="188">
        <v>7.99</v>
      </c>
      <c r="D7663" s="104">
        <f t="shared" si="119"/>
        <v>7.9899999999999999E-2</v>
      </c>
      <c r="F7663" s="5"/>
    </row>
    <row r="7664" spans="2:6" ht="13.8" hidden="1" outlineLevel="1">
      <c r="B7664" s="187">
        <v>33336</v>
      </c>
      <c r="C7664" s="188">
        <v>7.98</v>
      </c>
      <c r="D7664" s="104">
        <f t="shared" si="119"/>
        <v>7.980000000000001E-2</v>
      </c>
      <c r="F7664" s="5"/>
    </row>
    <row r="7665" spans="2:6" ht="13.8" hidden="1" outlineLevel="1">
      <c r="B7665" s="187">
        <v>33337</v>
      </c>
      <c r="C7665" s="188">
        <v>8.0299999999999994</v>
      </c>
      <c r="D7665" s="104">
        <f t="shared" si="119"/>
        <v>8.0299999999999996E-2</v>
      </c>
      <c r="F7665" s="5"/>
    </row>
    <row r="7666" spans="2:6" ht="13.8" hidden="1" outlineLevel="1">
      <c r="B7666" s="187">
        <v>33338</v>
      </c>
      <c r="C7666" s="188">
        <v>8.1</v>
      </c>
      <c r="D7666" s="104">
        <f t="shared" si="119"/>
        <v>8.1000000000000003E-2</v>
      </c>
      <c r="F7666" s="5"/>
    </row>
    <row r="7667" spans="2:6" ht="13.8" hidden="1" outlineLevel="1">
      <c r="B7667" s="187">
        <v>33339</v>
      </c>
      <c r="C7667" s="188">
        <v>8.09</v>
      </c>
      <c r="D7667" s="104">
        <f t="shared" si="119"/>
        <v>8.09E-2</v>
      </c>
      <c r="F7667" s="5"/>
    </row>
    <row r="7668" spans="2:6" ht="13.8" hidden="1" outlineLevel="1">
      <c r="B7668" s="187">
        <v>33340</v>
      </c>
      <c r="C7668" s="188">
        <v>7.98</v>
      </c>
      <c r="D7668" s="104">
        <f t="shared" si="119"/>
        <v>7.980000000000001E-2</v>
      </c>
      <c r="F7668" s="5"/>
    </row>
    <row r="7669" spans="2:6" ht="13.8" hidden="1" outlineLevel="1">
      <c r="B7669" s="187">
        <v>33343</v>
      </c>
      <c r="C7669" s="188">
        <v>7.95</v>
      </c>
      <c r="D7669" s="104">
        <f t="shared" si="119"/>
        <v>7.9500000000000001E-2</v>
      </c>
      <c r="F7669" s="5"/>
    </row>
    <row r="7670" spans="2:6" ht="13.8" hidden="1" outlineLevel="1">
      <c r="B7670" s="187">
        <v>33344</v>
      </c>
      <c r="C7670" s="188">
        <v>7.97</v>
      </c>
      <c r="D7670" s="104">
        <f t="shared" si="119"/>
        <v>7.9699999999999993E-2</v>
      </c>
      <c r="F7670" s="5"/>
    </row>
    <row r="7671" spans="2:6" ht="13.8" hidden="1" outlineLevel="1">
      <c r="B7671" s="187">
        <v>33345</v>
      </c>
      <c r="C7671" s="188">
        <v>7.95</v>
      </c>
      <c r="D7671" s="104">
        <f t="shared" si="119"/>
        <v>7.9500000000000001E-2</v>
      </c>
      <c r="F7671" s="5"/>
    </row>
    <row r="7672" spans="2:6" ht="13.8" hidden="1" outlineLevel="1">
      <c r="B7672" s="187">
        <v>33346</v>
      </c>
      <c r="C7672" s="188">
        <v>8.02</v>
      </c>
      <c r="D7672" s="104">
        <f t="shared" si="119"/>
        <v>8.0199999999999994E-2</v>
      </c>
      <c r="F7672" s="5"/>
    </row>
    <row r="7673" spans="2:6" ht="13.8" hidden="1" outlineLevel="1">
      <c r="B7673" s="187">
        <v>33347</v>
      </c>
      <c r="C7673" s="188">
        <v>8.1</v>
      </c>
      <c r="D7673" s="104">
        <f t="shared" si="119"/>
        <v>8.1000000000000003E-2</v>
      </c>
      <c r="F7673" s="5"/>
    </row>
    <row r="7674" spans="2:6" ht="13.8" hidden="1" outlineLevel="1">
      <c r="B7674" s="187">
        <v>33350</v>
      </c>
      <c r="C7674" s="188">
        <v>8.15</v>
      </c>
      <c r="D7674" s="104">
        <f t="shared" si="119"/>
        <v>8.1500000000000003E-2</v>
      </c>
      <c r="F7674" s="5"/>
    </row>
    <row r="7675" spans="2:6" ht="13.8" hidden="1" outlineLevel="1">
      <c r="B7675" s="187">
        <v>33351</v>
      </c>
      <c r="C7675" s="188">
        <v>8.1199999999999992</v>
      </c>
      <c r="D7675" s="104">
        <f t="shared" si="119"/>
        <v>8.1199999999999994E-2</v>
      </c>
      <c r="F7675" s="5"/>
    </row>
    <row r="7676" spans="2:6" ht="13.8" hidden="1" outlineLevel="1">
      <c r="B7676" s="187">
        <v>33352</v>
      </c>
      <c r="C7676" s="188">
        <v>8.06</v>
      </c>
      <c r="D7676" s="104">
        <f t="shared" si="119"/>
        <v>8.0600000000000005E-2</v>
      </c>
      <c r="F7676" s="5"/>
    </row>
    <row r="7677" spans="2:6" ht="13.8" hidden="1" outlineLevel="1">
      <c r="B7677" s="187">
        <v>33353</v>
      </c>
      <c r="C7677" s="188">
        <v>8.07</v>
      </c>
      <c r="D7677" s="104">
        <f t="shared" si="119"/>
        <v>8.0700000000000008E-2</v>
      </c>
      <c r="F7677" s="5"/>
    </row>
    <row r="7678" spans="2:6" ht="13.8" hidden="1" outlineLevel="1">
      <c r="B7678" s="187">
        <v>33354</v>
      </c>
      <c r="C7678" s="188">
        <v>8.06</v>
      </c>
      <c r="D7678" s="104">
        <f t="shared" si="119"/>
        <v>8.0600000000000005E-2</v>
      </c>
      <c r="F7678" s="5"/>
    </row>
    <row r="7679" spans="2:6" ht="13.8" hidden="1" outlineLevel="1">
      <c r="B7679" s="187">
        <v>33357</v>
      </c>
      <c r="C7679" s="188">
        <v>8.07</v>
      </c>
      <c r="D7679" s="104">
        <f t="shared" si="119"/>
        <v>8.0700000000000008E-2</v>
      </c>
      <c r="F7679" s="5"/>
    </row>
    <row r="7680" spans="2:6" ht="13.8" hidden="1" outlineLevel="1">
      <c r="B7680" s="187">
        <v>33358</v>
      </c>
      <c r="C7680" s="188">
        <v>8.02</v>
      </c>
      <c r="D7680" s="104">
        <f t="shared" si="119"/>
        <v>8.0199999999999994E-2</v>
      </c>
      <c r="F7680" s="5"/>
    </row>
    <row r="7681" spans="2:6" ht="13.8" hidden="1" outlineLevel="1">
      <c r="B7681" s="187">
        <v>33359</v>
      </c>
      <c r="C7681" s="188">
        <v>8.01</v>
      </c>
      <c r="D7681" s="104">
        <f t="shared" si="119"/>
        <v>8.0100000000000005E-2</v>
      </c>
      <c r="F7681" s="5"/>
    </row>
    <row r="7682" spans="2:6" ht="13.8" hidden="1" outlineLevel="1">
      <c r="B7682" s="187">
        <v>33360</v>
      </c>
      <c r="C7682" s="188">
        <v>7.97</v>
      </c>
      <c r="D7682" s="104">
        <f t="shared" si="119"/>
        <v>7.9699999999999993E-2</v>
      </c>
      <c r="F7682" s="5"/>
    </row>
    <row r="7683" spans="2:6" ht="13.8" hidden="1" outlineLevel="1">
      <c r="B7683" s="187">
        <v>33361</v>
      </c>
      <c r="C7683" s="188">
        <v>8.0399999999999991</v>
      </c>
      <c r="D7683" s="104">
        <f t="shared" si="119"/>
        <v>8.0399999999999985E-2</v>
      </c>
      <c r="F7683" s="5"/>
    </row>
    <row r="7684" spans="2:6" ht="13.8" hidden="1" outlineLevel="1">
      <c r="B7684" s="187">
        <v>33364</v>
      </c>
      <c r="C7684" s="188">
        <v>8.0500000000000007</v>
      </c>
      <c r="D7684" s="104">
        <f t="shared" si="119"/>
        <v>8.0500000000000002E-2</v>
      </c>
      <c r="F7684" s="5"/>
    </row>
    <row r="7685" spans="2:6" ht="13.8" hidden="1" outlineLevel="1">
      <c r="B7685" s="187">
        <v>33365</v>
      </c>
      <c r="C7685" s="188">
        <v>8.06</v>
      </c>
      <c r="D7685" s="104">
        <f t="shared" si="119"/>
        <v>8.0600000000000005E-2</v>
      </c>
      <c r="F7685" s="5"/>
    </row>
    <row r="7686" spans="2:6" ht="13.8" hidden="1" outlineLevel="1">
      <c r="B7686" s="187">
        <v>33366</v>
      </c>
      <c r="C7686" s="188">
        <v>8.0399999999999991</v>
      </c>
      <c r="D7686" s="104">
        <f t="shared" si="119"/>
        <v>8.0399999999999985E-2</v>
      </c>
      <c r="F7686" s="5"/>
    </row>
    <row r="7687" spans="2:6" ht="13.8" hidden="1" outlineLevel="1">
      <c r="B7687" s="187">
        <v>33367</v>
      </c>
      <c r="C7687" s="188">
        <v>8.02</v>
      </c>
      <c r="D7687" s="104">
        <f t="shared" si="119"/>
        <v>8.0199999999999994E-2</v>
      </c>
      <c r="F7687" s="5"/>
    </row>
    <row r="7688" spans="2:6" ht="13.8" hidden="1" outlineLevel="1">
      <c r="B7688" s="187">
        <v>33368</v>
      </c>
      <c r="C7688" s="188">
        <v>8.1199999999999992</v>
      </c>
      <c r="D7688" s="104">
        <f t="shared" si="119"/>
        <v>8.1199999999999994E-2</v>
      </c>
      <c r="F7688" s="5"/>
    </row>
    <row r="7689" spans="2:6" ht="13.8" hidden="1" outlineLevel="1">
      <c r="B7689" s="187">
        <v>33371</v>
      </c>
      <c r="C7689" s="188">
        <v>8.07</v>
      </c>
      <c r="D7689" s="104">
        <f t="shared" si="119"/>
        <v>8.0700000000000008E-2</v>
      </c>
      <c r="F7689" s="5"/>
    </row>
    <row r="7690" spans="2:6" ht="13.8" hidden="1" outlineLevel="1">
      <c r="B7690" s="187">
        <v>33372</v>
      </c>
      <c r="C7690" s="188">
        <v>8.14</v>
      </c>
      <c r="D7690" s="104">
        <f t="shared" si="119"/>
        <v>8.14E-2</v>
      </c>
      <c r="F7690" s="5"/>
    </row>
    <row r="7691" spans="2:6" ht="13.8" hidden="1" outlineLevel="1">
      <c r="B7691" s="187">
        <v>33373</v>
      </c>
      <c r="C7691" s="188">
        <v>8.1300000000000008</v>
      </c>
      <c r="D7691" s="104">
        <f t="shared" si="119"/>
        <v>8.1300000000000011E-2</v>
      </c>
      <c r="F7691" s="5"/>
    </row>
    <row r="7692" spans="2:6" ht="13.8" hidden="1" outlineLevel="1">
      <c r="B7692" s="187">
        <v>33374</v>
      </c>
      <c r="C7692" s="188">
        <v>8.1199999999999992</v>
      </c>
      <c r="D7692" s="104">
        <f t="shared" si="119"/>
        <v>8.1199999999999994E-2</v>
      </c>
      <c r="F7692" s="5"/>
    </row>
    <row r="7693" spans="2:6" ht="13.8" hidden="1" outlineLevel="1">
      <c r="B7693" s="187">
        <v>33375</v>
      </c>
      <c r="C7693" s="188">
        <v>8.08</v>
      </c>
      <c r="D7693" s="104">
        <f t="shared" si="119"/>
        <v>8.0799999999999997E-2</v>
      </c>
      <c r="F7693" s="5"/>
    </row>
    <row r="7694" spans="2:6" ht="13.8" hidden="1" outlineLevel="1">
      <c r="B7694" s="187">
        <v>33378</v>
      </c>
      <c r="C7694" s="188">
        <v>8.1</v>
      </c>
      <c r="D7694" s="104">
        <f t="shared" si="119"/>
        <v>8.1000000000000003E-2</v>
      </c>
      <c r="F7694" s="5"/>
    </row>
    <row r="7695" spans="2:6" ht="13.8" hidden="1" outlineLevel="1">
      <c r="B7695" s="187">
        <v>33379</v>
      </c>
      <c r="C7695" s="188">
        <v>8.06</v>
      </c>
      <c r="D7695" s="104">
        <f t="shared" si="119"/>
        <v>8.0600000000000005E-2</v>
      </c>
      <c r="F7695" s="5"/>
    </row>
    <row r="7696" spans="2:6" ht="13.8" hidden="1" outlineLevel="1">
      <c r="B7696" s="187">
        <v>33380</v>
      </c>
      <c r="C7696" s="188">
        <v>8.06</v>
      </c>
      <c r="D7696" s="104">
        <f t="shared" si="119"/>
        <v>8.0600000000000005E-2</v>
      </c>
      <c r="F7696" s="5"/>
    </row>
    <row r="7697" spans="2:6" ht="13.8" hidden="1" outlineLevel="1">
      <c r="B7697" s="187">
        <v>33381</v>
      </c>
      <c r="C7697" s="188">
        <v>8.1</v>
      </c>
      <c r="D7697" s="104">
        <f t="shared" si="119"/>
        <v>8.1000000000000003E-2</v>
      </c>
      <c r="F7697" s="5"/>
    </row>
    <row r="7698" spans="2:6" ht="13.8" hidden="1" outlineLevel="1">
      <c r="B7698" s="187">
        <v>33382</v>
      </c>
      <c r="C7698" s="188">
        <v>8.1</v>
      </c>
      <c r="D7698" s="104">
        <f t="shared" si="119"/>
        <v>8.1000000000000003E-2</v>
      </c>
      <c r="F7698" s="5"/>
    </row>
    <row r="7699" spans="2:6" ht="13.8" hidden="1" outlineLevel="1">
      <c r="B7699" s="187">
        <v>33385</v>
      </c>
      <c r="C7699" s="188" t="s">
        <v>380</v>
      </c>
      <c r="D7699" s="104">
        <f t="shared" si="119"/>
        <v>8.1000000000000003E-2</v>
      </c>
      <c r="F7699" s="5"/>
    </row>
    <row r="7700" spans="2:6" ht="13.8" hidden="1" outlineLevel="1">
      <c r="B7700" s="187">
        <v>33386</v>
      </c>
      <c r="C7700" s="188">
        <v>8.07</v>
      </c>
      <c r="D7700" s="104">
        <f t="shared" si="119"/>
        <v>8.0700000000000008E-2</v>
      </c>
      <c r="F7700" s="5"/>
    </row>
    <row r="7701" spans="2:6" ht="13.8" hidden="1" outlineLevel="1">
      <c r="B7701" s="187">
        <v>33387</v>
      </c>
      <c r="C7701" s="188">
        <v>8.07</v>
      </c>
      <c r="D7701" s="104">
        <f t="shared" si="119"/>
        <v>8.0700000000000008E-2</v>
      </c>
      <c r="F7701" s="5"/>
    </row>
    <row r="7702" spans="2:6" ht="13.8" hidden="1" outlineLevel="1">
      <c r="B7702" s="187">
        <v>33388</v>
      </c>
      <c r="C7702" s="188">
        <v>8.02</v>
      </c>
      <c r="D7702" s="104">
        <f t="shared" si="119"/>
        <v>8.0199999999999994E-2</v>
      </c>
      <c r="F7702" s="5"/>
    </row>
    <row r="7703" spans="2:6" ht="13.8" hidden="1" outlineLevel="1">
      <c r="B7703" s="187">
        <v>33389</v>
      </c>
      <c r="C7703" s="188">
        <v>8.06</v>
      </c>
      <c r="D7703" s="104">
        <f t="shared" si="119"/>
        <v>8.0600000000000005E-2</v>
      </c>
      <c r="F7703" s="5"/>
    </row>
    <row r="7704" spans="2:6" ht="13.8" hidden="1" outlineLevel="1">
      <c r="B7704" s="187">
        <v>33392</v>
      </c>
      <c r="C7704" s="188">
        <v>8.14</v>
      </c>
      <c r="D7704" s="104">
        <f t="shared" si="119"/>
        <v>8.14E-2</v>
      </c>
      <c r="F7704" s="5"/>
    </row>
    <row r="7705" spans="2:6" ht="13.8" hidden="1" outlineLevel="1">
      <c r="B7705" s="187">
        <v>33393</v>
      </c>
      <c r="C7705" s="188">
        <v>8.14</v>
      </c>
      <c r="D7705" s="104">
        <f t="shared" si="119"/>
        <v>8.14E-2</v>
      </c>
      <c r="F7705" s="5"/>
    </row>
    <row r="7706" spans="2:6" ht="13.8" hidden="1" outlineLevel="1">
      <c r="B7706" s="187">
        <v>33394</v>
      </c>
      <c r="C7706" s="188">
        <v>8.19</v>
      </c>
      <c r="D7706" s="104">
        <f t="shared" si="119"/>
        <v>8.1900000000000001E-2</v>
      </c>
      <c r="F7706" s="5"/>
    </row>
    <row r="7707" spans="2:6" ht="13.8" hidden="1" outlineLevel="1">
      <c r="B7707" s="187">
        <v>33395</v>
      </c>
      <c r="C7707" s="188">
        <v>8.23</v>
      </c>
      <c r="D7707" s="104">
        <f t="shared" si="119"/>
        <v>8.2299999999999998E-2</v>
      </c>
      <c r="F7707" s="5"/>
    </row>
    <row r="7708" spans="2:6" ht="13.8" hidden="1" outlineLevel="1">
      <c r="B7708" s="187">
        <v>33396</v>
      </c>
      <c r="C7708" s="188">
        <v>8.2899999999999991</v>
      </c>
      <c r="D7708" s="104">
        <f t="shared" si="119"/>
        <v>8.2899999999999988E-2</v>
      </c>
      <c r="F7708" s="5"/>
    </row>
    <row r="7709" spans="2:6" ht="13.8" hidden="1" outlineLevel="1">
      <c r="B7709" s="187">
        <v>33399</v>
      </c>
      <c r="C7709" s="188">
        <v>8.2899999999999991</v>
      </c>
      <c r="D7709" s="104">
        <f t="shared" si="119"/>
        <v>8.2899999999999988E-2</v>
      </c>
      <c r="F7709" s="5"/>
    </row>
    <row r="7710" spans="2:6" ht="13.8" hidden="1" outlineLevel="1">
      <c r="B7710" s="187">
        <v>33400</v>
      </c>
      <c r="C7710" s="188">
        <v>8.2899999999999991</v>
      </c>
      <c r="D7710" s="104">
        <f t="shared" ref="D7710:D7773" si="120">IF( LEN( C7710 ) = 0, #N/A, IF( C7710 = "ND", D7709, C7710 / 100 ) )</f>
        <v>8.2899999999999988E-2</v>
      </c>
      <c r="F7710" s="5"/>
    </row>
    <row r="7711" spans="2:6" ht="13.8" hidden="1" outlineLevel="1">
      <c r="B7711" s="187">
        <v>33401</v>
      </c>
      <c r="C7711" s="188">
        <v>8.36</v>
      </c>
      <c r="D7711" s="104">
        <f t="shared" si="120"/>
        <v>8.3599999999999994E-2</v>
      </c>
      <c r="F7711" s="5"/>
    </row>
    <row r="7712" spans="2:6" ht="13.8" hidden="1" outlineLevel="1">
      <c r="B7712" s="187">
        <v>33402</v>
      </c>
      <c r="C7712" s="188">
        <v>8.34</v>
      </c>
      <c r="D7712" s="104">
        <f t="shared" si="120"/>
        <v>8.3400000000000002E-2</v>
      </c>
      <c r="F7712" s="5"/>
    </row>
    <row r="7713" spans="2:6" ht="13.8" hidden="1" outlineLevel="1">
      <c r="B7713" s="187">
        <v>33403</v>
      </c>
      <c r="C7713" s="188">
        <v>8.2899999999999991</v>
      </c>
      <c r="D7713" s="104">
        <f t="shared" si="120"/>
        <v>8.2899999999999988E-2</v>
      </c>
      <c r="F7713" s="5"/>
    </row>
    <row r="7714" spans="2:6" ht="13.8" hidden="1" outlineLevel="1">
      <c r="B7714" s="187">
        <v>33406</v>
      </c>
      <c r="C7714" s="188">
        <v>8.3000000000000007</v>
      </c>
      <c r="D7714" s="104">
        <f t="shared" si="120"/>
        <v>8.3000000000000004E-2</v>
      </c>
      <c r="F7714" s="5"/>
    </row>
    <row r="7715" spans="2:6" ht="13.8" hidden="1" outlineLevel="1">
      <c r="B7715" s="187">
        <v>33407</v>
      </c>
      <c r="C7715" s="188">
        <v>8.32</v>
      </c>
      <c r="D7715" s="104">
        <f t="shared" si="120"/>
        <v>8.3199999999999996E-2</v>
      </c>
      <c r="F7715" s="5"/>
    </row>
    <row r="7716" spans="2:6" ht="13.8" hidden="1" outlineLevel="1">
      <c r="B7716" s="187">
        <v>33408</v>
      </c>
      <c r="C7716" s="188">
        <v>8.33</v>
      </c>
      <c r="D7716" s="104">
        <f t="shared" si="120"/>
        <v>8.3299999999999999E-2</v>
      </c>
      <c r="F7716" s="5"/>
    </row>
    <row r="7717" spans="2:6" ht="13.8" hidden="1" outlineLevel="1">
      <c r="B7717" s="187">
        <v>33409</v>
      </c>
      <c r="C7717" s="188">
        <v>8.3000000000000007</v>
      </c>
      <c r="D7717" s="104">
        <f t="shared" si="120"/>
        <v>8.3000000000000004E-2</v>
      </c>
      <c r="F7717" s="5"/>
    </row>
    <row r="7718" spans="2:6" ht="13.8" hidden="1" outlineLevel="1">
      <c r="B7718" s="187">
        <v>33410</v>
      </c>
      <c r="C7718" s="188">
        <v>8.32</v>
      </c>
      <c r="D7718" s="104">
        <f t="shared" si="120"/>
        <v>8.3199999999999996E-2</v>
      </c>
      <c r="F7718" s="5"/>
    </row>
    <row r="7719" spans="2:6" ht="13.8" hidden="1" outlineLevel="1">
      <c r="B7719" s="187">
        <v>33413</v>
      </c>
      <c r="C7719" s="188">
        <v>8.33</v>
      </c>
      <c r="D7719" s="104">
        <f t="shared" si="120"/>
        <v>8.3299999999999999E-2</v>
      </c>
      <c r="F7719" s="5"/>
    </row>
    <row r="7720" spans="2:6" ht="13.8" hidden="1" outlineLevel="1">
      <c r="B7720" s="187">
        <v>33414</v>
      </c>
      <c r="C7720" s="188">
        <v>8.33</v>
      </c>
      <c r="D7720" s="104">
        <f t="shared" si="120"/>
        <v>8.3299999999999999E-2</v>
      </c>
      <c r="F7720" s="5"/>
    </row>
    <row r="7721" spans="2:6" ht="13.8" hidden="1" outlineLevel="1">
      <c r="B7721" s="187">
        <v>33415</v>
      </c>
      <c r="C7721" s="188">
        <v>8.33</v>
      </c>
      <c r="D7721" s="104">
        <f t="shared" si="120"/>
        <v>8.3299999999999999E-2</v>
      </c>
      <c r="F7721" s="5"/>
    </row>
    <row r="7722" spans="2:6" ht="13.8" hidden="1" outlineLevel="1">
      <c r="B7722" s="187">
        <v>33416</v>
      </c>
      <c r="C7722" s="188">
        <v>8.32</v>
      </c>
      <c r="D7722" s="104">
        <f t="shared" si="120"/>
        <v>8.3199999999999996E-2</v>
      </c>
      <c r="F7722" s="5"/>
    </row>
    <row r="7723" spans="2:6" ht="13.8" hidden="1" outlineLevel="1">
      <c r="B7723" s="187">
        <v>33417</v>
      </c>
      <c r="C7723" s="188">
        <v>8.24</v>
      </c>
      <c r="D7723" s="104">
        <f t="shared" si="120"/>
        <v>8.2400000000000001E-2</v>
      </c>
      <c r="F7723" s="5"/>
    </row>
    <row r="7724" spans="2:6" ht="13.8" hidden="1" outlineLevel="1">
      <c r="B7724" s="187">
        <v>33420</v>
      </c>
      <c r="C7724" s="188">
        <v>8.26</v>
      </c>
      <c r="D7724" s="104">
        <f t="shared" si="120"/>
        <v>8.2599999999999993E-2</v>
      </c>
      <c r="F7724" s="5"/>
    </row>
    <row r="7725" spans="2:6" ht="13.8" hidden="1" outlineLevel="1">
      <c r="B7725" s="187">
        <v>33421</v>
      </c>
      <c r="C7725" s="188">
        <v>8.27</v>
      </c>
      <c r="D7725" s="104">
        <f t="shared" si="120"/>
        <v>8.2699999999999996E-2</v>
      </c>
      <c r="F7725" s="5"/>
    </row>
    <row r="7726" spans="2:6" ht="13.8" hidden="1" outlineLevel="1">
      <c r="B7726" s="187">
        <v>33422</v>
      </c>
      <c r="C7726" s="188">
        <v>8.26</v>
      </c>
      <c r="D7726" s="104">
        <f t="shared" si="120"/>
        <v>8.2599999999999993E-2</v>
      </c>
      <c r="F7726" s="5"/>
    </row>
    <row r="7727" spans="2:6" ht="13.8" hidden="1" outlineLevel="1">
      <c r="B7727" s="187">
        <v>33423</v>
      </c>
      <c r="C7727" s="188" t="s">
        <v>380</v>
      </c>
      <c r="D7727" s="104">
        <f t="shared" si="120"/>
        <v>8.2599999999999993E-2</v>
      </c>
      <c r="F7727" s="5"/>
    </row>
    <row r="7728" spans="2:6" ht="13.8" hidden="1" outlineLevel="1">
      <c r="B7728" s="187">
        <v>33424</v>
      </c>
      <c r="C7728" s="188">
        <v>8.34</v>
      </c>
      <c r="D7728" s="104">
        <f t="shared" si="120"/>
        <v>8.3400000000000002E-2</v>
      </c>
      <c r="F7728" s="5"/>
    </row>
    <row r="7729" spans="2:6" ht="13.8" hidden="1" outlineLevel="1">
      <c r="B7729" s="187">
        <v>33427</v>
      </c>
      <c r="C7729" s="188">
        <v>8.34</v>
      </c>
      <c r="D7729" s="104">
        <f t="shared" si="120"/>
        <v>8.3400000000000002E-2</v>
      </c>
      <c r="F7729" s="5"/>
    </row>
    <row r="7730" spans="2:6" ht="13.8" hidden="1" outlineLevel="1">
      <c r="B7730" s="187">
        <v>33428</v>
      </c>
      <c r="C7730" s="188">
        <v>8.36</v>
      </c>
      <c r="D7730" s="104">
        <f t="shared" si="120"/>
        <v>8.3599999999999994E-2</v>
      </c>
      <c r="F7730" s="5"/>
    </row>
    <row r="7731" spans="2:6" ht="13.8" hidden="1" outlineLevel="1">
      <c r="B7731" s="187">
        <v>33429</v>
      </c>
      <c r="C7731" s="188">
        <v>8.35</v>
      </c>
      <c r="D7731" s="104">
        <f t="shared" si="120"/>
        <v>8.3499999999999991E-2</v>
      </c>
      <c r="F7731" s="5"/>
    </row>
    <row r="7732" spans="2:6" ht="13.8" hidden="1" outlineLevel="1">
      <c r="B7732" s="187">
        <v>33430</v>
      </c>
      <c r="C7732" s="188">
        <v>8.3000000000000007</v>
      </c>
      <c r="D7732" s="104">
        <f t="shared" si="120"/>
        <v>8.3000000000000004E-2</v>
      </c>
      <c r="F7732" s="5"/>
    </row>
    <row r="7733" spans="2:6" ht="13.8" hidden="1" outlineLevel="1">
      <c r="B7733" s="187">
        <v>33431</v>
      </c>
      <c r="C7733" s="188">
        <v>8.26</v>
      </c>
      <c r="D7733" s="104">
        <f t="shared" si="120"/>
        <v>8.2599999999999993E-2</v>
      </c>
      <c r="F7733" s="5"/>
    </row>
    <row r="7734" spans="2:6" ht="13.8" hidden="1" outlineLevel="1">
      <c r="B7734" s="187">
        <v>33434</v>
      </c>
      <c r="C7734" s="188">
        <v>8.26</v>
      </c>
      <c r="D7734" s="104">
        <f t="shared" si="120"/>
        <v>8.2599999999999993E-2</v>
      </c>
      <c r="F7734" s="5"/>
    </row>
    <row r="7735" spans="2:6" ht="13.8" hidden="1" outlineLevel="1">
      <c r="B7735" s="187">
        <v>33435</v>
      </c>
      <c r="C7735" s="188">
        <v>8.27</v>
      </c>
      <c r="D7735" s="104">
        <f t="shared" si="120"/>
        <v>8.2699999999999996E-2</v>
      </c>
      <c r="F7735" s="5"/>
    </row>
    <row r="7736" spans="2:6" ht="13.8" hidden="1" outlineLevel="1">
      <c r="B7736" s="187">
        <v>33436</v>
      </c>
      <c r="C7736" s="188">
        <v>8.3000000000000007</v>
      </c>
      <c r="D7736" s="104">
        <f t="shared" si="120"/>
        <v>8.3000000000000004E-2</v>
      </c>
      <c r="F7736" s="5"/>
    </row>
    <row r="7737" spans="2:6" ht="13.8" hidden="1" outlineLevel="1">
      <c r="B7737" s="187">
        <v>33437</v>
      </c>
      <c r="C7737" s="188">
        <v>8.31</v>
      </c>
      <c r="D7737" s="104">
        <f t="shared" si="120"/>
        <v>8.3100000000000007E-2</v>
      </c>
      <c r="F7737" s="5"/>
    </row>
    <row r="7738" spans="2:6" ht="13.8" hidden="1" outlineLevel="1">
      <c r="B7738" s="187">
        <v>33438</v>
      </c>
      <c r="C7738" s="188">
        <v>8.2799999999999994</v>
      </c>
      <c r="D7738" s="104">
        <f t="shared" si="120"/>
        <v>8.2799999999999999E-2</v>
      </c>
      <c r="F7738" s="5"/>
    </row>
    <row r="7739" spans="2:6" ht="13.8" hidden="1" outlineLevel="1">
      <c r="B7739" s="187">
        <v>33441</v>
      </c>
      <c r="C7739" s="188">
        <v>8.2799999999999994</v>
      </c>
      <c r="D7739" s="104">
        <f t="shared" si="120"/>
        <v>8.2799999999999999E-2</v>
      </c>
      <c r="F7739" s="5"/>
    </row>
    <row r="7740" spans="2:6" ht="13.8" hidden="1" outlineLevel="1">
      <c r="B7740" s="187">
        <v>33442</v>
      </c>
      <c r="C7740" s="188">
        <v>8.31</v>
      </c>
      <c r="D7740" s="104">
        <f t="shared" si="120"/>
        <v>8.3100000000000007E-2</v>
      </c>
      <c r="F7740" s="5"/>
    </row>
    <row r="7741" spans="2:6" ht="13.8" hidden="1" outlineLevel="1">
      <c r="B7741" s="187">
        <v>33443</v>
      </c>
      <c r="C7741" s="188">
        <v>8.24</v>
      </c>
      <c r="D7741" s="104">
        <f t="shared" si="120"/>
        <v>8.2400000000000001E-2</v>
      </c>
      <c r="F7741" s="5"/>
    </row>
    <row r="7742" spans="2:6" ht="13.8" hidden="1" outlineLevel="1">
      <c r="B7742" s="187">
        <v>33444</v>
      </c>
      <c r="C7742" s="188">
        <v>8.1999999999999993</v>
      </c>
      <c r="D7742" s="104">
        <f t="shared" si="120"/>
        <v>8.199999999999999E-2</v>
      </c>
      <c r="F7742" s="5"/>
    </row>
    <row r="7743" spans="2:6" ht="13.8" hidden="1" outlineLevel="1">
      <c r="B7743" s="187">
        <v>33445</v>
      </c>
      <c r="C7743" s="188">
        <v>8.1999999999999993</v>
      </c>
      <c r="D7743" s="104">
        <f t="shared" si="120"/>
        <v>8.199999999999999E-2</v>
      </c>
      <c r="F7743" s="5"/>
    </row>
    <row r="7744" spans="2:6" ht="13.8" hidden="1" outlineLevel="1">
      <c r="B7744" s="187">
        <v>33448</v>
      </c>
      <c r="C7744" s="188">
        <v>8.1999999999999993</v>
      </c>
      <c r="D7744" s="104">
        <f t="shared" si="120"/>
        <v>8.199999999999999E-2</v>
      </c>
      <c r="F7744" s="5"/>
    </row>
    <row r="7745" spans="2:6" ht="13.8" hidden="1" outlineLevel="1">
      <c r="B7745" s="187">
        <v>33449</v>
      </c>
      <c r="C7745" s="188">
        <v>8.2100000000000009</v>
      </c>
      <c r="D7745" s="104">
        <f t="shared" si="120"/>
        <v>8.2100000000000006E-2</v>
      </c>
      <c r="F7745" s="5"/>
    </row>
    <row r="7746" spans="2:6" ht="13.8" hidden="1" outlineLevel="1">
      <c r="B7746" s="187">
        <v>33450</v>
      </c>
      <c r="C7746" s="188">
        <v>8.1999999999999993</v>
      </c>
      <c r="D7746" s="104">
        <f t="shared" si="120"/>
        <v>8.199999999999999E-2</v>
      </c>
      <c r="F7746" s="5"/>
    </row>
    <row r="7747" spans="2:6" ht="13.8" hidden="1" outlineLevel="1">
      <c r="B7747" s="187">
        <v>33451</v>
      </c>
      <c r="C7747" s="188">
        <v>8.1999999999999993</v>
      </c>
      <c r="D7747" s="104">
        <f t="shared" si="120"/>
        <v>8.199999999999999E-2</v>
      </c>
      <c r="F7747" s="5"/>
    </row>
    <row r="7748" spans="2:6" ht="13.8" hidden="1" outlineLevel="1">
      <c r="B7748" s="187">
        <v>33452</v>
      </c>
      <c r="C7748" s="188">
        <v>8.06</v>
      </c>
      <c r="D7748" s="104">
        <f t="shared" si="120"/>
        <v>8.0600000000000005E-2</v>
      </c>
      <c r="F7748" s="5"/>
    </row>
    <row r="7749" spans="2:6" ht="13.8" hidden="1" outlineLevel="1">
      <c r="B7749" s="187">
        <v>33455</v>
      </c>
      <c r="C7749" s="188">
        <v>8.0399999999999991</v>
      </c>
      <c r="D7749" s="104">
        <f t="shared" si="120"/>
        <v>8.0399999999999985E-2</v>
      </c>
      <c r="F7749" s="5"/>
    </row>
    <row r="7750" spans="2:6" ht="13.8" hidden="1" outlineLevel="1">
      <c r="B7750" s="187">
        <v>33456</v>
      </c>
      <c r="C7750" s="188">
        <v>7.97</v>
      </c>
      <c r="D7750" s="104">
        <f t="shared" si="120"/>
        <v>7.9699999999999993E-2</v>
      </c>
      <c r="F7750" s="5"/>
    </row>
    <row r="7751" spans="2:6" ht="13.8" hidden="1" outlineLevel="1">
      <c r="B7751" s="187">
        <v>33457</v>
      </c>
      <c r="C7751" s="188">
        <v>7.93</v>
      </c>
      <c r="D7751" s="104">
        <f t="shared" si="120"/>
        <v>7.9299999999999995E-2</v>
      </c>
      <c r="F7751" s="5"/>
    </row>
    <row r="7752" spans="2:6" ht="13.8" hidden="1" outlineLevel="1">
      <c r="B7752" s="187">
        <v>33458</v>
      </c>
      <c r="C7752" s="188">
        <v>7.98</v>
      </c>
      <c r="D7752" s="104">
        <f t="shared" si="120"/>
        <v>7.980000000000001E-2</v>
      </c>
      <c r="F7752" s="5"/>
    </row>
    <row r="7753" spans="2:6" ht="13.8" hidden="1" outlineLevel="1">
      <c r="B7753" s="187">
        <v>33459</v>
      </c>
      <c r="C7753" s="188">
        <v>7.98</v>
      </c>
      <c r="D7753" s="104">
        <f t="shared" si="120"/>
        <v>7.980000000000001E-2</v>
      </c>
      <c r="F7753" s="5"/>
    </row>
    <row r="7754" spans="2:6" ht="13.8" hidden="1" outlineLevel="1">
      <c r="B7754" s="187">
        <v>33462</v>
      </c>
      <c r="C7754" s="188">
        <v>7.95</v>
      </c>
      <c r="D7754" s="104">
        <f t="shared" si="120"/>
        <v>7.9500000000000001E-2</v>
      </c>
      <c r="F7754" s="5"/>
    </row>
    <row r="7755" spans="2:6" ht="13.8" hidden="1" outlineLevel="1">
      <c r="B7755" s="187">
        <v>33463</v>
      </c>
      <c r="C7755" s="188">
        <v>7.91</v>
      </c>
      <c r="D7755" s="104">
        <f t="shared" si="120"/>
        <v>7.9100000000000004E-2</v>
      </c>
      <c r="F7755" s="5"/>
    </row>
    <row r="7756" spans="2:6" ht="13.8" hidden="1" outlineLevel="1">
      <c r="B7756" s="187">
        <v>33464</v>
      </c>
      <c r="C7756" s="188">
        <v>7.82</v>
      </c>
      <c r="D7756" s="104">
        <f t="shared" si="120"/>
        <v>7.8200000000000006E-2</v>
      </c>
      <c r="F7756" s="5"/>
    </row>
    <row r="7757" spans="2:6" ht="13.8" hidden="1" outlineLevel="1">
      <c r="B7757" s="187">
        <v>33465</v>
      </c>
      <c r="C7757" s="188">
        <v>7.84</v>
      </c>
      <c r="D7757" s="104">
        <f t="shared" si="120"/>
        <v>7.8399999999999997E-2</v>
      </c>
      <c r="F7757" s="5"/>
    </row>
    <row r="7758" spans="2:6" ht="13.8" hidden="1" outlineLevel="1">
      <c r="B7758" s="187">
        <v>33466</v>
      </c>
      <c r="C7758" s="188">
        <v>7.84</v>
      </c>
      <c r="D7758" s="104">
        <f t="shared" si="120"/>
        <v>7.8399999999999997E-2</v>
      </c>
      <c r="F7758" s="5"/>
    </row>
    <row r="7759" spans="2:6" ht="13.8" hidden="1" outlineLevel="1">
      <c r="B7759" s="187">
        <v>33469</v>
      </c>
      <c r="C7759" s="188">
        <v>7.83</v>
      </c>
      <c r="D7759" s="104">
        <f t="shared" si="120"/>
        <v>7.8299999999999995E-2</v>
      </c>
      <c r="F7759" s="5"/>
    </row>
    <row r="7760" spans="2:6" ht="13.8" hidden="1" outlineLevel="1">
      <c r="B7760" s="187">
        <v>33470</v>
      </c>
      <c r="C7760" s="188">
        <v>7.81</v>
      </c>
      <c r="D7760" s="104">
        <f t="shared" si="120"/>
        <v>7.8100000000000003E-2</v>
      </c>
      <c r="F7760" s="5"/>
    </row>
    <row r="7761" spans="2:6" ht="13.8" hidden="1" outlineLevel="1">
      <c r="B7761" s="187">
        <v>33471</v>
      </c>
      <c r="C7761" s="188">
        <v>7.8</v>
      </c>
      <c r="D7761" s="104">
        <f t="shared" si="120"/>
        <v>7.8E-2</v>
      </c>
      <c r="F7761" s="5"/>
    </row>
    <row r="7762" spans="2:6" ht="13.8" hidden="1" outlineLevel="1">
      <c r="B7762" s="187">
        <v>33472</v>
      </c>
      <c r="C7762" s="188">
        <v>7.78</v>
      </c>
      <c r="D7762" s="104">
        <f t="shared" si="120"/>
        <v>7.7800000000000008E-2</v>
      </c>
      <c r="F7762" s="5"/>
    </row>
    <row r="7763" spans="2:6" ht="13.8" hidden="1" outlineLevel="1">
      <c r="B7763" s="187">
        <v>33473</v>
      </c>
      <c r="C7763" s="188">
        <v>7.88</v>
      </c>
      <c r="D7763" s="104">
        <f t="shared" si="120"/>
        <v>7.8799999999999995E-2</v>
      </c>
      <c r="F7763" s="5"/>
    </row>
    <row r="7764" spans="2:6" ht="13.8" hidden="1" outlineLevel="1">
      <c r="B7764" s="187">
        <v>33476</v>
      </c>
      <c r="C7764" s="188">
        <v>7.91</v>
      </c>
      <c r="D7764" s="104">
        <f t="shared" si="120"/>
        <v>7.9100000000000004E-2</v>
      </c>
      <c r="F7764" s="5"/>
    </row>
    <row r="7765" spans="2:6" ht="13.8" hidden="1" outlineLevel="1">
      <c r="B7765" s="187">
        <v>33477</v>
      </c>
      <c r="C7765" s="188">
        <v>7.89</v>
      </c>
      <c r="D7765" s="104">
        <f t="shared" si="120"/>
        <v>7.8899999999999998E-2</v>
      </c>
      <c r="F7765" s="5"/>
    </row>
    <row r="7766" spans="2:6" ht="13.8" hidden="1" outlineLevel="1">
      <c r="B7766" s="187">
        <v>33478</v>
      </c>
      <c r="C7766" s="188">
        <v>7.82</v>
      </c>
      <c r="D7766" s="104">
        <f t="shared" si="120"/>
        <v>7.8200000000000006E-2</v>
      </c>
      <c r="F7766" s="5"/>
    </row>
    <row r="7767" spans="2:6" ht="13.8" hidden="1" outlineLevel="1">
      <c r="B7767" s="187">
        <v>33479</v>
      </c>
      <c r="C7767" s="188">
        <v>7.74</v>
      </c>
      <c r="D7767" s="104">
        <f t="shared" si="120"/>
        <v>7.7399999999999997E-2</v>
      </c>
      <c r="F7767" s="5"/>
    </row>
    <row r="7768" spans="2:6" ht="13.8" hidden="1" outlineLevel="1">
      <c r="B7768" s="187">
        <v>33480</v>
      </c>
      <c r="C7768" s="188">
        <v>7.82</v>
      </c>
      <c r="D7768" s="104">
        <f t="shared" si="120"/>
        <v>7.8200000000000006E-2</v>
      </c>
      <c r="F7768" s="5"/>
    </row>
    <row r="7769" spans="2:6" ht="13.8" hidden="1" outlineLevel="1">
      <c r="B7769" s="187">
        <v>33483</v>
      </c>
      <c r="C7769" s="188" t="s">
        <v>380</v>
      </c>
      <c r="D7769" s="104">
        <f t="shared" si="120"/>
        <v>7.8200000000000006E-2</v>
      </c>
      <c r="F7769" s="5"/>
    </row>
    <row r="7770" spans="2:6" ht="13.8" hidden="1" outlineLevel="1">
      <c r="B7770" s="187">
        <v>33484</v>
      </c>
      <c r="C7770" s="188">
        <v>7.81</v>
      </c>
      <c r="D7770" s="104">
        <f t="shared" si="120"/>
        <v>7.8100000000000003E-2</v>
      </c>
      <c r="F7770" s="5"/>
    </row>
    <row r="7771" spans="2:6" ht="13.8" hidden="1" outlineLevel="1">
      <c r="B7771" s="187">
        <v>33485</v>
      </c>
      <c r="C7771" s="188">
        <v>7.81</v>
      </c>
      <c r="D7771" s="104">
        <f t="shared" si="120"/>
        <v>7.8100000000000003E-2</v>
      </c>
      <c r="F7771" s="5"/>
    </row>
    <row r="7772" spans="2:6" ht="13.8" hidden="1" outlineLevel="1">
      <c r="B7772" s="187">
        <v>33486</v>
      </c>
      <c r="C7772" s="188">
        <v>7.83</v>
      </c>
      <c r="D7772" s="104">
        <f t="shared" si="120"/>
        <v>7.8299999999999995E-2</v>
      </c>
      <c r="F7772" s="5"/>
    </row>
    <row r="7773" spans="2:6" ht="13.8" hidden="1" outlineLevel="1">
      <c r="B7773" s="187">
        <v>33487</v>
      </c>
      <c r="C7773" s="188">
        <v>7.76</v>
      </c>
      <c r="D7773" s="104">
        <f t="shared" si="120"/>
        <v>7.7600000000000002E-2</v>
      </c>
      <c r="F7773" s="5"/>
    </row>
    <row r="7774" spans="2:6" ht="13.8" hidden="1" outlineLevel="1">
      <c r="B7774" s="187">
        <v>33490</v>
      </c>
      <c r="C7774" s="188">
        <v>7.73</v>
      </c>
      <c r="D7774" s="104">
        <f t="shared" ref="D7774:D7837" si="121">IF( LEN( C7774 ) = 0, #N/A, IF( C7774 = "ND", D7773, C7774 / 100 ) )</f>
        <v>7.7300000000000008E-2</v>
      </c>
      <c r="F7774" s="5"/>
    </row>
    <row r="7775" spans="2:6" ht="13.8" hidden="1" outlineLevel="1">
      <c r="B7775" s="187">
        <v>33491</v>
      </c>
      <c r="C7775" s="188">
        <v>7.73</v>
      </c>
      <c r="D7775" s="104">
        <f t="shared" si="121"/>
        <v>7.7300000000000008E-2</v>
      </c>
      <c r="F7775" s="5"/>
    </row>
    <row r="7776" spans="2:6" ht="13.8" hidden="1" outlineLevel="1">
      <c r="B7776" s="187">
        <v>33492</v>
      </c>
      <c r="C7776" s="188">
        <v>7.74</v>
      </c>
      <c r="D7776" s="104">
        <f t="shared" si="121"/>
        <v>7.7399999999999997E-2</v>
      </c>
      <c r="F7776" s="5"/>
    </row>
    <row r="7777" spans="2:6" ht="13.8" hidden="1" outlineLevel="1">
      <c r="B7777" s="187">
        <v>33493</v>
      </c>
      <c r="C7777" s="188">
        <v>7.67</v>
      </c>
      <c r="D7777" s="104">
        <f t="shared" si="121"/>
        <v>7.6700000000000004E-2</v>
      </c>
      <c r="F7777" s="5"/>
    </row>
    <row r="7778" spans="2:6" ht="13.8" hidden="1" outlineLevel="1">
      <c r="B7778" s="187">
        <v>33494</v>
      </c>
      <c r="C7778" s="188">
        <v>7.66</v>
      </c>
      <c r="D7778" s="104">
        <f t="shared" si="121"/>
        <v>7.6600000000000001E-2</v>
      </c>
      <c r="F7778" s="5"/>
    </row>
    <row r="7779" spans="2:6" ht="13.8" hidden="1" outlineLevel="1">
      <c r="B7779" s="187">
        <v>33497</v>
      </c>
      <c r="C7779" s="188">
        <v>7.63</v>
      </c>
      <c r="D7779" s="104">
        <f t="shared" si="121"/>
        <v>7.6299999999999993E-2</v>
      </c>
      <c r="F7779" s="5"/>
    </row>
    <row r="7780" spans="2:6" ht="13.8" hidden="1" outlineLevel="1">
      <c r="B7780" s="187">
        <v>33498</v>
      </c>
      <c r="C7780" s="188">
        <v>7.62</v>
      </c>
      <c r="D7780" s="104">
        <f t="shared" si="121"/>
        <v>7.6200000000000004E-2</v>
      </c>
      <c r="F7780" s="5"/>
    </row>
    <row r="7781" spans="2:6" ht="13.8" hidden="1" outlineLevel="1">
      <c r="B7781" s="187">
        <v>33499</v>
      </c>
      <c r="C7781" s="188">
        <v>7.62</v>
      </c>
      <c r="D7781" s="104">
        <f t="shared" si="121"/>
        <v>7.6200000000000004E-2</v>
      </c>
      <c r="F7781" s="5"/>
    </row>
    <row r="7782" spans="2:6" ht="13.8" hidden="1" outlineLevel="1">
      <c r="B7782" s="187">
        <v>33500</v>
      </c>
      <c r="C7782" s="188">
        <v>7.61</v>
      </c>
      <c r="D7782" s="104">
        <f t="shared" si="121"/>
        <v>7.6100000000000001E-2</v>
      </c>
      <c r="F7782" s="5"/>
    </row>
    <row r="7783" spans="2:6" ht="13.8" hidden="1" outlineLevel="1">
      <c r="B7783" s="187">
        <v>33501</v>
      </c>
      <c r="C7783" s="188">
        <v>7.57</v>
      </c>
      <c r="D7783" s="104">
        <f t="shared" si="121"/>
        <v>7.5700000000000003E-2</v>
      </c>
      <c r="F7783" s="5"/>
    </row>
    <row r="7784" spans="2:6" ht="13.8" hidden="1" outlineLevel="1">
      <c r="B7784" s="187">
        <v>33504</v>
      </c>
      <c r="C7784" s="188">
        <v>7.55</v>
      </c>
      <c r="D7784" s="104">
        <f t="shared" si="121"/>
        <v>7.5499999999999998E-2</v>
      </c>
      <c r="F7784" s="5"/>
    </row>
    <row r="7785" spans="2:6" ht="13.8" hidden="1" outlineLevel="1">
      <c r="B7785" s="187">
        <v>33505</v>
      </c>
      <c r="C7785" s="188">
        <v>7.56</v>
      </c>
      <c r="D7785" s="104">
        <f t="shared" si="121"/>
        <v>7.5600000000000001E-2</v>
      </c>
      <c r="F7785" s="5"/>
    </row>
    <row r="7786" spans="2:6" ht="13.8" hidden="1" outlineLevel="1">
      <c r="B7786" s="187">
        <v>33506</v>
      </c>
      <c r="C7786" s="188">
        <v>7.58</v>
      </c>
      <c r="D7786" s="104">
        <f t="shared" si="121"/>
        <v>7.5800000000000006E-2</v>
      </c>
      <c r="F7786" s="5"/>
    </row>
    <row r="7787" spans="2:6" ht="13.8" hidden="1" outlineLevel="1">
      <c r="B7787" s="187">
        <v>33507</v>
      </c>
      <c r="C7787" s="188">
        <v>7.56</v>
      </c>
      <c r="D7787" s="104">
        <f t="shared" si="121"/>
        <v>7.5600000000000001E-2</v>
      </c>
      <c r="F7787" s="5"/>
    </row>
    <row r="7788" spans="2:6" ht="13.8" hidden="1" outlineLevel="1">
      <c r="B7788" s="187">
        <v>33508</v>
      </c>
      <c r="C7788" s="188">
        <v>7.49</v>
      </c>
      <c r="D7788" s="104">
        <f t="shared" si="121"/>
        <v>7.4900000000000008E-2</v>
      </c>
      <c r="F7788" s="5"/>
    </row>
    <row r="7789" spans="2:6" ht="13.8" hidden="1" outlineLevel="1">
      <c r="B7789" s="187">
        <v>33511</v>
      </c>
      <c r="C7789" s="188">
        <v>7.47</v>
      </c>
      <c r="D7789" s="104">
        <f t="shared" si="121"/>
        <v>7.4700000000000003E-2</v>
      </c>
      <c r="F7789" s="5"/>
    </row>
    <row r="7790" spans="2:6" ht="13.8" hidden="1" outlineLevel="1">
      <c r="B7790" s="187">
        <v>33512</v>
      </c>
      <c r="C7790" s="188">
        <v>7.45</v>
      </c>
      <c r="D7790" s="104">
        <f t="shared" si="121"/>
        <v>7.4499999999999997E-2</v>
      </c>
      <c r="F7790" s="5"/>
    </row>
    <row r="7791" spans="2:6" ht="13.8" hidden="1" outlineLevel="1">
      <c r="B7791" s="187">
        <v>33513</v>
      </c>
      <c r="C7791" s="188">
        <v>7.47</v>
      </c>
      <c r="D7791" s="104">
        <f t="shared" si="121"/>
        <v>7.4700000000000003E-2</v>
      </c>
      <c r="F7791" s="5"/>
    </row>
    <row r="7792" spans="2:6" ht="13.8" hidden="1" outlineLevel="1">
      <c r="B7792" s="187">
        <v>33514</v>
      </c>
      <c r="C7792" s="188">
        <v>7.47</v>
      </c>
      <c r="D7792" s="104">
        <f t="shared" si="121"/>
        <v>7.4700000000000003E-2</v>
      </c>
      <c r="F7792" s="5"/>
    </row>
    <row r="7793" spans="2:6" ht="13.8" hidden="1" outlineLevel="1">
      <c r="B7793" s="187">
        <v>33515</v>
      </c>
      <c r="C7793" s="188">
        <v>7.39</v>
      </c>
      <c r="D7793" s="104">
        <f t="shared" si="121"/>
        <v>7.3899999999999993E-2</v>
      </c>
      <c r="F7793" s="5"/>
    </row>
    <row r="7794" spans="2:6" ht="13.8" hidden="1" outlineLevel="1">
      <c r="B7794" s="187">
        <v>33518</v>
      </c>
      <c r="C7794" s="188">
        <v>7.4</v>
      </c>
      <c r="D7794" s="104">
        <f t="shared" si="121"/>
        <v>7.400000000000001E-2</v>
      </c>
      <c r="F7794" s="5"/>
    </row>
    <row r="7795" spans="2:6" ht="13.8" hidden="1" outlineLevel="1">
      <c r="B7795" s="187">
        <v>33519</v>
      </c>
      <c r="C7795" s="188">
        <v>7.43</v>
      </c>
      <c r="D7795" s="104">
        <f t="shared" si="121"/>
        <v>7.4299999999999991E-2</v>
      </c>
      <c r="F7795" s="5"/>
    </row>
    <row r="7796" spans="2:6" ht="13.8" hidden="1" outlineLevel="1">
      <c r="B7796" s="187">
        <v>33520</v>
      </c>
      <c r="C7796" s="188">
        <v>7.51</v>
      </c>
      <c r="D7796" s="104">
        <f t="shared" si="121"/>
        <v>7.51E-2</v>
      </c>
      <c r="F7796" s="5"/>
    </row>
    <row r="7797" spans="2:6" ht="13.8" hidden="1" outlineLevel="1">
      <c r="B7797" s="187">
        <v>33521</v>
      </c>
      <c r="C7797" s="188">
        <v>7.58</v>
      </c>
      <c r="D7797" s="104">
        <f t="shared" si="121"/>
        <v>7.5800000000000006E-2</v>
      </c>
      <c r="F7797" s="5"/>
    </row>
    <row r="7798" spans="2:6" ht="13.8" hidden="1" outlineLevel="1">
      <c r="B7798" s="187">
        <v>33522</v>
      </c>
      <c r="C7798" s="188">
        <v>7.49</v>
      </c>
      <c r="D7798" s="104">
        <f t="shared" si="121"/>
        <v>7.4900000000000008E-2</v>
      </c>
      <c r="F7798" s="5"/>
    </row>
    <row r="7799" spans="2:6" ht="13.8" hidden="1" outlineLevel="1">
      <c r="B7799" s="187">
        <v>33525</v>
      </c>
      <c r="C7799" s="188" t="s">
        <v>380</v>
      </c>
      <c r="D7799" s="104">
        <f t="shared" si="121"/>
        <v>7.4900000000000008E-2</v>
      </c>
      <c r="F7799" s="5"/>
    </row>
    <row r="7800" spans="2:6" ht="13.8" hidden="1" outlineLevel="1">
      <c r="B7800" s="187">
        <v>33526</v>
      </c>
      <c r="C7800" s="188">
        <v>7.46</v>
      </c>
      <c r="D7800" s="104">
        <f t="shared" si="121"/>
        <v>7.46E-2</v>
      </c>
      <c r="F7800" s="5"/>
    </row>
    <row r="7801" spans="2:6" ht="13.8" hidden="1" outlineLevel="1">
      <c r="B7801" s="187">
        <v>33527</v>
      </c>
      <c r="C7801" s="188">
        <v>7.45</v>
      </c>
      <c r="D7801" s="104">
        <f t="shared" si="121"/>
        <v>7.4499999999999997E-2</v>
      </c>
      <c r="F7801" s="5"/>
    </row>
    <row r="7802" spans="2:6" ht="13.8" hidden="1" outlineLevel="1">
      <c r="B7802" s="187">
        <v>33528</v>
      </c>
      <c r="C7802" s="188">
        <v>7.55</v>
      </c>
      <c r="D7802" s="104">
        <f t="shared" si="121"/>
        <v>7.5499999999999998E-2</v>
      </c>
      <c r="F7802" s="5"/>
    </row>
    <row r="7803" spans="2:6" ht="13.8" hidden="1" outlineLevel="1">
      <c r="B7803" s="187">
        <v>33529</v>
      </c>
      <c r="C7803" s="188">
        <v>7.53</v>
      </c>
      <c r="D7803" s="104">
        <f t="shared" si="121"/>
        <v>7.5300000000000006E-2</v>
      </c>
      <c r="F7803" s="5"/>
    </row>
    <row r="7804" spans="2:6" ht="13.8" hidden="1" outlineLevel="1">
      <c r="B7804" s="187">
        <v>33532</v>
      </c>
      <c r="C7804" s="188">
        <v>7.62</v>
      </c>
      <c r="D7804" s="104">
        <f t="shared" si="121"/>
        <v>7.6200000000000004E-2</v>
      </c>
      <c r="F7804" s="5"/>
    </row>
    <row r="7805" spans="2:6" ht="13.8" hidden="1" outlineLevel="1">
      <c r="B7805" s="187">
        <v>33533</v>
      </c>
      <c r="C7805" s="188">
        <v>7.67</v>
      </c>
      <c r="D7805" s="104">
        <f t="shared" si="121"/>
        <v>7.6700000000000004E-2</v>
      </c>
      <c r="F7805" s="5"/>
    </row>
    <row r="7806" spans="2:6" ht="13.8" hidden="1" outlineLevel="1">
      <c r="B7806" s="187">
        <v>33534</v>
      </c>
      <c r="C7806" s="188">
        <v>7.69</v>
      </c>
      <c r="D7806" s="104">
        <f t="shared" si="121"/>
        <v>7.690000000000001E-2</v>
      </c>
      <c r="F7806" s="5"/>
    </row>
    <row r="7807" spans="2:6" ht="13.8" hidden="1" outlineLevel="1">
      <c r="B7807" s="187">
        <v>33535</v>
      </c>
      <c r="C7807" s="188">
        <v>7.65</v>
      </c>
      <c r="D7807" s="104">
        <f t="shared" si="121"/>
        <v>7.6499999999999999E-2</v>
      </c>
      <c r="F7807" s="5"/>
    </row>
    <row r="7808" spans="2:6" ht="13.8" hidden="1" outlineLevel="1">
      <c r="B7808" s="187">
        <v>33536</v>
      </c>
      <c r="C7808" s="188">
        <v>7.68</v>
      </c>
      <c r="D7808" s="104">
        <f t="shared" si="121"/>
        <v>7.6799999999999993E-2</v>
      </c>
      <c r="F7808" s="5"/>
    </row>
    <row r="7809" spans="2:6" ht="13.8" hidden="1" outlineLevel="1">
      <c r="B7809" s="187">
        <v>33539</v>
      </c>
      <c r="C7809" s="188">
        <v>7.65</v>
      </c>
      <c r="D7809" s="104">
        <f t="shared" si="121"/>
        <v>7.6499999999999999E-2</v>
      </c>
      <c r="F7809" s="5"/>
    </row>
    <row r="7810" spans="2:6" ht="13.8" hidden="1" outlineLevel="1">
      <c r="B7810" s="187">
        <v>33540</v>
      </c>
      <c r="C7810" s="188">
        <v>7.51</v>
      </c>
      <c r="D7810" s="104">
        <f t="shared" si="121"/>
        <v>7.51E-2</v>
      </c>
      <c r="F7810" s="5"/>
    </row>
    <row r="7811" spans="2:6" ht="13.8" hidden="1" outlineLevel="1">
      <c r="B7811" s="187">
        <v>33541</v>
      </c>
      <c r="C7811" s="188">
        <v>7.48</v>
      </c>
      <c r="D7811" s="104">
        <f t="shared" si="121"/>
        <v>7.4800000000000005E-2</v>
      </c>
      <c r="F7811" s="5"/>
    </row>
    <row r="7812" spans="2:6" ht="13.8" hidden="1" outlineLevel="1">
      <c r="B7812" s="187">
        <v>33542</v>
      </c>
      <c r="C7812" s="188">
        <v>7.47</v>
      </c>
      <c r="D7812" s="104">
        <f t="shared" si="121"/>
        <v>7.4700000000000003E-2</v>
      </c>
      <c r="F7812" s="5"/>
    </row>
    <row r="7813" spans="2:6" ht="13.8" hidden="1" outlineLevel="1">
      <c r="B7813" s="187">
        <v>33543</v>
      </c>
      <c r="C7813" s="188">
        <v>7.48</v>
      </c>
      <c r="D7813" s="104">
        <f t="shared" si="121"/>
        <v>7.4800000000000005E-2</v>
      </c>
      <c r="F7813" s="5"/>
    </row>
    <row r="7814" spans="2:6" ht="13.8" hidden="1" outlineLevel="1">
      <c r="B7814" s="187">
        <v>33546</v>
      </c>
      <c r="C7814" s="188">
        <v>7.5</v>
      </c>
      <c r="D7814" s="104">
        <f t="shared" si="121"/>
        <v>7.4999999999999997E-2</v>
      </c>
      <c r="F7814" s="5"/>
    </row>
    <row r="7815" spans="2:6" ht="13.8" hidden="1" outlineLevel="1">
      <c r="B7815" s="187">
        <v>33547</v>
      </c>
      <c r="C7815" s="188">
        <v>7.56</v>
      </c>
      <c r="D7815" s="104">
        <f t="shared" si="121"/>
        <v>7.5600000000000001E-2</v>
      </c>
      <c r="F7815" s="5"/>
    </row>
    <row r="7816" spans="2:6" ht="13.8" hidden="1" outlineLevel="1">
      <c r="B7816" s="187">
        <v>33548</v>
      </c>
      <c r="C7816" s="188">
        <v>7.51</v>
      </c>
      <c r="D7816" s="104">
        <f t="shared" si="121"/>
        <v>7.51E-2</v>
      </c>
      <c r="F7816" s="5"/>
    </row>
    <row r="7817" spans="2:6" ht="13.8" hidden="1" outlineLevel="1">
      <c r="B7817" s="187">
        <v>33549</v>
      </c>
      <c r="C7817" s="188">
        <v>7.43</v>
      </c>
      <c r="D7817" s="104">
        <f t="shared" si="121"/>
        <v>7.4299999999999991E-2</v>
      </c>
      <c r="F7817" s="5"/>
    </row>
    <row r="7818" spans="2:6" ht="13.8" hidden="1" outlineLevel="1">
      <c r="B7818" s="187">
        <v>33550</v>
      </c>
      <c r="C7818" s="188">
        <v>7.41</v>
      </c>
      <c r="D7818" s="104">
        <f t="shared" si="121"/>
        <v>7.4099999999999999E-2</v>
      </c>
      <c r="F7818" s="5"/>
    </row>
    <row r="7819" spans="2:6" ht="13.8" hidden="1" outlineLevel="1">
      <c r="B7819" s="187">
        <v>33553</v>
      </c>
      <c r="C7819" s="188" t="s">
        <v>380</v>
      </c>
      <c r="D7819" s="104">
        <f t="shared" si="121"/>
        <v>7.4099999999999999E-2</v>
      </c>
      <c r="F7819" s="5"/>
    </row>
    <row r="7820" spans="2:6" ht="13.8" hidden="1" outlineLevel="1">
      <c r="B7820" s="187">
        <v>33554</v>
      </c>
      <c r="C7820" s="188">
        <v>7.37</v>
      </c>
      <c r="D7820" s="104">
        <f t="shared" si="121"/>
        <v>7.3700000000000002E-2</v>
      </c>
      <c r="F7820" s="5"/>
    </row>
    <row r="7821" spans="2:6" ht="13.8" hidden="1" outlineLevel="1">
      <c r="B7821" s="187">
        <v>33555</v>
      </c>
      <c r="C7821" s="188">
        <v>7.41</v>
      </c>
      <c r="D7821" s="104">
        <f t="shared" si="121"/>
        <v>7.4099999999999999E-2</v>
      </c>
      <c r="F7821" s="5"/>
    </row>
    <row r="7822" spans="2:6" ht="13.8" hidden="1" outlineLevel="1">
      <c r="B7822" s="187">
        <v>33556</v>
      </c>
      <c r="C7822" s="188">
        <v>7.35</v>
      </c>
      <c r="D7822" s="104">
        <f t="shared" si="121"/>
        <v>7.3499999999999996E-2</v>
      </c>
      <c r="F7822" s="5"/>
    </row>
    <row r="7823" spans="2:6" ht="13.8" hidden="1" outlineLevel="1">
      <c r="B7823" s="187">
        <v>33557</v>
      </c>
      <c r="C7823" s="188">
        <v>7.33</v>
      </c>
      <c r="D7823" s="104">
        <f t="shared" si="121"/>
        <v>7.3300000000000004E-2</v>
      </c>
      <c r="F7823" s="5"/>
    </row>
    <row r="7824" spans="2:6" ht="13.8" hidden="1" outlineLevel="1">
      <c r="B7824" s="187">
        <v>33560</v>
      </c>
      <c r="C7824" s="188">
        <v>7.33</v>
      </c>
      <c r="D7824" s="104">
        <f t="shared" si="121"/>
        <v>7.3300000000000004E-2</v>
      </c>
      <c r="F7824" s="5"/>
    </row>
    <row r="7825" spans="2:6" ht="13.8" hidden="1" outlineLevel="1">
      <c r="B7825" s="187">
        <v>33561</v>
      </c>
      <c r="C7825" s="188">
        <v>7.37</v>
      </c>
      <c r="D7825" s="104">
        <f t="shared" si="121"/>
        <v>7.3700000000000002E-2</v>
      </c>
      <c r="F7825" s="5"/>
    </row>
    <row r="7826" spans="2:6" ht="13.8" hidden="1" outlineLevel="1">
      <c r="B7826" s="187">
        <v>33562</v>
      </c>
      <c r="C7826" s="188">
        <v>7.38</v>
      </c>
      <c r="D7826" s="104">
        <f t="shared" si="121"/>
        <v>7.3800000000000004E-2</v>
      </c>
      <c r="F7826" s="5"/>
    </row>
    <row r="7827" spans="2:6" ht="13.8" hidden="1" outlineLevel="1">
      <c r="B7827" s="187">
        <v>33563</v>
      </c>
      <c r="C7827" s="188">
        <v>7.39</v>
      </c>
      <c r="D7827" s="104">
        <f t="shared" si="121"/>
        <v>7.3899999999999993E-2</v>
      </c>
      <c r="F7827" s="5"/>
    </row>
    <row r="7828" spans="2:6" ht="13.8" hidden="1" outlineLevel="1">
      <c r="B7828" s="187">
        <v>33564</v>
      </c>
      <c r="C7828" s="188">
        <v>7.44</v>
      </c>
      <c r="D7828" s="104">
        <f t="shared" si="121"/>
        <v>7.4400000000000008E-2</v>
      </c>
      <c r="F7828" s="5"/>
    </row>
    <row r="7829" spans="2:6" ht="13.8" hidden="1" outlineLevel="1">
      <c r="B7829" s="187">
        <v>33567</v>
      </c>
      <c r="C7829" s="188">
        <v>7.45</v>
      </c>
      <c r="D7829" s="104">
        <f t="shared" si="121"/>
        <v>7.4499999999999997E-2</v>
      </c>
      <c r="F7829" s="5"/>
    </row>
    <row r="7830" spans="2:6" ht="13.8" hidden="1" outlineLevel="1">
      <c r="B7830" s="187">
        <v>33568</v>
      </c>
      <c r="C7830" s="188">
        <v>7.42</v>
      </c>
      <c r="D7830" s="104">
        <f t="shared" si="121"/>
        <v>7.4200000000000002E-2</v>
      </c>
      <c r="F7830" s="5"/>
    </row>
    <row r="7831" spans="2:6" ht="13.8" hidden="1" outlineLevel="1">
      <c r="B7831" s="187">
        <v>33569</v>
      </c>
      <c r="C7831" s="188">
        <v>7.42</v>
      </c>
      <c r="D7831" s="104">
        <f t="shared" si="121"/>
        <v>7.4200000000000002E-2</v>
      </c>
      <c r="F7831" s="5"/>
    </row>
    <row r="7832" spans="2:6" ht="13.8" hidden="1" outlineLevel="1">
      <c r="B7832" s="187">
        <v>33570</v>
      </c>
      <c r="C7832" s="188" t="s">
        <v>380</v>
      </c>
      <c r="D7832" s="104">
        <f t="shared" si="121"/>
        <v>7.4200000000000002E-2</v>
      </c>
      <c r="F7832" s="5"/>
    </row>
    <row r="7833" spans="2:6" ht="13.8" hidden="1" outlineLevel="1">
      <c r="B7833" s="187">
        <v>33571</v>
      </c>
      <c r="C7833" s="188">
        <v>7.38</v>
      </c>
      <c r="D7833" s="104">
        <f t="shared" si="121"/>
        <v>7.3800000000000004E-2</v>
      </c>
      <c r="F7833" s="5"/>
    </row>
    <row r="7834" spans="2:6" ht="13.8" hidden="1" outlineLevel="1">
      <c r="B7834" s="187">
        <v>33574</v>
      </c>
      <c r="C7834" s="188">
        <v>7.32</v>
      </c>
      <c r="D7834" s="104">
        <f t="shared" si="121"/>
        <v>7.3200000000000001E-2</v>
      </c>
      <c r="F7834" s="5"/>
    </row>
    <row r="7835" spans="2:6" ht="13.8" hidden="1" outlineLevel="1">
      <c r="B7835" s="187">
        <v>33575</v>
      </c>
      <c r="C7835" s="188">
        <v>7.28</v>
      </c>
      <c r="D7835" s="104">
        <f t="shared" si="121"/>
        <v>7.2800000000000004E-2</v>
      </c>
      <c r="F7835" s="5"/>
    </row>
    <row r="7836" spans="2:6" ht="13.8" hidden="1" outlineLevel="1">
      <c r="B7836" s="187">
        <v>33576</v>
      </c>
      <c r="C7836" s="188">
        <v>7.17</v>
      </c>
      <c r="D7836" s="104">
        <f t="shared" si="121"/>
        <v>7.17E-2</v>
      </c>
      <c r="F7836" s="5"/>
    </row>
    <row r="7837" spans="2:6" ht="13.8" hidden="1" outlineLevel="1">
      <c r="B7837" s="187">
        <v>33577</v>
      </c>
      <c r="C7837" s="188">
        <v>7.21</v>
      </c>
      <c r="D7837" s="104">
        <f t="shared" si="121"/>
        <v>7.2099999999999997E-2</v>
      </c>
      <c r="F7837" s="5"/>
    </row>
    <row r="7838" spans="2:6" ht="13.8" hidden="1" outlineLevel="1">
      <c r="B7838" s="187">
        <v>33578</v>
      </c>
      <c r="C7838" s="188">
        <v>7.26</v>
      </c>
      <c r="D7838" s="104">
        <f t="shared" ref="D7838:D7901" si="122">IF( LEN( C7838 ) = 0, #N/A, IF( C7838 = "ND", D7837, C7838 / 100 ) )</f>
        <v>7.2599999999999998E-2</v>
      </c>
      <c r="F7838" s="5"/>
    </row>
    <row r="7839" spans="2:6" ht="13.8" hidden="1" outlineLevel="1">
      <c r="B7839" s="187">
        <v>33581</v>
      </c>
      <c r="C7839" s="188">
        <v>7.22</v>
      </c>
      <c r="D7839" s="104">
        <f t="shared" si="122"/>
        <v>7.22E-2</v>
      </c>
      <c r="F7839" s="5"/>
    </row>
    <row r="7840" spans="2:6" ht="13.8" hidden="1" outlineLevel="1">
      <c r="B7840" s="187">
        <v>33582</v>
      </c>
      <c r="C7840" s="188">
        <v>7.21</v>
      </c>
      <c r="D7840" s="104">
        <f t="shared" si="122"/>
        <v>7.2099999999999997E-2</v>
      </c>
      <c r="F7840" s="5"/>
    </row>
    <row r="7841" spans="2:6" ht="13.8" hidden="1" outlineLevel="1">
      <c r="B7841" s="187">
        <v>33583</v>
      </c>
      <c r="C7841" s="188">
        <v>7.22</v>
      </c>
      <c r="D7841" s="104">
        <f t="shared" si="122"/>
        <v>7.22E-2</v>
      </c>
      <c r="F7841" s="5"/>
    </row>
    <row r="7842" spans="2:6" ht="13.8" hidden="1" outlineLevel="1">
      <c r="B7842" s="187">
        <v>33584</v>
      </c>
      <c r="C7842" s="188">
        <v>7.19</v>
      </c>
      <c r="D7842" s="104">
        <f t="shared" si="122"/>
        <v>7.1900000000000006E-2</v>
      </c>
      <c r="F7842" s="5"/>
    </row>
    <row r="7843" spans="2:6" ht="13.8" hidden="1" outlineLevel="1">
      <c r="B7843" s="187">
        <v>33585</v>
      </c>
      <c r="C7843" s="188">
        <v>7.22</v>
      </c>
      <c r="D7843" s="104">
        <f t="shared" si="122"/>
        <v>7.22E-2</v>
      </c>
      <c r="F7843" s="5"/>
    </row>
    <row r="7844" spans="2:6" ht="13.8" hidden="1" outlineLevel="1">
      <c r="B7844" s="187">
        <v>33588</v>
      </c>
      <c r="C7844" s="188">
        <v>7.21</v>
      </c>
      <c r="D7844" s="104">
        <f t="shared" si="122"/>
        <v>7.2099999999999997E-2</v>
      </c>
      <c r="F7844" s="5"/>
    </row>
    <row r="7845" spans="2:6" ht="13.8" hidden="1" outlineLevel="1">
      <c r="B7845" s="187">
        <v>33589</v>
      </c>
      <c r="C7845" s="188">
        <v>7.18</v>
      </c>
      <c r="D7845" s="104">
        <f t="shared" si="122"/>
        <v>7.1800000000000003E-2</v>
      </c>
      <c r="F7845" s="5"/>
    </row>
    <row r="7846" spans="2:6" ht="13.8" hidden="1" outlineLevel="1">
      <c r="B7846" s="187">
        <v>33590</v>
      </c>
      <c r="C7846" s="188">
        <v>7.19</v>
      </c>
      <c r="D7846" s="104">
        <f t="shared" si="122"/>
        <v>7.1900000000000006E-2</v>
      </c>
      <c r="F7846" s="5"/>
    </row>
    <row r="7847" spans="2:6" ht="13.8" hidden="1" outlineLevel="1">
      <c r="B7847" s="187">
        <v>33591</v>
      </c>
      <c r="C7847" s="188">
        <v>7.11</v>
      </c>
      <c r="D7847" s="104">
        <f t="shared" si="122"/>
        <v>7.1099999999999997E-2</v>
      </c>
      <c r="F7847" s="5"/>
    </row>
    <row r="7848" spans="2:6" ht="13.8" hidden="1" outlineLevel="1">
      <c r="B7848" s="187">
        <v>33592</v>
      </c>
      <c r="C7848" s="188">
        <v>6.97</v>
      </c>
      <c r="D7848" s="104">
        <f t="shared" si="122"/>
        <v>6.9699999999999998E-2</v>
      </c>
      <c r="F7848" s="5"/>
    </row>
    <row r="7849" spans="2:6" ht="13.8" hidden="1" outlineLevel="1">
      <c r="B7849" s="187">
        <v>33595</v>
      </c>
      <c r="C7849" s="188">
        <v>6.88</v>
      </c>
      <c r="D7849" s="104">
        <f t="shared" si="122"/>
        <v>6.88E-2</v>
      </c>
      <c r="F7849" s="5"/>
    </row>
    <row r="7850" spans="2:6" ht="13.8" hidden="1" outlineLevel="1">
      <c r="B7850" s="187">
        <v>33596</v>
      </c>
      <c r="C7850" s="188">
        <v>6.88</v>
      </c>
      <c r="D7850" s="104">
        <f t="shared" si="122"/>
        <v>6.88E-2</v>
      </c>
      <c r="F7850" s="5"/>
    </row>
    <row r="7851" spans="2:6" ht="13.8" hidden="1" outlineLevel="1">
      <c r="B7851" s="187">
        <v>33597</v>
      </c>
      <c r="C7851" s="188" t="s">
        <v>380</v>
      </c>
      <c r="D7851" s="104">
        <f t="shared" si="122"/>
        <v>6.88E-2</v>
      </c>
      <c r="F7851" s="5"/>
    </row>
    <row r="7852" spans="2:6" ht="13.8" hidden="1" outlineLevel="1">
      <c r="B7852" s="187">
        <v>33598</v>
      </c>
      <c r="C7852" s="188">
        <v>6.85</v>
      </c>
      <c r="D7852" s="104">
        <f t="shared" si="122"/>
        <v>6.8499999999999991E-2</v>
      </c>
      <c r="F7852" s="5"/>
    </row>
    <row r="7853" spans="2:6" ht="13.8" hidden="1" outlineLevel="1">
      <c r="B7853" s="187">
        <v>33599</v>
      </c>
      <c r="C7853" s="188">
        <v>6.82</v>
      </c>
      <c r="D7853" s="104">
        <f t="shared" si="122"/>
        <v>6.8199999999999997E-2</v>
      </c>
      <c r="F7853" s="5"/>
    </row>
    <row r="7854" spans="2:6" ht="13.8" hidden="1" outlineLevel="1">
      <c r="B7854" s="187">
        <v>33602</v>
      </c>
      <c r="C7854" s="188">
        <v>6.76</v>
      </c>
      <c r="D7854" s="104">
        <f t="shared" si="122"/>
        <v>6.7599999999999993E-2</v>
      </c>
      <c r="F7854" s="5"/>
    </row>
    <row r="7855" spans="2:6" ht="13.8" hidden="1" outlineLevel="1">
      <c r="B7855" s="187">
        <v>33603</v>
      </c>
      <c r="C7855" s="188">
        <v>6.71</v>
      </c>
      <c r="D7855" s="104">
        <f t="shared" si="122"/>
        <v>6.7099999999999993E-2</v>
      </c>
      <c r="F7855" s="5"/>
    </row>
    <row r="7856" spans="2:6" ht="13.8" hidden="1" outlineLevel="1">
      <c r="B7856" s="187">
        <v>33604</v>
      </c>
      <c r="C7856" s="188" t="s">
        <v>380</v>
      </c>
      <c r="D7856" s="104">
        <f t="shared" si="122"/>
        <v>6.7099999999999993E-2</v>
      </c>
      <c r="F7856" s="5"/>
    </row>
    <row r="7857" spans="2:6" ht="13.8" hidden="1" outlineLevel="1">
      <c r="B7857" s="187">
        <v>33605</v>
      </c>
      <c r="C7857" s="188">
        <v>6.78</v>
      </c>
      <c r="D7857" s="104">
        <f t="shared" si="122"/>
        <v>6.7799999999999999E-2</v>
      </c>
      <c r="F7857" s="5"/>
    </row>
    <row r="7858" spans="2:6" ht="13.8" hidden="1" outlineLevel="1">
      <c r="B7858" s="187">
        <v>33606</v>
      </c>
      <c r="C7858" s="188">
        <v>6.85</v>
      </c>
      <c r="D7858" s="104">
        <f t="shared" si="122"/>
        <v>6.8499999999999991E-2</v>
      </c>
      <c r="F7858" s="5"/>
    </row>
    <row r="7859" spans="2:6" ht="13.8" hidden="1" outlineLevel="1">
      <c r="B7859" s="187">
        <v>33609</v>
      </c>
      <c r="C7859" s="188">
        <v>6.82</v>
      </c>
      <c r="D7859" s="104">
        <f t="shared" si="122"/>
        <v>6.8199999999999997E-2</v>
      </c>
      <c r="F7859" s="5"/>
    </row>
    <row r="7860" spans="2:6" ht="13.8" hidden="1" outlineLevel="1">
      <c r="B7860" s="187">
        <v>33610</v>
      </c>
      <c r="C7860" s="188">
        <v>6.76</v>
      </c>
      <c r="D7860" s="104">
        <f t="shared" si="122"/>
        <v>6.7599999999999993E-2</v>
      </c>
      <c r="F7860" s="5"/>
    </row>
    <row r="7861" spans="2:6" ht="13.8" hidden="1" outlineLevel="1">
      <c r="B7861" s="187">
        <v>33611</v>
      </c>
      <c r="C7861" s="188">
        <v>6.77</v>
      </c>
      <c r="D7861" s="104">
        <f t="shared" si="122"/>
        <v>6.7699999999999996E-2</v>
      </c>
      <c r="F7861" s="5"/>
    </row>
    <row r="7862" spans="2:6" ht="13.8" hidden="1" outlineLevel="1">
      <c r="B7862" s="187">
        <v>33612</v>
      </c>
      <c r="C7862" s="188">
        <v>6.79</v>
      </c>
      <c r="D7862" s="104">
        <f t="shared" si="122"/>
        <v>6.7900000000000002E-2</v>
      </c>
      <c r="F7862" s="5"/>
    </row>
    <row r="7863" spans="2:6" ht="13.8" hidden="1" outlineLevel="1">
      <c r="B7863" s="187">
        <v>33613</v>
      </c>
      <c r="C7863" s="188">
        <v>6.85</v>
      </c>
      <c r="D7863" s="104">
        <f t="shared" si="122"/>
        <v>6.8499999999999991E-2</v>
      </c>
      <c r="F7863" s="5"/>
    </row>
    <row r="7864" spans="2:6" ht="13.8" hidden="1" outlineLevel="1">
      <c r="B7864" s="187">
        <v>33616</v>
      </c>
      <c r="C7864" s="188">
        <v>6.92</v>
      </c>
      <c r="D7864" s="104">
        <f t="shared" si="122"/>
        <v>6.9199999999999998E-2</v>
      </c>
      <c r="F7864" s="5"/>
    </row>
    <row r="7865" spans="2:6" ht="13.8" hidden="1" outlineLevel="1">
      <c r="B7865" s="187">
        <v>33617</v>
      </c>
      <c r="C7865" s="188">
        <v>7.03</v>
      </c>
      <c r="D7865" s="104">
        <f t="shared" si="122"/>
        <v>7.0300000000000001E-2</v>
      </c>
      <c r="F7865" s="5"/>
    </row>
    <row r="7866" spans="2:6" ht="13.8" hidden="1" outlineLevel="1">
      <c r="B7866" s="187">
        <v>33618</v>
      </c>
      <c r="C7866" s="188">
        <v>7.05</v>
      </c>
      <c r="D7866" s="104">
        <f t="shared" si="122"/>
        <v>7.0499999999999993E-2</v>
      </c>
      <c r="F7866" s="5"/>
    </row>
    <row r="7867" spans="2:6" ht="13.8" hidden="1" outlineLevel="1">
      <c r="B7867" s="187">
        <v>33619</v>
      </c>
      <c r="C7867" s="188">
        <v>7.13</v>
      </c>
      <c r="D7867" s="104">
        <f t="shared" si="122"/>
        <v>7.1300000000000002E-2</v>
      </c>
      <c r="F7867" s="5"/>
    </row>
    <row r="7868" spans="2:6" ht="13.8" hidden="1" outlineLevel="1">
      <c r="B7868" s="187">
        <v>33620</v>
      </c>
      <c r="C7868" s="188">
        <v>7.09</v>
      </c>
      <c r="D7868" s="104">
        <f t="shared" si="122"/>
        <v>7.0900000000000005E-2</v>
      </c>
      <c r="F7868" s="5"/>
    </row>
    <row r="7869" spans="2:6" ht="13.8" hidden="1" outlineLevel="1">
      <c r="B7869" s="187">
        <v>33623</v>
      </c>
      <c r="C7869" s="188" t="s">
        <v>380</v>
      </c>
      <c r="D7869" s="104">
        <f t="shared" si="122"/>
        <v>7.0900000000000005E-2</v>
      </c>
      <c r="F7869" s="5"/>
    </row>
    <row r="7870" spans="2:6" ht="13.8" hidden="1" outlineLevel="1">
      <c r="B7870" s="187">
        <v>33624</v>
      </c>
      <c r="C7870" s="188">
        <v>7.03</v>
      </c>
      <c r="D7870" s="104">
        <f t="shared" si="122"/>
        <v>7.0300000000000001E-2</v>
      </c>
      <c r="F7870" s="5"/>
    </row>
    <row r="7871" spans="2:6" ht="13.8" hidden="1" outlineLevel="1">
      <c r="B7871" s="187">
        <v>33625</v>
      </c>
      <c r="C7871" s="188">
        <v>7.09</v>
      </c>
      <c r="D7871" s="104">
        <f t="shared" si="122"/>
        <v>7.0900000000000005E-2</v>
      </c>
      <c r="F7871" s="5"/>
    </row>
    <row r="7872" spans="2:6" ht="13.8" hidden="1" outlineLevel="1">
      <c r="B7872" s="187">
        <v>33626</v>
      </c>
      <c r="C7872" s="188">
        <v>7.2</v>
      </c>
      <c r="D7872" s="104">
        <f t="shared" si="122"/>
        <v>7.2000000000000008E-2</v>
      </c>
      <c r="F7872" s="5"/>
    </row>
    <row r="7873" spans="2:6" ht="13.8" hidden="1" outlineLevel="1">
      <c r="B7873" s="187">
        <v>33627</v>
      </c>
      <c r="C7873" s="188">
        <v>7.25</v>
      </c>
      <c r="D7873" s="104">
        <f t="shared" si="122"/>
        <v>7.2499999999999995E-2</v>
      </c>
      <c r="F7873" s="5"/>
    </row>
    <row r="7874" spans="2:6" ht="13.8" hidden="1" outlineLevel="1">
      <c r="B7874" s="187">
        <v>33630</v>
      </c>
      <c r="C7874" s="188">
        <v>7.24</v>
      </c>
      <c r="D7874" s="104">
        <f t="shared" si="122"/>
        <v>7.2400000000000006E-2</v>
      </c>
      <c r="F7874" s="5"/>
    </row>
    <row r="7875" spans="2:6" ht="13.8" hidden="1" outlineLevel="1">
      <c r="B7875" s="187">
        <v>33631</v>
      </c>
      <c r="C7875" s="188">
        <v>7.16</v>
      </c>
      <c r="D7875" s="104">
        <f t="shared" si="122"/>
        <v>7.1599999999999997E-2</v>
      </c>
      <c r="F7875" s="5"/>
    </row>
    <row r="7876" spans="2:6" ht="13.8" hidden="1" outlineLevel="1">
      <c r="B7876" s="187">
        <v>33632</v>
      </c>
      <c r="C7876" s="188">
        <v>7.25</v>
      </c>
      <c r="D7876" s="104">
        <f t="shared" si="122"/>
        <v>7.2499999999999995E-2</v>
      </c>
      <c r="F7876" s="5"/>
    </row>
    <row r="7877" spans="2:6" ht="13.8" hidden="1" outlineLevel="1">
      <c r="B7877" s="187">
        <v>33633</v>
      </c>
      <c r="C7877" s="188">
        <v>7.31</v>
      </c>
      <c r="D7877" s="104">
        <f t="shared" si="122"/>
        <v>7.3099999999999998E-2</v>
      </c>
      <c r="F7877" s="5"/>
    </row>
    <row r="7878" spans="2:6" ht="13.8" hidden="1" outlineLevel="1">
      <c r="B7878" s="187">
        <v>33634</v>
      </c>
      <c r="C7878" s="188">
        <v>7.31</v>
      </c>
      <c r="D7878" s="104">
        <f t="shared" si="122"/>
        <v>7.3099999999999998E-2</v>
      </c>
      <c r="F7878" s="5"/>
    </row>
    <row r="7879" spans="2:6" ht="13.8" hidden="1" outlineLevel="1">
      <c r="B7879" s="187">
        <v>33637</v>
      </c>
      <c r="C7879" s="188">
        <v>7.36</v>
      </c>
      <c r="D7879" s="104">
        <f t="shared" si="122"/>
        <v>7.3599999999999999E-2</v>
      </c>
      <c r="F7879" s="5"/>
    </row>
    <row r="7880" spans="2:6" ht="13.8" hidden="1" outlineLevel="1">
      <c r="B7880" s="187">
        <v>33638</v>
      </c>
      <c r="C7880" s="188">
        <v>7.29</v>
      </c>
      <c r="D7880" s="104">
        <f t="shared" si="122"/>
        <v>7.2900000000000006E-2</v>
      </c>
      <c r="F7880" s="5"/>
    </row>
    <row r="7881" spans="2:6" ht="13.8" hidden="1" outlineLevel="1">
      <c r="B7881" s="187">
        <v>33639</v>
      </c>
      <c r="C7881" s="188">
        <v>7.21</v>
      </c>
      <c r="D7881" s="104">
        <f t="shared" si="122"/>
        <v>7.2099999999999997E-2</v>
      </c>
      <c r="F7881" s="5"/>
    </row>
    <row r="7882" spans="2:6" ht="13.8" hidden="1" outlineLevel="1">
      <c r="B7882" s="187">
        <v>33640</v>
      </c>
      <c r="C7882" s="188">
        <v>7.2</v>
      </c>
      <c r="D7882" s="104">
        <f t="shared" si="122"/>
        <v>7.2000000000000008E-2</v>
      </c>
      <c r="F7882" s="5"/>
    </row>
    <row r="7883" spans="2:6" ht="13.8" hidden="1" outlineLevel="1">
      <c r="B7883" s="187">
        <v>33641</v>
      </c>
      <c r="C7883" s="188">
        <v>7.2</v>
      </c>
      <c r="D7883" s="104">
        <f t="shared" si="122"/>
        <v>7.2000000000000008E-2</v>
      </c>
      <c r="F7883" s="5"/>
    </row>
    <row r="7884" spans="2:6" ht="13.8" hidden="1" outlineLevel="1">
      <c r="B7884" s="187">
        <v>33644</v>
      </c>
      <c r="C7884" s="188">
        <v>7.21</v>
      </c>
      <c r="D7884" s="104">
        <f t="shared" si="122"/>
        <v>7.2099999999999997E-2</v>
      </c>
      <c r="F7884" s="5"/>
    </row>
    <row r="7885" spans="2:6" ht="13.8" hidden="1" outlineLevel="1">
      <c r="B7885" s="187">
        <v>33645</v>
      </c>
      <c r="C7885" s="188">
        <v>7.23</v>
      </c>
      <c r="D7885" s="104">
        <f t="shared" si="122"/>
        <v>7.2300000000000003E-2</v>
      </c>
      <c r="F7885" s="5"/>
    </row>
    <row r="7886" spans="2:6" ht="13.8" hidden="1" outlineLevel="1">
      <c r="B7886" s="187">
        <v>33646</v>
      </c>
      <c r="C7886" s="188">
        <v>7.3</v>
      </c>
      <c r="D7886" s="104">
        <f t="shared" si="122"/>
        <v>7.2999999999999995E-2</v>
      </c>
      <c r="F7886" s="5"/>
    </row>
    <row r="7887" spans="2:6" ht="13.8" hidden="1" outlineLevel="1">
      <c r="B7887" s="187">
        <v>33647</v>
      </c>
      <c r="C7887" s="188">
        <v>7.4</v>
      </c>
      <c r="D7887" s="104">
        <f t="shared" si="122"/>
        <v>7.400000000000001E-2</v>
      </c>
      <c r="F7887" s="5"/>
    </row>
    <row r="7888" spans="2:6" ht="13.8" hidden="1" outlineLevel="1">
      <c r="B7888" s="187">
        <v>33648</v>
      </c>
      <c r="C7888" s="188">
        <v>7.41</v>
      </c>
      <c r="D7888" s="104">
        <f t="shared" si="122"/>
        <v>7.4099999999999999E-2</v>
      </c>
      <c r="F7888" s="5"/>
    </row>
    <row r="7889" spans="2:6" ht="13.8" hidden="1" outlineLevel="1">
      <c r="B7889" s="187">
        <v>33651</v>
      </c>
      <c r="C7889" s="188" t="s">
        <v>380</v>
      </c>
      <c r="D7889" s="104">
        <f t="shared" si="122"/>
        <v>7.4099999999999999E-2</v>
      </c>
      <c r="F7889" s="5"/>
    </row>
    <row r="7890" spans="2:6" ht="13.8" hidden="1" outlineLevel="1">
      <c r="B7890" s="187">
        <v>33652</v>
      </c>
      <c r="C7890" s="188">
        <v>7.47</v>
      </c>
      <c r="D7890" s="104">
        <f t="shared" si="122"/>
        <v>7.4700000000000003E-2</v>
      </c>
      <c r="F7890" s="5"/>
    </row>
    <row r="7891" spans="2:6" ht="13.8" hidden="1" outlineLevel="1">
      <c r="B7891" s="187">
        <v>33653</v>
      </c>
      <c r="C7891" s="188">
        <v>7.42</v>
      </c>
      <c r="D7891" s="104">
        <f t="shared" si="122"/>
        <v>7.4200000000000002E-2</v>
      </c>
      <c r="F7891" s="5"/>
    </row>
    <row r="7892" spans="2:6" ht="13.8" hidden="1" outlineLevel="1">
      <c r="B7892" s="187">
        <v>33654</v>
      </c>
      <c r="C7892" s="188">
        <v>7.41</v>
      </c>
      <c r="D7892" s="104">
        <f t="shared" si="122"/>
        <v>7.4099999999999999E-2</v>
      </c>
      <c r="F7892" s="5"/>
    </row>
    <row r="7893" spans="2:6" ht="13.8" hidden="1" outlineLevel="1">
      <c r="B7893" s="187">
        <v>33655</v>
      </c>
      <c r="C7893" s="188">
        <v>7.45</v>
      </c>
      <c r="D7893" s="104">
        <f t="shared" si="122"/>
        <v>7.4499999999999997E-2</v>
      </c>
      <c r="F7893" s="5"/>
    </row>
    <row r="7894" spans="2:6" ht="13.8" hidden="1" outlineLevel="1">
      <c r="B7894" s="187">
        <v>33658</v>
      </c>
      <c r="C7894" s="188">
        <v>7.47</v>
      </c>
      <c r="D7894" s="104">
        <f t="shared" si="122"/>
        <v>7.4700000000000003E-2</v>
      </c>
      <c r="F7894" s="5"/>
    </row>
    <row r="7895" spans="2:6" ht="13.8" hidden="1" outlineLevel="1">
      <c r="B7895" s="187">
        <v>33659</v>
      </c>
      <c r="C7895" s="188">
        <v>7.44</v>
      </c>
      <c r="D7895" s="104">
        <f t="shared" si="122"/>
        <v>7.4400000000000008E-2</v>
      </c>
      <c r="F7895" s="5"/>
    </row>
    <row r="7896" spans="2:6" ht="13.8" hidden="1" outlineLevel="1">
      <c r="B7896" s="187">
        <v>33660</v>
      </c>
      <c r="C7896" s="188">
        <v>7.33</v>
      </c>
      <c r="D7896" s="104">
        <f t="shared" si="122"/>
        <v>7.3300000000000004E-2</v>
      </c>
      <c r="F7896" s="5"/>
    </row>
    <row r="7897" spans="2:6" ht="13.8" hidden="1" outlineLevel="1">
      <c r="B7897" s="187">
        <v>33661</v>
      </c>
      <c r="C7897" s="188">
        <v>7.35</v>
      </c>
      <c r="D7897" s="104">
        <f t="shared" si="122"/>
        <v>7.3499999999999996E-2</v>
      </c>
      <c r="F7897" s="5"/>
    </row>
    <row r="7898" spans="2:6" ht="13.8" hidden="1" outlineLevel="1">
      <c r="B7898" s="187">
        <v>33662</v>
      </c>
      <c r="C7898" s="188">
        <v>7.27</v>
      </c>
      <c r="D7898" s="104">
        <f t="shared" si="122"/>
        <v>7.2700000000000001E-2</v>
      </c>
      <c r="F7898" s="5"/>
    </row>
    <row r="7899" spans="2:6" ht="13.8" hidden="1" outlineLevel="1">
      <c r="B7899" s="187">
        <v>33665</v>
      </c>
      <c r="C7899" s="188">
        <v>7.38</v>
      </c>
      <c r="D7899" s="104">
        <f t="shared" si="122"/>
        <v>7.3800000000000004E-2</v>
      </c>
      <c r="F7899" s="5"/>
    </row>
    <row r="7900" spans="2:6" ht="13.8" hidden="1" outlineLevel="1">
      <c r="B7900" s="187">
        <v>33666</v>
      </c>
      <c r="C7900" s="188">
        <v>7.43</v>
      </c>
      <c r="D7900" s="104">
        <f t="shared" si="122"/>
        <v>7.4299999999999991E-2</v>
      </c>
      <c r="F7900" s="5"/>
    </row>
    <row r="7901" spans="2:6" ht="13.8" hidden="1" outlineLevel="1">
      <c r="B7901" s="187">
        <v>33667</v>
      </c>
      <c r="C7901" s="188">
        <v>7.43</v>
      </c>
      <c r="D7901" s="104">
        <f t="shared" si="122"/>
        <v>7.4299999999999991E-2</v>
      </c>
      <c r="F7901" s="5"/>
    </row>
    <row r="7902" spans="2:6" ht="13.8" hidden="1" outlineLevel="1">
      <c r="B7902" s="187">
        <v>33668</v>
      </c>
      <c r="C7902" s="188">
        <v>7.51</v>
      </c>
      <c r="D7902" s="104">
        <f t="shared" ref="D7902:D7965" si="123">IF( LEN( C7902 ) = 0, #N/A, IF( C7902 = "ND", D7901, C7902 / 100 ) )</f>
        <v>7.51E-2</v>
      </c>
      <c r="F7902" s="5"/>
    </row>
    <row r="7903" spans="2:6" ht="13.8" hidden="1" outlineLevel="1">
      <c r="B7903" s="187">
        <v>33669</v>
      </c>
      <c r="C7903" s="188">
        <v>7.48</v>
      </c>
      <c r="D7903" s="104">
        <f t="shared" si="123"/>
        <v>7.4800000000000005E-2</v>
      </c>
      <c r="F7903" s="5"/>
    </row>
    <row r="7904" spans="2:6" ht="13.8" hidden="1" outlineLevel="1">
      <c r="B7904" s="187">
        <v>33672</v>
      </c>
      <c r="C7904" s="188">
        <v>7.42</v>
      </c>
      <c r="D7904" s="104">
        <f t="shared" si="123"/>
        <v>7.4200000000000002E-2</v>
      </c>
      <c r="F7904" s="5"/>
    </row>
    <row r="7905" spans="2:6" ht="13.8" hidden="1" outlineLevel="1">
      <c r="B7905" s="187">
        <v>33673</v>
      </c>
      <c r="C7905" s="188">
        <v>7.43</v>
      </c>
      <c r="D7905" s="104">
        <f t="shared" si="123"/>
        <v>7.4299999999999991E-2</v>
      </c>
      <c r="F7905" s="5"/>
    </row>
    <row r="7906" spans="2:6" ht="13.8" hidden="1" outlineLevel="1">
      <c r="B7906" s="187">
        <v>33674</v>
      </c>
      <c r="C7906" s="188">
        <v>7.51</v>
      </c>
      <c r="D7906" s="104">
        <f t="shared" si="123"/>
        <v>7.51E-2</v>
      </c>
      <c r="F7906" s="5"/>
    </row>
    <row r="7907" spans="2:6" ht="13.8" hidden="1" outlineLevel="1">
      <c r="B7907" s="187">
        <v>33675</v>
      </c>
      <c r="C7907" s="188">
        <v>7.62</v>
      </c>
      <c r="D7907" s="104">
        <f t="shared" si="123"/>
        <v>7.6200000000000004E-2</v>
      </c>
      <c r="F7907" s="5"/>
    </row>
    <row r="7908" spans="2:6" ht="13.8" hidden="1" outlineLevel="1">
      <c r="B7908" s="187">
        <v>33676</v>
      </c>
      <c r="C7908" s="188">
        <v>7.71</v>
      </c>
      <c r="D7908" s="104">
        <f t="shared" si="123"/>
        <v>7.7100000000000002E-2</v>
      </c>
      <c r="F7908" s="5"/>
    </row>
    <row r="7909" spans="2:6" ht="13.8" hidden="1" outlineLevel="1">
      <c r="B7909" s="187">
        <v>33679</v>
      </c>
      <c r="C7909" s="188">
        <v>7.69</v>
      </c>
      <c r="D7909" s="104">
        <f t="shared" si="123"/>
        <v>7.690000000000001E-2</v>
      </c>
      <c r="F7909" s="5"/>
    </row>
    <row r="7910" spans="2:6" ht="13.8" hidden="1" outlineLevel="1">
      <c r="B7910" s="187">
        <v>33680</v>
      </c>
      <c r="C7910" s="188">
        <v>7.62</v>
      </c>
      <c r="D7910" s="104">
        <f t="shared" si="123"/>
        <v>7.6200000000000004E-2</v>
      </c>
      <c r="F7910" s="5"/>
    </row>
    <row r="7911" spans="2:6" ht="13.8" hidden="1" outlineLevel="1">
      <c r="B7911" s="187">
        <v>33681</v>
      </c>
      <c r="C7911" s="188">
        <v>7.62</v>
      </c>
      <c r="D7911" s="104">
        <f t="shared" si="123"/>
        <v>7.6200000000000004E-2</v>
      </c>
      <c r="F7911" s="5"/>
    </row>
    <row r="7912" spans="2:6" ht="13.8" hidden="1" outlineLevel="1">
      <c r="B7912" s="187">
        <v>33682</v>
      </c>
      <c r="C7912" s="188">
        <v>7.57</v>
      </c>
      <c r="D7912" s="104">
        <f t="shared" si="123"/>
        <v>7.5700000000000003E-2</v>
      </c>
      <c r="F7912" s="5"/>
    </row>
    <row r="7913" spans="2:6" ht="13.8" hidden="1" outlineLevel="1">
      <c r="B7913" s="187">
        <v>33683</v>
      </c>
      <c r="C7913" s="188">
        <v>7.64</v>
      </c>
      <c r="D7913" s="104">
        <f t="shared" si="123"/>
        <v>7.6399999999999996E-2</v>
      </c>
      <c r="F7913" s="5"/>
    </row>
    <row r="7914" spans="2:6" ht="13.8" hidden="1" outlineLevel="1">
      <c r="B7914" s="187">
        <v>33686</v>
      </c>
      <c r="C7914" s="188">
        <v>7.62</v>
      </c>
      <c r="D7914" s="104">
        <f t="shared" si="123"/>
        <v>7.6200000000000004E-2</v>
      </c>
      <c r="F7914" s="5"/>
    </row>
    <row r="7915" spans="2:6" ht="13.8" hidden="1" outlineLevel="1">
      <c r="B7915" s="187">
        <v>33687</v>
      </c>
      <c r="C7915" s="188">
        <v>7.53</v>
      </c>
      <c r="D7915" s="104">
        <f t="shared" si="123"/>
        <v>7.5300000000000006E-2</v>
      </c>
      <c r="F7915" s="5"/>
    </row>
    <row r="7916" spans="2:6" ht="13.8" hidden="1" outlineLevel="1">
      <c r="B7916" s="187">
        <v>33688</v>
      </c>
      <c r="C7916" s="188">
        <v>7.53</v>
      </c>
      <c r="D7916" s="104">
        <f t="shared" si="123"/>
        <v>7.5300000000000006E-2</v>
      </c>
      <c r="F7916" s="5"/>
    </row>
    <row r="7917" spans="2:6" ht="13.8" hidden="1" outlineLevel="1">
      <c r="B7917" s="187">
        <v>33689</v>
      </c>
      <c r="C7917" s="188">
        <v>7.57</v>
      </c>
      <c r="D7917" s="104">
        <f t="shared" si="123"/>
        <v>7.5700000000000003E-2</v>
      </c>
      <c r="F7917" s="5"/>
    </row>
    <row r="7918" spans="2:6" ht="13.8" hidden="1" outlineLevel="1">
      <c r="B7918" s="187">
        <v>33690</v>
      </c>
      <c r="C7918" s="188">
        <v>7.54</v>
      </c>
      <c r="D7918" s="104">
        <f t="shared" si="123"/>
        <v>7.5399999999999995E-2</v>
      </c>
      <c r="F7918" s="5"/>
    </row>
    <row r="7919" spans="2:6" ht="13.8" hidden="1" outlineLevel="1">
      <c r="B7919" s="187">
        <v>33693</v>
      </c>
      <c r="C7919" s="188">
        <v>7.54</v>
      </c>
      <c r="D7919" s="104">
        <f t="shared" si="123"/>
        <v>7.5399999999999995E-2</v>
      </c>
      <c r="F7919" s="5"/>
    </row>
    <row r="7920" spans="2:6" ht="13.8" hidden="1" outlineLevel="1">
      <c r="B7920" s="187">
        <v>33694</v>
      </c>
      <c r="C7920" s="188">
        <v>7.54</v>
      </c>
      <c r="D7920" s="104">
        <f t="shared" si="123"/>
        <v>7.5399999999999995E-2</v>
      </c>
      <c r="F7920" s="5"/>
    </row>
    <row r="7921" spans="2:6" ht="13.8" hidden="1" outlineLevel="1">
      <c r="B7921" s="187">
        <v>33695</v>
      </c>
      <c r="C7921" s="188">
        <v>7.46</v>
      </c>
      <c r="D7921" s="104">
        <f t="shared" si="123"/>
        <v>7.46E-2</v>
      </c>
      <c r="F7921" s="5"/>
    </row>
    <row r="7922" spans="2:6" ht="13.8" hidden="1" outlineLevel="1">
      <c r="B7922" s="187">
        <v>33696</v>
      </c>
      <c r="C7922" s="188">
        <v>7.47</v>
      </c>
      <c r="D7922" s="104">
        <f t="shared" si="123"/>
        <v>7.4700000000000003E-2</v>
      </c>
      <c r="F7922" s="5"/>
    </row>
    <row r="7923" spans="2:6" ht="13.8" hidden="1" outlineLevel="1">
      <c r="B7923" s="187">
        <v>33697</v>
      </c>
      <c r="C7923" s="188">
        <v>7.42</v>
      </c>
      <c r="D7923" s="104">
        <f t="shared" si="123"/>
        <v>7.4200000000000002E-2</v>
      </c>
      <c r="F7923" s="5"/>
    </row>
    <row r="7924" spans="2:6" ht="13.8" hidden="1" outlineLevel="1">
      <c r="B7924" s="187">
        <v>33700</v>
      </c>
      <c r="C7924" s="188">
        <v>7.41</v>
      </c>
      <c r="D7924" s="104">
        <f t="shared" si="123"/>
        <v>7.4099999999999999E-2</v>
      </c>
      <c r="F7924" s="5"/>
    </row>
    <row r="7925" spans="2:6" ht="13.8" hidden="1" outlineLevel="1">
      <c r="B7925" s="187">
        <v>33701</v>
      </c>
      <c r="C7925" s="188">
        <v>7.41</v>
      </c>
      <c r="D7925" s="104">
        <f t="shared" si="123"/>
        <v>7.4099999999999999E-2</v>
      </c>
      <c r="F7925" s="5"/>
    </row>
    <row r="7926" spans="2:6" ht="13.8" hidden="1" outlineLevel="1">
      <c r="B7926" s="187">
        <v>33702</v>
      </c>
      <c r="C7926" s="188">
        <v>7.44</v>
      </c>
      <c r="D7926" s="104">
        <f t="shared" si="123"/>
        <v>7.4400000000000008E-2</v>
      </c>
      <c r="F7926" s="5"/>
    </row>
    <row r="7927" spans="2:6" ht="13.8" hidden="1" outlineLevel="1">
      <c r="B7927" s="187">
        <v>33703</v>
      </c>
      <c r="C7927" s="188">
        <v>7.35</v>
      </c>
      <c r="D7927" s="104">
        <f t="shared" si="123"/>
        <v>7.3499999999999996E-2</v>
      </c>
      <c r="F7927" s="5"/>
    </row>
    <row r="7928" spans="2:6" ht="13.8" hidden="1" outlineLevel="1">
      <c r="B7928" s="187">
        <v>33704</v>
      </c>
      <c r="C7928" s="188">
        <v>7.37</v>
      </c>
      <c r="D7928" s="104">
        <f t="shared" si="123"/>
        <v>7.3700000000000002E-2</v>
      </c>
      <c r="F7928" s="5"/>
    </row>
    <row r="7929" spans="2:6" ht="13.8" hidden="1" outlineLevel="1">
      <c r="B7929" s="187">
        <v>33707</v>
      </c>
      <c r="C7929" s="188">
        <v>7.33</v>
      </c>
      <c r="D7929" s="104">
        <f t="shared" si="123"/>
        <v>7.3300000000000004E-2</v>
      </c>
      <c r="F7929" s="5"/>
    </row>
    <row r="7930" spans="2:6" ht="13.8" hidden="1" outlineLevel="1">
      <c r="B7930" s="187">
        <v>33708</v>
      </c>
      <c r="C7930" s="188">
        <v>7.35</v>
      </c>
      <c r="D7930" s="104">
        <f t="shared" si="123"/>
        <v>7.3499999999999996E-2</v>
      </c>
      <c r="F7930" s="5"/>
    </row>
    <row r="7931" spans="2:6" ht="13.8" hidden="1" outlineLevel="1">
      <c r="B7931" s="187">
        <v>33709</v>
      </c>
      <c r="C7931" s="188">
        <v>7.37</v>
      </c>
      <c r="D7931" s="104">
        <f t="shared" si="123"/>
        <v>7.3700000000000002E-2</v>
      </c>
      <c r="F7931" s="5"/>
    </row>
    <row r="7932" spans="2:6" ht="13.8" hidden="1" outlineLevel="1">
      <c r="B7932" s="187">
        <v>33710</v>
      </c>
      <c r="C7932" s="188">
        <v>7.45</v>
      </c>
      <c r="D7932" s="104">
        <f t="shared" si="123"/>
        <v>7.4499999999999997E-2</v>
      </c>
      <c r="F7932" s="5"/>
    </row>
    <row r="7933" spans="2:6" ht="13.8" hidden="1" outlineLevel="1">
      <c r="B7933" s="187">
        <v>33711</v>
      </c>
      <c r="C7933" s="188" t="s">
        <v>380</v>
      </c>
      <c r="D7933" s="104">
        <f t="shared" si="123"/>
        <v>7.4499999999999997E-2</v>
      </c>
      <c r="F7933" s="5"/>
    </row>
    <row r="7934" spans="2:6" ht="13.8" hidden="1" outlineLevel="1">
      <c r="B7934" s="187">
        <v>33714</v>
      </c>
      <c r="C7934" s="188">
        <v>7.59</v>
      </c>
      <c r="D7934" s="104">
        <f t="shared" si="123"/>
        <v>7.5899999999999995E-2</v>
      </c>
      <c r="F7934" s="5"/>
    </row>
    <row r="7935" spans="2:6" ht="13.8" hidden="1" outlineLevel="1">
      <c r="B7935" s="187">
        <v>33715</v>
      </c>
      <c r="C7935" s="188">
        <v>7.58</v>
      </c>
      <c r="D7935" s="104">
        <f t="shared" si="123"/>
        <v>7.5800000000000006E-2</v>
      </c>
      <c r="F7935" s="5"/>
    </row>
    <row r="7936" spans="2:6" ht="13.8" hidden="1" outlineLevel="1">
      <c r="B7936" s="187">
        <v>33716</v>
      </c>
      <c r="C7936" s="188">
        <v>7.57</v>
      </c>
      <c r="D7936" s="104">
        <f t="shared" si="123"/>
        <v>7.5700000000000003E-2</v>
      </c>
      <c r="F7936" s="5"/>
    </row>
    <row r="7937" spans="2:6" ht="13.8" hidden="1" outlineLevel="1">
      <c r="B7937" s="187">
        <v>33717</v>
      </c>
      <c r="C7937" s="188">
        <v>7.59</v>
      </c>
      <c r="D7937" s="104">
        <f t="shared" si="123"/>
        <v>7.5899999999999995E-2</v>
      </c>
      <c r="F7937" s="5"/>
    </row>
    <row r="7938" spans="2:6" ht="13.8" hidden="1" outlineLevel="1">
      <c r="B7938" s="187">
        <v>33718</v>
      </c>
      <c r="C7938" s="188">
        <v>7.55</v>
      </c>
      <c r="D7938" s="104">
        <f t="shared" si="123"/>
        <v>7.5499999999999998E-2</v>
      </c>
      <c r="F7938" s="5"/>
    </row>
    <row r="7939" spans="2:6" ht="13.8" hidden="1" outlineLevel="1">
      <c r="B7939" s="187">
        <v>33721</v>
      </c>
      <c r="C7939" s="188">
        <v>7.6</v>
      </c>
      <c r="D7939" s="104">
        <f t="shared" si="123"/>
        <v>7.5999999999999998E-2</v>
      </c>
      <c r="F7939" s="5"/>
    </row>
    <row r="7940" spans="2:6" ht="13.8" hidden="1" outlineLevel="1">
      <c r="B7940" s="187">
        <v>33722</v>
      </c>
      <c r="C7940" s="188">
        <v>7.57</v>
      </c>
      <c r="D7940" s="104">
        <f t="shared" si="123"/>
        <v>7.5700000000000003E-2</v>
      </c>
      <c r="F7940" s="5"/>
    </row>
    <row r="7941" spans="2:6" ht="13.8" hidden="1" outlineLevel="1">
      <c r="B7941" s="187">
        <v>33723</v>
      </c>
      <c r="C7941" s="188">
        <v>7.6</v>
      </c>
      <c r="D7941" s="104">
        <f t="shared" si="123"/>
        <v>7.5999999999999998E-2</v>
      </c>
      <c r="F7941" s="5"/>
    </row>
    <row r="7942" spans="2:6" ht="13.8" hidden="1" outlineLevel="1">
      <c r="B7942" s="187">
        <v>33724</v>
      </c>
      <c r="C7942" s="188">
        <v>7.61</v>
      </c>
      <c r="D7942" s="104">
        <f t="shared" si="123"/>
        <v>7.6100000000000001E-2</v>
      </c>
      <c r="F7942" s="5"/>
    </row>
    <row r="7943" spans="2:6" ht="13.8" hidden="1" outlineLevel="1">
      <c r="B7943" s="187">
        <v>33725</v>
      </c>
      <c r="C7943" s="188">
        <v>7.56</v>
      </c>
      <c r="D7943" s="104">
        <f t="shared" si="123"/>
        <v>7.5600000000000001E-2</v>
      </c>
      <c r="F7943" s="5"/>
    </row>
    <row r="7944" spans="2:6" ht="13.8" hidden="1" outlineLevel="1">
      <c r="B7944" s="187">
        <v>33728</v>
      </c>
      <c r="C7944" s="188">
        <v>7.58</v>
      </c>
      <c r="D7944" s="104">
        <f t="shared" si="123"/>
        <v>7.5800000000000006E-2</v>
      </c>
      <c r="F7944" s="5"/>
    </row>
    <row r="7945" spans="2:6" ht="13.8" hidden="1" outlineLevel="1">
      <c r="B7945" s="187">
        <v>33729</v>
      </c>
      <c r="C7945" s="188">
        <v>7.56</v>
      </c>
      <c r="D7945" s="104">
        <f t="shared" si="123"/>
        <v>7.5600000000000001E-2</v>
      </c>
      <c r="F7945" s="5"/>
    </row>
    <row r="7946" spans="2:6" ht="13.8" hidden="1" outlineLevel="1">
      <c r="B7946" s="187">
        <v>33730</v>
      </c>
      <c r="C7946" s="188">
        <v>7.46</v>
      </c>
      <c r="D7946" s="104">
        <f t="shared" si="123"/>
        <v>7.46E-2</v>
      </c>
      <c r="F7946" s="5"/>
    </row>
    <row r="7947" spans="2:6" ht="13.8" hidden="1" outlineLevel="1">
      <c r="B7947" s="187">
        <v>33731</v>
      </c>
      <c r="C7947" s="188">
        <v>7.49</v>
      </c>
      <c r="D7947" s="104">
        <f t="shared" si="123"/>
        <v>7.4900000000000008E-2</v>
      </c>
      <c r="F7947" s="5"/>
    </row>
    <row r="7948" spans="2:6" ht="13.8" hidden="1" outlineLevel="1">
      <c r="B7948" s="187">
        <v>33732</v>
      </c>
      <c r="C7948" s="188">
        <v>7.41</v>
      </c>
      <c r="D7948" s="104">
        <f t="shared" si="123"/>
        <v>7.4099999999999999E-2</v>
      </c>
      <c r="F7948" s="5"/>
    </row>
    <row r="7949" spans="2:6" ht="13.8" hidden="1" outlineLevel="1">
      <c r="B7949" s="187">
        <v>33735</v>
      </c>
      <c r="C7949" s="188">
        <v>7.4</v>
      </c>
      <c r="D7949" s="104">
        <f t="shared" si="123"/>
        <v>7.400000000000001E-2</v>
      </c>
      <c r="F7949" s="5"/>
    </row>
    <row r="7950" spans="2:6" ht="13.8" hidden="1" outlineLevel="1">
      <c r="B7950" s="187">
        <v>33736</v>
      </c>
      <c r="C7950" s="188">
        <v>7.36</v>
      </c>
      <c r="D7950" s="104">
        <f t="shared" si="123"/>
        <v>7.3599999999999999E-2</v>
      </c>
      <c r="F7950" s="5"/>
    </row>
    <row r="7951" spans="2:6" ht="13.8" hidden="1" outlineLevel="1">
      <c r="B7951" s="187">
        <v>33737</v>
      </c>
      <c r="C7951" s="188">
        <v>7.34</v>
      </c>
      <c r="D7951" s="104">
        <f t="shared" si="123"/>
        <v>7.3399999999999993E-2</v>
      </c>
      <c r="F7951" s="5"/>
    </row>
    <row r="7952" spans="2:6" ht="13.8" hidden="1" outlineLevel="1">
      <c r="B7952" s="187">
        <v>33738</v>
      </c>
      <c r="C7952" s="188">
        <v>7.34</v>
      </c>
      <c r="D7952" s="104">
        <f t="shared" si="123"/>
        <v>7.3399999999999993E-2</v>
      </c>
      <c r="F7952" s="5"/>
    </row>
    <row r="7953" spans="2:6" ht="13.8" hidden="1" outlineLevel="1">
      <c r="B7953" s="187">
        <v>33739</v>
      </c>
      <c r="C7953" s="188">
        <v>7.28</v>
      </c>
      <c r="D7953" s="104">
        <f t="shared" si="123"/>
        <v>7.2800000000000004E-2</v>
      </c>
      <c r="F7953" s="5"/>
    </row>
    <row r="7954" spans="2:6" ht="13.8" hidden="1" outlineLevel="1">
      <c r="B7954" s="187">
        <v>33742</v>
      </c>
      <c r="C7954" s="188">
        <v>7.28</v>
      </c>
      <c r="D7954" s="104">
        <f t="shared" si="123"/>
        <v>7.2800000000000004E-2</v>
      </c>
      <c r="F7954" s="5"/>
    </row>
    <row r="7955" spans="2:6" ht="13.8" hidden="1" outlineLevel="1">
      <c r="B7955" s="187">
        <v>33743</v>
      </c>
      <c r="C7955" s="188">
        <v>7.2</v>
      </c>
      <c r="D7955" s="104">
        <f t="shared" si="123"/>
        <v>7.2000000000000008E-2</v>
      </c>
      <c r="F7955" s="5"/>
    </row>
    <row r="7956" spans="2:6" ht="13.8" hidden="1" outlineLevel="1">
      <c r="B7956" s="187">
        <v>33744</v>
      </c>
      <c r="C7956" s="188">
        <v>7.25</v>
      </c>
      <c r="D7956" s="104">
        <f t="shared" si="123"/>
        <v>7.2499999999999995E-2</v>
      </c>
      <c r="F7956" s="5"/>
    </row>
    <row r="7957" spans="2:6" ht="13.8" hidden="1" outlineLevel="1">
      <c r="B7957" s="187">
        <v>33745</v>
      </c>
      <c r="C7957" s="188">
        <v>7.39</v>
      </c>
      <c r="D7957" s="104">
        <f t="shared" si="123"/>
        <v>7.3899999999999993E-2</v>
      </c>
      <c r="F7957" s="5"/>
    </row>
    <row r="7958" spans="2:6" ht="13.8" hidden="1" outlineLevel="1">
      <c r="B7958" s="187">
        <v>33746</v>
      </c>
      <c r="C7958" s="188">
        <v>7.35</v>
      </c>
      <c r="D7958" s="104">
        <f t="shared" si="123"/>
        <v>7.3499999999999996E-2</v>
      </c>
      <c r="F7958" s="5"/>
    </row>
    <row r="7959" spans="2:6" ht="13.8" hidden="1" outlineLevel="1">
      <c r="B7959" s="187">
        <v>33749</v>
      </c>
      <c r="C7959" s="188" t="s">
        <v>380</v>
      </c>
      <c r="D7959" s="104">
        <f t="shared" si="123"/>
        <v>7.3499999999999996E-2</v>
      </c>
      <c r="F7959" s="5"/>
    </row>
    <row r="7960" spans="2:6" ht="13.8" hidden="1" outlineLevel="1">
      <c r="B7960" s="187">
        <v>33750</v>
      </c>
      <c r="C7960" s="188">
        <v>7.46</v>
      </c>
      <c r="D7960" s="104">
        <f t="shared" si="123"/>
        <v>7.46E-2</v>
      </c>
      <c r="F7960" s="5"/>
    </row>
    <row r="7961" spans="2:6" ht="13.8" hidden="1" outlineLevel="1">
      <c r="B7961" s="187">
        <v>33751</v>
      </c>
      <c r="C7961" s="188">
        <v>7.44</v>
      </c>
      <c r="D7961" s="104">
        <f t="shared" si="123"/>
        <v>7.4400000000000008E-2</v>
      </c>
      <c r="F7961" s="5"/>
    </row>
    <row r="7962" spans="2:6" ht="13.8" hidden="1" outlineLevel="1">
      <c r="B7962" s="187">
        <v>33752</v>
      </c>
      <c r="C7962" s="188">
        <v>7.36</v>
      </c>
      <c r="D7962" s="104">
        <f t="shared" si="123"/>
        <v>7.3599999999999999E-2</v>
      </c>
      <c r="F7962" s="5"/>
    </row>
    <row r="7963" spans="2:6" ht="13.8" hidden="1" outlineLevel="1">
      <c r="B7963" s="187">
        <v>33753</v>
      </c>
      <c r="C7963" s="188">
        <v>7.33</v>
      </c>
      <c r="D7963" s="104">
        <f t="shared" si="123"/>
        <v>7.3300000000000004E-2</v>
      </c>
      <c r="F7963" s="5"/>
    </row>
    <row r="7964" spans="2:6" ht="13.8" hidden="1" outlineLevel="1">
      <c r="B7964" s="187">
        <v>33756</v>
      </c>
      <c r="C7964" s="188">
        <v>7.39</v>
      </c>
      <c r="D7964" s="104">
        <f t="shared" si="123"/>
        <v>7.3899999999999993E-2</v>
      </c>
      <c r="F7964" s="5"/>
    </row>
    <row r="7965" spans="2:6" ht="13.8" hidden="1" outlineLevel="1">
      <c r="B7965" s="187">
        <v>33757</v>
      </c>
      <c r="C7965" s="188">
        <v>7.35</v>
      </c>
      <c r="D7965" s="104">
        <f t="shared" si="123"/>
        <v>7.3499999999999996E-2</v>
      </c>
      <c r="F7965" s="5"/>
    </row>
    <row r="7966" spans="2:6" ht="13.8" hidden="1" outlineLevel="1">
      <c r="B7966" s="187">
        <v>33758</v>
      </c>
      <c r="C7966" s="188">
        <v>7.34</v>
      </c>
      <c r="D7966" s="104">
        <f t="shared" ref="D7966:D8029" si="124">IF( LEN( C7966 ) = 0, #N/A, IF( C7966 = "ND", D7965, C7966 / 100 ) )</f>
        <v>7.3399999999999993E-2</v>
      </c>
      <c r="F7966" s="5"/>
    </row>
    <row r="7967" spans="2:6" ht="13.8" hidden="1" outlineLevel="1">
      <c r="B7967" s="187">
        <v>33759</v>
      </c>
      <c r="C7967" s="188">
        <v>7.34</v>
      </c>
      <c r="D7967" s="104">
        <f t="shared" si="124"/>
        <v>7.3399999999999993E-2</v>
      </c>
      <c r="F7967" s="5"/>
    </row>
    <row r="7968" spans="2:6" ht="13.8" hidden="1" outlineLevel="1">
      <c r="B7968" s="187">
        <v>33760</v>
      </c>
      <c r="C7968" s="188">
        <v>7.31</v>
      </c>
      <c r="D7968" s="104">
        <f t="shared" si="124"/>
        <v>7.3099999999999998E-2</v>
      </c>
      <c r="F7968" s="5"/>
    </row>
    <row r="7969" spans="2:6" ht="13.8" hidden="1" outlineLevel="1">
      <c r="B7969" s="187">
        <v>33763</v>
      </c>
      <c r="C7969" s="188">
        <v>7.31</v>
      </c>
      <c r="D7969" s="104">
        <f t="shared" si="124"/>
        <v>7.3099999999999998E-2</v>
      </c>
      <c r="F7969" s="5"/>
    </row>
    <row r="7970" spans="2:6" ht="13.8" hidden="1" outlineLevel="1">
      <c r="B7970" s="187">
        <v>33764</v>
      </c>
      <c r="C7970" s="188">
        <v>7.33</v>
      </c>
      <c r="D7970" s="104">
        <f t="shared" si="124"/>
        <v>7.3300000000000004E-2</v>
      </c>
      <c r="F7970" s="5"/>
    </row>
    <row r="7971" spans="2:6" ht="13.8" hidden="1" outlineLevel="1">
      <c r="B7971" s="187">
        <v>33765</v>
      </c>
      <c r="C7971" s="188">
        <v>7.35</v>
      </c>
      <c r="D7971" s="104">
        <f t="shared" si="124"/>
        <v>7.3499999999999996E-2</v>
      </c>
      <c r="F7971" s="5"/>
    </row>
    <row r="7972" spans="2:6" ht="13.8" hidden="1" outlineLevel="1">
      <c r="B7972" s="187">
        <v>33766</v>
      </c>
      <c r="C7972" s="188">
        <v>7.33</v>
      </c>
      <c r="D7972" s="104">
        <f t="shared" si="124"/>
        <v>7.3300000000000004E-2</v>
      </c>
      <c r="F7972" s="5"/>
    </row>
    <row r="7973" spans="2:6" ht="13.8" hidden="1" outlineLevel="1">
      <c r="B7973" s="187">
        <v>33767</v>
      </c>
      <c r="C7973" s="188">
        <v>7.29</v>
      </c>
      <c r="D7973" s="104">
        <f t="shared" si="124"/>
        <v>7.2900000000000006E-2</v>
      </c>
      <c r="F7973" s="5"/>
    </row>
    <row r="7974" spans="2:6" ht="13.8" hidden="1" outlineLevel="1">
      <c r="B7974" s="187">
        <v>33770</v>
      </c>
      <c r="C7974" s="188">
        <v>7.28</v>
      </c>
      <c r="D7974" s="104">
        <f t="shared" si="124"/>
        <v>7.2800000000000004E-2</v>
      </c>
      <c r="F7974" s="5"/>
    </row>
    <row r="7975" spans="2:6" ht="13.8" hidden="1" outlineLevel="1">
      <c r="B7975" s="187">
        <v>33771</v>
      </c>
      <c r="C7975" s="188">
        <v>7.24</v>
      </c>
      <c r="D7975" s="104">
        <f t="shared" si="124"/>
        <v>7.2400000000000006E-2</v>
      </c>
      <c r="F7975" s="5"/>
    </row>
    <row r="7976" spans="2:6" ht="13.8" hidden="1" outlineLevel="1">
      <c r="B7976" s="187">
        <v>33772</v>
      </c>
      <c r="C7976" s="188">
        <v>7.23</v>
      </c>
      <c r="D7976" s="104">
        <f t="shared" si="124"/>
        <v>7.2300000000000003E-2</v>
      </c>
      <c r="F7976" s="5"/>
    </row>
    <row r="7977" spans="2:6" ht="13.8" hidden="1" outlineLevel="1">
      <c r="B7977" s="187">
        <v>33773</v>
      </c>
      <c r="C7977" s="188">
        <v>7.19</v>
      </c>
      <c r="D7977" s="104">
        <f t="shared" si="124"/>
        <v>7.1900000000000006E-2</v>
      </c>
      <c r="F7977" s="5"/>
    </row>
    <row r="7978" spans="2:6" ht="13.8" hidden="1" outlineLevel="1">
      <c r="B7978" s="187">
        <v>33774</v>
      </c>
      <c r="C7978" s="188">
        <v>7.24</v>
      </c>
      <c r="D7978" s="104">
        <f t="shared" si="124"/>
        <v>7.2400000000000006E-2</v>
      </c>
      <c r="F7978" s="5"/>
    </row>
    <row r="7979" spans="2:6" ht="13.8" hidden="1" outlineLevel="1">
      <c r="B7979" s="187">
        <v>33777</v>
      </c>
      <c r="C7979" s="188">
        <v>7.24</v>
      </c>
      <c r="D7979" s="104">
        <f t="shared" si="124"/>
        <v>7.2400000000000006E-2</v>
      </c>
      <c r="F7979" s="5"/>
    </row>
    <row r="7980" spans="2:6" ht="13.8" hidden="1" outlineLevel="1">
      <c r="B7980" s="187">
        <v>33778</v>
      </c>
      <c r="C7980" s="188">
        <v>7.25</v>
      </c>
      <c r="D7980" s="104">
        <f t="shared" si="124"/>
        <v>7.2499999999999995E-2</v>
      </c>
      <c r="F7980" s="5"/>
    </row>
    <row r="7981" spans="2:6" ht="13.8" hidden="1" outlineLevel="1">
      <c r="B7981" s="187">
        <v>33779</v>
      </c>
      <c r="C7981" s="188">
        <v>7.2</v>
      </c>
      <c r="D7981" s="104">
        <f t="shared" si="124"/>
        <v>7.2000000000000008E-2</v>
      </c>
      <c r="F7981" s="5"/>
    </row>
    <row r="7982" spans="2:6" ht="13.8" hidden="1" outlineLevel="1">
      <c r="B7982" s="187">
        <v>33780</v>
      </c>
      <c r="C7982" s="188">
        <v>7.14</v>
      </c>
      <c r="D7982" s="104">
        <f t="shared" si="124"/>
        <v>7.1399999999999991E-2</v>
      </c>
      <c r="F7982" s="5"/>
    </row>
    <row r="7983" spans="2:6" ht="13.8" hidden="1" outlineLevel="1">
      <c r="B7983" s="187">
        <v>33781</v>
      </c>
      <c r="C7983" s="188">
        <v>7.15</v>
      </c>
      <c r="D7983" s="104">
        <f t="shared" si="124"/>
        <v>7.1500000000000008E-2</v>
      </c>
      <c r="F7983" s="5"/>
    </row>
    <row r="7984" spans="2:6" ht="13.8" hidden="1" outlineLevel="1">
      <c r="B7984" s="187">
        <v>33784</v>
      </c>
      <c r="C7984" s="188">
        <v>7.12</v>
      </c>
      <c r="D7984" s="104">
        <f t="shared" si="124"/>
        <v>7.1199999999999999E-2</v>
      </c>
      <c r="F7984" s="5"/>
    </row>
    <row r="7985" spans="2:6" ht="13.8" hidden="1" outlineLevel="1">
      <c r="B7985" s="187">
        <v>33785</v>
      </c>
      <c r="C7985" s="188">
        <v>7.14</v>
      </c>
      <c r="D7985" s="104">
        <f t="shared" si="124"/>
        <v>7.1399999999999991E-2</v>
      </c>
      <c r="F7985" s="5"/>
    </row>
    <row r="7986" spans="2:6" ht="13.8" hidden="1" outlineLevel="1">
      <c r="B7986" s="187">
        <v>33786</v>
      </c>
      <c r="C7986" s="188">
        <v>7.1</v>
      </c>
      <c r="D7986" s="104">
        <f t="shared" si="124"/>
        <v>7.0999999999999994E-2</v>
      </c>
      <c r="F7986" s="5"/>
    </row>
    <row r="7987" spans="2:6" ht="13.8" hidden="1" outlineLevel="1">
      <c r="B7987" s="187">
        <v>33787</v>
      </c>
      <c r="C7987" s="188">
        <v>6.93</v>
      </c>
      <c r="D7987" s="104">
        <f t="shared" si="124"/>
        <v>6.93E-2</v>
      </c>
      <c r="F7987" s="5"/>
    </row>
    <row r="7988" spans="2:6" ht="13.8" hidden="1" outlineLevel="1">
      <c r="B7988" s="187">
        <v>33788</v>
      </c>
      <c r="C7988" s="188" t="s">
        <v>380</v>
      </c>
      <c r="D7988" s="104">
        <f t="shared" si="124"/>
        <v>6.93E-2</v>
      </c>
      <c r="F7988" s="5"/>
    </row>
    <row r="7989" spans="2:6" ht="13.8" hidden="1" outlineLevel="1">
      <c r="B7989" s="187">
        <v>33791</v>
      </c>
      <c r="C7989" s="188">
        <v>6.9</v>
      </c>
      <c r="D7989" s="104">
        <f t="shared" si="124"/>
        <v>6.9000000000000006E-2</v>
      </c>
      <c r="F7989" s="5"/>
    </row>
    <row r="7990" spans="2:6" ht="13.8" hidden="1" outlineLevel="1">
      <c r="B7990" s="187">
        <v>33792</v>
      </c>
      <c r="C7990" s="188">
        <v>6.87</v>
      </c>
      <c r="D7990" s="104">
        <f t="shared" si="124"/>
        <v>6.8699999999999997E-2</v>
      </c>
      <c r="F7990" s="5"/>
    </row>
    <row r="7991" spans="2:6" ht="13.8" hidden="1" outlineLevel="1">
      <c r="B7991" s="187">
        <v>33793</v>
      </c>
      <c r="C7991" s="188">
        <v>6.91</v>
      </c>
      <c r="D7991" s="104">
        <f t="shared" si="124"/>
        <v>6.9099999999999995E-2</v>
      </c>
      <c r="F7991" s="5"/>
    </row>
    <row r="7992" spans="2:6" ht="13.8" hidden="1" outlineLevel="1">
      <c r="B7992" s="187">
        <v>33794</v>
      </c>
      <c r="C7992" s="188">
        <v>6.91</v>
      </c>
      <c r="D7992" s="104">
        <f t="shared" si="124"/>
        <v>6.9099999999999995E-2</v>
      </c>
      <c r="F7992" s="5"/>
    </row>
    <row r="7993" spans="2:6" ht="13.8" hidden="1" outlineLevel="1">
      <c r="B7993" s="187">
        <v>33795</v>
      </c>
      <c r="C7993" s="188">
        <v>6.93</v>
      </c>
      <c r="D7993" s="104">
        <f t="shared" si="124"/>
        <v>6.93E-2</v>
      </c>
      <c r="F7993" s="5"/>
    </row>
    <row r="7994" spans="2:6" ht="13.8" hidden="1" outlineLevel="1">
      <c r="B7994" s="187">
        <v>33798</v>
      </c>
      <c r="C7994" s="188">
        <v>6.97</v>
      </c>
      <c r="D7994" s="104">
        <f t="shared" si="124"/>
        <v>6.9699999999999998E-2</v>
      </c>
      <c r="F7994" s="5"/>
    </row>
    <row r="7995" spans="2:6" ht="13.8" hidden="1" outlineLevel="1">
      <c r="B7995" s="187">
        <v>33799</v>
      </c>
      <c r="C7995" s="188">
        <v>6.97</v>
      </c>
      <c r="D7995" s="104">
        <f t="shared" si="124"/>
        <v>6.9699999999999998E-2</v>
      </c>
      <c r="F7995" s="5"/>
    </row>
    <row r="7996" spans="2:6" ht="13.8" hidden="1" outlineLevel="1">
      <c r="B7996" s="187">
        <v>33800</v>
      </c>
      <c r="C7996" s="188">
        <v>6.9</v>
      </c>
      <c r="D7996" s="104">
        <f t="shared" si="124"/>
        <v>6.9000000000000006E-2</v>
      </c>
      <c r="F7996" s="5"/>
    </row>
    <row r="7997" spans="2:6" ht="13.8" hidden="1" outlineLevel="1">
      <c r="B7997" s="187">
        <v>33801</v>
      </c>
      <c r="C7997" s="188">
        <v>6.87</v>
      </c>
      <c r="D7997" s="104">
        <f t="shared" si="124"/>
        <v>6.8699999999999997E-2</v>
      </c>
      <c r="F7997" s="5"/>
    </row>
    <row r="7998" spans="2:6" ht="13.8" hidden="1" outlineLevel="1">
      <c r="B7998" s="187">
        <v>33802</v>
      </c>
      <c r="C7998" s="188">
        <v>6.9</v>
      </c>
      <c r="D7998" s="104">
        <f t="shared" si="124"/>
        <v>6.9000000000000006E-2</v>
      </c>
      <c r="F7998" s="5"/>
    </row>
    <row r="7999" spans="2:6" ht="13.8" hidden="1" outlineLevel="1">
      <c r="B7999" s="187">
        <v>33805</v>
      </c>
      <c r="C7999" s="188">
        <v>6.9</v>
      </c>
      <c r="D7999" s="104">
        <f t="shared" si="124"/>
        <v>6.9000000000000006E-2</v>
      </c>
      <c r="F7999" s="5"/>
    </row>
    <row r="8000" spans="2:6" ht="13.8" hidden="1" outlineLevel="1">
      <c r="B8000" s="187">
        <v>33806</v>
      </c>
      <c r="C8000" s="188">
        <v>6.89</v>
      </c>
      <c r="D8000" s="104">
        <f t="shared" si="124"/>
        <v>6.8900000000000003E-2</v>
      </c>
      <c r="F8000" s="5"/>
    </row>
    <row r="8001" spans="2:6" ht="13.8" hidden="1" outlineLevel="1">
      <c r="B8001" s="187">
        <v>33807</v>
      </c>
      <c r="C8001" s="188">
        <v>6.85</v>
      </c>
      <c r="D8001" s="104">
        <f t="shared" si="124"/>
        <v>6.8499999999999991E-2</v>
      </c>
      <c r="F8001" s="5"/>
    </row>
    <row r="8002" spans="2:6" ht="13.8" hidden="1" outlineLevel="1">
      <c r="B8002" s="187">
        <v>33808</v>
      </c>
      <c r="C8002" s="188">
        <v>6.72</v>
      </c>
      <c r="D8002" s="104">
        <f t="shared" si="124"/>
        <v>6.7199999999999996E-2</v>
      </c>
      <c r="F8002" s="5"/>
    </row>
    <row r="8003" spans="2:6" ht="13.8" hidden="1" outlineLevel="1">
      <c r="B8003" s="187">
        <v>33809</v>
      </c>
      <c r="C8003" s="188">
        <v>6.73</v>
      </c>
      <c r="D8003" s="104">
        <f t="shared" si="124"/>
        <v>6.7299999999999999E-2</v>
      </c>
      <c r="F8003" s="5"/>
    </row>
    <row r="8004" spans="2:6" ht="13.8" hidden="1" outlineLevel="1">
      <c r="B8004" s="187">
        <v>33812</v>
      </c>
      <c r="C8004" s="188">
        <v>6.69</v>
      </c>
      <c r="D8004" s="104">
        <f t="shared" si="124"/>
        <v>6.6900000000000001E-2</v>
      </c>
      <c r="F8004" s="5"/>
    </row>
    <row r="8005" spans="2:6" ht="13.8" hidden="1" outlineLevel="1">
      <c r="B8005" s="187">
        <v>33813</v>
      </c>
      <c r="C8005" s="188">
        <v>6.63</v>
      </c>
      <c r="D8005" s="104">
        <f t="shared" si="124"/>
        <v>6.6299999999999998E-2</v>
      </c>
      <c r="F8005" s="5"/>
    </row>
    <row r="8006" spans="2:6" ht="13.8" hidden="1" outlineLevel="1">
      <c r="B8006" s="187">
        <v>33814</v>
      </c>
      <c r="C8006" s="188">
        <v>6.6</v>
      </c>
      <c r="D8006" s="104">
        <f t="shared" si="124"/>
        <v>6.6000000000000003E-2</v>
      </c>
      <c r="F8006" s="5"/>
    </row>
    <row r="8007" spans="2:6" ht="13.8" hidden="1" outlineLevel="1">
      <c r="B8007" s="187">
        <v>33815</v>
      </c>
      <c r="C8007" s="188">
        <v>6.69</v>
      </c>
      <c r="D8007" s="104">
        <f t="shared" si="124"/>
        <v>6.6900000000000001E-2</v>
      </c>
      <c r="F8007" s="5"/>
    </row>
    <row r="8008" spans="2:6" ht="13.8" hidden="1" outlineLevel="1">
      <c r="B8008" s="187">
        <v>33816</v>
      </c>
      <c r="C8008" s="188">
        <v>6.72</v>
      </c>
      <c r="D8008" s="104">
        <f t="shared" si="124"/>
        <v>6.7199999999999996E-2</v>
      </c>
      <c r="F8008" s="5"/>
    </row>
    <row r="8009" spans="2:6" ht="13.8" hidden="1" outlineLevel="1">
      <c r="B8009" s="187">
        <v>33819</v>
      </c>
      <c r="C8009" s="188">
        <v>6.72</v>
      </c>
      <c r="D8009" s="104">
        <f t="shared" si="124"/>
        <v>6.7199999999999996E-2</v>
      </c>
      <c r="F8009" s="5"/>
    </row>
    <row r="8010" spans="2:6" ht="13.8" hidden="1" outlineLevel="1">
      <c r="B8010" s="187">
        <v>33820</v>
      </c>
      <c r="C8010" s="188">
        <v>6.66</v>
      </c>
      <c r="D8010" s="104">
        <f t="shared" si="124"/>
        <v>6.6600000000000006E-2</v>
      </c>
      <c r="F8010" s="5"/>
    </row>
    <row r="8011" spans="2:6" ht="13.8" hidden="1" outlineLevel="1">
      <c r="B8011" s="187">
        <v>33821</v>
      </c>
      <c r="C8011" s="188">
        <v>6.64</v>
      </c>
      <c r="D8011" s="104">
        <f t="shared" si="124"/>
        <v>6.6400000000000001E-2</v>
      </c>
      <c r="F8011" s="5"/>
    </row>
    <row r="8012" spans="2:6" ht="13.8" hidden="1" outlineLevel="1">
      <c r="B8012" s="187">
        <v>33822</v>
      </c>
      <c r="C8012" s="188">
        <v>6.65</v>
      </c>
      <c r="D8012" s="104">
        <f t="shared" si="124"/>
        <v>6.6500000000000004E-2</v>
      </c>
      <c r="F8012" s="5"/>
    </row>
    <row r="8013" spans="2:6" ht="13.8" hidden="1" outlineLevel="1">
      <c r="B8013" s="187">
        <v>33823</v>
      </c>
      <c r="C8013" s="188">
        <v>6.57</v>
      </c>
      <c r="D8013" s="104">
        <f t="shared" si="124"/>
        <v>6.5700000000000008E-2</v>
      </c>
      <c r="F8013" s="5"/>
    </row>
    <row r="8014" spans="2:6" ht="13.8" hidden="1" outlineLevel="1">
      <c r="B8014" s="187">
        <v>33826</v>
      </c>
      <c r="C8014" s="188">
        <v>6.52</v>
      </c>
      <c r="D8014" s="104">
        <f t="shared" si="124"/>
        <v>6.5199999999999994E-2</v>
      </c>
      <c r="F8014" s="5"/>
    </row>
    <row r="8015" spans="2:6" ht="13.8" hidden="1" outlineLevel="1">
      <c r="B8015" s="187">
        <v>33827</v>
      </c>
      <c r="C8015" s="188">
        <v>6.5</v>
      </c>
      <c r="D8015" s="104">
        <f t="shared" si="124"/>
        <v>6.5000000000000002E-2</v>
      </c>
      <c r="F8015" s="5"/>
    </row>
    <row r="8016" spans="2:6" ht="13.8" hidden="1" outlineLevel="1">
      <c r="B8016" s="187">
        <v>33828</v>
      </c>
      <c r="C8016" s="188">
        <v>6.48</v>
      </c>
      <c r="D8016" s="104">
        <f t="shared" si="124"/>
        <v>6.480000000000001E-2</v>
      </c>
      <c r="F8016" s="5"/>
    </row>
    <row r="8017" spans="2:6" ht="13.8" hidden="1" outlineLevel="1">
      <c r="B8017" s="187">
        <v>33829</v>
      </c>
      <c r="C8017" s="188">
        <v>6.55</v>
      </c>
      <c r="D8017" s="104">
        <f t="shared" si="124"/>
        <v>6.5500000000000003E-2</v>
      </c>
      <c r="F8017" s="5"/>
    </row>
    <row r="8018" spans="2:6" ht="13.8" hidden="1" outlineLevel="1">
      <c r="B8018" s="187">
        <v>33830</v>
      </c>
      <c r="C8018" s="188">
        <v>6.53</v>
      </c>
      <c r="D8018" s="104">
        <f t="shared" si="124"/>
        <v>6.5299999999999997E-2</v>
      </c>
      <c r="F8018" s="5"/>
    </row>
    <row r="8019" spans="2:6" ht="13.8" hidden="1" outlineLevel="1">
      <c r="B8019" s="187">
        <v>33833</v>
      </c>
      <c r="C8019" s="188">
        <v>6.56</v>
      </c>
      <c r="D8019" s="104">
        <f t="shared" si="124"/>
        <v>6.5599999999999992E-2</v>
      </c>
      <c r="F8019" s="5"/>
    </row>
    <row r="8020" spans="2:6" ht="13.8" hidden="1" outlineLevel="1">
      <c r="B8020" s="187">
        <v>33834</v>
      </c>
      <c r="C8020" s="188">
        <v>6.48</v>
      </c>
      <c r="D8020" s="104">
        <f t="shared" si="124"/>
        <v>6.480000000000001E-2</v>
      </c>
      <c r="F8020" s="5"/>
    </row>
    <row r="8021" spans="2:6" ht="13.8" hidden="1" outlineLevel="1">
      <c r="B8021" s="187">
        <v>33835</v>
      </c>
      <c r="C8021" s="188">
        <v>6.47</v>
      </c>
      <c r="D8021" s="104">
        <f t="shared" si="124"/>
        <v>6.4699999999999994E-2</v>
      </c>
      <c r="F8021" s="5"/>
    </row>
    <row r="8022" spans="2:6" ht="13.8" hidden="1" outlineLevel="1">
      <c r="B8022" s="187">
        <v>33836</v>
      </c>
      <c r="C8022" s="188">
        <v>6.46</v>
      </c>
      <c r="D8022" s="104">
        <f t="shared" si="124"/>
        <v>6.4600000000000005E-2</v>
      </c>
      <c r="F8022" s="5"/>
    </row>
    <row r="8023" spans="2:6" ht="13.8" hidden="1" outlineLevel="1">
      <c r="B8023" s="187">
        <v>33837</v>
      </c>
      <c r="C8023" s="188">
        <v>6.53</v>
      </c>
      <c r="D8023" s="104">
        <f t="shared" si="124"/>
        <v>6.5299999999999997E-2</v>
      </c>
      <c r="F8023" s="5"/>
    </row>
    <row r="8024" spans="2:6" ht="13.8" hidden="1" outlineLevel="1">
      <c r="B8024" s="187">
        <v>33840</v>
      </c>
      <c r="C8024" s="188">
        <v>6.68</v>
      </c>
      <c r="D8024" s="104">
        <f t="shared" si="124"/>
        <v>6.6799999999999998E-2</v>
      </c>
      <c r="F8024" s="5"/>
    </row>
    <row r="8025" spans="2:6" ht="13.8" hidden="1" outlineLevel="1">
      <c r="B8025" s="187">
        <v>33841</v>
      </c>
      <c r="C8025" s="188">
        <v>6.73</v>
      </c>
      <c r="D8025" s="104">
        <f t="shared" si="124"/>
        <v>6.7299999999999999E-2</v>
      </c>
      <c r="F8025" s="5"/>
    </row>
    <row r="8026" spans="2:6" ht="13.8" hidden="1" outlineLevel="1">
      <c r="B8026" s="187">
        <v>33842</v>
      </c>
      <c r="C8026" s="188">
        <v>6.68</v>
      </c>
      <c r="D8026" s="104">
        <f t="shared" si="124"/>
        <v>6.6799999999999998E-2</v>
      </c>
      <c r="F8026" s="5"/>
    </row>
    <row r="8027" spans="2:6" ht="13.8" hidden="1" outlineLevel="1">
      <c r="B8027" s="187">
        <v>33843</v>
      </c>
      <c r="C8027" s="188">
        <v>6.64</v>
      </c>
      <c r="D8027" s="104">
        <f t="shared" si="124"/>
        <v>6.6400000000000001E-2</v>
      </c>
      <c r="F8027" s="5"/>
    </row>
    <row r="8028" spans="2:6" ht="13.8" hidden="1" outlineLevel="1">
      <c r="B8028" s="187">
        <v>33844</v>
      </c>
      <c r="C8028" s="188">
        <v>6.63</v>
      </c>
      <c r="D8028" s="104">
        <f t="shared" si="124"/>
        <v>6.6299999999999998E-2</v>
      </c>
      <c r="F8028" s="5"/>
    </row>
    <row r="8029" spans="2:6" ht="13.8" hidden="1" outlineLevel="1">
      <c r="B8029" s="187">
        <v>33847</v>
      </c>
      <c r="C8029" s="188">
        <v>6.62</v>
      </c>
      <c r="D8029" s="104">
        <f t="shared" si="124"/>
        <v>6.6199999999999995E-2</v>
      </c>
      <c r="F8029" s="5"/>
    </row>
    <row r="8030" spans="2:6" ht="13.8" hidden="1" outlineLevel="1">
      <c r="B8030" s="187">
        <v>33848</v>
      </c>
      <c r="C8030" s="188">
        <v>6.56</v>
      </c>
      <c r="D8030" s="104">
        <f t="shared" ref="D8030:D8093" si="125">IF( LEN( C8030 ) = 0, #N/A, IF( C8030 = "ND", D8029, C8030 / 100 ) )</f>
        <v>6.5599999999999992E-2</v>
      </c>
      <c r="F8030" s="5"/>
    </row>
    <row r="8031" spans="2:6" ht="13.8" hidden="1" outlineLevel="1">
      <c r="B8031" s="187">
        <v>33849</v>
      </c>
      <c r="C8031" s="188">
        <v>6.54</v>
      </c>
      <c r="D8031" s="104">
        <f t="shared" si="125"/>
        <v>6.54E-2</v>
      </c>
      <c r="F8031" s="5"/>
    </row>
    <row r="8032" spans="2:6" ht="13.8" hidden="1" outlineLevel="1">
      <c r="B8032" s="187">
        <v>33850</v>
      </c>
      <c r="C8032" s="188">
        <v>6.54</v>
      </c>
      <c r="D8032" s="104">
        <f t="shared" si="125"/>
        <v>6.54E-2</v>
      </c>
      <c r="F8032" s="5"/>
    </row>
    <row r="8033" spans="2:6" ht="13.8" hidden="1" outlineLevel="1">
      <c r="B8033" s="187">
        <v>33851</v>
      </c>
      <c r="C8033" s="188">
        <v>6.4</v>
      </c>
      <c r="D8033" s="104">
        <f t="shared" si="125"/>
        <v>6.4000000000000001E-2</v>
      </c>
      <c r="F8033" s="5"/>
    </row>
    <row r="8034" spans="2:6" ht="13.8" hidden="1" outlineLevel="1">
      <c r="B8034" s="187">
        <v>33854</v>
      </c>
      <c r="C8034" s="188" t="s">
        <v>380</v>
      </c>
      <c r="D8034" s="104">
        <f t="shared" si="125"/>
        <v>6.4000000000000001E-2</v>
      </c>
      <c r="F8034" s="5"/>
    </row>
    <row r="8035" spans="2:6" ht="13.8" hidden="1" outlineLevel="1">
      <c r="B8035" s="187">
        <v>33855</v>
      </c>
      <c r="C8035" s="188">
        <v>6.29</v>
      </c>
      <c r="D8035" s="104">
        <f t="shared" si="125"/>
        <v>6.2899999999999998E-2</v>
      </c>
      <c r="F8035" s="5"/>
    </row>
    <row r="8036" spans="2:6" ht="13.8" hidden="1" outlineLevel="1">
      <c r="B8036" s="187">
        <v>33856</v>
      </c>
      <c r="C8036" s="188">
        <v>6.31</v>
      </c>
      <c r="D8036" s="104">
        <f t="shared" si="125"/>
        <v>6.3099999999999989E-2</v>
      </c>
      <c r="F8036" s="5"/>
    </row>
    <row r="8037" spans="2:6" ht="13.8" hidden="1" outlineLevel="1">
      <c r="B8037" s="187">
        <v>33857</v>
      </c>
      <c r="C8037" s="188">
        <v>6.31</v>
      </c>
      <c r="D8037" s="104">
        <f t="shared" si="125"/>
        <v>6.3099999999999989E-2</v>
      </c>
      <c r="F8037" s="5"/>
    </row>
    <row r="8038" spans="2:6" ht="13.8" hidden="1" outlineLevel="1">
      <c r="B8038" s="187">
        <v>33858</v>
      </c>
      <c r="C8038" s="188">
        <v>6.37</v>
      </c>
      <c r="D8038" s="104">
        <f t="shared" si="125"/>
        <v>6.3700000000000007E-2</v>
      </c>
      <c r="F8038" s="5"/>
    </row>
    <row r="8039" spans="2:6" ht="13.8" hidden="1" outlineLevel="1">
      <c r="B8039" s="187">
        <v>33861</v>
      </c>
      <c r="C8039" s="188">
        <v>6.32</v>
      </c>
      <c r="D8039" s="104">
        <f t="shared" si="125"/>
        <v>6.3200000000000006E-2</v>
      </c>
      <c r="F8039" s="5"/>
    </row>
    <row r="8040" spans="2:6" ht="13.8" hidden="1" outlineLevel="1">
      <c r="B8040" s="187">
        <v>33862</v>
      </c>
      <c r="C8040" s="188">
        <v>6.4</v>
      </c>
      <c r="D8040" s="104">
        <f t="shared" si="125"/>
        <v>6.4000000000000001E-2</v>
      </c>
      <c r="F8040" s="5"/>
    </row>
    <row r="8041" spans="2:6" ht="13.8" hidden="1" outlineLevel="1">
      <c r="B8041" s="187">
        <v>33863</v>
      </c>
      <c r="C8041" s="188">
        <v>6.41</v>
      </c>
      <c r="D8041" s="104">
        <f t="shared" si="125"/>
        <v>6.4100000000000004E-2</v>
      </c>
      <c r="F8041" s="5"/>
    </row>
    <row r="8042" spans="2:6" ht="13.8" hidden="1" outlineLevel="1">
      <c r="B8042" s="187">
        <v>33864</v>
      </c>
      <c r="C8042" s="188">
        <v>6.4</v>
      </c>
      <c r="D8042" s="104">
        <f t="shared" si="125"/>
        <v>6.4000000000000001E-2</v>
      </c>
      <c r="F8042" s="5"/>
    </row>
    <row r="8043" spans="2:6" ht="13.8" hidden="1" outlineLevel="1">
      <c r="B8043" s="187">
        <v>33865</v>
      </c>
      <c r="C8043" s="188">
        <v>6.41</v>
      </c>
      <c r="D8043" s="104">
        <f t="shared" si="125"/>
        <v>6.4100000000000004E-2</v>
      </c>
      <c r="F8043" s="5"/>
    </row>
    <row r="8044" spans="2:6" ht="13.8" hidden="1" outlineLevel="1">
      <c r="B8044" s="187">
        <v>33868</v>
      </c>
      <c r="C8044" s="188">
        <v>6.42</v>
      </c>
      <c r="D8044" s="104">
        <f t="shared" si="125"/>
        <v>6.4199999999999993E-2</v>
      </c>
      <c r="F8044" s="5"/>
    </row>
    <row r="8045" spans="2:6" ht="13.8" hidden="1" outlineLevel="1">
      <c r="B8045" s="187">
        <v>33869</v>
      </c>
      <c r="C8045" s="188">
        <v>6.5</v>
      </c>
      <c r="D8045" s="104">
        <f t="shared" si="125"/>
        <v>6.5000000000000002E-2</v>
      </c>
      <c r="F8045" s="5"/>
    </row>
    <row r="8046" spans="2:6" ht="13.8" hidden="1" outlineLevel="1">
      <c r="B8046" s="187">
        <v>33870</v>
      </c>
      <c r="C8046" s="188">
        <v>6.54</v>
      </c>
      <c r="D8046" s="104">
        <f t="shared" si="125"/>
        <v>6.54E-2</v>
      </c>
      <c r="F8046" s="5"/>
    </row>
    <row r="8047" spans="2:6" ht="13.8" hidden="1" outlineLevel="1">
      <c r="B8047" s="187">
        <v>33871</v>
      </c>
      <c r="C8047" s="188">
        <v>6.48</v>
      </c>
      <c r="D8047" s="104">
        <f t="shared" si="125"/>
        <v>6.480000000000001E-2</v>
      </c>
      <c r="F8047" s="5"/>
    </row>
    <row r="8048" spans="2:6" ht="13.8" hidden="1" outlineLevel="1">
      <c r="B8048" s="187">
        <v>33872</v>
      </c>
      <c r="C8048" s="188">
        <v>6.41</v>
      </c>
      <c r="D8048" s="104">
        <f t="shared" si="125"/>
        <v>6.4100000000000004E-2</v>
      </c>
      <c r="F8048" s="5"/>
    </row>
    <row r="8049" spans="2:6" ht="13.8" hidden="1" outlineLevel="1">
      <c r="B8049" s="187">
        <v>33875</v>
      </c>
      <c r="C8049" s="188">
        <v>6.37</v>
      </c>
      <c r="D8049" s="104">
        <f t="shared" si="125"/>
        <v>6.3700000000000007E-2</v>
      </c>
      <c r="F8049" s="5"/>
    </row>
    <row r="8050" spans="2:6" ht="13.8" hidden="1" outlineLevel="1">
      <c r="B8050" s="187">
        <v>33876</v>
      </c>
      <c r="C8050" s="188">
        <v>6.37</v>
      </c>
      <c r="D8050" s="104">
        <f t="shared" si="125"/>
        <v>6.3700000000000007E-2</v>
      </c>
      <c r="F8050" s="5"/>
    </row>
    <row r="8051" spans="2:6" ht="13.8" hidden="1" outlineLevel="1">
      <c r="B8051" s="187">
        <v>33877</v>
      </c>
      <c r="C8051" s="188">
        <v>6.37</v>
      </c>
      <c r="D8051" s="104">
        <f t="shared" si="125"/>
        <v>6.3700000000000007E-2</v>
      </c>
      <c r="F8051" s="5"/>
    </row>
    <row r="8052" spans="2:6" ht="13.8" hidden="1" outlineLevel="1">
      <c r="B8052" s="187">
        <v>33878</v>
      </c>
      <c r="C8052" s="188">
        <v>6.23</v>
      </c>
      <c r="D8052" s="104">
        <f t="shared" si="125"/>
        <v>6.2300000000000001E-2</v>
      </c>
      <c r="F8052" s="5"/>
    </row>
    <row r="8053" spans="2:6" ht="13.8" hidden="1" outlineLevel="1">
      <c r="B8053" s="187">
        <v>33879</v>
      </c>
      <c r="C8053" s="188">
        <v>6.26</v>
      </c>
      <c r="D8053" s="104">
        <f t="shared" si="125"/>
        <v>6.2600000000000003E-2</v>
      </c>
      <c r="F8053" s="5"/>
    </row>
    <row r="8054" spans="2:6" ht="13.8" hidden="1" outlineLevel="1">
      <c r="B8054" s="187">
        <v>33882</v>
      </c>
      <c r="C8054" s="188">
        <v>6.24</v>
      </c>
      <c r="D8054" s="104">
        <f t="shared" si="125"/>
        <v>6.2400000000000004E-2</v>
      </c>
      <c r="F8054" s="5"/>
    </row>
    <row r="8055" spans="2:6" ht="13.8" hidden="1" outlineLevel="1">
      <c r="B8055" s="187">
        <v>33883</v>
      </c>
      <c r="C8055" s="188">
        <v>6.3</v>
      </c>
      <c r="D8055" s="104">
        <f t="shared" si="125"/>
        <v>6.3E-2</v>
      </c>
      <c r="F8055" s="5"/>
    </row>
    <row r="8056" spans="2:6" ht="13.8" hidden="1" outlineLevel="1">
      <c r="B8056" s="187">
        <v>33884</v>
      </c>
      <c r="C8056" s="188">
        <v>6.46</v>
      </c>
      <c r="D8056" s="104">
        <f t="shared" si="125"/>
        <v>6.4600000000000005E-2</v>
      </c>
      <c r="F8056" s="5"/>
    </row>
    <row r="8057" spans="2:6" ht="13.8" hidden="1" outlineLevel="1">
      <c r="B8057" s="187">
        <v>33885</v>
      </c>
      <c r="C8057" s="188">
        <v>6.41</v>
      </c>
      <c r="D8057" s="104">
        <f t="shared" si="125"/>
        <v>6.4100000000000004E-2</v>
      </c>
      <c r="F8057" s="5"/>
    </row>
    <row r="8058" spans="2:6" ht="13.8" hidden="1" outlineLevel="1">
      <c r="B8058" s="187">
        <v>33886</v>
      </c>
      <c r="C8058" s="188">
        <v>6.52</v>
      </c>
      <c r="D8058" s="104">
        <f t="shared" si="125"/>
        <v>6.5199999999999994E-2</v>
      </c>
      <c r="F8058" s="5"/>
    </row>
    <row r="8059" spans="2:6" ht="13.8" hidden="1" outlineLevel="1">
      <c r="B8059" s="187">
        <v>33889</v>
      </c>
      <c r="C8059" s="188" t="s">
        <v>380</v>
      </c>
      <c r="D8059" s="104">
        <f t="shared" si="125"/>
        <v>6.5199999999999994E-2</v>
      </c>
      <c r="F8059" s="5"/>
    </row>
    <row r="8060" spans="2:6" ht="13.8" hidden="1" outlineLevel="1">
      <c r="B8060" s="187">
        <v>33890</v>
      </c>
      <c r="C8060" s="188">
        <v>6.51</v>
      </c>
      <c r="D8060" s="104">
        <f t="shared" si="125"/>
        <v>6.5099999999999991E-2</v>
      </c>
      <c r="F8060" s="5"/>
    </row>
    <row r="8061" spans="2:6" ht="13.8" hidden="1" outlineLevel="1">
      <c r="B8061" s="187">
        <v>33891</v>
      </c>
      <c r="C8061" s="188">
        <v>6.51</v>
      </c>
      <c r="D8061" s="104">
        <f t="shared" si="125"/>
        <v>6.5099999999999991E-2</v>
      </c>
      <c r="F8061" s="5"/>
    </row>
    <row r="8062" spans="2:6" ht="13.8" hidden="1" outlineLevel="1">
      <c r="B8062" s="187">
        <v>33892</v>
      </c>
      <c r="C8062" s="188">
        <v>6.53</v>
      </c>
      <c r="D8062" s="104">
        <f t="shared" si="125"/>
        <v>6.5299999999999997E-2</v>
      </c>
      <c r="F8062" s="5"/>
    </row>
    <row r="8063" spans="2:6" ht="13.8" hidden="1" outlineLevel="1">
      <c r="B8063" s="187">
        <v>33893</v>
      </c>
      <c r="C8063" s="188">
        <v>6.6</v>
      </c>
      <c r="D8063" s="104">
        <f t="shared" si="125"/>
        <v>6.6000000000000003E-2</v>
      </c>
      <c r="F8063" s="5"/>
    </row>
    <row r="8064" spans="2:6" ht="13.8" hidden="1" outlineLevel="1">
      <c r="B8064" s="187">
        <v>33896</v>
      </c>
      <c r="C8064" s="188">
        <v>6.69</v>
      </c>
      <c r="D8064" s="104">
        <f t="shared" si="125"/>
        <v>6.6900000000000001E-2</v>
      </c>
      <c r="F8064" s="5"/>
    </row>
    <row r="8065" spans="2:6" ht="13.8" hidden="1" outlineLevel="1">
      <c r="B8065" s="187">
        <v>33897</v>
      </c>
      <c r="C8065" s="188">
        <v>6.86</v>
      </c>
      <c r="D8065" s="104">
        <f t="shared" si="125"/>
        <v>6.8600000000000008E-2</v>
      </c>
      <c r="F8065" s="5"/>
    </row>
    <row r="8066" spans="2:6" ht="13.8" hidden="1" outlineLevel="1">
      <c r="B8066" s="187">
        <v>33898</v>
      </c>
      <c r="C8066" s="188">
        <v>6.8</v>
      </c>
      <c r="D8066" s="104">
        <f t="shared" si="125"/>
        <v>6.8000000000000005E-2</v>
      </c>
      <c r="F8066" s="5"/>
    </row>
    <row r="8067" spans="2:6" ht="13.8" hidden="1" outlineLevel="1">
      <c r="B8067" s="187">
        <v>33899</v>
      </c>
      <c r="C8067" s="188">
        <v>6.74</v>
      </c>
      <c r="D8067" s="104">
        <f t="shared" si="125"/>
        <v>6.7400000000000002E-2</v>
      </c>
      <c r="F8067" s="5"/>
    </row>
    <row r="8068" spans="2:6" ht="13.8" hidden="1" outlineLevel="1">
      <c r="B8068" s="187">
        <v>33900</v>
      </c>
      <c r="C8068" s="188">
        <v>6.83</v>
      </c>
      <c r="D8068" s="104">
        <f t="shared" si="125"/>
        <v>6.83E-2</v>
      </c>
      <c r="F8068" s="5"/>
    </row>
    <row r="8069" spans="2:6" ht="13.8" hidden="1" outlineLevel="1">
      <c r="B8069" s="187">
        <v>33903</v>
      </c>
      <c r="C8069" s="188">
        <v>6.83</v>
      </c>
      <c r="D8069" s="104">
        <f t="shared" si="125"/>
        <v>6.83E-2</v>
      </c>
      <c r="F8069" s="5"/>
    </row>
    <row r="8070" spans="2:6" ht="13.8" hidden="1" outlineLevel="1">
      <c r="B8070" s="187">
        <v>33904</v>
      </c>
      <c r="C8070" s="188">
        <v>6.78</v>
      </c>
      <c r="D8070" s="104">
        <f t="shared" si="125"/>
        <v>6.7799999999999999E-2</v>
      </c>
      <c r="F8070" s="5"/>
    </row>
    <row r="8071" spans="2:6" ht="13.8" hidden="1" outlineLevel="1">
      <c r="B8071" s="187">
        <v>33905</v>
      </c>
      <c r="C8071" s="188">
        <v>6.76</v>
      </c>
      <c r="D8071" s="104">
        <f t="shared" si="125"/>
        <v>6.7599999999999993E-2</v>
      </c>
      <c r="F8071" s="5"/>
    </row>
    <row r="8072" spans="2:6" ht="13.8" hidden="1" outlineLevel="1">
      <c r="B8072" s="187">
        <v>33906</v>
      </c>
      <c r="C8072" s="188">
        <v>6.71</v>
      </c>
      <c r="D8072" s="104">
        <f t="shared" si="125"/>
        <v>6.7099999999999993E-2</v>
      </c>
      <c r="F8072" s="5"/>
    </row>
    <row r="8073" spans="2:6" ht="13.8" hidden="1" outlineLevel="1">
      <c r="B8073" s="187">
        <v>33907</v>
      </c>
      <c r="C8073" s="188">
        <v>6.8</v>
      </c>
      <c r="D8073" s="104">
        <f t="shared" si="125"/>
        <v>6.8000000000000005E-2</v>
      </c>
      <c r="F8073" s="5"/>
    </row>
    <row r="8074" spans="2:6" ht="13.8" hidden="1" outlineLevel="1">
      <c r="B8074" s="187">
        <v>33910</v>
      </c>
      <c r="C8074" s="188">
        <v>6.88</v>
      </c>
      <c r="D8074" s="104">
        <f t="shared" si="125"/>
        <v>6.88E-2</v>
      </c>
      <c r="F8074" s="5"/>
    </row>
    <row r="8075" spans="2:6" ht="13.8" hidden="1" outlineLevel="1">
      <c r="B8075" s="187">
        <v>33911</v>
      </c>
      <c r="C8075" s="188">
        <v>6.87</v>
      </c>
      <c r="D8075" s="104">
        <f t="shared" si="125"/>
        <v>6.8699999999999997E-2</v>
      </c>
      <c r="F8075" s="5"/>
    </row>
    <row r="8076" spans="2:6" ht="13.8" hidden="1" outlineLevel="1">
      <c r="B8076" s="187">
        <v>33912</v>
      </c>
      <c r="C8076" s="188">
        <v>6.89</v>
      </c>
      <c r="D8076" s="104">
        <f t="shared" si="125"/>
        <v>6.8900000000000003E-2</v>
      </c>
      <c r="F8076" s="5"/>
    </row>
    <row r="8077" spans="2:6" ht="13.8" hidden="1" outlineLevel="1">
      <c r="B8077" s="187">
        <v>33913</v>
      </c>
      <c r="C8077" s="188">
        <v>6.87</v>
      </c>
      <c r="D8077" s="104">
        <f t="shared" si="125"/>
        <v>6.8699999999999997E-2</v>
      </c>
      <c r="F8077" s="5"/>
    </row>
    <row r="8078" spans="2:6" ht="13.8" hidden="1" outlineLevel="1">
      <c r="B8078" s="187">
        <v>33914</v>
      </c>
      <c r="C8078" s="188">
        <v>6.97</v>
      </c>
      <c r="D8078" s="104">
        <f t="shared" si="125"/>
        <v>6.9699999999999998E-2</v>
      </c>
      <c r="F8078" s="5"/>
    </row>
    <row r="8079" spans="2:6" ht="13.8" hidden="1" outlineLevel="1">
      <c r="B8079" s="187">
        <v>33917</v>
      </c>
      <c r="C8079" s="188">
        <v>7</v>
      </c>
      <c r="D8079" s="104">
        <f t="shared" si="125"/>
        <v>7.0000000000000007E-2</v>
      </c>
      <c r="F8079" s="5"/>
    </row>
    <row r="8080" spans="2:6" ht="13.8" hidden="1" outlineLevel="1">
      <c r="B8080" s="187">
        <v>33918</v>
      </c>
      <c r="C8080" s="188">
        <v>6.91</v>
      </c>
      <c r="D8080" s="104">
        <f t="shared" si="125"/>
        <v>6.9099999999999995E-2</v>
      </c>
      <c r="F8080" s="5"/>
    </row>
    <row r="8081" spans="2:6" ht="13.8" hidden="1" outlineLevel="1">
      <c r="B8081" s="187">
        <v>33919</v>
      </c>
      <c r="C8081" s="188" t="s">
        <v>380</v>
      </c>
      <c r="D8081" s="104">
        <f t="shared" si="125"/>
        <v>6.9099999999999995E-2</v>
      </c>
      <c r="F8081" s="5"/>
    </row>
    <row r="8082" spans="2:6" ht="13.8" hidden="1" outlineLevel="1">
      <c r="B8082" s="187">
        <v>33920</v>
      </c>
      <c r="C8082" s="188">
        <v>6.79</v>
      </c>
      <c r="D8082" s="104">
        <f t="shared" si="125"/>
        <v>6.7900000000000002E-2</v>
      </c>
      <c r="F8082" s="5"/>
    </row>
    <row r="8083" spans="2:6" ht="13.8" hidden="1" outlineLevel="1">
      <c r="B8083" s="187">
        <v>33921</v>
      </c>
      <c r="C8083" s="188">
        <v>6.82</v>
      </c>
      <c r="D8083" s="104">
        <f t="shared" si="125"/>
        <v>6.8199999999999997E-2</v>
      </c>
      <c r="F8083" s="5"/>
    </row>
    <row r="8084" spans="2:6" ht="13.8" hidden="1" outlineLevel="1">
      <c r="B8084" s="187">
        <v>33924</v>
      </c>
      <c r="C8084" s="188">
        <v>6.9</v>
      </c>
      <c r="D8084" s="104">
        <f t="shared" si="125"/>
        <v>6.9000000000000006E-2</v>
      </c>
      <c r="F8084" s="5"/>
    </row>
    <row r="8085" spans="2:6" ht="13.8" hidden="1" outlineLevel="1">
      <c r="B8085" s="187">
        <v>33925</v>
      </c>
      <c r="C8085" s="188">
        <v>6.86</v>
      </c>
      <c r="D8085" s="104">
        <f t="shared" si="125"/>
        <v>6.8600000000000008E-2</v>
      </c>
      <c r="F8085" s="5"/>
    </row>
    <row r="8086" spans="2:6" ht="13.8" hidden="1" outlineLevel="1">
      <c r="B8086" s="187">
        <v>33926</v>
      </c>
      <c r="C8086" s="188">
        <v>6.78</v>
      </c>
      <c r="D8086" s="104">
        <f t="shared" si="125"/>
        <v>6.7799999999999999E-2</v>
      </c>
      <c r="F8086" s="5"/>
    </row>
    <row r="8087" spans="2:6" ht="13.8" hidden="1" outlineLevel="1">
      <c r="B8087" s="187">
        <v>33927</v>
      </c>
      <c r="C8087" s="188">
        <v>6.81</v>
      </c>
      <c r="D8087" s="104">
        <f t="shared" si="125"/>
        <v>6.8099999999999994E-2</v>
      </c>
      <c r="F8087" s="5"/>
    </row>
    <row r="8088" spans="2:6" ht="13.8" hidden="1" outlineLevel="1">
      <c r="B8088" s="187">
        <v>33928</v>
      </c>
      <c r="C8088" s="188">
        <v>6.84</v>
      </c>
      <c r="D8088" s="104">
        <f t="shared" si="125"/>
        <v>6.8400000000000002E-2</v>
      </c>
      <c r="F8088" s="5"/>
    </row>
    <row r="8089" spans="2:6" ht="13.8" hidden="1" outlineLevel="1">
      <c r="B8089" s="187">
        <v>33931</v>
      </c>
      <c r="C8089" s="188">
        <v>6.86</v>
      </c>
      <c r="D8089" s="104">
        <f t="shared" si="125"/>
        <v>6.8600000000000008E-2</v>
      </c>
      <c r="F8089" s="5"/>
    </row>
    <row r="8090" spans="2:6" ht="13.8" hidden="1" outlineLevel="1">
      <c r="B8090" s="187">
        <v>33932</v>
      </c>
      <c r="C8090" s="188">
        <v>6.82</v>
      </c>
      <c r="D8090" s="104">
        <f t="shared" si="125"/>
        <v>6.8199999999999997E-2</v>
      </c>
      <c r="F8090" s="5"/>
    </row>
    <row r="8091" spans="2:6" ht="13.8" hidden="1" outlineLevel="1">
      <c r="B8091" s="187">
        <v>33933</v>
      </c>
      <c r="C8091" s="188">
        <v>6.84</v>
      </c>
      <c r="D8091" s="104">
        <f t="shared" si="125"/>
        <v>6.8400000000000002E-2</v>
      </c>
      <c r="F8091" s="5"/>
    </row>
    <row r="8092" spans="2:6" ht="13.8" hidden="1" outlineLevel="1">
      <c r="B8092" s="187">
        <v>33934</v>
      </c>
      <c r="C8092" s="188" t="s">
        <v>380</v>
      </c>
      <c r="D8092" s="104">
        <f t="shared" si="125"/>
        <v>6.8400000000000002E-2</v>
      </c>
      <c r="F8092" s="5"/>
    </row>
    <row r="8093" spans="2:6" ht="13.8" hidden="1" outlineLevel="1">
      <c r="B8093" s="187">
        <v>33935</v>
      </c>
      <c r="C8093" s="188">
        <v>6.93</v>
      </c>
      <c r="D8093" s="104">
        <f t="shared" si="125"/>
        <v>6.93E-2</v>
      </c>
      <c r="F8093" s="5"/>
    </row>
    <row r="8094" spans="2:6" ht="13.8" hidden="1" outlineLevel="1">
      <c r="B8094" s="187">
        <v>33938</v>
      </c>
      <c r="C8094" s="188">
        <v>6.95</v>
      </c>
      <c r="D8094" s="104">
        <f t="shared" ref="D8094:D8157" si="126">IF( LEN( C8094 ) = 0, #N/A, IF( C8094 = "ND", D8093, C8094 / 100 ) )</f>
        <v>6.9500000000000006E-2</v>
      </c>
      <c r="F8094" s="5"/>
    </row>
    <row r="8095" spans="2:6" ht="13.8" hidden="1" outlineLevel="1">
      <c r="B8095" s="187">
        <v>33939</v>
      </c>
      <c r="C8095" s="188">
        <v>6.94</v>
      </c>
      <c r="D8095" s="104">
        <f t="shared" si="126"/>
        <v>6.9400000000000003E-2</v>
      </c>
      <c r="F8095" s="5"/>
    </row>
    <row r="8096" spans="2:6" ht="13.8" hidden="1" outlineLevel="1">
      <c r="B8096" s="187">
        <v>33940</v>
      </c>
      <c r="C8096" s="188">
        <v>6.93</v>
      </c>
      <c r="D8096" s="104">
        <f t="shared" si="126"/>
        <v>6.93E-2</v>
      </c>
      <c r="F8096" s="5"/>
    </row>
    <row r="8097" spans="2:6" ht="13.8" hidden="1" outlineLevel="1">
      <c r="B8097" s="187">
        <v>33941</v>
      </c>
      <c r="C8097" s="188">
        <v>6.91</v>
      </c>
      <c r="D8097" s="104">
        <f t="shared" si="126"/>
        <v>6.9099999999999995E-2</v>
      </c>
      <c r="F8097" s="5"/>
    </row>
    <row r="8098" spans="2:6" ht="13.8" hidden="1" outlineLevel="1">
      <c r="B8098" s="187">
        <v>33942</v>
      </c>
      <c r="C8098" s="188">
        <v>6.84</v>
      </c>
      <c r="D8098" s="104">
        <f t="shared" si="126"/>
        <v>6.8400000000000002E-2</v>
      </c>
      <c r="F8098" s="5"/>
    </row>
    <row r="8099" spans="2:6" ht="13.8" hidden="1" outlineLevel="1">
      <c r="B8099" s="187">
        <v>33945</v>
      </c>
      <c r="C8099" s="188">
        <v>6.78</v>
      </c>
      <c r="D8099" s="104">
        <f t="shared" si="126"/>
        <v>6.7799999999999999E-2</v>
      </c>
      <c r="F8099" s="5"/>
    </row>
    <row r="8100" spans="2:6" ht="13.8" hidden="1" outlineLevel="1">
      <c r="B8100" s="187">
        <v>33946</v>
      </c>
      <c r="C8100" s="188">
        <v>6.73</v>
      </c>
      <c r="D8100" s="104">
        <f t="shared" si="126"/>
        <v>6.7299999999999999E-2</v>
      </c>
      <c r="F8100" s="5"/>
    </row>
    <row r="8101" spans="2:6" ht="13.8" hidden="1" outlineLevel="1">
      <c r="B8101" s="187">
        <v>33947</v>
      </c>
      <c r="C8101" s="188">
        <v>6.76</v>
      </c>
      <c r="D8101" s="104">
        <f t="shared" si="126"/>
        <v>6.7599999999999993E-2</v>
      </c>
      <c r="F8101" s="5"/>
    </row>
    <row r="8102" spans="2:6" ht="13.8" hidden="1" outlineLevel="1">
      <c r="B8102" s="187">
        <v>33948</v>
      </c>
      <c r="C8102" s="188">
        <v>6.77</v>
      </c>
      <c r="D8102" s="104">
        <f t="shared" si="126"/>
        <v>6.7699999999999996E-2</v>
      </c>
      <c r="F8102" s="5"/>
    </row>
    <row r="8103" spans="2:6" ht="13.8" hidden="1" outlineLevel="1">
      <c r="B8103" s="187">
        <v>33949</v>
      </c>
      <c r="C8103" s="188">
        <v>6.8</v>
      </c>
      <c r="D8103" s="104">
        <f t="shared" si="126"/>
        <v>6.8000000000000005E-2</v>
      </c>
      <c r="F8103" s="5"/>
    </row>
    <row r="8104" spans="2:6" ht="13.8" hidden="1" outlineLevel="1">
      <c r="B8104" s="187">
        <v>33952</v>
      </c>
      <c r="C8104" s="188">
        <v>6.83</v>
      </c>
      <c r="D8104" s="104">
        <f t="shared" si="126"/>
        <v>6.83E-2</v>
      </c>
      <c r="F8104" s="5"/>
    </row>
    <row r="8105" spans="2:6" ht="13.8" hidden="1" outlineLevel="1">
      <c r="B8105" s="187">
        <v>33953</v>
      </c>
      <c r="C8105" s="188">
        <v>6.83</v>
      </c>
      <c r="D8105" s="104">
        <f t="shared" si="126"/>
        <v>6.83E-2</v>
      </c>
      <c r="F8105" s="5"/>
    </row>
    <row r="8106" spans="2:6" ht="13.8" hidden="1" outlineLevel="1">
      <c r="B8106" s="187">
        <v>33954</v>
      </c>
      <c r="C8106" s="188">
        <v>6.77</v>
      </c>
      <c r="D8106" s="104">
        <f t="shared" si="126"/>
        <v>6.7699999999999996E-2</v>
      </c>
      <c r="F8106" s="5"/>
    </row>
    <row r="8107" spans="2:6" ht="13.8" hidden="1" outlineLevel="1">
      <c r="B8107" s="187">
        <v>33955</v>
      </c>
      <c r="C8107" s="188">
        <v>6.77</v>
      </c>
      <c r="D8107" s="104">
        <f t="shared" si="126"/>
        <v>6.7699999999999996E-2</v>
      </c>
      <c r="F8107" s="5"/>
    </row>
    <row r="8108" spans="2:6" ht="13.8" hidden="1" outlineLevel="1">
      <c r="B8108" s="187">
        <v>33956</v>
      </c>
      <c r="C8108" s="188">
        <v>6.76</v>
      </c>
      <c r="D8108" s="104">
        <f t="shared" si="126"/>
        <v>6.7599999999999993E-2</v>
      </c>
      <c r="F8108" s="5"/>
    </row>
    <row r="8109" spans="2:6" ht="13.8" hidden="1" outlineLevel="1">
      <c r="B8109" s="187">
        <v>33959</v>
      </c>
      <c r="C8109" s="188">
        <v>6.71</v>
      </c>
      <c r="D8109" s="104">
        <f t="shared" si="126"/>
        <v>6.7099999999999993E-2</v>
      </c>
      <c r="F8109" s="5"/>
    </row>
    <row r="8110" spans="2:6" ht="13.8" hidden="1" outlineLevel="1">
      <c r="B8110" s="187">
        <v>33960</v>
      </c>
      <c r="C8110" s="188">
        <v>6.65</v>
      </c>
      <c r="D8110" s="104">
        <f t="shared" si="126"/>
        <v>6.6500000000000004E-2</v>
      </c>
      <c r="F8110" s="5"/>
    </row>
    <row r="8111" spans="2:6" ht="13.8" hidden="1" outlineLevel="1">
      <c r="B8111" s="187">
        <v>33961</v>
      </c>
      <c r="C8111" s="188">
        <v>6.68</v>
      </c>
      <c r="D8111" s="104">
        <f t="shared" si="126"/>
        <v>6.6799999999999998E-2</v>
      </c>
      <c r="F8111" s="5"/>
    </row>
    <row r="8112" spans="2:6" ht="13.8" hidden="1" outlineLevel="1">
      <c r="B8112" s="187">
        <v>33962</v>
      </c>
      <c r="C8112" s="188">
        <v>6.69</v>
      </c>
      <c r="D8112" s="104">
        <f t="shared" si="126"/>
        <v>6.6900000000000001E-2</v>
      </c>
      <c r="F8112" s="5"/>
    </row>
    <row r="8113" spans="2:6" ht="13.8" hidden="1" outlineLevel="1">
      <c r="B8113" s="187">
        <v>33963</v>
      </c>
      <c r="C8113" s="188" t="s">
        <v>380</v>
      </c>
      <c r="D8113" s="104">
        <f t="shared" si="126"/>
        <v>6.6900000000000001E-2</v>
      </c>
      <c r="F8113" s="5"/>
    </row>
    <row r="8114" spans="2:6" ht="13.8" hidden="1" outlineLevel="1">
      <c r="B8114" s="187">
        <v>33966</v>
      </c>
      <c r="C8114" s="188">
        <v>6.72</v>
      </c>
      <c r="D8114" s="104">
        <f t="shared" si="126"/>
        <v>6.7199999999999996E-2</v>
      </c>
      <c r="F8114" s="5"/>
    </row>
    <row r="8115" spans="2:6" ht="13.8" hidden="1" outlineLevel="1">
      <c r="B8115" s="187">
        <v>33967</v>
      </c>
      <c r="C8115" s="188">
        <v>6.69</v>
      </c>
      <c r="D8115" s="104">
        <f t="shared" si="126"/>
        <v>6.6900000000000001E-2</v>
      </c>
      <c r="F8115" s="5"/>
    </row>
    <row r="8116" spans="2:6" ht="13.8" hidden="1" outlineLevel="1">
      <c r="B8116" s="187">
        <v>33968</v>
      </c>
      <c r="C8116" s="188">
        <v>6.68</v>
      </c>
      <c r="D8116" s="104">
        <f t="shared" si="126"/>
        <v>6.6799999999999998E-2</v>
      </c>
      <c r="F8116" s="5"/>
    </row>
    <row r="8117" spans="2:6" ht="13.8" hidden="1" outlineLevel="1">
      <c r="B8117" s="187">
        <v>33969</v>
      </c>
      <c r="C8117" s="188">
        <v>6.7</v>
      </c>
      <c r="D8117" s="104">
        <f t="shared" si="126"/>
        <v>6.7000000000000004E-2</v>
      </c>
      <c r="F8117" s="5"/>
    </row>
    <row r="8118" spans="2:6" ht="13.8" hidden="1" outlineLevel="1">
      <c r="B8118" s="187">
        <v>33970</v>
      </c>
      <c r="C8118" s="188" t="s">
        <v>380</v>
      </c>
      <c r="D8118" s="104">
        <f t="shared" si="126"/>
        <v>6.7000000000000004E-2</v>
      </c>
      <c r="F8118" s="5"/>
    </row>
    <row r="8119" spans="2:6" ht="13.8" hidden="1" outlineLevel="1">
      <c r="B8119" s="187">
        <v>33973</v>
      </c>
      <c r="C8119" s="188">
        <v>6.6</v>
      </c>
      <c r="D8119" s="104">
        <f t="shared" si="126"/>
        <v>6.6000000000000003E-2</v>
      </c>
      <c r="F8119" s="5"/>
    </row>
    <row r="8120" spans="2:6" ht="13.8" hidden="1" outlineLevel="1">
      <c r="B8120" s="187">
        <v>33974</v>
      </c>
      <c r="C8120" s="188">
        <v>6.61</v>
      </c>
      <c r="D8120" s="104">
        <f t="shared" si="126"/>
        <v>6.6100000000000006E-2</v>
      </c>
      <c r="F8120" s="5"/>
    </row>
    <row r="8121" spans="2:6" ht="13.8" hidden="1" outlineLevel="1">
      <c r="B8121" s="187">
        <v>33975</v>
      </c>
      <c r="C8121" s="188">
        <v>6.63</v>
      </c>
      <c r="D8121" s="104">
        <f t="shared" si="126"/>
        <v>6.6299999999999998E-2</v>
      </c>
      <c r="F8121" s="5"/>
    </row>
    <row r="8122" spans="2:6" ht="13.8" hidden="1" outlineLevel="1">
      <c r="B8122" s="187">
        <v>33976</v>
      </c>
      <c r="C8122" s="188">
        <v>6.76</v>
      </c>
      <c r="D8122" s="104">
        <f t="shared" si="126"/>
        <v>6.7599999999999993E-2</v>
      </c>
      <c r="F8122" s="5"/>
    </row>
    <row r="8123" spans="2:6" ht="13.8" hidden="1" outlineLevel="1">
      <c r="B8123" s="187">
        <v>33977</v>
      </c>
      <c r="C8123" s="188">
        <v>6.75</v>
      </c>
      <c r="D8123" s="104">
        <f t="shared" si="126"/>
        <v>6.7500000000000004E-2</v>
      </c>
      <c r="F8123" s="5"/>
    </row>
    <row r="8124" spans="2:6" ht="13.8" hidden="1" outlineLevel="1">
      <c r="B8124" s="187">
        <v>33980</v>
      </c>
      <c r="C8124" s="188">
        <v>6.71</v>
      </c>
      <c r="D8124" s="104">
        <f t="shared" si="126"/>
        <v>6.7099999999999993E-2</v>
      </c>
      <c r="F8124" s="5"/>
    </row>
    <row r="8125" spans="2:6" ht="13.8" hidden="1" outlineLevel="1">
      <c r="B8125" s="187">
        <v>33981</v>
      </c>
      <c r="C8125" s="188">
        <v>6.72</v>
      </c>
      <c r="D8125" s="104">
        <f t="shared" si="126"/>
        <v>6.7199999999999996E-2</v>
      </c>
      <c r="F8125" s="5"/>
    </row>
    <row r="8126" spans="2:6" ht="13.8" hidden="1" outlineLevel="1">
      <c r="B8126" s="187">
        <v>33982</v>
      </c>
      <c r="C8126" s="188">
        <v>6.71</v>
      </c>
      <c r="D8126" s="104">
        <f t="shared" si="126"/>
        <v>6.7099999999999993E-2</v>
      </c>
      <c r="F8126" s="5"/>
    </row>
    <row r="8127" spans="2:6" ht="13.8" hidden="1" outlineLevel="1">
      <c r="B8127" s="187">
        <v>33983</v>
      </c>
      <c r="C8127" s="188">
        <v>6.65</v>
      </c>
      <c r="D8127" s="104">
        <f t="shared" si="126"/>
        <v>6.6500000000000004E-2</v>
      </c>
      <c r="F8127" s="5"/>
    </row>
    <row r="8128" spans="2:6" ht="13.8" hidden="1" outlineLevel="1">
      <c r="B8128" s="187">
        <v>33984</v>
      </c>
      <c r="C8128" s="188">
        <v>6.6</v>
      </c>
      <c r="D8128" s="104">
        <f t="shared" si="126"/>
        <v>6.6000000000000003E-2</v>
      </c>
      <c r="F8128" s="5"/>
    </row>
    <row r="8129" spans="2:6" ht="13.8" hidden="1" outlineLevel="1">
      <c r="B8129" s="187">
        <v>33987</v>
      </c>
      <c r="C8129" s="188" t="s">
        <v>380</v>
      </c>
      <c r="D8129" s="104">
        <f t="shared" si="126"/>
        <v>6.6000000000000003E-2</v>
      </c>
      <c r="F8129" s="5"/>
    </row>
    <row r="8130" spans="2:6" ht="13.8" hidden="1" outlineLevel="1">
      <c r="B8130" s="187">
        <v>33988</v>
      </c>
      <c r="C8130" s="188">
        <v>6.59</v>
      </c>
      <c r="D8130" s="104">
        <f t="shared" si="126"/>
        <v>6.59E-2</v>
      </c>
      <c r="F8130" s="5"/>
    </row>
    <row r="8131" spans="2:6" ht="13.8" hidden="1" outlineLevel="1">
      <c r="B8131" s="187">
        <v>33989</v>
      </c>
      <c r="C8131" s="188">
        <v>6.61</v>
      </c>
      <c r="D8131" s="104">
        <f t="shared" si="126"/>
        <v>6.6100000000000006E-2</v>
      </c>
      <c r="F8131" s="5"/>
    </row>
    <row r="8132" spans="2:6" ht="13.8" hidden="1" outlineLevel="1">
      <c r="B8132" s="187">
        <v>33990</v>
      </c>
      <c r="C8132" s="188">
        <v>6.6</v>
      </c>
      <c r="D8132" s="104">
        <f t="shared" si="126"/>
        <v>6.6000000000000003E-2</v>
      </c>
      <c r="F8132" s="5"/>
    </row>
    <row r="8133" spans="2:6" ht="13.8" hidden="1" outlineLevel="1">
      <c r="B8133" s="187">
        <v>33991</v>
      </c>
      <c r="C8133" s="188">
        <v>6.57</v>
      </c>
      <c r="D8133" s="104">
        <f t="shared" si="126"/>
        <v>6.5700000000000008E-2</v>
      </c>
      <c r="F8133" s="5"/>
    </row>
    <row r="8134" spans="2:6" ht="13.8" hidden="1" outlineLevel="1">
      <c r="B8134" s="187">
        <v>33994</v>
      </c>
      <c r="C8134" s="188">
        <v>6.48</v>
      </c>
      <c r="D8134" s="104">
        <f t="shared" si="126"/>
        <v>6.480000000000001E-2</v>
      </c>
      <c r="F8134" s="5"/>
    </row>
    <row r="8135" spans="2:6" ht="13.8" hidden="1" outlineLevel="1">
      <c r="B8135" s="187">
        <v>33995</v>
      </c>
      <c r="C8135" s="188">
        <v>6.5</v>
      </c>
      <c r="D8135" s="104">
        <f t="shared" si="126"/>
        <v>6.5000000000000002E-2</v>
      </c>
      <c r="F8135" s="5"/>
    </row>
    <row r="8136" spans="2:6" ht="13.8" hidden="1" outlineLevel="1">
      <c r="B8136" s="187">
        <v>33996</v>
      </c>
      <c r="C8136" s="188">
        <v>6.48</v>
      </c>
      <c r="D8136" s="104">
        <f t="shared" si="126"/>
        <v>6.480000000000001E-2</v>
      </c>
      <c r="F8136" s="5"/>
    </row>
    <row r="8137" spans="2:6" ht="13.8" hidden="1" outlineLevel="1">
      <c r="B8137" s="187">
        <v>33997</v>
      </c>
      <c r="C8137" s="188">
        <v>6.44</v>
      </c>
      <c r="D8137" s="104">
        <f t="shared" si="126"/>
        <v>6.4399999999999999E-2</v>
      </c>
      <c r="F8137" s="5"/>
    </row>
    <row r="8138" spans="2:6" ht="13.8" hidden="1" outlineLevel="1">
      <c r="B8138" s="187">
        <v>33998</v>
      </c>
      <c r="C8138" s="188">
        <v>6.39</v>
      </c>
      <c r="D8138" s="104">
        <f t="shared" si="126"/>
        <v>6.3899999999999998E-2</v>
      </c>
      <c r="F8138" s="5"/>
    </row>
    <row r="8139" spans="2:6" ht="13.8" hidden="1" outlineLevel="1">
      <c r="B8139" s="187">
        <v>34001</v>
      </c>
      <c r="C8139" s="188">
        <v>6.38</v>
      </c>
      <c r="D8139" s="104">
        <f t="shared" si="126"/>
        <v>6.3799999999999996E-2</v>
      </c>
      <c r="F8139" s="5"/>
    </row>
    <row r="8140" spans="2:6" ht="13.8" hidden="1" outlineLevel="1">
      <c r="B8140" s="187">
        <v>34002</v>
      </c>
      <c r="C8140" s="188">
        <v>6.46</v>
      </c>
      <c r="D8140" s="104">
        <f t="shared" si="126"/>
        <v>6.4600000000000005E-2</v>
      </c>
      <c r="F8140" s="5"/>
    </row>
    <row r="8141" spans="2:6" ht="13.8" hidden="1" outlineLevel="1">
      <c r="B8141" s="187">
        <v>34003</v>
      </c>
      <c r="C8141" s="188">
        <v>6.45</v>
      </c>
      <c r="D8141" s="104">
        <f t="shared" si="126"/>
        <v>6.4500000000000002E-2</v>
      </c>
      <c r="F8141" s="5"/>
    </row>
    <row r="8142" spans="2:6" ht="13.8" hidden="1" outlineLevel="1">
      <c r="B8142" s="187">
        <v>34004</v>
      </c>
      <c r="C8142" s="188">
        <v>6.39</v>
      </c>
      <c r="D8142" s="104">
        <f t="shared" si="126"/>
        <v>6.3899999999999998E-2</v>
      </c>
      <c r="F8142" s="5"/>
    </row>
    <row r="8143" spans="2:6" ht="13.8" hidden="1" outlineLevel="1">
      <c r="B8143" s="187">
        <v>34005</v>
      </c>
      <c r="C8143" s="188">
        <v>6.32</v>
      </c>
      <c r="D8143" s="104">
        <f t="shared" si="126"/>
        <v>6.3200000000000006E-2</v>
      </c>
      <c r="F8143" s="5"/>
    </row>
    <row r="8144" spans="2:6" ht="13.8" hidden="1" outlineLevel="1">
      <c r="B8144" s="187">
        <v>34008</v>
      </c>
      <c r="C8144" s="188">
        <v>6.37</v>
      </c>
      <c r="D8144" s="104">
        <f t="shared" si="126"/>
        <v>6.3700000000000007E-2</v>
      </c>
      <c r="F8144" s="5"/>
    </row>
    <row r="8145" spans="2:6" ht="13.8" hidden="1" outlineLevel="1">
      <c r="B8145" s="187">
        <v>34009</v>
      </c>
      <c r="C8145" s="188">
        <v>6.41</v>
      </c>
      <c r="D8145" s="104">
        <f t="shared" si="126"/>
        <v>6.4100000000000004E-2</v>
      </c>
      <c r="F8145" s="5"/>
    </row>
    <row r="8146" spans="2:6" ht="13.8" hidden="1" outlineLevel="1">
      <c r="B8146" s="187">
        <v>34010</v>
      </c>
      <c r="C8146" s="188">
        <v>6.4</v>
      </c>
      <c r="D8146" s="104">
        <f t="shared" si="126"/>
        <v>6.4000000000000001E-2</v>
      </c>
      <c r="F8146" s="5"/>
    </row>
    <row r="8147" spans="2:6" ht="13.8" hidden="1" outlineLevel="1">
      <c r="B8147" s="187">
        <v>34011</v>
      </c>
      <c r="C8147" s="188">
        <v>6.37</v>
      </c>
      <c r="D8147" s="104">
        <f t="shared" si="126"/>
        <v>6.3700000000000007E-2</v>
      </c>
      <c r="F8147" s="5"/>
    </row>
    <row r="8148" spans="2:6" ht="13.8" hidden="1" outlineLevel="1">
      <c r="B8148" s="187">
        <v>34012</v>
      </c>
      <c r="C8148" s="188">
        <v>6.35</v>
      </c>
      <c r="D8148" s="104">
        <f t="shared" si="126"/>
        <v>6.3500000000000001E-2</v>
      </c>
      <c r="F8148" s="5"/>
    </row>
    <row r="8149" spans="2:6" ht="13.8" hidden="1" outlineLevel="1">
      <c r="B8149" s="187">
        <v>34015</v>
      </c>
      <c r="C8149" s="188" t="s">
        <v>380</v>
      </c>
      <c r="D8149" s="104">
        <f t="shared" si="126"/>
        <v>6.3500000000000001E-2</v>
      </c>
      <c r="F8149" s="5"/>
    </row>
    <row r="8150" spans="2:6" ht="13.8" hidden="1" outlineLevel="1">
      <c r="B8150" s="187">
        <v>34016</v>
      </c>
      <c r="C8150" s="188">
        <v>6.34</v>
      </c>
      <c r="D8150" s="104">
        <f t="shared" si="126"/>
        <v>6.3399999999999998E-2</v>
      </c>
      <c r="F8150" s="5"/>
    </row>
    <row r="8151" spans="2:6" ht="13.8" hidden="1" outlineLevel="1">
      <c r="B8151" s="187">
        <v>34017</v>
      </c>
      <c r="C8151" s="188">
        <v>6.28</v>
      </c>
      <c r="D8151" s="104">
        <f t="shared" si="126"/>
        <v>6.2800000000000009E-2</v>
      </c>
      <c r="F8151" s="5"/>
    </row>
    <row r="8152" spans="2:6" ht="13.8" hidden="1" outlineLevel="1">
      <c r="B8152" s="187">
        <v>34018</v>
      </c>
      <c r="C8152" s="188">
        <v>6.17</v>
      </c>
      <c r="D8152" s="104">
        <f t="shared" si="126"/>
        <v>6.1699999999999998E-2</v>
      </c>
      <c r="F8152" s="5"/>
    </row>
    <row r="8153" spans="2:6" ht="13.8" hidden="1" outlineLevel="1">
      <c r="B8153" s="187">
        <v>34019</v>
      </c>
      <c r="C8153" s="188">
        <v>6.15</v>
      </c>
      <c r="D8153" s="104">
        <f t="shared" si="126"/>
        <v>6.1500000000000006E-2</v>
      </c>
      <c r="F8153" s="5"/>
    </row>
    <row r="8154" spans="2:6" ht="13.8" hidden="1" outlineLevel="1">
      <c r="B8154" s="187">
        <v>34022</v>
      </c>
      <c r="C8154" s="188">
        <v>6.09</v>
      </c>
      <c r="D8154" s="104">
        <f t="shared" si="126"/>
        <v>6.0899999999999996E-2</v>
      </c>
      <c r="F8154" s="5"/>
    </row>
    <row r="8155" spans="2:6" ht="13.8" hidden="1" outlineLevel="1">
      <c r="B8155" s="187">
        <v>34023</v>
      </c>
      <c r="C8155" s="188">
        <v>5.92</v>
      </c>
      <c r="D8155" s="104">
        <f t="shared" si="126"/>
        <v>5.9200000000000003E-2</v>
      </c>
      <c r="F8155" s="5"/>
    </row>
    <row r="8156" spans="2:6" ht="13.8" hidden="1" outlineLevel="1">
      <c r="B8156" s="187">
        <v>34024</v>
      </c>
      <c r="C8156" s="188">
        <v>6.01</v>
      </c>
      <c r="D8156" s="104">
        <f t="shared" si="126"/>
        <v>6.0100000000000001E-2</v>
      </c>
      <c r="F8156" s="5"/>
    </row>
    <row r="8157" spans="2:6" ht="13.8" hidden="1" outlineLevel="1">
      <c r="B8157" s="187">
        <v>34025</v>
      </c>
      <c r="C8157" s="188">
        <v>6.03</v>
      </c>
      <c r="D8157" s="104">
        <f t="shared" si="126"/>
        <v>6.0299999999999999E-2</v>
      </c>
      <c r="F8157" s="5"/>
    </row>
    <row r="8158" spans="2:6" ht="13.8" hidden="1" outlineLevel="1">
      <c r="B8158" s="187">
        <v>34026</v>
      </c>
      <c r="C8158" s="188">
        <v>6.03</v>
      </c>
      <c r="D8158" s="104">
        <f t="shared" ref="D8158:D8221" si="127">IF( LEN( C8158 ) = 0, #N/A, IF( C8158 = "ND", D8157, C8158 / 100 ) )</f>
        <v>6.0299999999999999E-2</v>
      </c>
      <c r="F8158" s="5"/>
    </row>
    <row r="8159" spans="2:6" ht="13.8" hidden="1" outlineLevel="1">
      <c r="B8159" s="187">
        <v>34029</v>
      </c>
      <c r="C8159" s="188">
        <v>5.94</v>
      </c>
      <c r="D8159" s="104">
        <f t="shared" si="127"/>
        <v>5.9400000000000001E-2</v>
      </c>
      <c r="F8159" s="5"/>
    </row>
    <row r="8160" spans="2:6" ht="13.8" hidden="1" outlineLevel="1">
      <c r="B8160" s="187">
        <v>34030</v>
      </c>
      <c r="C8160" s="188">
        <v>5.95</v>
      </c>
      <c r="D8160" s="104">
        <f t="shared" si="127"/>
        <v>5.9500000000000004E-2</v>
      </c>
      <c r="F8160" s="5"/>
    </row>
    <row r="8161" spans="2:6" ht="13.8" hidden="1" outlineLevel="1">
      <c r="B8161" s="187">
        <v>34031</v>
      </c>
      <c r="C8161" s="188">
        <v>5.88</v>
      </c>
      <c r="D8161" s="104">
        <f t="shared" si="127"/>
        <v>5.8799999999999998E-2</v>
      </c>
      <c r="F8161" s="5"/>
    </row>
    <row r="8162" spans="2:6" ht="13.8" hidden="1" outlineLevel="1">
      <c r="B8162" s="187">
        <v>34032</v>
      </c>
      <c r="C8162" s="188">
        <v>5.83</v>
      </c>
      <c r="D8162" s="104">
        <f t="shared" si="127"/>
        <v>5.8299999999999998E-2</v>
      </c>
      <c r="F8162" s="5"/>
    </row>
    <row r="8163" spans="2:6" ht="13.8" hidden="1" outlineLevel="1">
      <c r="B8163" s="187">
        <v>34033</v>
      </c>
      <c r="C8163" s="188">
        <v>5.9</v>
      </c>
      <c r="D8163" s="104">
        <f t="shared" si="127"/>
        <v>5.9000000000000004E-2</v>
      </c>
      <c r="F8163" s="5"/>
    </row>
    <row r="8164" spans="2:6" ht="13.8" hidden="1" outlineLevel="1">
      <c r="B8164" s="187">
        <v>34036</v>
      </c>
      <c r="C8164" s="188">
        <v>5.85</v>
      </c>
      <c r="D8164" s="104">
        <f t="shared" si="127"/>
        <v>5.8499999999999996E-2</v>
      </c>
      <c r="F8164" s="5"/>
    </row>
    <row r="8165" spans="2:6" ht="13.8" hidden="1" outlineLevel="1">
      <c r="B8165" s="187">
        <v>34037</v>
      </c>
      <c r="C8165" s="188">
        <v>5.91</v>
      </c>
      <c r="D8165" s="104">
        <f t="shared" si="127"/>
        <v>5.91E-2</v>
      </c>
      <c r="F8165" s="5"/>
    </row>
    <row r="8166" spans="2:6" ht="13.8" hidden="1" outlineLevel="1">
      <c r="B8166" s="187">
        <v>34038</v>
      </c>
      <c r="C8166" s="188">
        <v>5.97</v>
      </c>
      <c r="D8166" s="104">
        <f t="shared" si="127"/>
        <v>5.9699999999999996E-2</v>
      </c>
      <c r="F8166" s="5"/>
    </row>
    <row r="8167" spans="2:6" ht="13.8" hidden="1" outlineLevel="1">
      <c r="B8167" s="187">
        <v>34039</v>
      </c>
      <c r="C8167" s="188">
        <v>5.96</v>
      </c>
      <c r="D8167" s="104">
        <f t="shared" si="127"/>
        <v>5.96E-2</v>
      </c>
      <c r="F8167" s="5"/>
    </row>
    <row r="8168" spans="2:6" ht="13.8" hidden="1" outlineLevel="1">
      <c r="B8168" s="187">
        <v>34040</v>
      </c>
      <c r="C8168" s="188">
        <v>6.11</v>
      </c>
      <c r="D8168" s="104">
        <f t="shared" si="127"/>
        <v>6.1100000000000002E-2</v>
      </c>
      <c r="F8168" s="5"/>
    </row>
    <row r="8169" spans="2:6" ht="13.8" hidden="1" outlineLevel="1">
      <c r="B8169" s="187">
        <v>34043</v>
      </c>
      <c r="C8169" s="188">
        <v>6.17</v>
      </c>
      <c r="D8169" s="104">
        <f t="shared" si="127"/>
        <v>6.1699999999999998E-2</v>
      </c>
      <c r="F8169" s="5"/>
    </row>
    <row r="8170" spans="2:6" ht="13.8" hidden="1" outlineLevel="1">
      <c r="B8170" s="187">
        <v>34044</v>
      </c>
      <c r="C8170" s="188">
        <v>6.06</v>
      </c>
      <c r="D8170" s="104">
        <f t="shared" si="127"/>
        <v>6.0599999999999994E-2</v>
      </c>
      <c r="F8170" s="5"/>
    </row>
    <row r="8171" spans="2:6" ht="13.8" hidden="1" outlineLevel="1">
      <c r="B8171" s="187">
        <v>34045</v>
      </c>
      <c r="C8171" s="188">
        <v>6.02</v>
      </c>
      <c r="D8171" s="104">
        <f t="shared" si="127"/>
        <v>6.0199999999999997E-2</v>
      </c>
      <c r="F8171" s="5"/>
    </row>
    <row r="8172" spans="2:6" ht="13.8" hidden="1" outlineLevel="1">
      <c r="B8172" s="187">
        <v>34046</v>
      </c>
      <c r="C8172" s="188">
        <v>5.93</v>
      </c>
      <c r="D8172" s="104">
        <f t="shared" si="127"/>
        <v>5.9299999999999999E-2</v>
      </c>
      <c r="F8172" s="5"/>
    </row>
    <row r="8173" spans="2:6" ht="13.8" hidden="1" outlineLevel="1">
      <c r="B8173" s="187">
        <v>34047</v>
      </c>
      <c r="C8173" s="188">
        <v>5.95</v>
      </c>
      <c r="D8173" s="104">
        <f t="shared" si="127"/>
        <v>5.9500000000000004E-2</v>
      </c>
      <c r="F8173" s="5"/>
    </row>
    <row r="8174" spans="2:6" ht="13.8" hidden="1" outlineLevel="1">
      <c r="B8174" s="187">
        <v>34050</v>
      </c>
      <c r="C8174" s="188">
        <v>5.96</v>
      </c>
      <c r="D8174" s="104">
        <f t="shared" si="127"/>
        <v>5.96E-2</v>
      </c>
      <c r="F8174" s="5"/>
    </row>
    <row r="8175" spans="2:6" ht="13.8" hidden="1" outlineLevel="1">
      <c r="B8175" s="187">
        <v>34051</v>
      </c>
      <c r="C8175" s="188">
        <v>5.91</v>
      </c>
      <c r="D8175" s="104">
        <f t="shared" si="127"/>
        <v>5.91E-2</v>
      </c>
      <c r="F8175" s="5"/>
    </row>
    <row r="8176" spans="2:6" ht="13.8" hidden="1" outlineLevel="1">
      <c r="B8176" s="187">
        <v>34052</v>
      </c>
      <c r="C8176" s="188">
        <v>5.95</v>
      </c>
      <c r="D8176" s="104">
        <f t="shared" si="127"/>
        <v>5.9500000000000004E-2</v>
      </c>
      <c r="F8176" s="5"/>
    </row>
    <row r="8177" spans="2:6" ht="13.8" hidden="1" outlineLevel="1">
      <c r="B8177" s="187">
        <v>34053</v>
      </c>
      <c r="C8177" s="188">
        <v>5.98</v>
      </c>
      <c r="D8177" s="104">
        <f t="shared" si="127"/>
        <v>5.9800000000000006E-2</v>
      </c>
      <c r="F8177" s="5"/>
    </row>
    <row r="8178" spans="2:6" ht="13.8" hidden="1" outlineLevel="1">
      <c r="B8178" s="187">
        <v>34054</v>
      </c>
      <c r="C8178" s="188">
        <v>6.09</v>
      </c>
      <c r="D8178" s="104">
        <f t="shared" si="127"/>
        <v>6.0899999999999996E-2</v>
      </c>
      <c r="F8178" s="5"/>
    </row>
    <row r="8179" spans="2:6" ht="13.8" hidden="1" outlineLevel="1">
      <c r="B8179" s="187">
        <v>34057</v>
      </c>
      <c r="C8179" s="188">
        <v>6.06</v>
      </c>
      <c r="D8179" s="104">
        <f t="shared" si="127"/>
        <v>6.0599999999999994E-2</v>
      </c>
      <c r="F8179" s="5"/>
    </row>
    <row r="8180" spans="2:6" ht="13.8" hidden="1" outlineLevel="1">
      <c r="B8180" s="187">
        <v>34058</v>
      </c>
      <c r="C8180" s="188">
        <v>6.02</v>
      </c>
      <c r="D8180" s="104">
        <f t="shared" si="127"/>
        <v>6.0199999999999997E-2</v>
      </c>
      <c r="F8180" s="5"/>
    </row>
    <row r="8181" spans="2:6" ht="13.8" hidden="1" outlineLevel="1">
      <c r="B8181" s="187">
        <v>34059</v>
      </c>
      <c r="C8181" s="188">
        <v>6.03</v>
      </c>
      <c r="D8181" s="104">
        <f t="shared" si="127"/>
        <v>6.0299999999999999E-2</v>
      </c>
      <c r="F8181" s="5"/>
    </row>
    <row r="8182" spans="2:6" ht="13.8" hidden="1" outlineLevel="1">
      <c r="B8182" s="187">
        <v>34060</v>
      </c>
      <c r="C8182" s="188">
        <v>6.06</v>
      </c>
      <c r="D8182" s="104">
        <f t="shared" si="127"/>
        <v>6.0599999999999994E-2</v>
      </c>
      <c r="F8182" s="5"/>
    </row>
    <row r="8183" spans="2:6" ht="13.8" hidden="1" outlineLevel="1">
      <c r="B8183" s="187">
        <v>34061</v>
      </c>
      <c r="C8183" s="188">
        <v>6.16</v>
      </c>
      <c r="D8183" s="104">
        <f t="shared" si="127"/>
        <v>6.1600000000000002E-2</v>
      </c>
      <c r="F8183" s="5"/>
    </row>
    <row r="8184" spans="2:6" ht="13.8" hidden="1" outlineLevel="1">
      <c r="B8184" s="187">
        <v>34064</v>
      </c>
      <c r="C8184" s="188">
        <v>6.13</v>
      </c>
      <c r="D8184" s="104">
        <f t="shared" si="127"/>
        <v>6.13E-2</v>
      </c>
      <c r="F8184" s="5"/>
    </row>
    <row r="8185" spans="2:6" ht="13.8" hidden="1" outlineLevel="1">
      <c r="B8185" s="187">
        <v>34065</v>
      </c>
      <c r="C8185" s="188">
        <v>6.08</v>
      </c>
      <c r="D8185" s="104">
        <f t="shared" si="127"/>
        <v>6.08E-2</v>
      </c>
      <c r="F8185" s="5"/>
    </row>
    <row r="8186" spans="2:6" ht="13.8" hidden="1" outlineLevel="1">
      <c r="B8186" s="187">
        <v>34066</v>
      </c>
      <c r="C8186" s="188">
        <v>6.07</v>
      </c>
      <c r="D8186" s="104">
        <f t="shared" si="127"/>
        <v>6.0700000000000004E-2</v>
      </c>
      <c r="F8186" s="5"/>
    </row>
    <row r="8187" spans="2:6" ht="13.8" hidden="1" outlineLevel="1">
      <c r="B8187" s="187">
        <v>34067</v>
      </c>
      <c r="C8187" s="188">
        <v>5.97</v>
      </c>
      <c r="D8187" s="104">
        <f t="shared" si="127"/>
        <v>5.9699999999999996E-2</v>
      </c>
      <c r="F8187" s="5"/>
    </row>
    <row r="8188" spans="2:6" ht="13.8" hidden="1" outlineLevel="1">
      <c r="B8188" s="187">
        <v>34068</v>
      </c>
      <c r="C8188" s="188" t="s">
        <v>380</v>
      </c>
      <c r="D8188" s="104">
        <f t="shared" si="127"/>
        <v>5.9699999999999996E-2</v>
      </c>
      <c r="F8188" s="5"/>
    </row>
    <row r="8189" spans="2:6" ht="13.8" hidden="1" outlineLevel="1">
      <c r="B8189" s="187">
        <v>34071</v>
      </c>
      <c r="C8189" s="188">
        <v>5.92</v>
      </c>
      <c r="D8189" s="104">
        <f t="shared" si="127"/>
        <v>5.9200000000000003E-2</v>
      </c>
      <c r="F8189" s="5"/>
    </row>
    <row r="8190" spans="2:6" ht="13.8" hidden="1" outlineLevel="1">
      <c r="B8190" s="187">
        <v>34072</v>
      </c>
      <c r="C8190" s="188">
        <v>5.93</v>
      </c>
      <c r="D8190" s="104">
        <f t="shared" si="127"/>
        <v>5.9299999999999999E-2</v>
      </c>
      <c r="F8190" s="5"/>
    </row>
    <row r="8191" spans="2:6" ht="13.8" hidden="1" outlineLevel="1">
      <c r="B8191" s="187">
        <v>34073</v>
      </c>
      <c r="C8191" s="188">
        <v>5.9</v>
      </c>
      <c r="D8191" s="104">
        <f t="shared" si="127"/>
        <v>5.9000000000000004E-2</v>
      </c>
      <c r="F8191" s="5"/>
    </row>
    <row r="8192" spans="2:6" ht="13.8" hidden="1" outlineLevel="1">
      <c r="B8192" s="187">
        <v>34074</v>
      </c>
      <c r="C8192" s="188">
        <v>5.88</v>
      </c>
      <c r="D8192" s="104">
        <f t="shared" si="127"/>
        <v>5.8799999999999998E-2</v>
      </c>
      <c r="F8192" s="5"/>
    </row>
    <row r="8193" spans="2:6" ht="13.8" hidden="1" outlineLevel="1">
      <c r="B8193" s="187">
        <v>34075</v>
      </c>
      <c r="C8193" s="188">
        <v>5.89</v>
      </c>
      <c r="D8193" s="104">
        <f t="shared" si="127"/>
        <v>5.8899999999999994E-2</v>
      </c>
      <c r="F8193" s="5"/>
    </row>
    <row r="8194" spans="2:6" ht="13.8" hidden="1" outlineLevel="1">
      <c r="B8194" s="187">
        <v>34078</v>
      </c>
      <c r="C8194" s="188">
        <v>5.87</v>
      </c>
      <c r="D8194" s="104">
        <f t="shared" si="127"/>
        <v>5.8700000000000002E-2</v>
      </c>
      <c r="F8194" s="5"/>
    </row>
    <row r="8195" spans="2:6" ht="13.8" hidden="1" outlineLevel="1">
      <c r="B8195" s="187">
        <v>34079</v>
      </c>
      <c r="C8195" s="188">
        <v>5.87</v>
      </c>
      <c r="D8195" s="104">
        <f t="shared" si="127"/>
        <v>5.8700000000000002E-2</v>
      </c>
      <c r="F8195" s="5"/>
    </row>
    <row r="8196" spans="2:6" ht="13.8" hidden="1" outlineLevel="1">
      <c r="B8196" s="187">
        <v>34080</v>
      </c>
      <c r="C8196" s="188">
        <v>5.86</v>
      </c>
      <c r="D8196" s="104">
        <f t="shared" si="127"/>
        <v>5.8600000000000006E-2</v>
      </c>
      <c r="F8196" s="5"/>
    </row>
    <row r="8197" spans="2:6" ht="13.8" hidden="1" outlineLevel="1">
      <c r="B8197" s="187">
        <v>34081</v>
      </c>
      <c r="C8197" s="188">
        <v>5.85</v>
      </c>
      <c r="D8197" s="104">
        <f t="shared" si="127"/>
        <v>5.8499999999999996E-2</v>
      </c>
      <c r="F8197" s="5"/>
    </row>
    <row r="8198" spans="2:6" ht="13.8" hidden="1" outlineLevel="1">
      <c r="B8198" s="187">
        <v>34082</v>
      </c>
      <c r="C8198" s="188">
        <v>5.89</v>
      </c>
      <c r="D8198" s="104">
        <f t="shared" si="127"/>
        <v>5.8899999999999994E-2</v>
      </c>
      <c r="F8198" s="5"/>
    </row>
    <row r="8199" spans="2:6" ht="13.8" hidden="1" outlineLevel="1">
      <c r="B8199" s="187">
        <v>34085</v>
      </c>
      <c r="C8199" s="188">
        <v>5.94</v>
      </c>
      <c r="D8199" s="104">
        <f t="shared" si="127"/>
        <v>5.9400000000000001E-2</v>
      </c>
      <c r="F8199" s="5"/>
    </row>
    <row r="8200" spans="2:6" ht="13.8" hidden="1" outlineLevel="1">
      <c r="B8200" s="187">
        <v>34086</v>
      </c>
      <c r="C8200" s="188">
        <v>6.02</v>
      </c>
      <c r="D8200" s="104">
        <f t="shared" si="127"/>
        <v>6.0199999999999997E-2</v>
      </c>
      <c r="F8200" s="5"/>
    </row>
    <row r="8201" spans="2:6" ht="13.8" hidden="1" outlineLevel="1">
      <c r="B8201" s="187">
        <v>34087</v>
      </c>
      <c r="C8201" s="188">
        <v>6.03</v>
      </c>
      <c r="D8201" s="104">
        <f t="shared" si="127"/>
        <v>6.0299999999999999E-2</v>
      </c>
      <c r="F8201" s="5"/>
    </row>
    <row r="8202" spans="2:6" ht="13.8" hidden="1" outlineLevel="1">
      <c r="B8202" s="187">
        <v>34088</v>
      </c>
      <c r="C8202" s="188">
        <v>5.99</v>
      </c>
      <c r="D8202" s="104">
        <f t="shared" si="127"/>
        <v>5.9900000000000002E-2</v>
      </c>
      <c r="F8202" s="5"/>
    </row>
    <row r="8203" spans="2:6" ht="13.8" hidden="1" outlineLevel="1">
      <c r="B8203" s="187">
        <v>34089</v>
      </c>
      <c r="C8203" s="188">
        <v>6.05</v>
      </c>
      <c r="D8203" s="104">
        <f t="shared" si="127"/>
        <v>6.0499999999999998E-2</v>
      </c>
      <c r="F8203" s="5"/>
    </row>
    <row r="8204" spans="2:6" ht="13.8" hidden="1" outlineLevel="1">
      <c r="B8204" s="187">
        <v>34092</v>
      </c>
      <c r="C8204" s="188">
        <v>5.96</v>
      </c>
      <c r="D8204" s="104">
        <f t="shared" si="127"/>
        <v>5.96E-2</v>
      </c>
      <c r="F8204" s="5"/>
    </row>
    <row r="8205" spans="2:6" ht="13.8" hidden="1" outlineLevel="1">
      <c r="B8205" s="187">
        <v>34093</v>
      </c>
      <c r="C8205" s="188">
        <v>5.92</v>
      </c>
      <c r="D8205" s="104">
        <f t="shared" si="127"/>
        <v>5.9200000000000003E-2</v>
      </c>
      <c r="F8205" s="5"/>
    </row>
    <row r="8206" spans="2:6" ht="13.8" hidden="1" outlineLevel="1">
      <c r="B8206" s="187">
        <v>34094</v>
      </c>
      <c r="C8206" s="188">
        <v>5.93</v>
      </c>
      <c r="D8206" s="104">
        <f t="shared" si="127"/>
        <v>5.9299999999999999E-2</v>
      </c>
      <c r="F8206" s="5"/>
    </row>
    <row r="8207" spans="2:6" ht="13.8" hidden="1" outlineLevel="1">
      <c r="B8207" s="187">
        <v>34095</v>
      </c>
      <c r="C8207" s="188">
        <v>5.89</v>
      </c>
      <c r="D8207" s="104">
        <f t="shared" si="127"/>
        <v>5.8899999999999994E-2</v>
      </c>
      <c r="F8207" s="5"/>
    </row>
    <row r="8208" spans="2:6" ht="13.8" hidden="1" outlineLevel="1">
      <c r="B8208" s="187">
        <v>34096</v>
      </c>
      <c r="C8208" s="188">
        <v>5.92</v>
      </c>
      <c r="D8208" s="104">
        <f t="shared" si="127"/>
        <v>5.9200000000000003E-2</v>
      </c>
      <c r="F8208" s="5"/>
    </row>
    <row r="8209" spans="2:6" ht="13.8" hidden="1" outlineLevel="1">
      <c r="B8209" s="187">
        <v>34099</v>
      </c>
      <c r="C8209" s="188">
        <v>5.89</v>
      </c>
      <c r="D8209" s="104">
        <f t="shared" si="127"/>
        <v>5.8899999999999994E-2</v>
      </c>
      <c r="F8209" s="5"/>
    </row>
    <row r="8210" spans="2:6" ht="13.8" hidden="1" outlineLevel="1">
      <c r="B8210" s="187">
        <v>34100</v>
      </c>
      <c r="C8210" s="188">
        <v>5.89</v>
      </c>
      <c r="D8210" s="104">
        <f t="shared" si="127"/>
        <v>5.8899999999999994E-2</v>
      </c>
      <c r="F8210" s="5"/>
    </row>
    <row r="8211" spans="2:6" ht="13.8" hidden="1" outlineLevel="1">
      <c r="B8211" s="187">
        <v>34101</v>
      </c>
      <c r="C8211" s="188">
        <v>5.96</v>
      </c>
      <c r="D8211" s="104">
        <f t="shared" si="127"/>
        <v>5.96E-2</v>
      </c>
      <c r="F8211" s="5"/>
    </row>
    <row r="8212" spans="2:6" ht="13.8" hidden="1" outlineLevel="1">
      <c r="B8212" s="187">
        <v>34102</v>
      </c>
      <c r="C8212" s="188">
        <v>6.02</v>
      </c>
      <c r="D8212" s="104">
        <f t="shared" si="127"/>
        <v>6.0199999999999997E-2</v>
      </c>
      <c r="F8212" s="5"/>
    </row>
    <row r="8213" spans="2:6" ht="13.8" hidden="1" outlineLevel="1">
      <c r="B8213" s="187">
        <v>34103</v>
      </c>
      <c r="C8213" s="188">
        <v>6.03</v>
      </c>
      <c r="D8213" s="104">
        <f t="shared" si="127"/>
        <v>6.0299999999999999E-2</v>
      </c>
      <c r="F8213" s="5"/>
    </row>
    <row r="8214" spans="2:6" ht="13.8" hidden="1" outlineLevel="1">
      <c r="B8214" s="187">
        <v>34106</v>
      </c>
      <c r="C8214" s="188">
        <v>6.07</v>
      </c>
      <c r="D8214" s="104">
        <f t="shared" si="127"/>
        <v>6.0700000000000004E-2</v>
      </c>
      <c r="F8214" s="5"/>
    </row>
    <row r="8215" spans="2:6" ht="13.8" hidden="1" outlineLevel="1">
      <c r="B8215" s="187">
        <v>34107</v>
      </c>
      <c r="C8215" s="188">
        <v>6.15</v>
      </c>
      <c r="D8215" s="104">
        <f t="shared" si="127"/>
        <v>6.1500000000000006E-2</v>
      </c>
      <c r="F8215" s="5"/>
    </row>
    <row r="8216" spans="2:6" ht="13.8" hidden="1" outlineLevel="1">
      <c r="B8216" s="187">
        <v>34108</v>
      </c>
      <c r="C8216" s="188">
        <v>6.11</v>
      </c>
      <c r="D8216" s="104">
        <f t="shared" si="127"/>
        <v>6.1100000000000002E-2</v>
      </c>
      <c r="F8216" s="5"/>
    </row>
    <row r="8217" spans="2:6" ht="13.8" hidden="1" outlineLevel="1">
      <c r="B8217" s="187">
        <v>34109</v>
      </c>
      <c r="C8217" s="188">
        <v>6.09</v>
      </c>
      <c r="D8217" s="104">
        <f t="shared" si="127"/>
        <v>6.0899999999999996E-2</v>
      </c>
      <c r="F8217" s="5"/>
    </row>
    <row r="8218" spans="2:6" ht="13.8" hidden="1" outlineLevel="1">
      <c r="B8218" s="187">
        <v>34110</v>
      </c>
      <c r="C8218" s="188">
        <v>6.16</v>
      </c>
      <c r="D8218" s="104">
        <f t="shared" si="127"/>
        <v>6.1600000000000002E-2</v>
      </c>
      <c r="F8218" s="5"/>
    </row>
    <row r="8219" spans="2:6" ht="13.8" hidden="1" outlineLevel="1">
      <c r="B8219" s="187">
        <v>34113</v>
      </c>
      <c r="C8219" s="188">
        <v>6.16</v>
      </c>
      <c r="D8219" s="104">
        <f t="shared" si="127"/>
        <v>6.1600000000000002E-2</v>
      </c>
      <c r="F8219" s="5"/>
    </row>
    <row r="8220" spans="2:6" ht="13.8" hidden="1" outlineLevel="1">
      <c r="B8220" s="187">
        <v>34114</v>
      </c>
      <c r="C8220" s="188">
        <v>6.17</v>
      </c>
      <c r="D8220" s="104">
        <f t="shared" si="127"/>
        <v>6.1699999999999998E-2</v>
      </c>
      <c r="F8220" s="5"/>
    </row>
    <row r="8221" spans="2:6" ht="13.8" hidden="1" outlineLevel="1">
      <c r="B8221" s="187">
        <v>34115</v>
      </c>
      <c r="C8221" s="188">
        <v>6.12</v>
      </c>
      <c r="D8221" s="104">
        <f t="shared" si="127"/>
        <v>6.1200000000000004E-2</v>
      </c>
      <c r="F8221" s="5"/>
    </row>
    <row r="8222" spans="2:6" ht="13.8" hidden="1" outlineLevel="1">
      <c r="B8222" s="187">
        <v>34116</v>
      </c>
      <c r="C8222" s="188">
        <v>6.11</v>
      </c>
      <c r="D8222" s="104">
        <f t="shared" ref="D8222:D8285" si="128">IF( LEN( C8222 ) = 0, #N/A, IF( C8222 = "ND", D8221, C8222 / 100 ) )</f>
        <v>6.1100000000000002E-2</v>
      </c>
      <c r="F8222" s="5"/>
    </row>
    <row r="8223" spans="2:6" ht="13.8" hidden="1" outlineLevel="1">
      <c r="B8223" s="187">
        <v>34117</v>
      </c>
      <c r="C8223" s="188">
        <v>6.16</v>
      </c>
      <c r="D8223" s="104">
        <f t="shared" si="128"/>
        <v>6.1600000000000002E-2</v>
      </c>
      <c r="F8223" s="5"/>
    </row>
    <row r="8224" spans="2:6" ht="13.8" hidden="1" outlineLevel="1">
      <c r="B8224" s="187">
        <v>34120</v>
      </c>
      <c r="C8224" s="188" t="s">
        <v>380</v>
      </c>
      <c r="D8224" s="104">
        <f t="shared" si="128"/>
        <v>6.1600000000000002E-2</v>
      </c>
      <c r="F8224" s="5"/>
    </row>
    <row r="8225" spans="2:6" ht="13.8" hidden="1" outlineLevel="1">
      <c r="B8225" s="187">
        <v>34121</v>
      </c>
      <c r="C8225" s="188">
        <v>6.07</v>
      </c>
      <c r="D8225" s="104">
        <f t="shared" si="128"/>
        <v>6.0700000000000004E-2</v>
      </c>
      <c r="F8225" s="5"/>
    </row>
    <row r="8226" spans="2:6" ht="13.8" hidden="1" outlineLevel="1">
      <c r="B8226" s="187">
        <v>34122</v>
      </c>
      <c r="C8226" s="188">
        <v>6.06</v>
      </c>
      <c r="D8226" s="104">
        <f t="shared" si="128"/>
        <v>6.0599999999999994E-2</v>
      </c>
      <c r="F8226" s="5"/>
    </row>
    <row r="8227" spans="2:6" ht="13.8" hidden="1" outlineLevel="1">
      <c r="B8227" s="187">
        <v>34123</v>
      </c>
      <c r="C8227" s="188">
        <v>6.02</v>
      </c>
      <c r="D8227" s="104">
        <f t="shared" si="128"/>
        <v>6.0199999999999997E-2</v>
      </c>
      <c r="F8227" s="5"/>
    </row>
    <row r="8228" spans="2:6" ht="13.8" hidden="1" outlineLevel="1">
      <c r="B8228" s="187">
        <v>34124</v>
      </c>
      <c r="C8228" s="188">
        <v>6.11</v>
      </c>
      <c r="D8228" s="104">
        <f t="shared" si="128"/>
        <v>6.1100000000000002E-2</v>
      </c>
      <c r="F8228" s="5"/>
    </row>
    <row r="8229" spans="2:6" ht="13.8" hidden="1" outlineLevel="1">
      <c r="B8229" s="187">
        <v>34127</v>
      </c>
      <c r="C8229" s="188">
        <v>6.08</v>
      </c>
      <c r="D8229" s="104">
        <f t="shared" si="128"/>
        <v>6.08E-2</v>
      </c>
      <c r="F8229" s="5"/>
    </row>
    <row r="8230" spans="2:6" ht="13.8" hidden="1" outlineLevel="1">
      <c r="B8230" s="187">
        <v>34128</v>
      </c>
      <c r="C8230" s="188">
        <v>6.09</v>
      </c>
      <c r="D8230" s="104">
        <f t="shared" si="128"/>
        <v>6.0899999999999996E-2</v>
      </c>
      <c r="F8230" s="5"/>
    </row>
    <row r="8231" spans="2:6" ht="13.8" hidden="1" outlineLevel="1">
      <c r="B8231" s="187">
        <v>34129</v>
      </c>
      <c r="C8231" s="188">
        <v>6.07</v>
      </c>
      <c r="D8231" s="104">
        <f t="shared" si="128"/>
        <v>6.0700000000000004E-2</v>
      </c>
      <c r="F8231" s="5"/>
    </row>
    <row r="8232" spans="2:6" ht="13.8" hidden="1" outlineLevel="1">
      <c r="B8232" s="187">
        <v>34130</v>
      </c>
      <c r="C8232" s="188">
        <v>6.07</v>
      </c>
      <c r="D8232" s="104">
        <f t="shared" si="128"/>
        <v>6.0700000000000004E-2</v>
      </c>
      <c r="F8232" s="5"/>
    </row>
    <row r="8233" spans="2:6" ht="13.8" hidden="1" outlineLevel="1">
      <c r="B8233" s="187">
        <v>34131</v>
      </c>
      <c r="C8233" s="188">
        <v>5.97</v>
      </c>
      <c r="D8233" s="104">
        <f t="shared" si="128"/>
        <v>5.9699999999999996E-2</v>
      </c>
      <c r="F8233" s="5"/>
    </row>
    <row r="8234" spans="2:6" ht="13.8" hidden="1" outlineLevel="1">
      <c r="B8234" s="187">
        <v>34134</v>
      </c>
      <c r="C8234" s="188">
        <v>5.97</v>
      </c>
      <c r="D8234" s="104">
        <f t="shared" si="128"/>
        <v>5.9699999999999996E-2</v>
      </c>
      <c r="F8234" s="5"/>
    </row>
    <row r="8235" spans="2:6" ht="13.8" hidden="1" outlineLevel="1">
      <c r="B8235" s="187">
        <v>34135</v>
      </c>
      <c r="C8235" s="188">
        <v>5.96</v>
      </c>
      <c r="D8235" s="104">
        <f t="shared" si="128"/>
        <v>5.96E-2</v>
      </c>
      <c r="F8235" s="5"/>
    </row>
    <row r="8236" spans="2:6" ht="13.8" hidden="1" outlineLevel="1">
      <c r="B8236" s="187">
        <v>34136</v>
      </c>
      <c r="C8236" s="188">
        <v>5.96</v>
      </c>
      <c r="D8236" s="104">
        <f t="shared" si="128"/>
        <v>5.96E-2</v>
      </c>
      <c r="F8236" s="5"/>
    </row>
    <row r="8237" spans="2:6" ht="13.8" hidden="1" outlineLevel="1">
      <c r="B8237" s="187">
        <v>34137</v>
      </c>
      <c r="C8237" s="188">
        <v>5.93</v>
      </c>
      <c r="D8237" s="104">
        <f t="shared" si="128"/>
        <v>5.9299999999999999E-2</v>
      </c>
      <c r="F8237" s="5"/>
    </row>
    <row r="8238" spans="2:6" ht="13.8" hidden="1" outlineLevel="1">
      <c r="B8238" s="187">
        <v>34138</v>
      </c>
      <c r="C8238" s="188">
        <v>5.97</v>
      </c>
      <c r="D8238" s="104">
        <f t="shared" si="128"/>
        <v>5.9699999999999996E-2</v>
      </c>
      <c r="F8238" s="5"/>
    </row>
    <row r="8239" spans="2:6" ht="13.8" hidden="1" outlineLevel="1">
      <c r="B8239" s="187">
        <v>34141</v>
      </c>
      <c r="C8239" s="188">
        <v>5.92</v>
      </c>
      <c r="D8239" s="104">
        <f t="shared" si="128"/>
        <v>5.9200000000000003E-2</v>
      </c>
      <c r="F8239" s="5"/>
    </row>
    <row r="8240" spans="2:6" ht="13.8" hidden="1" outlineLevel="1">
      <c r="B8240" s="187">
        <v>34142</v>
      </c>
      <c r="C8240" s="188">
        <v>5.91</v>
      </c>
      <c r="D8240" s="104">
        <f t="shared" si="128"/>
        <v>5.91E-2</v>
      </c>
      <c r="F8240" s="5"/>
    </row>
    <row r="8241" spans="2:6" ht="13.8" hidden="1" outlineLevel="1">
      <c r="B8241" s="187">
        <v>34143</v>
      </c>
      <c r="C8241" s="188">
        <v>5.91</v>
      </c>
      <c r="D8241" s="104">
        <f t="shared" si="128"/>
        <v>5.91E-2</v>
      </c>
      <c r="F8241" s="5"/>
    </row>
    <row r="8242" spans="2:6" ht="13.8" hidden="1" outlineLevel="1">
      <c r="B8242" s="187">
        <v>34144</v>
      </c>
      <c r="C8242" s="188">
        <v>5.88</v>
      </c>
      <c r="D8242" s="104">
        <f t="shared" si="128"/>
        <v>5.8799999999999998E-2</v>
      </c>
      <c r="F8242" s="5"/>
    </row>
    <row r="8243" spans="2:6" ht="13.8" hidden="1" outlineLevel="1">
      <c r="B8243" s="187">
        <v>34145</v>
      </c>
      <c r="C8243" s="188">
        <v>5.84</v>
      </c>
      <c r="D8243" s="104">
        <f t="shared" si="128"/>
        <v>5.8400000000000001E-2</v>
      </c>
      <c r="F8243" s="5"/>
    </row>
    <row r="8244" spans="2:6" ht="13.8" hidden="1" outlineLevel="1">
      <c r="B8244" s="187">
        <v>34148</v>
      </c>
      <c r="C8244" s="188">
        <v>5.8</v>
      </c>
      <c r="D8244" s="104">
        <f t="shared" si="128"/>
        <v>5.7999999999999996E-2</v>
      </c>
      <c r="F8244" s="5"/>
    </row>
    <row r="8245" spans="2:6" ht="13.8" hidden="1" outlineLevel="1">
      <c r="B8245" s="187">
        <v>34149</v>
      </c>
      <c r="C8245" s="188">
        <v>5.79</v>
      </c>
      <c r="D8245" s="104">
        <f t="shared" si="128"/>
        <v>5.79E-2</v>
      </c>
      <c r="F8245" s="5"/>
    </row>
    <row r="8246" spans="2:6" ht="13.8" hidden="1" outlineLevel="1">
      <c r="B8246" s="187">
        <v>34150</v>
      </c>
      <c r="C8246" s="188">
        <v>5.8</v>
      </c>
      <c r="D8246" s="104">
        <f t="shared" si="128"/>
        <v>5.7999999999999996E-2</v>
      </c>
      <c r="F8246" s="5"/>
    </row>
    <row r="8247" spans="2:6" ht="13.8" hidden="1" outlineLevel="1">
      <c r="B8247" s="187">
        <v>34151</v>
      </c>
      <c r="C8247" s="188">
        <v>5.8</v>
      </c>
      <c r="D8247" s="104">
        <f t="shared" si="128"/>
        <v>5.7999999999999996E-2</v>
      </c>
      <c r="F8247" s="5"/>
    </row>
    <row r="8248" spans="2:6" ht="13.8" hidden="1" outlineLevel="1">
      <c r="B8248" s="187">
        <v>34152</v>
      </c>
      <c r="C8248" s="188">
        <v>5.76</v>
      </c>
      <c r="D8248" s="104">
        <f t="shared" si="128"/>
        <v>5.7599999999999998E-2</v>
      </c>
      <c r="F8248" s="5"/>
    </row>
    <row r="8249" spans="2:6" ht="13.8" hidden="1" outlineLevel="1">
      <c r="B8249" s="187">
        <v>34155</v>
      </c>
      <c r="C8249" s="188" t="s">
        <v>380</v>
      </c>
      <c r="D8249" s="104">
        <f t="shared" si="128"/>
        <v>5.7599999999999998E-2</v>
      </c>
      <c r="F8249" s="5"/>
    </row>
    <row r="8250" spans="2:6" ht="13.8" hidden="1" outlineLevel="1">
      <c r="B8250" s="187">
        <v>34156</v>
      </c>
      <c r="C8250" s="188">
        <v>5.8</v>
      </c>
      <c r="D8250" s="104">
        <f t="shared" si="128"/>
        <v>5.7999999999999996E-2</v>
      </c>
      <c r="F8250" s="5"/>
    </row>
    <row r="8251" spans="2:6" ht="13.8" hidden="1" outlineLevel="1">
      <c r="B8251" s="187">
        <v>34157</v>
      </c>
      <c r="C8251" s="188">
        <v>5.8</v>
      </c>
      <c r="D8251" s="104">
        <f t="shared" si="128"/>
        <v>5.7999999999999996E-2</v>
      </c>
      <c r="F8251" s="5"/>
    </row>
    <row r="8252" spans="2:6" ht="13.8" hidden="1" outlineLevel="1">
      <c r="B8252" s="187">
        <v>34158</v>
      </c>
      <c r="C8252" s="188">
        <v>5.78</v>
      </c>
      <c r="D8252" s="104">
        <f t="shared" si="128"/>
        <v>5.7800000000000004E-2</v>
      </c>
      <c r="F8252" s="5"/>
    </row>
    <row r="8253" spans="2:6" ht="13.8" hidden="1" outlineLevel="1">
      <c r="B8253" s="187">
        <v>34159</v>
      </c>
      <c r="C8253" s="188">
        <v>5.76</v>
      </c>
      <c r="D8253" s="104">
        <f t="shared" si="128"/>
        <v>5.7599999999999998E-2</v>
      </c>
      <c r="F8253" s="5"/>
    </row>
    <row r="8254" spans="2:6" ht="13.8" hidden="1" outlineLevel="1">
      <c r="B8254" s="187">
        <v>34162</v>
      </c>
      <c r="C8254" s="188">
        <v>5.75</v>
      </c>
      <c r="D8254" s="104">
        <f t="shared" si="128"/>
        <v>5.7500000000000002E-2</v>
      </c>
      <c r="F8254" s="5"/>
    </row>
    <row r="8255" spans="2:6" ht="13.8" hidden="1" outlineLevel="1">
      <c r="B8255" s="187">
        <v>34163</v>
      </c>
      <c r="C8255" s="188">
        <v>5.78</v>
      </c>
      <c r="D8255" s="104">
        <f t="shared" si="128"/>
        <v>5.7800000000000004E-2</v>
      </c>
      <c r="F8255" s="5"/>
    </row>
    <row r="8256" spans="2:6" ht="13.8" hidden="1" outlineLevel="1">
      <c r="B8256" s="187">
        <v>34164</v>
      </c>
      <c r="C8256" s="188">
        <v>5.72</v>
      </c>
      <c r="D8256" s="104">
        <f t="shared" si="128"/>
        <v>5.7200000000000001E-2</v>
      </c>
      <c r="F8256" s="5"/>
    </row>
    <row r="8257" spans="2:6" ht="13.8" hidden="1" outlineLevel="1">
      <c r="B8257" s="187">
        <v>34165</v>
      </c>
      <c r="C8257" s="188">
        <v>5.72</v>
      </c>
      <c r="D8257" s="104">
        <f t="shared" si="128"/>
        <v>5.7200000000000001E-2</v>
      </c>
      <c r="F8257" s="5"/>
    </row>
    <row r="8258" spans="2:6" ht="13.8" hidden="1" outlineLevel="1">
      <c r="B8258" s="187">
        <v>34166</v>
      </c>
      <c r="C8258" s="188">
        <v>5.71</v>
      </c>
      <c r="D8258" s="104">
        <f t="shared" si="128"/>
        <v>5.7099999999999998E-2</v>
      </c>
      <c r="F8258" s="5"/>
    </row>
    <row r="8259" spans="2:6" ht="13.8" hidden="1" outlineLevel="1">
      <c r="B8259" s="187">
        <v>34169</v>
      </c>
      <c r="C8259" s="188">
        <v>5.71</v>
      </c>
      <c r="D8259" s="104">
        <f t="shared" si="128"/>
        <v>5.7099999999999998E-2</v>
      </c>
      <c r="F8259" s="5"/>
    </row>
    <row r="8260" spans="2:6" ht="13.8" hidden="1" outlineLevel="1">
      <c r="B8260" s="187">
        <v>34170</v>
      </c>
      <c r="C8260" s="188">
        <v>5.75</v>
      </c>
      <c r="D8260" s="104">
        <f t="shared" si="128"/>
        <v>5.7500000000000002E-2</v>
      </c>
      <c r="F8260" s="5"/>
    </row>
    <row r="8261" spans="2:6" ht="13.8" hidden="1" outlineLevel="1">
      <c r="B8261" s="187">
        <v>34171</v>
      </c>
      <c r="C8261" s="188">
        <v>5.83</v>
      </c>
      <c r="D8261" s="104">
        <f t="shared" si="128"/>
        <v>5.8299999999999998E-2</v>
      </c>
      <c r="F8261" s="5"/>
    </row>
    <row r="8262" spans="2:6" ht="13.8" hidden="1" outlineLevel="1">
      <c r="B8262" s="187">
        <v>34172</v>
      </c>
      <c r="C8262" s="188">
        <v>5.9</v>
      </c>
      <c r="D8262" s="104">
        <f t="shared" si="128"/>
        <v>5.9000000000000004E-2</v>
      </c>
      <c r="F8262" s="5"/>
    </row>
    <row r="8263" spans="2:6" ht="13.8" hidden="1" outlineLevel="1">
      <c r="B8263" s="187">
        <v>34173</v>
      </c>
      <c r="C8263" s="188">
        <v>5.95</v>
      </c>
      <c r="D8263" s="104">
        <f t="shared" si="128"/>
        <v>5.9500000000000004E-2</v>
      </c>
      <c r="F8263" s="5"/>
    </row>
    <row r="8264" spans="2:6" ht="13.8" hidden="1" outlineLevel="1">
      <c r="B8264" s="187">
        <v>34176</v>
      </c>
      <c r="C8264" s="188">
        <v>5.93</v>
      </c>
      <c r="D8264" s="104">
        <f t="shared" si="128"/>
        <v>5.9299999999999999E-2</v>
      </c>
      <c r="F8264" s="5"/>
    </row>
    <row r="8265" spans="2:6" ht="13.8" hidden="1" outlineLevel="1">
      <c r="B8265" s="187">
        <v>34177</v>
      </c>
      <c r="C8265" s="188">
        <v>5.92</v>
      </c>
      <c r="D8265" s="104">
        <f t="shared" si="128"/>
        <v>5.9200000000000003E-2</v>
      </c>
      <c r="F8265" s="5"/>
    </row>
    <row r="8266" spans="2:6" ht="13.8" hidden="1" outlineLevel="1">
      <c r="B8266" s="187">
        <v>34178</v>
      </c>
      <c r="C8266" s="188">
        <v>5.9</v>
      </c>
      <c r="D8266" s="104">
        <f t="shared" si="128"/>
        <v>5.9000000000000004E-2</v>
      </c>
      <c r="F8266" s="5"/>
    </row>
    <row r="8267" spans="2:6" ht="13.8" hidden="1" outlineLevel="1">
      <c r="B8267" s="187">
        <v>34179</v>
      </c>
      <c r="C8267" s="188">
        <v>5.81</v>
      </c>
      <c r="D8267" s="104">
        <f t="shared" si="128"/>
        <v>5.8099999999999999E-2</v>
      </c>
      <c r="F8267" s="5"/>
    </row>
    <row r="8268" spans="2:6" ht="13.8" hidden="1" outlineLevel="1">
      <c r="B8268" s="187">
        <v>34180</v>
      </c>
      <c r="C8268" s="188">
        <v>5.83</v>
      </c>
      <c r="D8268" s="104">
        <f t="shared" si="128"/>
        <v>5.8299999999999998E-2</v>
      </c>
      <c r="F8268" s="5"/>
    </row>
    <row r="8269" spans="2:6" ht="13.8" hidden="1" outlineLevel="1">
      <c r="B8269" s="187">
        <v>34183</v>
      </c>
      <c r="C8269" s="188">
        <v>5.85</v>
      </c>
      <c r="D8269" s="104">
        <f t="shared" si="128"/>
        <v>5.8499999999999996E-2</v>
      </c>
      <c r="F8269" s="5"/>
    </row>
    <row r="8270" spans="2:6" ht="13.8" hidden="1" outlineLevel="1">
      <c r="B8270" s="187">
        <v>34184</v>
      </c>
      <c r="C8270" s="188">
        <v>5.83</v>
      </c>
      <c r="D8270" s="104">
        <f t="shared" si="128"/>
        <v>5.8299999999999998E-2</v>
      </c>
      <c r="F8270" s="5"/>
    </row>
    <row r="8271" spans="2:6" ht="13.8" hidden="1" outlineLevel="1">
      <c r="B8271" s="187">
        <v>34185</v>
      </c>
      <c r="C8271" s="188">
        <v>5.87</v>
      </c>
      <c r="D8271" s="104">
        <f t="shared" si="128"/>
        <v>5.8700000000000002E-2</v>
      </c>
      <c r="F8271" s="5"/>
    </row>
    <row r="8272" spans="2:6" ht="13.8" hidden="1" outlineLevel="1">
      <c r="B8272" s="187">
        <v>34186</v>
      </c>
      <c r="C8272" s="188">
        <v>5.86</v>
      </c>
      <c r="D8272" s="104">
        <f t="shared" si="128"/>
        <v>5.8600000000000006E-2</v>
      </c>
      <c r="F8272" s="5"/>
    </row>
    <row r="8273" spans="2:6" ht="13.8" hidden="1" outlineLevel="1">
      <c r="B8273" s="187">
        <v>34187</v>
      </c>
      <c r="C8273" s="188">
        <v>5.86</v>
      </c>
      <c r="D8273" s="104">
        <f t="shared" si="128"/>
        <v>5.8600000000000006E-2</v>
      </c>
      <c r="F8273" s="5"/>
    </row>
    <row r="8274" spans="2:6" ht="13.8" hidden="1" outlineLevel="1">
      <c r="B8274" s="187">
        <v>34190</v>
      </c>
      <c r="C8274" s="188">
        <v>5.82</v>
      </c>
      <c r="D8274" s="104">
        <f t="shared" si="128"/>
        <v>5.8200000000000002E-2</v>
      </c>
      <c r="F8274" s="5"/>
    </row>
    <row r="8275" spans="2:6" ht="13.8" hidden="1" outlineLevel="1">
      <c r="B8275" s="187">
        <v>34191</v>
      </c>
      <c r="C8275" s="188">
        <v>5.82</v>
      </c>
      <c r="D8275" s="104">
        <f t="shared" si="128"/>
        <v>5.8200000000000002E-2</v>
      </c>
      <c r="F8275" s="5"/>
    </row>
    <row r="8276" spans="2:6" ht="13.8" hidden="1" outlineLevel="1">
      <c r="B8276" s="187">
        <v>34192</v>
      </c>
      <c r="C8276" s="188">
        <v>5.75</v>
      </c>
      <c r="D8276" s="104">
        <f t="shared" si="128"/>
        <v>5.7500000000000002E-2</v>
      </c>
      <c r="F8276" s="5"/>
    </row>
    <row r="8277" spans="2:6" ht="13.8" hidden="1" outlineLevel="1">
      <c r="B8277" s="187">
        <v>34193</v>
      </c>
      <c r="C8277" s="188">
        <v>5.77</v>
      </c>
      <c r="D8277" s="104">
        <f t="shared" si="128"/>
        <v>5.7699999999999994E-2</v>
      </c>
      <c r="F8277" s="5"/>
    </row>
    <row r="8278" spans="2:6" ht="13.8" hidden="1" outlineLevel="1">
      <c r="B8278" s="187">
        <v>34194</v>
      </c>
      <c r="C8278" s="188">
        <v>5.72</v>
      </c>
      <c r="D8278" s="104">
        <f t="shared" si="128"/>
        <v>5.7200000000000001E-2</v>
      </c>
      <c r="F8278" s="5"/>
    </row>
    <row r="8279" spans="2:6" ht="13.8" hidden="1" outlineLevel="1">
      <c r="B8279" s="187">
        <v>34197</v>
      </c>
      <c r="C8279" s="188">
        <v>5.68</v>
      </c>
      <c r="D8279" s="104">
        <f t="shared" si="128"/>
        <v>5.6799999999999996E-2</v>
      </c>
      <c r="F8279" s="5"/>
    </row>
    <row r="8280" spans="2:6" ht="13.8" hidden="1" outlineLevel="1">
      <c r="B8280" s="187">
        <v>34198</v>
      </c>
      <c r="C8280" s="188">
        <v>5.7</v>
      </c>
      <c r="D8280" s="104">
        <f t="shared" si="128"/>
        <v>5.7000000000000002E-2</v>
      </c>
      <c r="F8280" s="5"/>
    </row>
    <row r="8281" spans="2:6" ht="13.8" hidden="1" outlineLevel="1">
      <c r="B8281" s="187">
        <v>34199</v>
      </c>
      <c r="C8281" s="188">
        <v>5.69</v>
      </c>
      <c r="D8281" s="104">
        <f t="shared" si="128"/>
        <v>5.6900000000000006E-2</v>
      </c>
      <c r="F8281" s="5"/>
    </row>
    <row r="8282" spans="2:6" ht="13.8" hidden="1" outlineLevel="1">
      <c r="B8282" s="187">
        <v>34200</v>
      </c>
      <c r="C8282" s="188">
        <v>5.64</v>
      </c>
      <c r="D8282" s="104">
        <f t="shared" si="128"/>
        <v>5.6399999999999999E-2</v>
      </c>
      <c r="F8282" s="5"/>
    </row>
    <row r="8283" spans="2:6" ht="13.8" hidden="1" outlineLevel="1">
      <c r="B8283" s="187">
        <v>34201</v>
      </c>
      <c r="C8283" s="188">
        <v>5.61</v>
      </c>
      <c r="D8283" s="104">
        <f t="shared" si="128"/>
        <v>5.6100000000000004E-2</v>
      </c>
      <c r="F8283" s="5"/>
    </row>
    <row r="8284" spans="2:6" ht="13.8" hidden="1" outlineLevel="1">
      <c r="B8284" s="187">
        <v>34204</v>
      </c>
      <c r="C8284" s="188">
        <v>5.6</v>
      </c>
      <c r="D8284" s="104">
        <f t="shared" si="128"/>
        <v>5.5999999999999994E-2</v>
      </c>
      <c r="F8284" s="5"/>
    </row>
    <row r="8285" spans="2:6" ht="13.8" hidden="1" outlineLevel="1">
      <c r="B8285" s="187">
        <v>34205</v>
      </c>
      <c r="C8285" s="188">
        <v>5.54</v>
      </c>
      <c r="D8285" s="104">
        <f t="shared" si="128"/>
        <v>5.5399999999999998E-2</v>
      </c>
      <c r="F8285" s="5"/>
    </row>
    <row r="8286" spans="2:6" ht="13.8" hidden="1" outlineLevel="1">
      <c r="B8286" s="187">
        <v>34206</v>
      </c>
      <c r="C8286" s="188">
        <v>5.51</v>
      </c>
      <c r="D8286" s="104">
        <f t="shared" ref="D8286:D8349" si="129">IF( LEN( C8286 ) = 0, #N/A, IF( C8286 = "ND", D8285, C8286 / 100 ) )</f>
        <v>5.5099999999999996E-2</v>
      </c>
      <c r="F8286" s="5"/>
    </row>
    <row r="8287" spans="2:6" ht="13.8" hidden="1" outlineLevel="1">
      <c r="B8287" s="187">
        <v>34207</v>
      </c>
      <c r="C8287" s="188">
        <v>5.42</v>
      </c>
      <c r="D8287" s="104">
        <f t="shared" si="129"/>
        <v>5.4199999999999998E-2</v>
      </c>
      <c r="F8287" s="5"/>
    </row>
    <row r="8288" spans="2:6" ht="13.8" hidden="1" outlineLevel="1">
      <c r="B8288" s="187">
        <v>34208</v>
      </c>
      <c r="C8288" s="188">
        <v>5.48</v>
      </c>
      <c r="D8288" s="104">
        <f t="shared" si="129"/>
        <v>5.4800000000000001E-2</v>
      </c>
      <c r="F8288" s="5"/>
    </row>
    <row r="8289" spans="2:6" ht="13.8" hidden="1" outlineLevel="1">
      <c r="B8289" s="187">
        <v>34211</v>
      </c>
      <c r="C8289" s="188">
        <v>5.44</v>
      </c>
      <c r="D8289" s="104">
        <f t="shared" si="129"/>
        <v>5.4400000000000004E-2</v>
      </c>
      <c r="F8289" s="5"/>
    </row>
    <row r="8290" spans="2:6" ht="13.8" hidden="1" outlineLevel="1">
      <c r="B8290" s="187">
        <v>34212</v>
      </c>
      <c r="C8290" s="188">
        <v>5.45</v>
      </c>
      <c r="D8290" s="104">
        <f t="shared" si="129"/>
        <v>5.45E-2</v>
      </c>
      <c r="F8290" s="5"/>
    </row>
    <row r="8291" spans="2:6" ht="13.8" hidden="1" outlineLevel="1">
      <c r="B8291" s="187">
        <v>34213</v>
      </c>
      <c r="C8291" s="188">
        <v>5.46</v>
      </c>
      <c r="D8291" s="104">
        <f t="shared" si="129"/>
        <v>5.4600000000000003E-2</v>
      </c>
      <c r="F8291" s="5"/>
    </row>
    <row r="8292" spans="2:6" ht="13.8" hidden="1" outlineLevel="1">
      <c r="B8292" s="187">
        <v>34214</v>
      </c>
      <c r="C8292" s="188">
        <v>5.41</v>
      </c>
      <c r="D8292" s="104">
        <f t="shared" si="129"/>
        <v>5.4100000000000002E-2</v>
      </c>
      <c r="F8292" s="5"/>
    </row>
    <row r="8293" spans="2:6" ht="13.8" hidden="1" outlineLevel="1">
      <c r="B8293" s="187">
        <v>34215</v>
      </c>
      <c r="C8293" s="188">
        <v>5.31</v>
      </c>
      <c r="D8293" s="104">
        <f t="shared" si="129"/>
        <v>5.3099999999999994E-2</v>
      </c>
      <c r="F8293" s="5"/>
    </row>
    <row r="8294" spans="2:6" ht="13.8" hidden="1" outlineLevel="1">
      <c r="B8294" s="187">
        <v>34218</v>
      </c>
      <c r="C8294" s="188" t="s">
        <v>380</v>
      </c>
      <c r="D8294" s="104">
        <f t="shared" si="129"/>
        <v>5.3099999999999994E-2</v>
      </c>
      <c r="F8294" s="5"/>
    </row>
    <row r="8295" spans="2:6" ht="13.8" hidden="1" outlineLevel="1">
      <c r="B8295" s="187">
        <v>34219</v>
      </c>
      <c r="C8295" s="188">
        <v>5.23</v>
      </c>
      <c r="D8295" s="104">
        <f t="shared" si="129"/>
        <v>5.2300000000000006E-2</v>
      </c>
      <c r="F8295" s="5"/>
    </row>
    <row r="8296" spans="2:6" ht="13.8" hidden="1" outlineLevel="1">
      <c r="B8296" s="187">
        <v>34220</v>
      </c>
      <c r="C8296" s="188">
        <v>5.23</v>
      </c>
      <c r="D8296" s="104">
        <f t="shared" si="129"/>
        <v>5.2300000000000006E-2</v>
      </c>
      <c r="F8296" s="5"/>
    </row>
    <row r="8297" spans="2:6" ht="13.8" hidden="1" outlineLevel="1">
      <c r="B8297" s="187">
        <v>34221</v>
      </c>
      <c r="C8297" s="188">
        <v>5.35</v>
      </c>
      <c r="D8297" s="104">
        <f t="shared" si="129"/>
        <v>5.3499999999999999E-2</v>
      </c>
      <c r="F8297" s="5"/>
    </row>
    <row r="8298" spans="2:6" ht="13.8" hidden="1" outlineLevel="1">
      <c r="B8298" s="187">
        <v>34222</v>
      </c>
      <c r="C8298" s="188">
        <v>5.29</v>
      </c>
      <c r="D8298" s="104">
        <f t="shared" si="129"/>
        <v>5.2900000000000003E-2</v>
      </c>
      <c r="F8298" s="5"/>
    </row>
    <row r="8299" spans="2:6" ht="13.8" hidden="1" outlineLevel="1">
      <c r="B8299" s="187">
        <v>34225</v>
      </c>
      <c r="C8299" s="188">
        <v>5.26</v>
      </c>
      <c r="D8299" s="104">
        <f t="shared" si="129"/>
        <v>5.2600000000000001E-2</v>
      </c>
      <c r="F8299" s="5"/>
    </row>
    <row r="8300" spans="2:6" ht="13.8" hidden="1" outlineLevel="1">
      <c r="B8300" s="187">
        <v>34226</v>
      </c>
      <c r="C8300" s="188">
        <v>5.37</v>
      </c>
      <c r="D8300" s="104">
        <f t="shared" si="129"/>
        <v>5.3699999999999998E-2</v>
      </c>
      <c r="F8300" s="5"/>
    </row>
    <row r="8301" spans="2:6" ht="13.8" hidden="1" outlineLevel="1">
      <c r="B8301" s="187">
        <v>34227</v>
      </c>
      <c r="C8301" s="188">
        <v>5.39</v>
      </c>
      <c r="D8301" s="104">
        <f t="shared" si="129"/>
        <v>5.3899999999999997E-2</v>
      </c>
      <c r="F8301" s="5"/>
    </row>
    <row r="8302" spans="2:6" ht="13.8" hidden="1" outlineLevel="1">
      <c r="B8302" s="187">
        <v>34228</v>
      </c>
      <c r="C8302" s="188">
        <v>5.37</v>
      </c>
      <c r="D8302" s="104">
        <f t="shared" si="129"/>
        <v>5.3699999999999998E-2</v>
      </c>
      <c r="F8302" s="5"/>
    </row>
    <row r="8303" spans="2:6" ht="13.8" hidden="1" outlineLevel="1">
      <c r="B8303" s="187">
        <v>34229</v>
      </c>
      <c r="C8303" s="188">
        <v>5.38</v>
      </c>
      <c r="D8303" s="104">
        <f t="shared" si="129"/>
        <v>5.3800000000000001E-2</v>
      </c>
      <c r="F8303" s="5"/>
    </row>
    <row r="8304" spans="2:6" ht="13.8" hidden="1" outlineLevel="1">
      <c r="B8304" s="187">
        <v>34232</v>
      </c>
      <c r="C8304" s="188">
        <v>5.42</v>
      </c>
      <c r="D8304" s="104">
        <f t="shared" si="129"/>
        <v>5.4199999999999998E-2</v>
      </c>
      <c r="F8304" s="5"/>
    </row>
    <row r="8305" spans="2:6" ht="13.8" hidden="1" outlineLevel="1">
      <c r="B8305" s="187">
        <v>34233</v>
      </c>
      <c r="C8305" s="188">
        <v>5.47</v>
      </c>
      <c r="D8305" s="104">
        <f t="shared" si="129"/>
        <v>5.4699999999999999E-2</v>
      </c>
      <c r="F8305" s="5"/>
    </row>
    <row r="8306" spans="2:6" ht="13.8" hidden="1" outlineLevel="1">
      <c r="B8306" s="187">
        <v>34234</v>
      </c>
      <c r="C8306" s="188">
        <v>5.45</v>
      </c>
      <c r="D8306" s="104">
        <f t="shared" si="129"/>
        <v>5.45E-2</v>
      </c>
      <c r="F8306" s="5"/>
    </row>
    <row r="8307" spans="2:6" ht="13.8" hidden="1" outlineLevel="1">
      <c r="B8307" s="187">
        <v>34235</v>
      </c>
      <c r="C8307" s="188">
        <v>5.42</v>
      </c>
      <c r="D8307" s="104">
        <f t="shared" si="129"/>
        <v>5.4199999999999998E-2</v>
      </c>
      <c r="F8307" s="5"/>
    </row>
    <row r="8308" spans="2:6" ht="13.8" hidden="1" outlineLevel="1">
      <c r="B8308" s="187">
        <v>34236</v>
      </c>
      <c r="C8308" s="188">
        <v>5.42</v>
      </c>
      <c r="D8308" s="104">
        <f t="shared" si="129"/>
        <v>5.4199999999999998E-2</v>
      </c>
      <c r="F8308" s="5"/>
    </row>
    <row r="8309" spans="2:6" ht="13.8" hidden="1" outlineLevel="1">
      <c r="B8309" s="187">
        <v>34239</v>
      </c>
      <c r="C8309" s="188">
        <v>5.3</v>
      </c>
      <c r="D8309" s="104">
        <f t="shared" si="129"/>
        <v>5.2999999999999999E-2</v>
      </c>
      <c r="F8309" s="5"/>
    </row>
    <row r="8310" spans="2:6" ht="13.8" hidden="1" outlineLevel="1">
      <c r="B8310" s="187">
        <v>34240</v>
      </c>
      <c r="C8310" s="188">
        <v>5.28</v>
      </c>
      <c r="D8310" s="104">
        <f t="shared" si="129"/>
        <v>5.28E-2</v>
      </c>
      <c r="F8310" s="5"/>
    </row>
    <row r="8311" spans="2:6" ht="13.8" hidden="1" outlineLevel="1">
      <c r="B8311" s="187">
        <v>34241</v>
      </c>
      <c r="C8311" s="188">
        <v>5.35</v>
      </c>
      <c r="D8311" s="104">
        <f t="shared" si="129"/>
        <v>5.3499999999999999E-2</v>
      </c>
      <c r="F8311" s="5"/>
    </row>
    <row r="8312" spans="2:6" ht="13.8" hidden="1" outlineLevel="1">
      <c r="B8312" s="187">
        <v>34242</v>
      </c>
      <c r="C8312" s="188">
        <v>5.4</v>
      </c>
      <c r="D8312" s="104">
        <f t="shared" si="129"/>
        <v>5.4000000000000006E-2</v>
      </c>
      <c r="F8312" s="5"/>
    </row>
    <row r="8313" spans="2:6" ht="13.8" hidden="1" outlineLevel="1">
      <c r="B8313" s="187">
        <v>34243</v>
      </c>
      <c r="C8313" s="188">
        <v>5.34</v>
      </c>
      <c r="D8313" s="104">
        <f t="shared" si="129"/>
        <v>5.3399999999999996E-2</v>
      </c>
      <c r="F8313" s="5"/>
    </row>
    <row r="8314" spans="2:6" ht="13.8" hidden="1" outlineLevel="1">
      <c r="B8314" s="187">
        <v>34246</v>
      </c>
      <c r="C8314" s="188">
        <v>5.34</v>
      </c>
      <c r="D8314" s="104">
        <f t="shared" si="129"/>
        <v>5.3399999999999996E-2</v>
      </c>
      <c r="F8314" s="5"/>
    </row>
    <row r="8315" spans="2:6" ht="13.8" hidden="1" outlineLevel="1">
      <c r="B8315" s="187">
        <v>34247</v>
      </c>
      <c r="C8315" s="188">
        <v>5.35</v>
      </c>
      <c r="D8315" s="104">
        <f t="shared" si="129"/>
        <v>5.3499999999999999E-2</v>
      </c>
      <c r="F8315" s="5"/>
    </row>
    <row r="8316" spans="2:6" ht="13.8" hidden="1" outlineLevel="1">
      <c r="B8316" s="187">
        <v>34248</v>
      </c>
      <c r="C8316" s="188">
        <v>5.35</v>
      </c>
      <c r="D8316" s="104">
        <f t="shared" si="129"/>
        <v>5.3499999999999999E-2</v>
      </c>
      <c r="F8316" s="5"/>
    </row>
    <row r="8317" spans="2:6" ht="13.8" hidden="1" outlineLevel="1">
      <c r="B8317" s="187">
        <v>34249</v>
      </c>
      <c r="C8317" s="188">
        <v>5.33</v>
      </c>
      <c r="D8317" s="104">
        <f t="shared" si="129"/>
        <v>5.33E-2</v>
      </c>
      <c r="F8317" s="5"/>
    </row>
    <row r="8318" spans="2:6" ht="13.8" hidden="1" outlineLevel="1">
      <c r="B8318" s="187">
        <v>34250</v>
      </c>
      <c r="C8318" s="188">
        <v>5.26</v>
      </c>
      <c r="D8318" s="104">
        <f t="shared" si="129"/>
        <v>5.2600000000000001E-2</v>
      </c>
      <c r="F8318" s="5"/>
    </row>
    <row r="8319" spans="2:6" ht="13.8" hidden="1" outlineLevel="1">
      <c r="B8319" s="187">
        <v>34253</v>
      </c>
      <c r="C8319" s="188" t="s">
        <v>380</v>
      </c>
      <c r="D8319" s="104">
        <f t="shared" si="129"/>
        <v>5.2600000000000001E-2</v>
      </c>
      <c r="F8319" s="5"/>
    </row>
    <row r="8320" spans="2:6" ht="13.8" hidden="1" outlineLevel="1">
      <c r="B8320" s="187">
        <v>34254</v>
      </c>
      <c r="C8320" s="188">
        <v>5.27</v>
      </c>
      <c r="D8320" s="104">
        <f t="shared" si="129"/>
        <v>5.2699999999999997E-2</v>
      </c>
      <c r="F8320" s="5"/>
    </row>
    <row r="8321" spans="2:6" ht="13.8" hidden="1" outlineLevel="1">
      <c r="B8321" s="187">
        <v>34255</v>
      </c>
      <c r="C8321" s="188">
        <v>5.27</v>
      </c>
      <c r="D8321" s="104">
        <f t="shared" si="129"/>
        <v>5.2699999999999997E-2</v>
      </c>
      <c r="F8321" s="5"/>
    </row>
    <row r="8322" spans="2:6" ht="13.8" hidden="1" outlineLevel="1">
      <c r="B8322" s="187">
        <v>34256</v>
      </c>
      <c r="C8322" s="188">
        <v>5.23</v>
      </c>
      <c r="D8322" s="104">
        <f t="shared" si="129"/>
        <v>5.2300000000000006E-2</v>
      </c>
      <c r="F8322" s="5"/>
    </row>
    <row r="8323" spans="2:6" ht="13.8" hidden="1" outlineLevel="1">
      <c r="B8323" s="187">
        <v>34257</v>
      </c>
      <c r="C8323" s="188">
        <v>5.19</v>
      </c>
      <c r="D8323" s="104">
        <f t="shared" si="129"/>
        <v>5.1900000000000002E-2</v>
      </c>
      <c r="F8323" s="5"/>
    </row>
    <row r="8324" spans="2:6" ht="13.8" hidden="1" outlineLevel="1">
      <c r="B8324" s="187">
        <v>34260</v>
      </c>
      <c r="C8324" s="188">
        <v>5.27</v>
      </c>
      <c r="D8324" s="104">
        <f t="shared" si="129"/>
        <v>5.2699999999999997E-2</v>
      </c>
      <c r="F8324" s="5"/>
    </row>
    <row r="8325" spans="2:6" ht="13.8" hidden="1" outlineLevel="1">
      <c r="B8325" s="187">
        <v>34261</v>
      </c>
      <c r="C8325" s="188">
        <v>5.27</v>
      </c>
      <c r="D8325" s="104">
        <f t="shared" si="129"/>
        <v>5.2699999999999997E-2</v>
      </c>
      <c r="F8325" s="5"/>
    </row>
    <row r="8326" spans="2:6" ht="13.8" hidden="1" outlineLevel="1">
      <c r="B8326" s="187">
        <v>34262</v>
      </c>
      <c r="C8326" s="188">
        <v>5.26</v>
      </c>
      <c r="D8326" s="104">
        <f t="shared" si="129"/>
        <v>5.2600000000000001E-2</v>
      </c>
      <c r="F8326" s="5"/>
    </row>
    <row r="8327" spans="2:6" ht="13.8" hidden="1" outlineLevel="1">
      <c r="B8327" s="187">
        <v>34263</v>
      </c>
      <c r="C8327" s="188">
        <v>5.35</v>
      </c>
      <c r="D8327" s="104">
        <f t="shared" si="129"/>
        <v>5.3499999999999999E-2</v>
      </c>
      <c r="F8327" s="5"/>
    </row>
    <row r="8328" spans="2:6" ht="13.8" hidden="1" outlineLevel="1">
      <c r="B8328" s="187">
        <v>34264</v>
      </c>
      <c r="C8328" s="188">
        <v>5.42</v>
      </c>
      <c r="D8328" s="104">
        <f t="shared" si="129"/>
        <v>5.4199999999999998E-2</v>
      </c>
      <c r="F8328" s="5"/>
    </row>
    <row r="8329" spans="2:6" ht="13.8" hidden="1" outlineLevel="1">
      <c r="B8329" s="187">
        <v>34267</v>
      </c>
      <c r="C8329" s="188">
        <v>5.47</v>
      </c>
      <c r="D8329" s="104">
        <f t="shared" si="129"/>
        <v>5.4699999999999999E-2</v>
      </c>
      <c r="F8329" s="5"/>
    </row>
    <row r="8330" spans="2:6" ht="13.8" hidden="1" outlineLevel="1">
      <c r="B8330" s="187">
        <v>34268</v>
      </c>
      <c r="C8330" s="188">
        <v>5.43</v>
      </c>
      <c r="D8330" s="104">
        <f t="shared" si="129"/>
        <v>5.4299999999999994E-2</v>
      </c>
      <c r="F8330" s="5"/>
    </row>
    <row r="8331" spans="2:6" ht="13.8" hidden="1" outlineLevel="1">
      <c r="B8331" s="187">
        <v>34269</v>
      </c>
      <c r="C8331" s="188">
        <v>5.44</v>
      </c>
      <c r="D8331" s="104">
        <f t="shared" si="129"/>
        <v>5.4400000000000004E-2</v>
      </c>
      <c r="F8331" s="5"/>
    </row>
    <row r="8332" spans="2:6" ht="13.8" hidden="1" outlineLevel="1">
      <c r="B8332" s="187">
        <v>34270</v>
      </c>
      <c r="C8332" s="188">
        <v>5.41</v>
      </c>
      <c r="D8332" s="104">
        <f t="shared" si="129"/>
        <v>5.4100000000000002E-2</v>
      </c>
      <c r="F8332" s="5"/>
    </row>
    <row r="8333" spans="2:6" ht="13.8" hidden="1" outlineLevel="1">
      <c r="B8333" s="187">
        <v>34271</v>
      </c>
      <c r="C8333" s="188">
        <v>5.43</v>
      </c>
      <c r="D8333" s="104">
        <f t="shared" si="129"/>
        <v>5.4299999999999994E-2</v>
      </c>
      <c r="F8333" s="5"/>
    </row>
    <row r="8334" spans="2:6" ht="13.8" hidden="1" outlineLevel="1">
      <c r="B8334" s="187">
        <v>34274</v>
      </c>
      <c r="C8334" s="188">
        <v>5.56</v>
      </c>
      <c r="D8334" s="104">
        <f t="shared" si="129"/>
        <v>5.5599999999999997E-2</v>
      </c>
      <c r="F8334" s="5"/>
    </row>
    <row r="8335" spans="2:6" ht="13.8" hidden="1" outlineLevel="1">
      <c r="B8335" s="187">
        <v>34275</v>
      </c>
      <c r="C8335" s="188">
        <v>5.63</v>
      </c>
      <c r="D8335" s="104">
        <f t="shared" si="129"/>
        <v>5.6299999999999996E-2</v>
      </c>
      <c r="F8335" s="5"/>
    </row>
    <row r="8336" spans="2:6" ht="13.8" hidden="1" outlineLevel="1">
      <c r="B8336" s="187">
        <v>34276</v>
      </c>
      <c r="C8336" s="188">
        <v>5.67</v>
      </c>
      <c r="D8336" s="104">
        <f t="shared" si="129"/>
        <v>5.67E-2</v>
      </c>
      <c r="F8336" s="5"/>
    </row>
    <row r="8337" spans="2:6" ht="13.8" hidden="1" outlineLevel="1">
      <c r="B8337" s="187">
        <v>34277</v>
      </c>
      <c r="C8337" s="188">
        <v>5.67</v>
      </c>
      <c r="D8337" s="104">
        <f t="shared" si="129"/>
        <v>5.67E-2</v>
      </c>
      <c r="F8337" s="5"/>
    </row>
    <row r="8338" spans="2:6" ht="13.8" hidden="1" outlineLevel="1">
      <c r="B8338" s="187">
        <v>34278</v>
      </c>
      <c r="C8338" s="188">
        <v>5.75</v>
      </c>
      <c r="D8338" s="104">
        <f t="shared" si="129"/>
        <v>5.7500000000000002E-2</v>
      </c>
      <c r="F8338" s="5"/>
    </row>
    <row r="8339" spans="2:6" ht="13.8" hidden="1" outlineLevel="1">
      <c r="B8339" s="187">
        <v>34281</v>
      </c>
      <c r="C8339" s="188">
        <v>5.7</v>
      </c>
      <c r="D8339" s="104">
        <f t="shared" si="129"/>
        <v>5.7000000000000002E-2</v>
      </c>
      <c r="F8339" s="5"/>
    </row>
    <row r="8340" spans="2:6" ht="13.8" hidden="1" outlineLevel="1">
      <c r="B8340" s="187">
        <v>34282</v>
      </c>
      <c r="C8340" s="188">
        <v>5.64</v>
      </c>
      <c r="D8340" s="104">
        <f t="shared" si="129"/>
        <v>5.6399999999999999E-2</v>
      </c>
      <c r="F8340" s="5"/>
    </row>
    <row r="8341" spans="2:6" ht="13.8" hidden="1" outlineLevel="1">
      <c r="B8341" s="187">
        <v>34283</v>
      </c>
      <c r="C8341" s="188">
        <v>5.72</v>
      </c>
      <c r="D8341" s="104">
        <f t="shared" si="129"/>
        <v>5.7200000000000001E-2</v>
      </c>
      <c r="F8341" s="5"/>
    </row>
    <row r="8342" spans="2:6" ht="13.8" hidden="1" outlineLevel="1">
      <c r="B8342" s="187">
        <v>34284</v>
      </c>
      <c r="C8342" s="188" t="s">
        <v>380</v>
      </c>
      <c r="D8342" s="104">
        <f t="shared" si="129"/>
        <v>5.7200000000000001E-2</v>
      </c>
      <c r="F8342" s="5"/>
    </row>
    <row r="8343" spans="2:6" ht="13.8" hidden="1" outlineLevel="1">
      <c r="B8343" s="187">
        <v>34285</v>
      </c>
      <c r="C8343" s="188">
        <v>5.66</v>
      </c>
      <c r="D8343" s="104">
        <f t="shared" si="129"/>
        <v>5.6600000000000004E-2</v>
      </c>
      <c r="F8343" s="5"/>
    </row>
    <row r="8344" spans="2:6" ht="13.8" hidden="1" outlineLevel="1">
      <c r="B8344" s="187">
        <v>34288</v>
      </c>
      <c r="C8344" s="188">
        <v>5.69</v>
      </c>
      <c r="D8344" s="104">
        <f t="shared" si="129"/>
        <v>5.6900000000000006E-2</v>
      </c>
      <c r="F8344" s="5"/>
    </row>
    <row r="8345" spans="2:6" ht="13.8" hidden="1" outlineLevel="1">
      <c r="B8345" s="187">
        <v>34289</v>
      </c>
      <c r="C8345" s="188">
        <v>5.66</v>
      </c>
      <c r="D8345" s="104">
        <f t="shared" si="129"/>
        <v>5.6600000000000004E-2</v>
      </c>
      <c r="F8345" s="5"/>
    </row>
    <row r="8346" spans="2:6" ht="13.8" hidden="1" outlineLevel="1">
      <c r="B8346" s="187">
        <v>34290</v>
      </c>
      <c r="C8346" s="188">
        <v>5.65</v>
      </c>
      <c r="D8346" s="104">
        <f t="shared" si="129"/>
        <v>5.6500000000000002E-2</v>
      </c>
      <c r="F8346" s="5"/>
    </row>
    <row r="8347" spans="2:6" ht="13.8" hidden="1" outlineLevel="1">
      <c r="B8347" s="187">
        <v>34291</v>
      </c>
      <c r="C8347" s="188">
        <v>5.72</v>
      </c>
      <c r="D8347" s="104">
        <f t="shared" si="129"/>
        <v>5.7200000000000001E-2</v>
      </c>
      <c r="F8347" s="5"/>
    </row>
    <row r="8348" spans="2:6" ht="13.8" hidden="1" outlineLevel="1">
      <c r="B8348" s="187">
        <v>34292</v>
      </c>
      <c r="C8348" s="188">
        <v>5.84</v>
      </c>
      <c r="D8348" s="104">
        <f t="shared" si="129"/>
        <v>5.8400000000000001E-2</v>
      </c>
      <c r="F8348" s="5"/>
    </row>
    <row r="8349" spans="2:6" ht="13.8" hidden="1" outlineLevel="1">
      <c r="B8349" s="187">
        <v>34295</v>
      </c>
      <c r="C8349" s="188">
        <v>5.89</v>
      </c>
      <c r="D8349" s="104">
        <f t="shared" si="129"/>
        <v>5.8899999999999994E-2</v>
      </c>
      <c r="F8349" s="5"/>
    </row>
    <row r="8350" spans="2:6" ht="13.8" hidden="1" outlineLevel="1">
      <c r="B8350" s="187">
        <v>34296</v>
      </c>
      <c r="C8350" s="188">
        <v>5.82</v>
      </c>
      <c r="D8350" s="104">
        <f t="shared" ref="D8350:D8413" si="130">IF( LEN( C8350 ) = 0, #N/A, IF( C8350 = "ND", D8349, C8350 / 100 ) )</f>
        <v>5.8200000000000002E-2</v>
      </c>
      <c r="F8350" s="5"/>
    </row>
    <row r="8351" spans="2:6" ht="13.8" hidden="1" outlineLevel="1">
      <c r="B8351" s="187">
        <v>34297</v>
      </c>
      <c r="C8351" s="188">
        <v>5.84</v>
      </c>
      <c r="D8351" s="104">
        <f t="shared" si="130"/>
        <v>5.8400000000000001E-2</v>
      </c>
      <c r="F8351" s="5"/>
    </row>
    <row r="8352" spans="2:6" ht="13.8" hidden="1" outlineLevel="1">
      <c r="B8352" s="187">
        <v>34298</v>
      </c>
      <c r="C8352" s="188" t="s">
        <v>380</v>
      </c>
      <c r="D8352" s="104">
        <f t="shared" si="130"/>
        <v>5.8400000000000001E-2</v>
      </c>
      <c r="F8352" s="5"/>
    </row>
    <row r="8353" spans="2:6" ht="13.8" hidden="1" outlineLevel="1">
      <c r="B8353" s="187">
        <v>34299</v>
      </c>
      <c r="C8353" s="188">
        <v>5.78</v>
      </c>
      <c r="D8353" s="104">
        <f t="shared" si="130"/>
        <v>5.7800000000000004E-2</v>
      </c>
      <c r="F8353" s="5"/>
    </row>
    <row r="8354" spans="2:6" ht="13.8" hidden="1" outlineLevel="1">
      <c r="B8354" s="187">
        <v>34302</v>
      </c>
      <c r="C8354" s="188">
        <v>5.76</v>
      </c>
      <c r="D8354" s="104">
        <f t="shared" si="130"/>
        <v>5.7599999999999998E-2</v>
      </c>
      <c r="F8354" s="5"/>
    </row>
    <row r="8355" spans="2:6" ht="13.8" hidden="1" outlineLevel="1">
      <c r="B8355" s="187">
        <v>34303</v>
      </c>
      <c r="C8355" s="188">
        <v>5.83</v>
      </c>
      <c r="D8355" s="104">
        <f t="shared" si="130"/>
        <v>5.8299999999999998E-2</v>
      </c>
      <c r="F8355" s="5"/>
    </row>
    <row r="8356" spans="2:6" ht="13.8" hidden="1" outlineLevel="1">
      <c r="B8356" s="187">
        <v>34304</v>
      </c>
      <c r="C8356" s="188">
        <v>5.82</v>
      </c>
      <c r="D8356" s="104">
        <f t="shared" si="130"/>
        <v>5.8200000000000002E-2</v>
      </c>
      <c r="F8356" s="5"/>
    </row>
    <row r="8357" spans="2:6" ht="13.8" hidden="1" outlineLevel="1">
      <c r="B8357" s="187">
        <v>34305</v>
      </c>
      <c r="C8357" s="188">
        <v>5.81</v>
      </c>
      <c r="D8357" s="104">
        <f t="shared" si="130"/>
        <v>5.8099999999999999E-2</v>
      </c>
      <c r="F8357" s="5"/>
    </row>
    <row r="8358" spans="2:6" ht="13.8" hidden="1" outlineLevel="1">
      <c r="B8358" s="187">
        <v>34306</v>
      </c>
      <c r="C8358" s="188">
        <v>5.8</v>
      </c>
      <c r="D8358" s="104">
        <f t="shared" si="130"/>
        <v>5.7999999999999996E-2</v>
      </c>
      <c r="F8358" s="5"/>
    </row>
    <row r="8359" spans="2:6" ht="13.8" hidden="1" outlineLevel="1">
      <c r="B8359" s="187">
        <v>34309</v>
      </c>
      <c r="C8359" s="188">
        <v>5.72</v>
      </c>
      <c r="D8359" s="104">
        <f t="shared" si="130"/>
        <v>5.7200000000000001E-2</v>
      </c>
      <c r="F8359" s="5"/>
    </row>
    <row r="8360" spans="2:6" ht="13.8" hidden="1" outlineLevel="1">
      <c r="B8360" s="187">
        <v>34310</v>
      </c>
      <c r="C8360" s="188">
        <v>5.71</v>
      </c>
      <c r="D8360" s="104">
        <f t="shared" si="130"/>
        <v>5.7099999999999998E-2</v>
      </c>
      <c r="F8360" s="5"/>
    </row>
    <row r="8361" spans="2:6" ht="13.8" hidden="1" outlineLevel="1">
      <c r="B8361" s="187">
        <v>34311</v>
      </c>
      <c r="C8361" s="188">
        <v>5.71</v>
      </c>
      <c r="D8361" s="104">
        <f t="shared" si="130"/>
        <v>5.7099999999999998E-2</v>
      </c>
      <c r="F8361" s="5"/>
    </row>
    <row r="8362" spans="2:6" ht="13.8" hidden="1" outlineLevel="1">
      <c r="B8362" s="187">
        <v>34312</v>
      </c>
      <c r="C8362" s="188">
        <v>5.68</v>
      </c>
      <c r="D8362" s="104">
        <f t="shared" si="130"/>
        <v>5.6799999999999996E-2</v>
      </c>
      <c r="F8362" s="5"/>
    </row>
    <row r="8363" spans="2:6" ht="13.8" hidden="1" outlineLevel="1">
      <c r="B8363" s="187">
        <v>34313</v>
      </c>
      <c r="C8363" s="188">
        <v>5.73</v>
      </c>
      <c r="D8363" s="104">
        <f t="shared" si="130"/>
        <v>5.7300000000000004E-2</v>
      </c>
      <c r="F8363" s="5"/>
    </row>
    <row r="8364" spans="2:6" ht="13.8" hidden="1" outlineLevel="1">
      <c r="B8364" s="187">
        <v>34316</v>
      </c>
      <c r="C8364" s="188">
        <v>5.78</v>
      </c>
      <c r="D8364" s="104">
        <f t="shared" si="130"/>
        <v>5.7800000000000004E-2</v>
      </c>
      <c r="F8364" s="5"/>
    </row>
    <row r="8365" spans="2:6" ht="13.8" hidden="1" outlineLevel="1">
      <c r="B8365" s="187">
        <v>34317</v>
      </c>
      <c r="C8365" s="188">
        <v>5.82</v>
      </c>
      <c r="D8365" s="104">
        <f t="shared" si="130"/>
        <v>5.8200000000000002E-2</v>
      </c>
      <c r="F8365" s="5"/>
    </row>
    <row r="8366" spans="2:6" ht="13.8" hidden="1" outlineLevel="1">
      <c r="B8366" s="187">
        <v>34318</v>
      </c>
      <c r="C8366" s="188">
        <v>5.83</v>
      </c>
      <c r="D8366" s="104">
        <f t="shared" si="130"/>
        <v>5.8299999999999998E-2</v>
      </c>
      <c r="F8366" s="5"/>
    </row>
    <row r="8367" spans="2:6" ht="13.8" hidden="1" outlineLevel="1">
      <c r="B8367" s="187">
        <v>34319</v>
      </c>
      <c r="C8367" s="188">
        <v>5.84</v>
      </c>
      <c r="D8367" s="104">
        <f t="shared" si="130"/>
        <v>5.8400000000000001E-2</v>
      </c>
      <c r="F8367" s="5"/>
    </row>
    <row r="8368" spans="2:6" ht="13.8" hidden="1" outlineLevel="1">
      <c r="B8368" s="187">
        <v>34320</v>
      </c>
      <c r="C8368" s="188">
        <v>5.81</v>
      </c>
      <c r="D8368" s="104">
        <f t="shared" si="130"/>
        <v>5.8099999999999999E-2</v>
      </c>
      <c r="F8368" s="5"/>
    </row>
    <row r="8369" spans="2:6" ht="13.8" hidden="1" outlineLevel="1">
      <c r="B8369" s="187">
        <v>34323</v>
      </c>
      <c r="C8369" s="188">
        <v>5.83</v>
      </c>
      <c r="D8369" s="104">
        <f t="shared" si="130"/>
        <v>5.8299999999999998E-2</v>
      </c>
      <c r="F8369" s="5"/>
    </row>
    <row r="8370" spans="2:6" ht="13.8" hidden="1" outlineLevel="1">
      <c r="B8370" s="187">
        <v>34324</v>
      </c>
      <c r="C8370" s="188">
        <v>5.85</v>
      </c>
      <c r="D8370" s="104">
        <f t="shared" si="130"/>
        <v>5.8499999999999996E-2</v>
      </c>
      <c r="F8370" s="5"/>
    </row>
    <row r="8371" spans="2:6" ht="13.8" hidden="1" outlineLevel="1">
      <c r="B8371" s="187">
        <v>34325</v>
      </c>
      <c r="C8371" s="188">
        <v>5.74</v>
      </c>
      <c r="D8371" s="104">
        <f t="shared" si="130"/>
        <v>5.74E-2</v>
      </c>
      <c r="F8371" s="5"/>
    </row>
    <row r="8372" spans="2:6" ht="13.8" hidden="1" outlineLevel="1">
      <c r="B8372" s="187">
        <v>34326</v>
      </c>
      <c r="C8372" s="188">
        <v>5.72</v>
      </c>
      <c r="D8372" s="104">
        <f t="shared" si="130"/>
        <v>5.7200000000000001E-2</v>
      </c>
      <c r="F8372" s="5"/>
    </row>
    <row r="8373" spans="2:6" ht="13.8" hidden="1" outlineLevel="1">
      <c r="B8373" s="187">
        <v>34327</v>
      </c>
      <c r="C8373" s="188" t="s">
        <v>380</v>
      </c>
      <c r="D8373" s="104">
        <f t="shared" si="130"/>
        <v>5.7200000000000001E-2</v>
      </c>
      <c r="F8373" s="5"/>
    </row>
    <row r="8374" spans="2:6" ht="13.8" hidden="1" outlineLevel="1">
      <c r="B8374" s="187">
        <v>34330</v>
      </c>
      <c r="C8374" s="188">
        <v>5.72</v>
      </c>
      <c r="D8374" s="104">
        <f t="shared" si="130"/>
        <v>5.7200000000000001E-2</v>
      </c>
      <c r="F8374" s="5"/>
    </row>
    <row r="8375" spans="2:6" ht="13.8" hidden="1" outlineLevel="1">
      <c r="B8375" s="187">
        <v>34331</v>
      </c>
      <c r="C8375" s="188">
        <v>5.72</v>
      </c>
      <c r="D8375" s="104">
        <f t="shared" si="130"/>
        <v>5.7200000000000001E-2</v>
      </c>
      <c r="F8375" s="5"/>
    </row>
    <row r="8376" spans="2:6" ht="13.8" hidden="1" outlineLevel="1">
      <c r="B8376" s="187">
        <v>34332</v>
      </c>
      <c r="C8376" s="188">
        <v>5.74</v>
      </c>
      <c r="D8376" s="104">
        <f t="shared" si="130"/>
        <v>5.74E-2</v>
      </c>
      <c r="F8376" s="5"/>
    </row>
    <row r="8377" spans="2:6" ht="13.8" hidden="1" outlineLevel="1">
      <c r="B8377" s="187">
        <v>34333</v>
      </c>
      <c r="C8377" s="188">
        <v>5.82</v>
      </c>
      <c r="D8377" s="104">
        <f t="shared" si="130"/>
        <v>5.8200000000000002E-2</v>
      </c>
      <c r="F8377" s="5"/>
    </row>
    <row r="8378" spans="2:6" ht="13.8" hidden="1" outlineLevel="1">
      <c r="B8378" s="187">
        <v>34334</v>
      </c>
      <c r="C8378" s="188">
        <v>5.83</v>
      </c>
      <c r="D8378" s="104">
        <f t="shared" si="130"/>
        <v>5.8299999999999998E-2</v>
      </c>
      <c r="F8378" s="5"/>
    </row>
    <row r="8379" spans="2:6" ht="13.8" hidden="1" outlineLevel="1">
      <c r="B8379" s="187">
        <v>34337</v>
      </c>
      <c r="C8379" s="188">
        <v>5.92</v>
      </c>
      <c r="D8379" s="104">
        <f t="shared" si="130"/>
        <v>5.9200000000000003E-2</v>
      </c>
      <c r="F8379" s="5"/>
    </row>
    <row r="8380" spans="2:6" ht="13.8" hidden="1" outlineLevel="1">
      <c r="B8380" s="187">
        <v>34338</v>
      </c>
      <c r="C8380" s="188">
        <v>5.88</v>
      </c>
      <c r="D8380" s="104">
        <f t="shared" si="130"/>
        <v>5.8799999999999998E-2</v>
      </c>
      <c r="F8380" s="5"/>
    </row>
    <row r="8381" spans="2:6" ht="13.8" hidden="1" outlineLevel="1">
      <c r="B8381" s="187">
        <v>34339</v>
      </c>
      <c r="C8381" s="188">
        <v>5.9</v>
      </c>
      <c r="D8381" s="104">
        <f t="shared" si="130"/>
        <v>5.9000000000000004E-2</v>
      </c>
      <c r="F8381" s="5"/>
    </row>
    <row r="8382" spans="2:6" ht="13.8" hidden="1" outlineLevel="1">
      <c r="B8382" s="187">
        <v>34340</v>
      </c>
      <c r="C8382" s="188">
        <v>5.84</v>
      </c>
      <c r="D8382" s="104">
        <f t="shared" si="130"/>
        <v>5.8400000000000001E-2</v>
      </c>
      <c r="F8382" s="5"/>
    </row>
    <row r="8383" spans="2:6" ht="13.8" hidden="1" outlineLevel="1">
      <c r="B8383" s="187">
        <v>34341</v>
      </c>
      <c r="C8383" s="188">
        <v>5.7</v>
      </c>
      <c r="D8383" s="104">
        <f t="shared" si="130"/>
        <v>5.7000000000000002E-2</v>
      </c>
      <c r="F8383" s="5"/>
    </row>
    <row r="8384" spans="2:6" ht="13.8" hidden="1" outlineLevel="1">
      <c r="B8384" s="187">
        <v>34344</v>
      </c>
      <c r="C8384" s="188">
        <v>5.67</v>
      </c>
      <c r="D8384" s="104">
        <f t="shared" si="130"/>
        <v>5.67E-2</v>
      </c>
      <c r="F8384" s="5"/>
    </row>
    <row r="8385" spans="2:6" ht="13.8" hidden="1" outlineLevel="1">
      <c r="B8385" s="187">
        <v>34345</v>
      </c>
      <c r="C8385" s="188">
        <v>5.67</v>
      </c>
      <c r="D8385" s="104">
        <f t="shared" si="130"/>
        <v>5.67E-2</v>
      </c>
      <c r="F8385" s="5"/>
    </row>
    <row r="8386" spans="2:6" ht="13.8" hidden="1" outlineLevel="1">
      <c r="B8386" s="187">
        <v>34346</v>
      </c>
      <c r="C8386" s="188">
        <v>5.6</v>
      </c>
      <c r="D8386" s="104">
        <f t="shared" si="130"/>
        <v>5.5999999999999994E-2</v>
      </c>
      <c r="F8386" s="5"/>
    </row>
    <row r="8387" spans="2:6" ht="13.8" hidden="1" outlineLevel="1">
      <c r="B8387" s="187">
        <v>34347</v>
      </c>
      <c r="C8387" s="188">
        <v>5.71</v>
      </c>
      <c r="D8387" s="104">
        <f t="shared" si="130"/>
        <v>5.7099999999999998E-2</v>
      </c>
      <c r="F8387" s="5"/>
    </row>
    <row r="8388" spans="2:6" ht="13.8" hidden="1" outlineLevel="1">
      <c r="B8388" s="187">
        <v>34348</v>
      </c>
      <c r="C8388" s="188">
        <v>5.78</v>
      </c>
      <c r="D8388" s="104">
        <f t="shared" si="130"/>
        <v>5.7800000000000004E-2</v>
      </c>
      <c r="F8388" s="5"/>
    </row>
    <row r="8389" spans="2:6" ht="13.8" hidden="1" outlineLevel="1">
      <c r="B8389" s="187">
        <v>34351</v>
      </c>
      <c r="C8389" s="188" t="s">
        <v>380</v>
      </c>
      <c r="D8389" s="104">
        <f t="shared" si="130"/>
        <v>5.7800000000000004E-2</v>
      </c>
      <c r="F8389" s="5"/>
    </row>
    <row r="8390" spans="2:6" ht="13.8" hidden="1" outlineLevel="1">
      <c r="B8390" s="187">
        <v>34352</v>
      </c>
      <c r="C8390" s="188">
        <v>5.74</v>
      </c>
      <c r="D8390" s="104">
        <f t="shared" si="130"/>
        <v>5.74E-2</v>
      </c>
      <c r="F8390" s="5"/>
    </row>
    <row r="8391" spans="2:6" ht="13.8" hidden="1" outlineLevel="1">
      <c r="B8391" s="187">
        <v>34353</v>
      </c>
      <c r="C8391" s="188">
        <v>5.76</v>
      </c>
      <c r="D8391" s="104">
        <f t="shared" si="130"/>
        <v>5.7599999999999998E-2</v>
      </c>
      <c r="F8391" s="5"/>
    </row>
    <row r="8392" spans="2:6" ht="13.8" hidden="1" outlineLevel="1">
      <c r="B8392" s="187">
        <v>34354</v>
      </c>
      <c r="C8392" s="188">
        <v>5.71</v>
      </c>
      <c r="D8392" s="104">
        <f t="shared" si="130"/>
        <v>5.7099999999999998E-2</v>
      </c>
      <c r="F8392" s="5"/>
    </row>
    <row r="8393" spans="2:6" ht="13.8" hidden="1" outlineLevel="1">
      <c r="B8393" s="187">
        <v>34355</v>
      </c>
      <c r="C8393" s="188">
        <v>5.73</v>
      </c>
      <c r="D8393" s="104">
        <f t="shared" si="130"/>
        <v>5.7300000000000004E-2</v>
      </c>
      <c r="F8393" s="5"/>
    </row>
    <row r="8394" spans="2:6" ht="13.8" hidden="1" outlineLevel="1">
      <c r="B8394" s="187">
        <v>34358</v>
      </c>
      <c r="C8394" s="188">
        <v>5.74</v>
      </c>
      <c r="D8394" s="104">
        <f t="shared" si="130"/>
        <v>5.74E-2</v>
      </c>
      <c r="F8394" s="5"/>
    </row>
    <row r="8395" spans="2:6" ht="13.8" hidden="1" outlineLevel="1">
      <c r="B8395" s="187">
        <v>34359</v>
      </c>
      <c r="C8395" s="188">
        <v>5.78</v>
      </c>
      <c r="D8395" s="104">
        <f t="shared" si="130"/>
        <v>5.7800000000000004E-2</v>
      </c>
      <c r="F8395" s="5"/>
    </row>
    <row r="8396" spans="2:6" ht="13.8" hidden="1" outlineLevel="1">
      <c r="B8396" s="187">
        <v>34360</v>
      </c>
      <c r="C8396" s="188">
        <v>5.77</v>
      </c>
      <c r="D8396" s="104">
        <f t="shared" si="130"/>
        <v>5.7699999999999994E-2</v>
      </c>
      <c r="F8396" s="5"/>
    </row>
    <row r="8397" spans="2:6" ht="13.8" hidden="1" outlineLevel="1">
      <c r="B8397" s="187">
        <v>34361</v>
      </c>
      <c r="C8397" s="188">
        <v>5.73</v>
      </c>
      <c r="D8397" s="104">
        <f t="shared" si="130"/>
        <v>5.7300000000000004E-2</v>
      </c>
      <c r="F8397" s="5"/>
    </row>
    <row r="8398" spans="2:6" ht="13.8" hidden="1" outlineLevel="1">
      <c r="B8398" s="187">
        <v>34362</v>
      </c>
      <c r="C8398" s="188">
        <v>5.68</v>
      </c>
      <c r="D8398" s="104">
        <f t="shared" si="130"/>
        <v>5.6799999999999996E-2</v>
      </c>
      <c r="F8398" s="5"/>
    </row>
    <row r="8399" spans="2:6" ht="13.8" hidden="1" outlineLevel="1">
      <c r="B8399" s="187">
        <v>34365</v>
      </c>
      <c r="C8399" s="188">
        <v>5.7</v>
      </c>
      <c r="D8399" s="104">
        <f t="shared" si="130"/>
        <v>5.7000000000000002E-2</v>
      </c>
      <c r="F8399" s="5"/>
    </row>
    <row r="8400" spans="2:6" ht="13.8" hidden="1" outlineLevel="1">
      <c r="B8400" s="187">
        <v>34366</v>
      </c>
      <c r="C8400" s="188">
        <v>5.77</v>
      </c>
      <c r="D8400" s="104">
        <f t="shared" si="130"/>
        <v>5.7699999999999994E-2</v>
      </c>
      <c r="F8400" s="5"/>
    </row>
    <row r="8401" spans="2:6" ht="13.8" hidden="1" outlineLevel="1">
      <c r="B8401" s="187">
        <v>34367</v>
      </c>
      <c r="C8401" s="188">
        <v>5.77</v>
      </c>
      <c r="D8401" s="104">
        <f t="shared" si="130"/>
        <v>5.7699999999999994E-2</v>
      </c>
      <c r="F8401" s="5"/>
    </row>
    <row r="8402" spans="2:6" ht="13.8" hidden="1" outlineLevel="1">
      <c r="B8402" s="187">
        <v>34368</v>
      </c>
      <c r="C8402" s="188">
        <v>5.81</v>
      </c>
      <c r="D8402" s="104">
        <f t="shared" si="130"/>
        <v>5.8099999999999999E-2</v>
      </c>
      <c r="F8402" s="5"/>
    </row>
    <row r="8403" spans="2:6" ht="13.8" hidden="1" outlineLevel="1">
      <c r="B8403" s="187">
        <v>34369</v>
      </c>
      <c r="C8403" s="188">
        <v>5.94</v>
      </c>
      <c r="D8403" s="104">
        <f t="shared" si="130"/>
        <v>5.9400000000000001E-2</v>
      </c>
      <c r="F8403" s="5"/>
    </row>
    <row r="8404" spans="2:6" ht="13.8" hidden="1" outlineLevel="1">
      <c r="B8404" s="187">
        <v>34372</v>
      </c>
      <c r="C8404" s="188">
        <v>5.96</v>
      </c>
      <c r="D8404" s="104">
        <f t="shared" si="130"/>
        <v>5.96E-2</v>
      </c>
      <c r="F8404" s="5"/>
    </row>
    <row r="8405" spans="2:6" ht="13.8" hidden="1" outlineLevel="1">
      <c r="B8405" s="187">
        <v>34373</v>
      </c>
      <c r="C8405" s="188">
        <v>6.01</v>
      </c>
      <c r="D8405" s="104">
        <f t="shared" si="130"/>
        <v>6.0100000000000001E-2</v>
      </c>
      <c r="F8405" s="5"/>
    </row>
    <row r="8406" spans="2:6" ht="13.8" hidden="1" outlineLevel="1">
      <c r="B8406" s="187">
        <v>34374</v>
      </c>
      <c r="C8406" s="188">
        <v>5.92</v>
      </c>
      <c r="D8406" s="104">
        <f t="shared" si="130"/>
        <v>5.9200000000000003E-2</v>
      </c>
      <c r="F8406" s="5"/>
    </row>
    <row r="8407" spans="2:6" ht="13.8" hidden="1" outlineLevel="1">
      <c r="B8407" s="187">
        <v>34375</v>
      </c>
      <c r="C8407" s="188">
        <v>5.91</v>
      </c>
      <c r="D8407" s="104">
        <f t="shared" si="130"/>
        <v>5.91E-2</v>
      </c>
      <c r="F8407" s="5"/>
    </row>
    <row r="8408" spans="2:6" ht="13.8" hidden="1" outlineLevel="1">
      <c r="B8408" s="187">
        <v>34376</v>
      </c>
      <c r="C8408" s="188">
        <v>5.88</v>
      </c>
      <c r="D8408" s="104">
        <f t="shared" si="130"/>
        <v>5.8799999999999998E-2</v>
      </c>
      <c r="F8408" s="5"/>
    </row>
    <row r="8409" spans="2:6" ht="13.8" hidden="1" outlineLevel="1">
      <c r="B8409" s="187">
        <v>34379</v>
      </c>
      <c r="C8409" s="188">
        <v>5.9</v>
      </c>
      <c r="D8409" s="104">
        <f t="shared" si="130"/>
        <v>5.9000000000000004E-2</v>
      </c>
      <c r="F8409" s="5"/>
    </row>
    <row r="8410" spans="2:6" ht="13.8" hidden="1" outlineLevel="1">
      <c r="B8410" s="187">
        <v>34380</v>
      </c>
      <c r="C8410" s="188">
        <v>5.88</v>
      </c>
      <c r="D8410" s="104">
        <f t="shared" si="130"/>
        <v>5.8799999999999998E-2</v>
      </c>
      <c r="F8410" s="5"/>
    </row>
    <row r="8411" spans="2:6" ht="13.8" hidden="1" outlineLevel="1">
      <c r="B8411" s="187">
        <v>34381</v>
      </c>
      <c r="C8411" s="188">
        <v>5.89</v>
      </c>
      <c r="D8411" s="104">
        <f t="shared" si="130"/>
        <v>5.8899999999999994E-2</v>
      </c>
      <c r="F8411" s="5"/>
    </row>
    <row r="8412" spans="2:6" ht="13.8" hidden="1" outlineLevel="1">
      <c r="B8412" s="187">
        <v>34382</v>
      </c>
      <c r="C8412" s="188">
        <v>6</v>
      </c>
      <c r="D8412" s="104">
        <f t="shared" si="130"/>
        <v>0.06</v>
      </c>
      <c r="F8412" s="5"/>
    </row>
    <row r="8413" spans="2:6" ht="13.8" hidden="1" outlineLevel="1">
      <c r="B8413" s="187">
        <v>34383</v>
      </c>
      <c r="C8413" s="188">
        <v>6.09</v>
      </c>
      <c r="D8413" s="104">
        <f t="shared" si="130"/>
        <v>6.0899999999999996E-2</v>
      </c>
      <c r="F8413" s="5"/>
    </row>
    <row r="8414" spans="2:6" ht="13.8" hidden="1" outlineLevel="1">
      <c r="B8414" s="187">
        <v>34386</v>
      </c>
      <c r="C8414" s="188" t="s">
        <v>380</v>
      </c>
      <c r="D8414" s="104">
        <f t="shared" ref="D8414:D8477" si="131">IF( LEN( C8414 ) = 0, #N/A, IF( C8414 = "ND", D8413, C8414 / 100 ) )</f>
        <v>6.0899999999999996E-2</v>
      </c>
      <c r="F8414" s="5"/>
    </row>
    <row r="8415" spans="2:6" ht="13.8" hidden="1" outlineLevel="1">
      <c r="B8415" s="187">
        <v>34387</v>
      </c>
      <c r="C8415" s="188">
        <v>6.05</v>
      </c>
      <c r="D8415" s="104">
        <f t="shared" si="131"/>
        <v>6.0499999999999998E-2</v>
      </c>
      <c r="F8415" s="5"/>
    </row>
    <row r="8416" spans="2:6" ht="13.8" hidden="1" outlineLevel="1">
      <c r="B8416" s="187">
        <v>34388</v>
      </c>
      <c r="C8416" s="188">
        <v>6.13</v>
      </c>
      <c r="D8416" s="104">
        <f t="shared" si="131"/>
        <v>6.13E-2</v>
      </c>
      <c r="F8416" s="5"/>
    </row>
    <row r="8417" spans="2:6" ht="13.8" hidden="1" outlineLevel="1">
      <c r="B8417" s="187">
        <v>34389</v>
      </c>
      <c r="C8417" s="188">
        <v>6.22</v>
      </c>
      <c r="D8417" s="104">
        <f t="shared" si="131"/>
        <v>6.2199999999999998E-2</v>
      </c>
      <c r="F8417" s="5"/>
    </row>
    <row r="8418" spans="2:6" ht="13.8" hidden="1" outlineLevel="1">
      <c r="B8418" s="187">
        <v>34390</v>
      </c>
      <c r="C8418" s="188">
        <v>6.21</v>
      </c>
      <c r="D8418" s="104">
        <f t="shared" si="131"/>
        <v>6.2100000000000002E-2</v>
      </c>
      <c r="F8418" s="5"/>
    </row>
    <row r="8419" spans="2:6" ht="13.8" hidden="1" outlineLevel="1">
      <c r="B8419" s="187">
        <v>34393</v>
      </c>
      <c r="C8419" s="188">
        <v>6.15</v>
      </c>
      <c r="D8419" s="104">
        <f t="shared" si="131"/>
        <v>6.1500000000000006E-2</v>
      </c>
      <c r="F8419" s="5"/>
    </row>
    <row r="8420" spans="2:6" ht="13.8" hidden="1" outlineLevel="1">
      <c r="B8420" s="187">
        <v>34394</v>
      </c>
      <c r="C8420" s="188">
        <v>6.28</v>
      </c>
      <c r="D8420" s="104">
        <f t="shared" si="131"/>
        <v>6.2800000000000009E-2</v>
      </c>
      <c r="F8420" s="5"/>
    </row>
    <row r="8421" spans="2:6" ht="13.8" hidden="1" outlineLevel="1">
      <c r="B8421" s="187">
        <v>34395</v>
      </c>
      <c r="C8421" s="188">
        <v>6.3</v>
      </c>
      <c r="D8421" s="104">
        <f t="shared" si="131"/>
        <v>6.3E-2</v>
      </c>
      <c r="F8421" s="5"/>
    </row>
    <row r="8422" spans="2:6" ht="13.8" hidden="1" outlineLevel="1">
      <c r="B8422" s="187">
        <v>34396</v>
      </c>
      <c r="C8422" s="188">
        <v>6.35</v>
      </c>
      <c r="D8422" s="104">
        <f t="shared" si="131"/>
        <v>6.3500000000000001E-2</v>
      </c>
      <c r="F8422" s="5"/>
    </row>
    <row r="8423" spans="2:6" ht="13.8" hidden="1" outlineLevel="1">
      <c r="B8423" s="187">
        <v>34397</v>
      </c>
      <c r="C8423" s="188">
        <v>6.38</v>
      </c>
      <c r="D8423" s="104">
        <f t="shared" si="131"/>
        <v>6.3799999999999996E-2</v>
      </c>
      <c r="F8423" s="5"/>
    </row>
    <row r="8424" spans="2:6" ht="13.8" hidden="1" outlineLevel="1">
      <c r="B8424" s="187">
        <v>34400</v>
      </c>
      <c r="C8424" s="188">
        <v>6.32</v>
      </c>
      <c r="D8424" s="104">
        <f t="shared" si="131"/>
        <v>6.3200000000000006E-2</v>
      </c>
      <c r="F8424" s="5"/>
    </row>
    <row r="8425" spans="2:6" ht="13.8" hidden="1" outlineLevel="1">
      <c r="B8425" s="187">
        <v>34401</v>
      </c>
      <c r="C8425" s="188">
        <v>6.38</v>
      </c>
      <c r="D8425" s="104">
        <f t="shared" si="131"/>
        <v>6.3799999999999996E-2</v>
      </c>
      <c r="F8425" s="5"/>
    </row>
    <row r="8426" spans="2:6" ht="13.8" hidden="1" outlineLevel="1">
      <c r="B8426" s="187">
        <v>34402</v>
      </c>
      <c r="C8426" s="188">
        <v>6.38</v>
      </c>
      <c r="D8426" s="104">
        <f t="shared" si="131"/>
        <v>6.3799999999999996E-2</v>
      </c>
      <c r="F8426" s="5"/>
    </row>
    <row r="8427" spans="2:6" ht="13.8" hidden="1" outlineLevel="1">
      <c r="B8427" s="187">
        <v>34403</v>
      </c>
      <c r="C8427" s="188">
        <v>6.48</v>
      </c>
      <c r="D8427" s="104">
        <f t="shared" si="131"/>
        <v>6.480000000000001E-2</v>
      </c>
      <c r="F8427" s="5"/>
    </row>
    <row r="8428" spans="2:6" ht="13.8" hidden="1" outlineLevel="1">
      <c r="B8428" s="187">
        <v>34404</v>
      </c>
      <c r="C8428" s="188">
        <v>6.46</v>
      </c>
      <c r="D8428" s="104">
        <f t="shared" si="131"/>
        <v>6.4600000000000005E-2</v>
      </c>
      <c r="F8428" s="5"/>
    </row>
    <row r="8429" spans="2:6" ht="13.8" hidden="1" outlineLevel="1">
      <c r="B8429" s="187">
        <v>34407</v>
      </c>
      <c r="C8429" s="188">
        <v>6.5</v>
      </c>
      <c r="D8429" s="104">
        <f t="shared" si="131"/>
        <v>6.5000000000000002E-2</v>
      </c>
      <c r="F8429" s="5"/>
    </row>
    <row r="8430" spans="2:6" ht="13.8" hidden="1" outlineLevel="1">
      <c r="B8430" s="187">
        <v>34408</v>
      </c>
      <c r="C8430" s="188">
        <v>6.47</v>
      </c>
      <c r="D8430" s="104">
        <f t="shared" si="131"/>
        <v>6.4699999999999994E-2</v>
      </c>
      <c r="F8430" s="5"/>
    </row>
    <row r="8431" spans="2:6" ht="13.8" hidden="1" outlineLevel="1">
      <c r="B8431" s="187">
        <v>34409</v>
      </c>
      <c r="C8431" s="188">
        <v>6.4</v>
      </c>
      <c r="D8431" s="104">
        <f t="shared" si="131"/>
        <v>6.4000000000000001E-2</v>
      </c>
      <c r="F8431" s="5"/>
    </row>
    <row r="8432" spans="2:6" ht="13.8" hidden="1" outlineLevel="1">
      <c r="B8432" s="187">
        <v>34410</v>
      </c>
      <c r="C8432" s="188">
        <v>6.4</v>
      </c>
      <c r="D8432" s="104">
        <f t="shared" si="131"/>
        <v>6.4000000000000001E-2</v>
      </c>
      <c r="F8432" s="5"/>
    </row>
    <row r="8433" spans="2:6" ht="13.8" hidden="1" outlineLevel="1">
      <c r="B8433" s="187">
        <v>34411</v>
      </c>
      <c r="C8433" s="188">
        <v>6.49</v>
      </c>
      <c r="D8433" s="104">
        <f t="shared" si="131"/>
        <v>6.4899999999999999E-2</v>
      </c>
      <c r="F8433" s="5"/>
    </row>
    <row r="8434" spans="2:6" ht="13.8" hidden="1" outlineLevel="1">
      <c r="B8434" s="187">
        <v>34414</v>
      </c>
      <c r="C8434" s="188">
        <v>6.55</v>
      </c>
      <c r="D8434" s="104">
        <f t="shared" si="131"/>
        <v>6.5500000000000003E-2</v>
      </c>
      <c r="F8434" s="5"/>
    </row>
    <row r="8435" spans="2:6" ht="13.8" hidden="1" outlineLevel="1">
      <c r="B8435" s="187">
        <v>34415</v>
      </c>
      <c r="C8435" s="188">
        <v>6.44</v>
      </c>
      <c r="D8435" s="104">
        <f t="shared" si="131"/>
        <v>6.4399999999999999E-2</v>
      </c>
      <c r="F8435" s="5"/>
    </row>
    <row r="8436" spans="2:6" ht="13.8" hidden="1" outlineLevel="1">
      <c r="B8436" s="187">
        <v>34416</v>
      </c>
      <c r="C8436" s="188">
        <v>6.44</v>
      </c>
      <c r="D8436" s="104">
        <f t="shared" si="131"/>
        <v>6.4399999999999999E-2</v>
      </c>
      <c r="F8436" s="5"/>
    </row>
    <row r="8437" spans="2:6" ht="13.8" hidden="1" outlineLevel="1">
      <c r="B8437" s="187">
        <v>34417</v>
      </c>
      <c r="C8437" s="188">
        <v>6.58</v>
      </c>
      <c r="D8437" s="104">
        <f t="shared" si="131"/>
        <v>6.5799999999999997E-2</v>
      </c>
      <c r="F8437" s="5"/>
    </row>
    <row r="8438" spans="2:6" ht="13.8" hidden="1" outlineLevel="1">
      <c r="B8438" s="187">
        <v>34418</v>
      </c>
      <c r="C8438" s="188">
        <v>6.61</v>
      </c>
      <c r="D8438" s="104">
        <f t="shared" si="131"/>
        <v>6.6100000000000006E-2</v>
      </c>
      <c r="F8438" s="5"/>
    </row>
    <row r="8439" spans="2:6" ht="13.8" hidden="1" outlineLevel="1">
      <c r="B8439" s="187">
        <v>34421</v>
      </c>
      <c r="C8439" s="188">
        <v>6.63</v>
      </c>
      <c r="D8439" s="104">
        <f t="shared" si="131"/>
        <v>6.6299999999999998E-2</v>
      </c>
      <c r="F8439" s="5"/>
    </row>
    <row r="8440" spans="2:6" ht="13.8" hidden="1" outlineLevel="1">
      <c r="B8440" s="187">
        <v>34422</v>
      </c>
      <c r="C8440" s="188">
        <v>6.71</v>
      </c>
      <c r="D8440" s="104">
        <f t="shared" si="131"/>
        <v>6.7099999999999993E-2</v>
      </c>
      <c r="F8440" s="5"/>
    </row>
    <row r="8441" spans="2:6" ht="13.8" hidden="1" outlineLevel="1">
      <c r="B8441" s="187">
        <v>34423</v>
      </c>
      <c r="C8441" s="188">
        <v>6.78</v>
      </c>
      <c r="D8441" s="104">
        <f t="shared" si="131"/>
        <v>6.7799999999999999E-2</v>
      </c>
      <c r="F8441" s="5"/>
    </row>
    <row r="8442" spans="2:6" ht="13.8" hidden="1" outlineLevel="1">
      <c r="B8442" s="187">
        <v>34424</v>
      </c>
      <c r="C8442" s="188">
        <v>6.77</v>
      </c>
      <c r="D8442" s="104">
        <f t="shared" si="131"/>
        <v>6.7699999999999996E-2</v>
      </c>
      <c r="F8442" s="5"/>
    </row>
    <row r="8443" spans="2:6" ht="13.8" hidden="1" outlineLevel="1">
      <c r="B8443" s="187">
        <v>34425</v>
      </c>
      <c r="C8443" s="188" t="s">
        <v>380</v>
      </c>
      <c r="D8443" s="104">
        <f t="shared" si="131"/>
        <v>6.7699999999999996E-2</v>
      </c>
      <c r="F8443" s="5"/>
    </row>
    <row r="8444" spans="2:6" ht="13.8" hidden="1" outlineLevel="1">
      <c r="B8444" s="187">
        <v>34428</v>
      </c>
      <c r="C8444" s="188">
        <v>7.16</v>
      </c>
      <c r="D8444" s="104">
        <f t="shared" si="131"/>
        <v>7.1599999999999997E-2</v>
      </c>
      <c r="F8444" s="5"/>
    </row>
    <row r="8445" spans="2:6" ht="13.8" hidden="1" outlineLevel="1">
      <c r="B8445" s="187">
        <v>34429</v>
      </c>
      <c r="C8445" s="188">
        <v>6.97</v>
      </c>
      <c r="D8445" s="104">
        <f t="shared" si="131"/>
        <v>6.9699999999999998E-2</v>
      </c>
      <c r="F8445" s="5"/>
    </row>
    <row r="8446" spans="2:6" ht="13.8" hidden="1" outlineLevel="1">
      <c r="B8446" s="187">
        <v>34430</v>
      </c>
      <c r="C8446" s="188">
        <v>6.93</v>
      </c>
      <c r="D8446" s="104">
        <f t="shared" si="131"/>
        <v>6.93E-2</v>
      </c>
      <c r="F8446" s="5"/>
    </row>
    <row r="8447" spans="2:6" ht="13.8" hidden="1" outlineLevel="1">
      <c r="B8447" s="187">
        <v>34431</v>
      </c>
      <c r="C8447" s="188">
        <v>6.86</v>
      </c>
      <c r="D8447" s="104">
        <f t="shared" si="131"/>
        <v>6.8600000000000008E-2</v>
      </c>
      <c r="F8447" s="5"/>
    </row>
    <row r="8448" spans="2:6" ht="13.8" hidden="1" outlineLevel="1">
      <c r="B8448" s="187">
        <v>34432</v>
      </c>
      <c r="C8448" s="188">
        <v>6.94</v>
      </c>
      <c r="D8448" s="104">
        <f t="shared" si="131"/>
        <v>6.9400000000000003E-2</v>
      </c>
      <c r="F8448" s="5"/>
    </row>
    <row r="8449" spans="2:6" ht="13.8" hidden="1" outlineLevel="1">
      <c r="B8449" s="187">
        <v>34435</v>
      </c>
      <c r="C8449" s="188">
        <v>6.92</v>
      </c>
      <c r="D8449" s="104">
        <f t="shared" si="131"/>
        <v>6.9199999999999998E-2</v>
      </c>
      <c r="F8449" s="5"/>
    </row>
    <row r="8450" spans="2:6" ht="13.8" hidden="1" outlineLevel="1">
      <c r="B8450" s="187">
        <v>34436</v>
      </c>
      <c r="C8450" s="188">
        <v>6.87</v>
      </c>
      <c r="D8450" s="104">
        <f t="shared" si="131"/>
        <v>6.8699999999999997E-2</v>
      </c>
      <c r="F8450" s="5"/>
    </row>
    <row r="8451" spans="2:6" ht="13.8" hidden="1" outlineLevel="1">
      <c r="B8451" s="187">
        <v>34437</v>
      </c>
      <c r="C8451" s="188">
        <v>6.93</v>
      </c>
      <c r="D8451" s="104">
        <f t="shared" si="131"/>
        <v>6.93E-2</v>
      </c>
      <c r="F8451" s="5"/>
    </row>
    <row r="8452" spans="2:6" ht="13.8" hidden="1" outlineLevel="1">
      <c r="B8452" s="187">
        <v>34438</v>
      </c>
      <c r="C8452" s="188">
        <v>6.97</v>
      </c>
      <c r="D8452" s="104">
        <f t="shared" si="131"/>
        <v>6.9699999999999998E-2</v>
      </c>
      <c r="F8452" s="5"/>
    </row>
    <row r="8453" spans="2:6" ht="13.8" hidden="1" outlineLevel="1">
      <c r="B8453" s="187">
        <v>34439</v>
      </c>
      <c r="C8453" s="188">
        <v>6.97</v>
      </c>
      <c r="D8453" s="104">
        <f t="shared" si="131"/>
        <v>6.9699999999999998E-2</v>
      </c>
      <c r="F8453" s="5"/>
    </row>
    <row r="8454" spans="2:6" ht="13.8" hidden="1" outlineLevel="1">
      <c r="B8454" s="187">
        <v>34442</v>
      </c>
      <c r="C8454" s="188">
        <v>7.14</v>
      </c>
      <c r="D8454" s="104">
        <f t="shared" si="131"/>
        <v>7.1399999999999991E-2</v>
      </c>
      <c r="F8454" s="5"/>
    </row>
    <row r="8455" spans="2:6" ht="13.8" hidden="1" outlineLevel="1">
      <c r="B8455" s="187">
        <v>34443</v>
      </c>
      <c r="C8455" s="188">
        <v>7.1</v>
      </c>
      <c r="D8455" s="104">
        <f t="shared" si="131"/>
        <v>7.0999999999999994E-2</v>
      </c>
      <c r="F8455" s="5"/>
    </row>
    <row r="8456" spans="2:6" ht="13.8" hidden="1" outlineLevel="1">
      <c r="B8456" s="187">
        <v>34444</v>
      </c>
      <c r="C8456" s="188">
        <v>7.05</v>
      </c>
      <c r="D8456" s="104">
        <f t="shared" si="131"/>
        <v>7.0499999999999993E-2</v>
      </c>
      <c r="F8456" s="5"/>
    </row>
    <row r="8457" spans="2:6" ht="13.8" hidden="1" outlineLevel="1">
      <c r="B8457" s="187">
        <v>34445</v>
      </c>
      <c r="C8457" s="188">
        <v>6.91</v>
      </c>
      <c r="D8457" s="104">
        <f t="shared" si="131"/>
        <v>6.9099999999999995E-2</v>
      </c>
      <c r="F8457" s="5"/>
    </row>
    <row r="8458" spans="2:6" ht="13.8" hidden="1" outlineLevel="1">
      <c r="B8458" s="187">
        <v>34446</v>
      </c>
      <c r="C8458" s="188">
        <v>6.93</v>
      </c>
      <c r="D8458" s="104">
        <f t="shared" si="131"/>
        <v>6.93E-2</v>
      </c>
      <c r="F8458" s="5"/>
    </row>
    <row r="8459" spans="2:6" ht="13.8" hidden="1" outlineLevel="1">
      <c r="B8459" s="187">
        <v>34449</v>
      </c>
      <c r="C8459" s="188">
        <v>6.86</v>
      </c>
      <c r="D8459" s="104">
        <f t="shared" si="131"/>
        <v>6.8600000000000008E-2</v>
      </c>
      <c r="F8459" s="5"/>
    </row>
    <row r="8460" spans="2:6" ht="13.8" hidden="1" outlineLevel="1">
      <c r="B8460" s="187">
        <v>34450</v>
      </c>
      <c r="C8460" s="188">
        <v>6.86</v>
      </c>
      <c r="D8460" s="104">
        <f t="shared" si="131"/>
        <v>6.8600000000000008E-2</v>
      </c>
      <c r="F8460" s="5"/>
    </row>
    <row r="8461" spans="2:6" ht="13.8" hidden="1" outlineLevel="1">
      <c r="B8461" s="187">
        <v>34451</v>
      </c>
      <c r="C8461" s="188" t="s">
        <v>380</v>
      </c>
      <c r="D8461" s="104">
        <f t="shared" si="131"/>
        <v>6.8600000000000008E-2</v>
      </c>
      <c r="F8461" s="5"/>
    </row>
    <row r="8462" spans="2:6" ht="13.8" hidden="1" outlineLevel="1">
      <c r="B8462" s="187">
        <v>34452</v>
      </c>
      <c r="C8462" s="188">
        <v>7.04</v>
      </c>
      <c r="D8462" s="104">
        <f t="shared" si="131"/>
        <v>7.0400000000000004E-2</v>
      </c>
      <c r="F8462" s="5"/>
    </row>
    <row r="8463" spans="2:6" ht="13.8" hidden="1" outlineLevel="1">
      <c r="B8463" s="187">
        <v>34453</v>
      </c>
      <c r="C8463" s="188">
        <v>7.06</v>
      </c>
      <c r="D8463" s="104">
        <f t="shared" si="131"/>
        <v>7.0599999999999996E-2</v>
      </c>
      <c r="F8463" s="5"/>
    </row>
    <row r="8464" spans="2:6" ht="13.8" hidden="1" outlineLevel="1">
      <c r="B8464" s="187">
        <v>34456</v>
      </c>
      <c r="C8464" s="188">
        <v>7.09</v>
      </c>
      <c r="D8464" s="104">
        <f t="shared" si="131"/>
        <v>7.0900000000000005E-2</v>
      </c>
      <c r="F8464" s="5"/>
    </row>
    <row r="8465" spans="2:6" ht="13.8" hidden="1" outlineLevel="1">
      <c r="B8465" s="187">
        <v>34457</v>
      </c>
      <c r="C8465" s="188">
        <v>7.13</v>
      </c>
      <c r="D8465" s="104">
        <f t="shared" si="131"/>
        <v>7.1300000000000002E-2</v>
      </c>
      <c r="F8465" s="5"/>
    </row>
    <row r="8466" spans="2:6" ht="13.8" hidden="1" outlineLevel="1">
      <c r="B8466" s="187">
        <v>34458</v>
      </c>
      <c r="C8466" s="188">
        <v>7.14</v>
      </c>
      <c r="D8466" s="104">
        <f t="shared" si="131"/>
        <v>7.1399999999999991E-2</v>
      </c>
      <c r="F8466" s="5"/>
    </row>
    <row r="8467" spans="2:6" ht="13.8" hidden="1" outlineLevel="1">
      <c r="B8467" s="187">
        <v>34459</v>
      </c>
      <c r="C8467" s="188">
        <v>7.11</v>
      </c>
      <c r="D8467" s="104">
        <f t="shared" si="131"/>
        <v>7.1099999999999997E-2</v>
      </c>
      <c r="F8467" s="5"/>
    </row>
    <row r="8468" spans="2:6" ht="13.8" hidden="1" outlineLevel="1">
      <c r="B8468" s="187">
        <v>34460</v>
      </c>
      <c r="C8468" s="188">
        <v>7.35</v>
      </c>
      <c r="D8468" s="104">
        <f t="shared" si="131"/>
        <v>7.3499999999999996E-2</v>
      </c>
      <c r="F8468" s="5"/>
    </row>
    <row r="8469" spans="2:6" ht="13.8" hidden="1" outlineLevel="1">
      <c r="B8469" s="187">
        <v>34463</v>
      </c>
      <c r="C8469" s="188">
        <v>7.49</v>
      </c>
      <c r="D8469" s="104">
        <f t="shared" si="131"/>
        <v>7.4900000000000008E-2</v>
      </c>
      <c r="F8469" s="5"/>
    </row>
    <row r="8470" spans="2:6" ht="13.8" hidden="1" outlineLevel="1">
      <c r="B8470" s="187">
        <v>34464</v>
      </c>
      <c r="C8470" s="188">
        <v>7.33</v>
      </c>
      <c r="D8470" s="104">
        <f t="shared" si="131"/>
        <v>7.3300000000000004E-2</v>
      </c>
      <c r="F8470" s="5"/>
    </row>
    <row r="8471" spans="2:6" ht="13.8" hidden="1" outlineLevel="1">
      <c r="B8471" s="187">
        <v>34465</v>
      </c>
      <c r="C8471" s="188">
        <v>7.4</v>
      </c>
      <c r="D8471" s="104">
        <f t="shared" si="131"/>
        <v>7.400000000000001E-2</v>
      </c>
      <c r="F8471" s="5"/>
    </row>
    <row r="8472" spans="2:6" ht="13.8" hidden="1" outlineLevel="1">
      <c r="B8472" s="187">
        <v>34466</v>
      </c>
      <c r="C8472" s="188">
        <v>7.36</v>
      </c>
      <c r="D8472" s="104">
        <f t="shared" si="131"/>
        <v>7.3599999999999999E-2</v>
      </c>
      <c r="F8472" s="5"/>
    </row>
    <row r="8473" spans="2:6" ht="13.8" hidden="1" outlineLevel="1">
      <c r="B8473" s="187">
        <v>34467</v>
      </c>
      <c r="C8473" s="188">
        <v>7.29</v>
      </c>
      <c r="D8473" s="104">
        <f t="shared" si="131"/>
        <v>7.2900000000000006E-2</v>
      </c>
      <c r="F8473" s="5"/>
    </row>
    <row r="8474" spans="2:6" ht="13.8" hidden="1" outlineLevel="1">
      <c r="B8474" s="187">
        <v>34470</v>
      </c>
      <c r="C8474" s="188">
        <v>7.24</v>
      </c>
      <c r="D8474" s="104">
        <f t="shared" si="131"/>
        <v>7.2400000000000006E-2</v>
      </c>
      <c r="F8474" s="5"/>
    </row>
    <row r="8475" spans="2:6" ht="13.8" hidden="1" outlineLevel="1">
      <c r="B8475" s="187">
        <v>34471</v>
      </c>
      <c r="C8475" s="188">
        <v>7.03</v>
      </c>
      <c r="D8475" s="104">
        <f t="shared" si="131"/>
        <v>7.0300000000000001E-2</v>
      </c>
      <c r="F8475" s="5"/>
    </row>
    <row r="8476" spans="2:6" ht="13.8" hidden="1" outlineLevel="1">
      <c r="B8476" s="187">
        <v>34472</v>
      </c>
      <c r="C8476" s="188">
        <v>7.03</v>
      </c>
      <c r="D8476" s="104">
        <f t="shared" si="131"/>
        <v>7.0300000000000001E-2</v>
      </c>
      <c r="F8476" s="5"/>
    </row>
    <row r="8477" spans="2:6" ht="13.8" hidden="1" outlineLevel="1">
      <c r="B8477" s="187">
        <v>34473</v>
      </c>
      <c r="C8477" s="188">
        <v>6.96</v>
      </c>
      <c r="D8477" s="104">
        <f t="shared" si="131"/>
        <v>6.9599999999999995E-2</v>
      </c>
      <c r="F8477" s="5"/>
    </row>
    <row r="8478" spans="2:6" ht="13.8" hidden="1" outlineLevel="1">
      <c r="B8478" s="187">
        <v>34474</v>
      </c>
      <c r="C8478" s="188">
        <v>7.02</v>
      </c>
      <c r="D8478" s="104">
        <f t="shared" ref="D8478:D8541" si="132">IF( LEN( C8478 ) = 0, #N/A, IF( C8478 = "ND", D8477, C8478 / 100 ) )</f>
        <v>7.0199999999999999E-2</v>
      </c>
      <c r="F8478" s="5"/>
    </row>
    <row r="8479" spans="2:6" ht="13.8" hidden="1" outlineLevel="1">
      <c r="B8479" s="187">
        <v>34477</v>
      </c>
      <c r="C8479" s="188">
        <v>7.19</v>
      </c>
      <c r="D8479" s="104">
        <f t="shared" si="132"/>
        <v>7.1900000000000006E-2</v>
      </c>
      <c r="F8479" s="5"/>
    </row>
    <row r="8480" spans="2:6" ht="13.8" hidden="1" outlineLevel="1">
      <c r="B8480" s="187">
        <v>34478</v>
      </c>
      <c r="C8480" s="188">
        <v>7.17</v>
      </c>
      <c r="D8480" s="104">
        <f t="shared" si="132"/>
        <v>7.17E-2</v>
      </c>
      <c r="F8480" s="5"/>
    </row>
    <row r="8481" spans="2:6" ht="13.8" hidden="1" outlineLevel="1">
      <c r="B8481" s="187">
        <v>34479</v>
      </c>
      <c r="C8481" s="188">
        <v>7.14</v>
      </c>
      <c r="D8481" s="104">
        <f t="shared" si="132"/>
        <v>7.1399999999999991E-2</v>
      </c>
      <c r="F8481" s="5"/>
    </row>
    <row r="8482" spans="2:6" ht="13.8" hidden="1" outlineLevel="1">
      <c r="B8482" s="187">
        <v>34480</v>
      </c>
      <c r="C8482" s="188">
        <v>7.09</v>
      </c>
      <c r="D8482" s="104">
        <f t="shared" si="132"/>
        <v>7.0900000000000005E-2</v>
      </c>
      <c r="F8482" s="5"/>
    </row>
    <row r="8483" spans="2:6" ht="13.8" hidden="1" outlineLevel="1">
      <c r="B8483" s="187">
        <v>34481</v>
      </c>
      <c r="C8483" s="188">
        <v>7.12</v>
      </c>
      <c r="D8483" s="104">
        <f t="shared" si="132"/>
        <v>7.1199999999999999E-2</v>
      </c>
      <c r="F8483" s="5"/>
    </row>
    <row r="8484" spans="2:6" ht="13.8" hidden="1" outlineLevel="1">
      <c r="B8484" s="187">
        <v>34484</v>
      </c>
      <c r="C8484" s="188" t="s">
        <v>380</v>
      </c>
      <c r="D8484" s="104">
        <f t="shared" si="132"/>
        <v>7.1199999999999999E-2</v>
      </c>
      <c r="F8484" s="5"/>
    </row>
    <row r="8485" spans="2:6" ht="13.8" hidden="1" outlineLevel="1">
      <c r="B8485" s="187">
        <v>34485</v>
      </c>
      <c r="C8485" s="188">
        <v>7.17</v>
      </c>
      <c r="D8485" s="104">
        <f t="shared" si="132"/>
        <v>7.17E-2</v>
      </c>
      <c r="F8485" s="5"/>
    </row>
    <row r="8486" spans="2:6" ht="13.8" hidden="1" outlineLevel="1">
      <c r="B8486" s="187">
        <v>34486</v>
      </c>
      <c r="C8486" s="188">
        <v>7.12</v>
      </c>
      <c r="D8486" s="104">
        <f t="shared" si="132"/>
        <v>7.1199999999999999E-2</v>
      </c>
      <c r="F8486" s="5"/>
    </row>
    <row r="8487" spans="2:6" ht="13.8" hidden="1" outlineLevel="1">
      <c r="B8487" s="187">
        <v>34487</v>
      </c>
      <c r="C8487" s="188">
        <v>7.07</v>
      </c>
      <c r="D8487" s="104">
        <f t="shared" si="132"/>
        <v>7.0699999999999999E-2</v>
      </c>
      <c r="F8487" s="5"/>
    </row>
    <row r="8488" spans="2:6" ht="13.8" hidden="1" outlineLevel="1">
      <c r="B8488" s="187">
        <v>34488</v>
      </c>
      <c r="C8488" s="188">
        <v>6.98</v>
      </c>
      <c r="D8488" s="104">
        <f t="shared" si="132"/>
        <v>6.9800000000000001E-2</v>
      </c>
      <c r="F8488" s="5"/>
    </row>
    <row r="8489" spans="2:6" ht="13.8" hidden="1" outlineLevel="1">
      <c r="B8489" s="187">
        <v>34491</v>
      </c>
      <c r="C8489" s="188">
        <v>6.91</v>
      </c>
      <c r="D8489" s="104">
        <f t="shared" si="132"/>
        <v>6.9099999999999995E-2</v>
      </c>
      <c r="F8489" s="5"/>
    </row>
    <row r="8490" spans="2:6" ht="13.8" hidden="1" outlineLevel="1">
      <c r="B8490" s="187">
        <v>34492</v>
      </c>
      <c r="C8490" s="188">
        <v>6.95</v>
      </c>
      <c r="D8490" s="104">
        <f t="shared" si="132"/>
        <v>6.9500000000000006E-2</v>
      </c>
      <c r="F8490" s="5"/>
    </row>
    <row r="8491" spans="2:6" ht="13.8" hidden="1" outlineLevel="1">
      <c r="B8491" s="187">
        <v>34493</v>
      </c>
      <c r="C8491" s="188">
        <v>6.96</v>
      </c>
      <c r="D8491" s="104">
        <f t="shared" si="132"/>
        <v>6.9599999999999995E-2</v>
      </c>
      <c r="F8491" s="5"/>
    </row>
    <row r="8492" spans="2:6" ht="13.8" hidden="1" outlineLevel="1">
      <c r="B8492" s="187">
        <v>34494</v>
      </c>
      <c r="C8492" s="188">
        <v>6.98</v>
      </c>
      <c r="D8492" s="104">
        <f t="shared" si="132"/>
        <v>6.9800000000000001E-2</v>
      </c>
      <c r="F8492" s="5"/>
    </row>
    <row r="8493" spans="2:6" ht="13.8" hidden="1" outlineLevel="1">
      <c r="B8493" s="187">
        <v>34495</v>
      </c>
      <c r="C8493" s="188">
        <v>7.03</v>
      </c>
      <c r="D8493" s="104">
        <f t="shared" si="132"/>
        <v>7.0300000000000001E-2</v>
      </c>
      <c r="F8493" s="5"/>
    </row>
    <row r="8494" spans="2:6" ht="13.8" hidden="1" outlineLevel="1">
      <c r="B8494" s="187">
        <v>34498</v>
      </c>
      <c r="C8494" s="188">
        <v>7.07</v>
      </c>
      <c r="D8494" s="104">
        <f t="shared" si="132"/>
        <v>7.0699999999999999E-2</v>
      </c>
      <c r="F8494" s="5"/>
    </row>
    <row r="8495" spans="2:6" ht="13.8" hidden="1" outlineLevel="1">
      <c r="B8495" s="187">
        <v>34499</v>
      </c>
      <c r="C8495" s="188">
        <v>7</v>
      </c>
      <c r="D8495" s="104">
        <f t="shared" si="132"/>
        <v>7.0000000000000007E-2</v>
      </c>
      <c r="F8495" s="5"/>
    </row>
    <row r="8496" spans="2:6" ht="13.8" hidden="1" outlineLevel="1">
      <c r="B8496" s="187">
        <v>34500</v>
      </c>
      <c r="C8496" s="188">
        <v>7.1</v>
      </c>
      <c r="D8496" s="104">
        <f t="shared" si="132"/>
        <v>7.0999999999999994E-2</v>
      </c>
      <c r="F8496" s="5"/>
    </row>
    <row r="8497" spans="2:6" ht="13.8" hidden="1" outlineLevel="1">
      <c r="B8497" s="187">
        <v>34501</v>
      </c>
      <c r="C8497" s="188">
        <v>7.07</v>
      </c>
      <c r="D8497" s="104">
        <f t="shared" si="132"/>
        <v>7.0699999999999999E-2</v>
      </c>
      <c r="F8497" s="5"/>
    </row>
    <row r="8498" spans="2:6" ht="13.8" hidden="1" outlineLevel="1">
      <c r="B8498" s="187">
        <v>34502</v>
      </c>
      <c r="C8498" s="188">
        <v>7.14</v>
      </c>
      <c r="D8498" s="104">
        <f t="shared" si="132"/>
        <v>7.1399999999999991E-2</v>
      </c>
      <c r="F8498" s="5"/>
    </row>
    <row r="8499" spans="2:6" ht="13.8" hidden="1" outlineLevel="1">
      <c r="B8499" s="187">
        <v>34505</v>
      </c>
      <c r="C8499" s="188">
        <v>7.16</v>
      </c>
      <c r="D8499" s="104">
        <f t="shared" si="132"/>
        <v>7.1599999999999997E-2</v>
      </c>
      <c r="F8499" s="5"/>
    </row>
    <row r="8500" spans="2:6" ht="13.8" hidden="1" outlineLevel="1">
      <c r="B8500" s="187">
        <v>34506</v>
      </c>
      <c r="C8500" s="188">
        <v>7.22</v>
      </c>
      <c r="D8500" s="104">
        <f t="shared" si="132"/>
        <v>7.22E-2</v>
      </c>
      <c r="F8500" s="5"/>
    </row>
    <row r="8501" spans="2:6" ht="13.8" hidden="1" outlineLevel="1">
      <c r="B8501" s="187">
        <v>34507</v>
      </c>
      <c r="C8501" s="188">
        <v>7.13</v>
      </c>
      <c r="D8501" s="104">
        <f t="shared" si="132"/>
        <v>7.1300000000000002E-2</v>
      </c>
      <c r="F8501" s="5"/>
    </row>
    <row r="8502" spans="2:6" ht="13.8" hidden="1" outlineLevel="1">
      <c r="B8502" s="187">
        <v>34508</v>
      </c>
      <c r="C8502" s="188">
        <v>7.1</v>
      </c>
      <c r="D8502" s="104">
        <f t="shared" si="132"/>
        <v>7.0999999999999994E-2</v>
      </c>
      <c r="F8502" s="5"/>
    </row>
    <row r="8503" spans="2:6" ht="13.8" hidden="1" outlineLevel="1">
      <c r="B8503" s="187">
        <v>34509</v>
      </c>
      <c r="C8503" s="188">
        <v>7.22</v>
      </c>
      <c r="D8503" s="104">
        <f t="shared" si="132"/>
        <v>7.22E-2</v>
      </c>
      <c r="F8503" s="5"/>
    </row>
    <row r="8504" spans="2:6" ht="13.8" hidden="1" outlineLevel="1">
      <c r="B8504" s="187">
        <v>34512</v>
      </c>
      <c r="C8504" s="188">
        <v>7.18</v>
      </c>
      <c r="D8504" s="104">
        <f t="shared" si="132"/>
        <v>7.1800000000000003E-2</v>
      </c>
      <c r="F8504" s="5"/>
    </row>
    <row r="8505" spans="2:6" ht="13.8" hidden="1" outlineLevel="1">
      <c r="B8505" s="187">
        <v>34513</v>
      </c>
      <c r="C8505" s="188">
        <v>7.26</v>
      </c>
      <c r="D8505" s="104">
        <f t="shared" si="132"/>
        <v>7.2599999999999998E-2</v>
      </c>
      <c r="F8505" s="5"/>
    </row>
    <row r="8506" spans="2:6" ht="13.8" hidden="1" outlineLevel="1">
      <c r="B8506" s="187">
        <v>34514</v>
      </c>
      <c r="C8506" s="188">
        <v>7.24</v>
      </c>
      <c r="D8506" s="104">
        <f t="shared" si="132"/>
        <v>7.2400000000000006E-2</v>
      </c>
      <c r="F8506" s="5"/>
    </row>
    <row r="8507" spans="2:6" ht="13.8" hidden="1" outlineLevel="1">
      <c r="B8507" s="187">
        <v>34515</v>
      </c>
      <c r="C8507" s="188">
        <v>7.34</v>
      </c>
      <c r="D8507" s="104">
        <f t="shared" si="132"/>
        <v>7.3399999999999993E-2</v>
      </c>
      <c r="F8507" s="5"/>
    </row>
    <row r="8508" spans="2:6" ht="13.8" hidden="1" outlineLevel="1">
      <c r="B8508" s="187">
        <v>34516</v>
      </c>
      <c r="C8508" s="188">
        <v>7.34</v>
      </c>
      <c r="D8508" s="104">
        <f t="shared" si="132"/>
        <v>7.3399999999999993E-2</v>
      </c>
      <c r="F8508" s="5"/>
    </row>
    <row r="8509" spans="2:6" ht="13.8" hidden="1" outlineLevel="1">
      <c r="B8509" s="187">
        <v>34519</v>
      </c>
      <c r="C8509" s="188" t="s">
        <v>380</v>
      </c>
      <c r="D8509" s="104">
        <f t="shared" si="132"/>
        <v>7.3399999999999993E-2</v>
      </c>
      <c r="F8509" s="5"/>
    </row>
    <row r="8510" spans="2:6" ht="13.8" hidden="1" outlineLevel="1">
      <c r="B8510" s="187">
        <v>34520</v>
      </c>
      <c r="C8510" s="188">
        <v>7.31</v>
      </c>
      <c r="D8510" s="104">
        <f t="shared" si="132"/>
        <v>7.3099999999999998E-2</v>
      </c>
      <c r="F8510" s="5"/>
    </row>
    <row r="8511" spans="2:6" ht="13.8" hidden="1" outlineLevel="1">
      <c r="B8511" s="187">
        <v>34521</v>
      </c>
      <c r="C8511" s="188">
        <v>7.32</v>
      </c>
      <c r="D8511" s="104">
        <f t="shared" si="132"/>
        <v>7.3200000000000001E-2</v>
      </c>
      <c r="F8511" s="5"/>
    </row>
    <row r="8512" spans="2:6" ht="13.8" hidden="1" outlineLevel="1">
      <c r="B8512" s="187">
        <v>34522</v>
      </c>
      <c r="C8512" s="188">
        <v>7.3</v>
      </c>
      <c r="D8512" s="104">
        <f t="shared" si="132"/>
        <v>7.2999999999999995E-2</v>
      </c>
      <c r="F8512" s="5"/>
    </row>
    <row r="8513" spans="2:6" ht="13.8" hidden="1" outlineLevel="1">
      <c r="B8513" s="187">
        <v>34523</v>
      </c>
      <c r="C8513" s="188">
        <v>7.42</v>
      </c>
      <c r="D8513" s="104">
        <f t="shared" si="132"/>
        <v>7.4200000000000002E-2</v>
      </c>
      <c r="F8513" s="5"/>
    </row>
    <row r="8514" spans="2:6" ht="13.8" hidden="1" outlineLevel="1">
      <c r="B8514" s="187">
        <v>34526</v>
      </c>
      <c r="C8514" s="188">
        <v>7.47</v>
      </c>
      <c r="D8514" s="104">
        <f t="shared" si="132"/>
        <v>7.4700000000000003E-2</v>
      </c>
      <c r="F8514" s="5"/>
    </row>
    <row r="8515" spans="2:6" ht="13.8" hidden="1" outlineLevel="1">
      <c r="B8515" s="187">
        <v>34527</v>
      </c>
      <c r="C8515" s="188">
        <v>7.43</v>
      </c>
      <c r="D8515" s="104">
        <f t="shared" si="132"/>
        <v>7.4299999999999991E-2</v>
      </c>
      <c r="F8515" s="5"/>
    </row>
    <row r="8516" spans="2:6" ht="13.8" hidden="1" outlineLevel="1">
      <c r="B8516" s="187">
        <v>34528</v>
      </c>
      <c r="C8516" s="188">
        <v>7.41</v>
      </c>
      <c r="D8516" s="104">
        <f t="shared" si="132"/>
        <v>7.4099999999999999E-2</v>
      </c>
      <c r="F8516" s="5"/>
    </row>
    <row r="8517" spans="2:6" ht="13.8" hidden="1" outlineLevel="1">
      <c r="B8517" s="187">
        <v>34529</v>
      </c>
      <c r="C8517" s="188">
        <v>7.25</v>
      </c>
      <c r="D8517" s="104">
        <f t="shared" si="132"/>
        <v>7.2499999999999995E-2</v>
      </c>
      <c r="F8517" s="5"/>
    </row>
    <row r="8518" spans="2:6" ht="13.8" hidden="1" outlineLevel="1">
      <c r="B8518" s="187">
        <v>34530</v>
      </c>
      <c r="C8518" s="188">
        <v>7.25</v>
      </c>
      <c r="D8518" s="104">
        <f t="shared" si="132"/>
        <v>7.2499999999999995E-2</v>
      </c>
      <c r="F8518" s="5"/>
    </row>
    <row r="8519" spans="2:6" ht="13.8" hidden="1" outlineLevel="1">
      <c r="B8519" s="187">
        <v>34533</v>
      </c>
      <c r="C8519" s="188">
        <v>7.2</v>
      </c>
      <c r="D8519" s="104">
        <f t="shared" si="132"/>
        <v>7.2000000000000008E-2</v>
      </c>
      <c r="F8519" s="5"/>
    </row>
    <row r="8520" spans="2:6" ht="13.8" hidden="1" outlineLevel="1">
      <c r="B8520" s="187">
        <v>34534</v>
      </c>
      <c r="C8520" s="188">
        <v>7.15</v>
      </c>
      <c r="D8520" s="104">
        <f t="shared" si="132"/>
        <v>7.1500000000000008E-2</v>
      </c>
      <c r="F8520" s="5"/>
    </row>
    <row r="8521" spans="2:6" ht="13.8" hidden="1" outlineLevel="1">
      <c r="B8521" s="187">
        <v>34535</v>
      </c>
      <c r="C8521" s="188">
        <v>7.25</v>
      </c>
      <c r="D8521" s="104">
        <f t="shared" si="132"/>
        <v>7.2499999999999995E-2</v>
      </c>
      <c r="F8521" s="5"/>
    </row>
    <row r="8522" spans="2:6" ht="13.8" hidden="1" outlineLevel="1">
      <c r="B8522" s="187">
        <v>34536</v>
      </c>
      <c r="C8522" s="188">
        <v>7.27</v>
      </c>
      <c r="D8522" s="104">
        <f t="shared" si="132"/>
        <v>7.2700000000000001E-2</v>
      </c>
      <c r="F8522" s="5"/>
    </row>
    <row r="8523" spans="2:6" ht="13.8" hidden="1" outlineLevel="1">
      <c r="B8523" s="187">
        <v>34537</v>
      </c>
      <c r="C8523" s="188">
        <v>7.29</v>
      </c>
      <c r="D8523" s="104">
        <f t="shared" si="132"/>
        <v>7.2900000000000006E-2</v>
      </c>
      <c r="F8523" s="5"/>
    </row>
    <row r="8524" spans="2:6" ht="13.8" hidden="1" outlineLevel="1">
      <c r="B8524" s="187">
        <v>34540</v>
      </c>
      <c r="C8524" s="188">
        <v>7.27</v>
      </c>
      <c r="D8524" s="104">
        <f t="shared" si="132"/>
        <v>7.2700000000000001E-2</v>
      </c>
      <c r="F8524" s="5"/>
    </row>
    <row r="8525" spans="2:6" ht="13.8" hidden="1" outlineLevel="1">
      <c r="B8525" s="187">
        <v>34541</v>
      </c>
      <c r="C8525" s="188">
        <v>7.28</v>
      </c>
      <c r="D8525" s="104">
        <f t="shared" si="132"/>
        <v>7.2800000000000004E-2</v>
      </c>
      <c r="F8525" s="5"/>
    </row>
    <row r="8526" spans="2:6" ht="13.8" hidden="1" outlineLevel="1">
      <c r="B8526" s="187">
        <v>34542</v>
      </c>
      <c r="C8526" s="188">
        <v>7.34</v>
      </c>
      <c r="D8526" s="104">
        <f t="shared" si="132"/>
        <v>7.3399999999999993E-2</v>
      </c>
      <c r="F8526" s="5"/>
    </row>
    <row r="8527" spans="2:6" ht="13.8" hidden="1" outlineLevel="1">
      <c r="B8527" s="187">
        <v>34543</v>
      </c>
      <c r="C8527" s="188">
        <v>7.29</v>
      </c>
      <c r="D8527" s="104">
        <f t="shared" si="132"/>
        <v>7.2900000000000006E-2</v>
      </c>
      <c r="F8527" s="5"/>
    </row>
    <row r="8528" spans="2:6" ht="13.8" hidden="1" outlineLevel="1">
      <c r="B8528" s="187">
        <v>34544</v>
      </c>
      <c r="C8528" s="188">
        <v>7.12</v>
      </c>
      <c r="D8528" s="104">
        <f t="shared" si="132"/>
        <v>7.1199999999999999E-2</v>
      </c>
      <c r="F8528" s="5"/>
    </row>
    <row r="8529" spans="2:6" ht="13.8" hidden="1" outlineLevel="1">
      <c r="B8529" s="187">
        <v>34547</v>
      </c>
      <c r="C8529" s="188">
        <v>7.13</v>
      </c>
      <c r="D8529" s="104">
        <f t="shared" si="132"/>
        <v>7.1300000000000002E-2</v>
      </c>
      <c r="F8529" s="5"/>
    </row>
    <row r="8530" spans="2:6" ht="13.8" hidden="1" outlineLevel="1">
      <c r="B8530" s="187">
        <v>34548</v>
      </c>
      <c r="C8530" s="188">
        <v>7.11</v>
      </c>
      <c r="D8530" s="104">
        <f t="shared" si="132"/>
        <v>7.1099999999999997E-2</v>
      </c>
      <c r="F8530" s="5"/>
    </row>
    <row r="8531" spans="2:6" ht="13.8" hidden="1" outlineLevel="1">
      <c r="B8531" s="187">
        <v>34549</v>
      </c>
      <c r="C8531" s="188">
        <v>7.09</v>
      </c>
      <c r="D8531" s="104">
        <f t="shared" si="132"/>
        <v>7.0900000000000005E-2</v>
      </c>
      <c r="F8531" s="5"/>
    </row>
    <row r="8532" spans="2:6" ht="13.8" hidden="1" outlineLevel="1">
      <c r="B8532" s="187">
        <v>34550</v>
      </c>
      <c r="C8532" s="188">
        <v>7.12</v>
      </c>
      <c r="D8532" s="104">
        <f t="shared" si="132"/>
        <v>7.1199999999999999E-2</v>
      </c>
      <c r="F8532" s="5"/>
    </row>
    <row r="8533" spans="2:6" ht="13.8" hidden="1" outlineLevel="1">
      <c r="B8533" s="187">
        <v>34551</v>
      </c>
      <c r="C8533" s="188">
        <v>7.28</v>
      </c>
      <c r="D8533" s="104">
        <f t="shared" si="132"/>
        <v>7.2800000000000004E-2</v>
      </c>
      <c r="F8533" s="5"/>
    </row>
    <row r="8534" spans="2:6" ht="13.8" hidden="1" outlineLevel="1">
      <c r="B8534" s="187">
        <v>34554</v>
      </c>
      <c r="C8534" s="188">
        <v>7.28</v>
      </c>
      <c r="D8534" s="104">
        <f t="shared" si="132"/>
        <v>7.2800000000000004E-2</v>
      </c>
      <c r="F8534" s="5"/>
    </row>
    <row r="8535" spans="2:6" ht="13.8" hidden="1" outlineLevel="1">
      <c r="B8535" s="187">
        <v>34555</v>
      </c>
      <c r="C8535" s="188">
        <v>7.33</v>
      </c>
      <c r="D8535" s="104">
        <f t="shared" si="132"/>
        <v>7.3300000000000004E-2</v>
      </c>
      <c r="F8535" s="5"/>
    </row>
    <row r="8536" spans="2:6" ht="13.8" hidden="1" outlineLevel="1">
      <c r="B8536" s="187">
        <v>34556</v>
      </c>
      <c r="C8536" s="188">
        <v>7.3</v>
      </c>
      <c r="D8536" s="104">
        <f t="shared" si="132"/>
        <v>7.2999999999999995E-2</v>
      </c>
      <c r="F8536" s="5"/>
    </row>
    <row r="8537" spans="2:6" ht="13.8" hidden="1" outlineLevel="1">
      <c r="B8537" s="187">
        <v>34557</v>
      </c>
      <c r="C8537" s="188">
        <v>7.36</v>
      </c>
      <c r="D8537" s="104">
        <f t="shared" si="132"/>
        <v>7.3599999999999999E-2</v>
      </c>
      <c r="F8537" s="5"/>
    </row>
    <row r="8538" spans="2:6" ht="13.8" hidden="1" outlineLevel="1">
      <c r="B8538" s="187">
        <v>34558</v>
      </c>
      <c r="C8538" s="188">
        <v>7.27</v>
      </c>
      <c r="D8538" s="104">
        <f t="shared" si="132"/>
        <v>7.2700000000000001E-2</v>
      </c>
      <c r="F8538" s="5"/>
    </row>
    <row r="8539" spans="2:6" ht="13.8" hidden="1" outlineLevel="1">
      <c r="B8539" s="187">
        <v>34561</v>
      </c>
      <c r="C8539" s="188">
        <v>7.3</v>
      </c>
      <c r="D8539" s="104">
        <f t="shared" si="132"/>
        <v>7.2999999999999995E-2</v>
      </c>
      <c r="F8539" s="5"/>
    </row>
    <row r="8540" spans="2:6" ht="13.8" hidden="1" outlineLevel="1">
      <c r="B8540" s="187">
        <v>34562</v>
      </c>
      <c r="C8540" s="188">
        <v>7.19</v>
      </c>
      <c r="D8540" s="104">
        <f t="shared" si="132"/>
        <v>7.1900000000000006E-2</v>
      </c>
      <c r="F8540" s="5"/>
    </row>
    <row r="8541" spans="2:6" ht="13.8" hidden="1" outlineLevel="1">
      <c r="B8541" s="187">
        <v>34563</v>
      </c>
      <c r="C8541" s="188">
        <v>7.15</v>
      </c>
      <c r="D8541" s="104">
        <f t="shared" si="132"/>
        <v>7.1500000000000008E-2</v>
      </c>
      <c r="F8541" s="5"/>
    </row>
    <row r="8542" spans="2:6" ht="13.8" hidden="1" outlineLevel="1">
      <c r="B8542" s="187">
        <v>34564</v>
      </c>
      <c r="C8542" s="188">
        <v>7.28</v>
      </c>
      <c r="D8542" s="104">
        <f t="shared" ref="D8542:D8605" si="133">IF( LEN( C8542 ) = 0, #N/A, IF( C8542 = "ND", D8541, C8542 / 100 ) )</f>
        <v>7.2800000000000004E-2</v>
      </c>
      <c r="F8542" s="5"/>
    </row>
    <row r="8543" spans="2:6" ht="13.8" hidden="1" outlineLevel="1">
      <c r="B8543" s="187">
        <v>34565</v>
      </c>
      <c r="C8543" s="188">
        <v>7.27</v>
      </c>
      <c r="D8543" s="104">
        <f t="shared" si="133"/>
        <v>7.2700000000000001E-2</v>
      </c>
      <c r="F8543" s="5"/>
    </row>
    <row r="8544" spans="2:6" ht="13.8" hidden="1" outlineLevel="1">
      <c r="B8544" s="187">
        <v>34568</v>
      </c>
      <c r="C8544" s="188">
        <v>7.31</v>
      </c>
      <c r="D8544" s="104">
        <f t="shared" si="133"/>
        <v>7.3099999999999998E-2</v>
      </c>
      <c r="F8544" s="5"/>
    </row>
    <row r="8545" spans="2:6" ht="13.8" hidden="1" outlineLevel="1">
      <c r="B8545" s="187">
        <v>34569</v>
      </c>
      <c r="C8545" s="188">
        <v>7.28</v>
      </c>
      <c r="D8545" s="104">
        <f t="shared" si="133"/>
        <v>7.2800000000000004E-2</v>
      </c>
      <c r="F8545" s="5"/>
    </row>
    <row r="8546" spans="2:6" ht="13.8" hidden="1" outlineLevel="1">
      <c r="B8546" s="187">
        <v>34570</v>
      </c>
      <c r="C8546" s="188">
        <v>7.22</v>
      </c>
      <c r="D8546" s="104">
        <f t="shared" si="133"/>
        <v>7.22E-2</v>
      </c>
      <c r="F8546" s="5"/>
    </row>
    <row r="8547" spans="2:6" ht="13.8" hidden="1" outlineLevel="1">
      <c r="B8547" s="187">
        <v>34571</v>
      </c>
      <c r="C8547" s="188">
        <v>7.29</v>
      </c>
      <c r="D8547" s="104">
        <f t="shared" si="133"/>
        <v>7.2900000000000006E-2</v>
      </c>
      <c r="F8547" s="5"/>
    </row>
    <row r="8548" spans="2:6" ht="13.8" hidden="1" outlineLevel="1">
      <c r="B8548" s="187">
        <v>34572</v>
      </c>
      <c r="C8548" s="188">
        <v>7.24</v>
      </c>
      <c r="D8548" s="104">
        <f t="shared" si="133"/>
        <v>7.2400000000000006E-2</v>
      </c>
      <c r="F8548" s="5"/>
    </row>
    <row r="8549" spans="2:6" ht="13.8" hidden="1" outlineLevel="1">
      <c r="B8549" s="187">
        <v>34575</v>
      </c>
      <c r="C8549" s="188">
        <v>7.24</v>
      </c>
      <c r="D8549" s="104">
        <f t="shared" si="133"/>
        <v>7.2400000000000006E-2</v>
      </c>
      <c r="F8549" s="5"/>
    </row>
    <row r="8550" spans="2:6" ht="13.8" hidden="1" outlineLevel="1">
      <c r="B8550" s="187">
        <v>34576</v>
      </c>
      <c r="C8550" s="188">
        <v>7.2</v>
      </c>
      <c r="D8550" s="104">
        <f t="shared" si="133"/>
        <v>7.2000000000000008E-2</v>
      </c>
      <c r="F8550" s="5"/>
    </row>
    <row r="8551" spans="2:6" ht="13.8" hidden="1" outlineLevel="1">
      <c r="B8551" s="187">
        <v>34577</v>
      </c>
      <c r="C8551" s="188">
        <v>7.19</v>
      </c>
      <c r="D8551" s="104">
        <f t="shared" si="133"/>
        <v>7.1900000000000006E-2</v>
      </c>
      <c r="F8551" s="5"/>
    </row>
    <row r="8552" spans="2:6" ht="13.8" hidden="1" outlineLevel="1">
      <c r="B8552" s="187">
        <v>34578</v>
      </c>
      <c r="C8552" s="188">
        <v>7.19</v>
      </c>
      <c r="D8552" s="104">
        <f t="shared" si="133"/>
        <v>7.1900000000000006E-2</v>
      </c>
      <c r="F8552" s="5"/>
    </row>
    <row r="8553" spans="2:6" ht="13.8" hidden="1" outlineLevel="1">
      <c r="B8553" s="187">
        <v>34579</v>
      </c>
      <c r="C8553" s="188">
        <v>7.21</v>
      </c>
      <c r="D8553" s="104">
        <f t="shared" si="133"/>
        <v>7.2099999999999997E-2</v>
      </c>
      <c r="F8553" s="5"/>
    </row>
    <row r="8554" spans="2:6" ht="13.8" hidden="1" outlineLevel="1">
      <c r="B8554" s="187">
        <v>34582</v>
      </c>
      <c r="C8554" s="188" t="s">
        <v>380</v>
      </c>
      <c r="D8554" s="104">
        <f t="shared" si="133"/>
        <v>7.2099999999999997E-2</v>
      </c>
      <c r="F8554" s="5"/>
    </row>
    <row r="8555" spans="2:6" ht="13.8" hidden="1" outlineLevel="1">
      <c r="B8555" s="187">
        <v>34583</v>
      </c>
      <c r="C8555" s="188">
        <v>7.27</v>
      </c>
      <c r="D8555" s="104">
        <f t="shared" si="133"/>
        <v>7.2700000000000001E-2</v>
      </c>
      <c r="F8555" s="5"/>
    </row>
    <row r="8556" spans="2:6" ht="13.8" hidden="1" outlineLevel="1">
      <c r="B8556" s="187">
        <v>34584</v>
      </c>
      <c r="C8556" s="188">
        <v>7.29</v>
      </c>
      <c r="D8556" s="104">
        <f t="shared" si="133"/>
        <v>7.2900000000000006E-2</v>
      </c>
      <c r="F8556" s="5"/>
    </row>
    <row r="8557" spans="2:6" ht="13.8" hidden="1" outlineLevel="1">
      <c r="B8557" s="187">
        <v>34585</v>
      </c>
      <c r="C8557" s="188">
        <v>7.3</v>
      </c>
      <c r="D8557" s="104">
        <f t="shared" si="133"/>
        <v>7.2999999999999995E-2</v>
      </c>
      <c r="F8557" s="5"/>
    </row>
    <row r="8558" spans="2:6" ht="13.8" hidden="1" outlineLevel="1">
      <c r="B8558" s="187">
        <v>34586</v>
      </c>
      <c r="C8558" s="188">
        <v>7.44</v>
      </c>
      <c r="D8558" s="104">
        <f t="shared" si="133"/>
        <v>7.4400000000000008E-2</v>
      </c>
      <c r="F8558" s="5"/>
    </row>
    <row r="8559" spans="2:6" ht="13.8" hidden="1" outlineLevel="1">
      <c r="B8559" s="187">
        <v>34589</v>
      </c>
      <c r="C8559" s="188">
        <v>7.46</v>
      </c>
      <c r="D8559" s="104">
        <f t="shared" si="133"/>
        <v>7.46E-2</v>
      </c>
      <c r="F8559" s="5"/>
    </row>
    <row r="8560" spans="2:6" ht="13.8" hidden="1" outlineLevel="1">
      <c r="B8560" s="187">
        <v>34590</v>
      </c>
      <c r="C8560" s="188">
        <v>7.44</v>
      </c>
      <c r="D8560" s="104">
        <f t="shared" si="133"/>
        <v>7.4400000000000008E-2</v>
      </c>
      <c r="F8560" s="5"/>
    </row>
    <row r="8561" spans="2:6" ht="13.8" hidden="1" outlineLevel="1">
      <c r="B8561" s="187">
        <v>34591</v>
      </c>
      <c r="C8561" s="188">
        <v>7.41</v>
      </c>
      <c r="D8561" s="104">
        <f t="shared" si="133"/>
        <v>7.4099999999999999E-2</v>
      </c>
      <c r="F8561" s="5"/>
    </row>
    <row r="8562" spans="2:6" ht="13.8" hidden="1" outlineLevel="1">
      <c r="B8562" s="187">
        <v>34592</v>
      </c>
      <c r="C8562" s="188">
        <v>7.35</v>
      </c>
      <c r="D8562" s="104">
        <f t="shared" si="133"/>
        <v>7.3499999999999996E-2</v>
      </c>
      <c r="F8562" s="5"/>
    </row>
    <row r="8563" spans="2:6" ht="13.8" hidden="1" outlineLevel="1">
      <c r="B8563" s="187">
        <v>34593</v>
      </c>
      <c r="C8563" s="188">
        <v>7.52</v>
      </c>
      <c r="D8563" s="104">
        <f t="shared" si="133"/>
        <v>7.5199999999999989E-2</v>
      </c>
      <c r="F8563" s="5"/>
    </row>
    <row r="8564" spans="2:6" ht="13.8" hidden="1" outlineLevel="1">
      <c r="B8564" s="187">
        <v>34596</v>
      </c>
      <c r="C8564" s="188">
        <v>7.49</v>
      </c>
      <c r="D8564" s="104">
        <f t="shared" si="133"/>
        <v>7.4900000000000008E-2</v>
      </c>
      <c r="F8564" s="5"/>
    </row>
    <row r="8565" spans="2:6" ht="13.8" hidden="1" outlineLevel="1">
      <c r="B8565" s="187">
        <v>34597</v>
      </c>
      <c r="C8565" s="188">
        <v>7.53</v>
      </c>
      <c r="D8565" s="104">
        <f t="shared" si="133"/>
        <v>7.5300000000000006E-2</v>
      </c>
      <c r="F8565" s="5"/>
    </row>
    <row r="8566" spans="2:6" ht="13.8" hidden="1" outlineLevel="1">
      <c r="B8566" s="187">
        <v>34598</v>
      </c>
      <c r="C8566" s="188">
        <v>7.56</v>
      </c>
      <c r="D8566" s="104">
        <f t="shared" si="133"/>
        <v>7.5600000000000001E-2</v>
      </c>
      <c r="F8566" s="5"/>
    </row>
    <row r="8567" spans="2:6" ht="13.8" hidden="1" outlineLevel="1">
      <c r="B8567" s="187">
        <v>34599</v>
      </c>
      <c r="C8567" s="188">
        <v>7.56</v>
      </c>
      <c r="D8567" s="104">
        <f t="shared" si="133"/>
        <v>7.5600000000000001E-2</v>
      </c>
      <c r="F8567" s="5"/>
    </row>
    <row r="8568" spans="2:6" ht="13.8" hidden="1" outlineLevel="1">
      <c r="B8568" s="187">
        <v>34600</v>
      </c>
      <c r="C8568" s="188">
        <v>7.57</v>
      </c>
      <c r="D8568" s="104">
        <f t="shared" si="133"/>
        <v>7.5700000000000003E-2</v>
      </c>
      <c r="F8568" s="5"/>
    </row>
    <row r="8569" spans="2:6" ht="13.8" hidden="1" outlineLevel="1">
      <c r="B8569" s="187">
        <v>34603</v>
      </c>
      <c r="C8569" s="188">
        <v>7.57</v>
      </c>
      <c r="D8569" s="104">
        <f t="shared" si="133"/>
        <v>7.5700000000000003E-2</v>
      </c>
      <c r="F8569" s="5"/>
    </row>
    <row r="8570" spans="2:6" ht="13.8" hidden="1" outlineLevel="1">
      <c r="B8570" s="187">
        <v>34604</v>
      </c>
      <c r="C8570" s="188">
        <v>7.61</v>
      </c>
      <c r="D8570" s="104">
        <f t="shared" si="133"/>
        <v>7.6100000000000001E-2</v>
      </c>
      <c r="F8570" s="5"/>
    </row>
    <row r="8571" spans="2:6" ht="13.8" hidden="1" outlineLevel="1">
      <c r="B8571" s="187">
        <v>34605</v>
      </c>
      <c r="C8571" s="188">
        <v>7.57</v>
      </c>
      <c r="D8571" s="104">
        <f t="shared" si="133"/>
        <v>7.5700000000000003E-2</v>
      </c>
      <c r="F8571" s="5"/>
    </row>
    <row r="8572" spans="2:6" ht="13.8" hidden="1" outlineLevel="1">
      <c r="B8572" s="187">
        <v>34606</v>
      </c>
      <c r="C8572" s="188">
        <v>7.64</v>
      </c>
      <c r="D8572" s="104">
        <f t="shared" si="133"/>
        <v>7.6399999999999996E-2</v>
      </c>
      <c r="F8572" s="5"/>
    </row>
    <row r="8573" spans="2:6" ht="13.8" hidden="1" outlineLevel="1">
      <c r="B8573" s="187">
        <v>34607</v>
      </c>
      <c r="C8573" s="188">
        <v>7.62</v>
      </c>
      <c r="D8573" s="104">
        <f t="shared" si="133"/>
        <v>7.6200000000000004E-2</v>
      </c>
      <c r="F8573" s="5"/>
    </row>
    <row r="8574" spans="2:6" ht="13.8" hidden="1" outlineLevel="1">
      <c r="B8574" s="187">
        <v>34610</v>
      </c>
      <c r="C8574" s="188">
        <v>7.66</v>
      </c>
      <c r="D8574" s="104">
        <f t="shared" si="133"/>
        <v>7.6600000000000001E-2</v>
      </c>
      <c r="F8574" s="5"/>
    </row>
    <row r="8575" spans="2:6" ht="13.8" hidden="1" outlineLevel="1">
      <c r="B8575" s="187">
        <v>34611</v>
      </c>
      <c r="C8575" s="188">
        <v>7.7</v>
      </c>
      <c r="D8575" s="104">
        <f t="shared" si="133"/>
        <v>7.6999999999999999E-2</v>
      </c>
      <c r="F8575" s="5"/>
    </row>
    <row r="8576" spans="2:6" ht="13.8" hidden="1" outlineLevel="1">
      <c r="B8576" s="187">
        <v>34612</v>
      </c>
      <c r="C8576" s="188">
        <v>7.77</v>
      </c>
      <c r="D8576" s="104">
        <f t="shared" si="133"/>
        <v>7.7699999999999991E-2</v>
      </c>
      <c r="F8576" s="5"/>
    </row>
    <row r="8577" spans="2:6" ht="13.8" hidden="1" outlineLevel="1">
      <c r="B8577" s="187">
        <v>34613</v>
      </c>
      <c r="C8577" s="188">
        <v>7.78</v>
      </c>
      <c r="D8577" s="104">
        <f t="shared" si="133"/>
        <v>7.7800000000000008E-2</v>
      </c>
      <c r="F8577" s="5"/>
    </row>
    <row r="8578" spans="2:6" ht="13.8" hidden="1" outlineLevel="1">
      <c r="B8578" s="187">
        <v>34614</v>
      </c>
      <c r="C8578" s="188">
        <v>7.7</v>
      </c>
      <c r="D8578" s="104">
        <f t="shared" si="133"/>
        <v>7.6999999999999999E-2</v>
      </c>
      <c r="F8578" s="5"/>
    </row>
    <row r="8579" spans="2:6" ht="13.8" hidden="1" outlineLevel="1">
      <c r="B8579" s="187">
        <v>34617</v>
      </c>
      <c r="C8579" s="188" t="s">
        <v>380</v>
      </c>
      <c r="D8579" s="104">
        <f t="shared" si="133"/>
        <v>7.6999999999999999E-2</v>
      </c>
      <c r="F8579" s="5"/>
    </row>
    <row r="8580" spans="2:6" ht="13.8" hidden="1" outlineLevel="1">
      <c r="B8580" s="187">
        <v>34618</v>
      </c>
      <c r="C8580" s="188">
        <v>7.65</v>
      </c>
      <c r="D8580" s="104">
        <f t="shared" si="133"/>
        <v>7.6499999999999999E-2</v>
      </c>
      <c r="F8580" s="5"/>
    </row>
    <row r="8581" spans="2:6" ht="13.8" hidden="1" outlineLevel="1">
      <c r="B8581" s="187">
        <v>34619</v>
      </c>
      <c r="C8581" s="188">
        <v>7.69</v>
      </c>
      <c r="D8581" s="104">
        <f t="shared" si="133"/>
        <v>7.690000000000001E-2</v>
      </c>
      <c r="F8581" s="5"/>
    </row>
    <row r="8582" spans="2:6" ht="13.8" hidden="1" outlineLevel="1">
      <c r="B8582" s="187">
        <v>34620</v>
      </c>
      <c r="C8582" s="188">
        <v>7.64</v>
      </c>
      <c r="D8582" s="104">
        <f t="shared" si="133"/>
        <v>7.6399999999999996E-2</v>
      </c>
      <c r="F8582" s="5"/>
    </row>
    <row r="8583" spans="2:6" ht="13.8" hidden="1" outlineLevel="1">
      <c r="B8583" s="187">
        <v>34621</v>
      </c>
      <c r="C8583" s="188">
        <v>7.61</v>
      </c>
      <c r="D8583" s="104">
        <f t="shared" si="133"/>
        <v>7.6100000000000001E-2</v>
      </c>
      <c r="F8583" s="5"/>
    </row>
    <row r="8584" spans="2:6" ht="13.8" hidden="1" outlineLevel="1">
      <c r="B8584" s="187">
        <v>34624</v>
      </c>
      <c r="C8584" s="188">
        <v>7.62</v>
      </c>
      <c r="D8584" s="104">
        <f t="shared" si="133"/>
        <v>7.6200000000000004E-2</v>
      </c>
      <c r="F8584" s="5"/>
    </row>
    <row r="8585" spans="2:6" ht="13.8" hidden="1" outlineLevel="1">
      <c r="B8585" s="187">
        <v>34625</v>
      </c>
      <c r="C8585" s="188">
        <v>7.64</v>
      </c>
      <c r="D8585" s="104">
        <f t="shared" si="133"/>
        <v>7.6399999999999996E-2</v>
      </c>
      <c r="F8585" s="5"/>
    </row>
    <row r="8586" spans="2:6" ht="13.8" hidden="1" outlineLevel="1">
      <c r="B8586" s="187">
        <v>34626</v>
      </c>
      <c r="C8586" s="188">
        <v>7.68</v>
      </c>
      <c r="D8586" s="104">
        <f t="shared" si="133"/>
        <v>7.6799999999999993E-2</v>
      </c>
      <c r="F8586" s="5"/>
    </row>
    <row r="8587" spans="2:6" ht="13.8" hidden="1" outlineLevel="1">
      <c r="B8587" s="187">
        <v>34627</v>
      </c>
      <c r="C8587" s="188">
        <v>7.8</v>
      </c>
      <c r="D8587" s="104">
        <f t="shared" si="133"/>
        <v>7.8E-2</v>
      </c>
      <c r="F8587" s="5"/>
    </row>
    <row r="8588" spans="2:6" ht="13.8" hidden="1" outlineLevel="1">
      <c r="B8588" s="187">
        <v>34628</v>
      </c>
      <c r="C8588" s="188">
        <v>7.81</v>
      </c>
      <c r="D8588" s="104">
        <f t="shared" si="133"/>
        <v>7.8100000000000003E-2</v>
      </c>
      <c r="F8588" s="5"/>
    </row>
    <row r="8589" spans="2:6" ht="13.8" hidden="1" outlineLevel="1">
      <c r="B8589" s="187">
        <v>34631</v>
      </c>
      <c r="C8589" s="188">
        <v>7.86</v>
      </c>
      <c r="D8589" s="104">
        <f t="shared" si="133"/>
        <v>7.8600000000000003E-2</v>
      </c>
      <c r="F8589" s="5"/>
    </row>
    <row r="8590" spans="2:6" ht="13.8" hidden="1" outlineLevel="1">
      <c r="B8590" s="187">
        <v>34632</v>
      </c>
      <c r="C8590" s="188">
        <v>7.88</v>
      </c>
      <c r="D8590" s="104">
        <f t="shared" si="133"/>
        <v>7.8799999999999995E-2</v>
      </c>
      <c r="F8590" s="5"/>
    </row>
    <row r="8591" spans="2:6" ht="13.8" hidden="1" outlineLevel="1">
      <c r="B8591" s="187">
        <v>34633</v>
      </c>
      <c r="C8591" s="188">
        <v>7.88</v>
      </c>
      <c r="D8591" s="104">
        <f t="shared" si="133"/>
        <v>7.8799999999999995E-2</v>
      </c>
      <c r="F8591" s="5"/>
    </row>
    <row r="8592" spans="2:6" ht="13.8" hidden="1" outlineLevel="1">
      <c r="B8592" s="187">
        <v>34634</v>
      </c>
      <c r="C8592" s="188">
        <v>7.88</v>
      </c>
      <c r="D8592" s="104">
        <f t="shared" si="133"/>
        <v>7.8799999999999995E-2</v>
      </c>
      <c r="F8592" s="5"/>
    </row>
    <row r="8593" spans="2:6" ht="13.8" hidden="1" outlineLevel="1">
      <c r="B8593" s="187">
        <v>34635</v>
      </c>
      <c r="C8593" s="188">
        <v>7.82</v>
      </c>
      <c r="D8593" s="104">
        <f t="shared" si="133"/>
        <v>7.8200000000000006E-2</v>
      </c>
      <c r="F8593" s="5"/>
    </row>
    <row r="8594" spans="2:6" ht="13.8" hidden="1" outlineLevel="1">
      <c r="B8594" s="187">
        <v>34638</v>
      </c>
      <c r="C8594" s="188">
        <v>7.81</v>
      </c>
      <c r="D8594" s="104">
        <f t="shared" si="133"/>
        <v>7.8100000000000003E-2</v>
      </c>
      <c r="F8594" s="5"/>
    </row>
    <row r="8595" spans="2:6" ht="13.8" hidden="1" outlineLevel="1">
      <c r="B8595" s="187">
        <v>34639</v>
      </c>
      <c r="C8595" s="188">
        <v>7.91</v>
      </c>
      <c r="D8595" s="104">
        <f t="shared" si="133"/>
        <v>7.9100000000000004E-2</v>
      </c>
      <c r="F8595" s="5"/>
    </row>
    <row r="8596" spans="2:6" ht="13.8" hidden="1" outlineLevel="1">
      <c r="B8596" s="187">
        <v>34640</v>
      </c>
      <c r="C8596" s="188">
        <v>7.96</v>
      </c>
      <c r="D8596" s="104">
        <f t="shared" si="133"/>
        <v>7.9600000000000004E-2</v>
      </c>
      <c r="F8596" s="5"/>
    </row>
    <row r="8597" spans="2:6" ht="13.8" hidden="1" outlineLevel="1">
      <c r="B8597" s="187">
        <v>34641</v>
      </c>
      <c r="C8597" s="188">
        <v>7.96</v>
      </c>
      <c r="D8597" s="104">
        <f t="shared" si="133"/>
        <v>7.9600000000000004E-2</v>
      </c>
      <c r="F8597" s="5"/>
    </row>
    <row r="8598" spans="2:6" ht="13.8" hidden="1" outlineLevel="1">
      <c r="B8598" s="187">
        <v>34642</v>
      </c>
      <c r="C8598" s="188">
        <v>8.0399999999999991</v>
      </c>
      <c r="D8598" s="104">
        <f t="shared" si="133"/>
        <v>8.0399999999999985E-2</v>
      </c>
      <c r="F8598" s="5"/>
    </row>
    <row r="8599" spans="2:6" ht="13.8" hidden="1" outlineLevel="1">
      <c r="B8599" s="187">
        <v>34645</v>
      </c>
      <c r="C8599" s="188">
        <v>8.0500000000000007</v>
      </c>
      <c r="D8599" s="104">
        <f t="shared" si="133"/>
        <v>8.0500000000000002E-2</v>
      </c>
      <c r="F8599" s="5"/>
    </row>
    <row r="8600" spans="2:6" ht="13.8" hidden="1" outlineLevel="1">
      <c r="B8600" s="187">
        <v>34646</v>
      </c>
      <c r="C8600" s="188">
        <v>8.01</v>
      </c>
      <c r="D8600" s="104">
        <f t="shared" si="133"/>
        <v>8.0100000000000005E-2</v>
      </c>
      <c r="F8600" s="5"/>
    </row>
    <row r="8601" spans="2:6" ht="13.8" hidden="1" outlineLevel="1">
      <c r="B8601" s="187">
        <v>34647</v>
      </c>
      <c r="C8601" s="188">
        <v>7.94</v>
      </c>
      <c r="D8601" s="104">
        <f t="shared" si="133"/>
        <v>7.9399999999999998E-2</v>
      </c>
      <c r="F8601" s="5"/>
    </row>
    <row r="8602" spans="2:6" ht="13.8" hidden="1" outlineLevel="1">
      <c r="B8602" s="187">
        <v>34648</v>
      </c>
      <c r="C8602" s="188">
        <v>7.98</v>
      </c>
      <c r="D8602" s="104">
        <f t="shared" si="133"/>
        <v>7.980000000000001E-2</v>
      </c>
      <c r="F8602" s="5"/>
    </row>
    <row r="8603" spans="2:6" ht="13.8" hidden="1" outlineLevel="1">
      <c r="B8603" s="187">
        <v>34649</v>
      </c>
      <c r="C8603" s="188" t="s">
        <v>380</v>
      </c>
      <c r="D8603" s="104">
        <f t="shared" si="133"/>
        <v>7.980000000000001E-2</v>
      </c>
      <c r="F8603" s="5"/>
    </row>
    <row r="8604" spans="2:6" ht="13.8" hidden="1" outlineLevel="1">
      <c r="B8604" s="187">
        <v>34652</v>
      </c>
      <c r="C8604" s="188">
        <v>7.94</v>
      </c>
      <c r="D8604" s="104">
        <f t="shared" si="133"/>
        <v>7.9399999999999998E-2</v>
      </c>
      <c r="F8604" s="5"/>
    </row>
    <row r="8605" spans="2:6" ht="13.8" hidden="1" outlineLevel="1">
      <c r="B8605" s="187">
        <v>34653</v>
      </c>
      <c r="C8605" s="188">
        <v>7.92</v>
      </c>
      <c r="D8605" s="104">
        <f t="shared" si="133"/>
        <v>7.9199999999999993E-2</v>
      </c>
      <c r="F8605" s="5"/>
    </row>
    <row r="8606" spans="2:6" ht="13.8" hidden="1" outlineLevel="1">
      <c r="B8606" s="187">
        <v>34654</v>
      </c>
      <c r="C8606" s="188">
        <v>7.97</v>
      </c>
      <c r="D8606" s="104">
        <f t="shared" ref="D8606:D8669" si="134">IF( LEN( C8606 ) = 0, #N/A, IF( C8606 = "ND", D8605, C8606 / 100 ) )</f>
        <v>7.9699999999999993E-2</v>
      </c>
      <c r="F8606" s="5"/>
    </row>
    <row r="8607" spans="2:6" ht="13.8" hidden="1" outlineLevel="1">
      <c r="B8607" s="187">
        <v>34655</v>
      </c>
      <c r="C8607" s="188">
        <v>8.0299999999999994</v>
      </c>
      <c r="D8607" s="104">
        <f t="shared" si="134"/>
        <v>8.0299999999999996E-2</v>
      </c>
      <c r="F8607" s="5"/>
    </row>
    <row r="8608" spans="2:6" ht="13.8" hidden="1" outlineLevel="1">
      <c r="B8608" s="187">
        <v>34656</v>
      </c>
      <c r="C8608" s="188">
        <v>8.01</v>
      </c>
      <c r="D8608" s="104">
        <f t="shared" si="134"/>
        <v>8.0100000000000005E-2</v>
      </c>
      <c r="F8608" s="5"/>
    </row>
    <row r="8609" spans="2:6" ht="13.8" hidden="1" outlineLevel="1">
      <c r="B8609" s="187">
        <v>34659</v>
      </c>
      <c r="C8609" s="188">
        <v>8.0299999999999994</v>
      </c>
      <c r="D8609" s="104">
        <f t="shared" si="134"/>
        <v>8.0299999999999996E-2</v>
      </c>
      <c r="F8609" s="5"/>
    </row>
    <row r="8610" spans="2:6" ht="13.8" hidden="1" outlineLevel="1">
      <c r="B8610" s="187">
        <v>34660</v>
      </c>
      <c r="C8610" s="188">
        <v>8</v>
      </c>
      <c r="D8610" s="104">
        <f t="shared" si="134"/>
        <v>0.08</v>
      </c>
      <c r="F8610" s="5"/>
    </row>
    <row r="8611" spans="2:6" ht="13.8" hidden="1" outlineLevel="1">
      <c r="B8611" s="187">
        <v>34661</v>
      </c>
      <c r="C8611" s="188">
        <v>7.81</v>
      </c>
      <c r="D8611" s="104">
        <f t="shared" si="134"/>
        <v>7.8100000000000003E-2</v>
      </c>
      <c r="F8611" s="5"/>
    </row>
    <row r="8612" spans="2:6" ht="13.8" hidden="1" outlineLevel="1">
      <c r="B8612" s="187">
        <v>34662</v>
      </c>
      <c r="C8612" s="188" t="s">
        <v>380</v>
      </c>
      <c r="D8612" s="104">
        <f t="shared" si="134"/>
        <v>7.8100000000000003E-2</v>
      </c>
      <c r="F8612" s="5"/>
    </row>
    <row r="8613" spans="2:6" ht="13.8" hidden="1" outlineLevel="1">
      <c r="B8613" s="187">
        <v>34663</v>
      </c>
      <c r="C8613" s="188">
        <v>7.8</v>
      </c>
      <c r="D8613" s="104">
        <f t="shared" si="134"/>
        <v>7.8E-2</v>
      </c>
      <c r="F8613" s="5"/>
    </row>
    <row r="8614" spans="2:6" ht="13.8" hidden="1" outlineLevel="1">
      <c r="B8614" s="187">
        <v>34666</v>
      </c>
      <c r="C8614" s="188">
        <v>7.88</v>
      </c>
      <c r="D8614" s="104">
        <f t="shared" si="134"/>
        <v>7.8799999999999995E-2</v>
      </c>
      <c r="F8614" s="5"/>
    </row>
    <row r="8615" spans="2:6" ht="13.8" hidden="1" outlineLevel="1">
      <c r="B8615" s="187">
        <v>34667</v>
      </c>
      <c r="C8615" s="188">
        <v>7.95</v>
      </c>
      <c r="D8615" s="104">
        <f t="shared" si="134"/>
        <v>7.9500000000000001E-2</v>
      </c>
      <c r="F8615" s="5"/>
    </row>
    <row r="8616" spans="2:6" ht="13.8" hidden="1" outlineLevel="1">
      <c r="B8616" s="187">
        <v>34668</v>
      </c>
      <c r="C8616" s="188">
        <v>7.91</v>
      </c>
      <c r="D8616" s="104">
        <f t="shared" si="134"/>
        <v>7.9100000000000004E-2</v>
      </c>
      <c r="F8616" s="5"/>
    </row>
    <row r="8617" spans="2:6" ht="13.8" hidden="1" outlineLevel="1">
      <c r="B8617" s="187">
        <v>34669</v>
      </c>
      <c r="C8617" s="188">
        <v>7.92</v>
      </c>
      <c r="D8617" s="104">
        <f t="shared" si="134"/>
        <v>7.9199999999999993E-2</v>
      </c>
      <c r="F8617" s="5"/>
    </row>
    <row r="8618" spans="2:6" ht="13.8" hidden="1" outlineLevel="1">
      <c r="B8618" s="187">
        <v>34670</v>
      </c>
      <c r="C8618" s="188">
        <v>7.81</v>
      </c>
      <c r="D8618" s="104">
        <f t="shared" si="134"/>
        <v>7.8100000000000003E-2</v>
      </c>
      <c r="F8618" s="5"/>
    </row>
    <row r="8619" spans="2:6" ht="13.8" hidden="1" outlineLevel="1">
      <c r="B8619" s="187">
        <v>34673</v>
      </c>
      <c r="C8619" s="188">
        <v>7.83</v>
      </c>
      <c r="D8619" s="104">
        <f t="shared" si="134"/>
        <v>7.8299999999999995E-2</v>
      </c>
      <c r="F8619" s="5"/>
    </row>
    <row r="8620" spans="2:6" ht="13.8" hidden="1" outlineLevel="1">
      <c r="B8620" s="187">
        <v>34674</v>
      </c>
      <c r="C8620" s="188">
        <v>7.73</v>
      </c>
      <c r="D8620" s="104">
        <f t="shared" si="134"/>
        <v>7.7300000000000008E-2</v>
      </c>
      <c r="F8620" s="5"/>
    </row>
    <row r="8621" spans="2:6" ht="13.8" hidden="1" outlineLevel="1">
      <c r="B8621" s="187">
        <v>34675</v>
      </c>
      <c r="C8621" s="188">
        <v>7.81</v>
      </c>
      <c r="D8621" s="104">
        <f t="shared" si="134"/>
        <v>7.8100000000000003E-2</v>
      </c>
      <c r="F8621" s="5"/>
    </row>
    <row r="8622" spans="2:6" ht="13.8" hidden="1" outlineLevel="1">
      <c r="B8622" s="187">
        <v>34676</v>
      </c>
      <c r="C8622" s="188">
        <v>7.79</v>
      </c>
      <c r="D8622" s="104">
        <f t="shared" si="134"/>
        <v>7.7899999999999997E-2</v>
      </c>
      <c r="F8622" s="5"/>
    </row>
    <row r="8623" spans="2:6" ht="13.8" hidden="1" outlineLevel="1">
      <c r="B8623" s="187">
        <v>34677</v>
      </c>
      <c r="C8623" s="188">
        <v>7.79</v>
      </c>
      <c r="D8623" s="104">
        <f t="shared" si="134"/>
        <v>7.7899999999999997E-2</v>
      </c>
      <c r="F8623" s="5"/>
    </row>
    <row r="8624" spans="2:6" ht="13.8" hidden="1" outlineLevel="1">
      <c r="B8624" s="187">
        <v>34680</v>
      </c>
      <c r="C8624" s="188">
        <v>7.85</v>
      </c>
      <c r="D8624" s="104">
        <f t="shared" si="134"/>
        <v>7.85E-2</v>
      </c>
      <c r="F8624" s="5"/>
    </row>
    <row r="8625" spans="2:6" ht="13.8" hidden="1" outlineLevel="1">
      <c r="B8625" s="187">
        <v>34681</v>
      </c>
      <c r="C8625" s="188">
        <v>7.83</v>
      </c>
      <c r="D8625" s="104">
        <f t="shared" si="134"/>
        <v>7.8299999999999995E-2</v>
      </c>
      <c r="F8625" s="5"/>
    </row>
    <row r="8626" spans="2:6" ht="13.8" hidden="1" outlineLevel="1">
      <c r="B8626" s="187">
        <v>34682</v>
      </c>
      <c r="C8626" s="188">
        <v>7.8</v>
      </c>
      <c r="D8626" s="104">
        <f t="shared" si="134"/>
        <v>7.8E-2</v>
      </c>
      <c r="F8626" s="5"/>
    </row>
    <row r="8627" spans="2:6" ht="13.8" hidden="1" outlineLevel="1">
      <c r="B8627" s="187">
        <v>34683</v>
      </c>
      <c r="C8627" s="188">
        <v>7.79</v>
      </c>
      <c r="D8627" s="104">
        <f t="shared" si="134"/>
        <v>7.7899999999999997E-2</v>
      </c>
      <c r="F8627" s="5"/>
    </row>
    <row r="8628" spans="2:6" ht="13.8" hidden="1" outlineLevel="1">
      <c r="B8628" s="187">
        <v>34684</v>
      </c>
      <c r="C8628" s="188">
        <v>7.81</v>
      </c>
      <c r="D8628" s="104">
        <f t="shared" si="134"/>
        <v>7.8100000000000003E-2</v>
      </c>
      <c r="F8628" s="5"/>
    </row>
    <row r="8629" spans="2:6" ht="13.8" hidden="1" outlineLevel="1">
      <c r="B8629" s="187">
        <v>34687</v>
      </c>
      <c r="C8629" s="188">
        <v>7.81</v>
      </c>
      <c r="D8629" s="104">
        <f t="shared" si="134"/>
        <v>7.8100000000000003E-2</v>
      </c>
      <c r="F8629" s="5"/>
    </row>
    <row r="8630" spans="2:6" ht="13.8" hidden="1" outlineLevel="1">
      <c r="B8630" s="187">
        <v>34688</v>
      </c>
      <c r="C8630" s="188">
        <v>7.81</v>
      </c>
      <c r="D8630" s="104">
        <f t="shared" si="134"/>
        <v>7.8100000000000003E-2</v>
      </c>
      <c r="F8630" s="5"/>
    </row>
    <row r="8631" spans="2:6" ht="13.8" hidden="1" outlineLevel="1">
      <c r="B8631" s="187">
        <v>34689</v>
      </c>
      <c r="C8631" s="188">
        <v>7.8</v>
      </c>
      <c r="D8631" s="104">
        <f t="shared" si="134"/>
        <v>7.8E-2</v>
      </c>
      <c r="F8631" s="5"/>
    </row>
    <row r="8632" spans="2:6" ht="13.8" hidden="1" outlineLevel="1">
      <c r="B8632" s="187">
        <v>34690</v>
      </c>
      <c r="C8632" s="188">
        <v>7.84</v>
      </c>
      <c r="D8632" s="104">
        <f t="shared" si="134"/>
        <v>7.8399999999999997E-2</v>
      </c>
      <c r="F8632" s="5"/>
    </row>
    <row r="8633" spans="2:6" ht="13.8" hidden="1" outlineLevel="1">
      <c r="B8633" s="187">
        <v>34691</v>
      </c>
      <c r="C8633" s="188">
        <v>7.85</v>
      </c>
      <c r="D8633" s="104">
        <f t="shared" si="134"/>
        <v>7.85E-2</v>
      </c>
      <c r="F8633" s="5"/>
    </row>
    <row r="8634" spans="2:6" ht="13.8" hidden="1" outlineLevel="1">
      <c r="B8634" s="187">
        <v>34694</v>
      </c>
      <c r="C8634" s="188" t="s">
        <v>380</v>
      </c>
      <c r="D8634" s="104">
        <f t="shared" si="134"/>
        <v>7.85E-2</v>
      </c>
      <c r="F8634" s="5"/>
    </row>
    <row r="8635" spans="2:6" ht="13.8" hidden="1" outlineLevel="1">
      <c r="B8635" s="187">
        <v>34695</v>
      </c>
      <c r="C8635" s="188">
        <v>7.76</v>
      </c>
      <c r="D8635" s="104">
        <f t="shared" si="134"/>
        <v>7.7600000000000002E-2</v>
      </c>
      <c r="F8635" s="5"/>
    </row>
    <row r="8636" spans="2:6" ht="13.8" hidden="1" outlineLevel="1">
      <c r="B8636" s="187">
        <v>34696</v>
      </c>
      <c r="C8636" s="188">
        <v>7.8</v>
      </c>
      <c r="D8636" s="104">
        <f t="shared" si="134"/>
        <v>7.8E-2</v>
      </c>
      <c r="F8636" s="5"/>
    </row>
    <row r="8637" spans="2:6" ht="13.8" hidden="1" outlineLevel="1">
      <c r="B8637" s="187">
        <v>34697</v>
      </c>
      <c r="C8637" s="188">
        <v>7.82</v>
      </c>
      <c r="D8637" s="104">
        <f t="shared" si="134"/>
        <v>7.8200000000000006E-2</v>
      </c>
      <c r="F8637" s="5"/>
    </row>
    <row r="8638" spans="2:6" ht="13.8" hidden="1" outlineLevel="1">
      <c r="B8638" s="187">
        <v>34698</v>
      </c>
      <c r="C8638" s="188">
        <v>7.84</v>
      </c>
      <c r="D8638" s="104">
        <f t="shared" si="134"/>
        <v>7.8399999999999997E-2</v>
      </c>
      <c r="F8638" s="5"/>
    </row>
    <row r="8639" spans="2:6" ht="13.8" hidden="1" outlineLevel="1">
      <c r="B8639" s="187">
        <v>34701</v>
      </c>
      <c r="C8639" s="188" t="s">
        <v>380</v>
      </c>
      <c r="D8639" s="104">
        <f t="shared" si="134"/>
        <v>7.8399999999999997E-2</v>
      </c>
      <c r="F8639" s="5"/>
    </row>
    <row r="8640" spans="2:6" ht="13.8" hidden="1" outlineLevel="1">
      <c r="B8640" s="187">
        <v>34702</v>
      </c>
      <c r="C8640" s="188">
        <v>7.88</v>
      </c>
      <c r="D8640" s="104">
        <f t="shared" si="134"/>
        <v>7.8799999999999995E-2</v>
      </c>
      <c r="F8640" s="5"/>
    </row>
    <row r="8641" spans="2:6" ht="13.8" hidden="1" outlineLevel="1">
      <c r="B8641" s="187">
        <v>34703</v>
      </c>
      <c r="C8641" s="188">
        <v>7.82</v>
      </c>
      <c r="D8641" s="104">
        <f t="shared" si="134"/>
        <v>7.8200000000000006E-2</v>
      </c>
      <c r="F8641" s="5"/>
    </row>
    <row r="8642" spans="2:6" ht="13.8" hidden="1" outlineLevel="1">
      <c r="B8642" s="187">
        <v>34704</v>
      </c>
      <c r="C8642" s="188">
        <v>7.88</v>
      </c>
      <c r="D8642" s="104">
        <f t="shared" si="134"/>
        <v>7.8799999999999995E-2</v>
      </c>
      <c r="F8642" s="5"/>
    </row>
    <row r="8643" spans="2:6" ht="13.8" hidden="1" outlineLevel="1">
      <c r="B8643" s="187">
        <v>34705</v>
      </c>
      <c r="C8643" s="188">
        <v>7.87</v>
      </c>
      <c r="D8643" s="104">
        <f t="shared" si="134"/>
        <v>7.8700000000000006E-2</v>
      </c>
      <c r="F8643" s="5"/>
    </row>
    <row r="8644" spans="2:6" ht="13.8" hidden="1" outlineLevel="1">
      <c r="B8644" s="187">
        <v>34708</v>
      </c>
      <c r="C8644" s="188">
        <v>7.89</v>
      </c>
      <c r="D8644" s="104">
        <f t="shared" si="134"/>
        <v>7.8899999999999998E-2</v>
      </c>
      <c r="F8644" s="5"/>
    </row>
    <row r="8645" spans="2:6" ht="13.8" hidden="1" outlineLevel="1">
      <c r="B8645" s="187">
        <v>34709</v>
      </c>
      <c r="C8645" s="188">
        <v>7.84</v>
      </c>
      <c r="D8645" s="104">
        <f t="shared" si="134"/>
        <v>7.8399999999999997E-2</v>
      </c>
      <c r="F8645" s="5"/>
    </row>
    <row r="8646" spans="2:6" ht="13.8" hidden="1" outlineLevel="1">
      <c r="B8646" s="187">
        <v>34710</v>
      </c>
      <c r="C8646" s="188">
        <v>7.79</v>
      </c>
      <c r="D8646" s="104">
        <f t="shared" si="134"/>
        <v>7.7899999999999997E-2</v>
      </c>
      <c r="F8646" s="5"/>
    </row>
    <row r="8647" spans="2:6" ht="13.8" hidden="1" outlineLevel="1">
      <c r="B8647" s="187">
        <v>34711</v>
      </c>
      <c r="C8647" s="188">
        <v>7.8</v>
      </c>
      <c r="D8647" s="104">
        <f t="shared" si="134"/>
        <v>7.8E-2</v>
      </c>
      <c r="F8647" s="5"/>
    </row>
    <row r="8648" spans="2:6" ht="13.8" hidden="1" outlineLevel="1">
      <c r="B8648" s="187">
        <v>34712</v>
      </c>
      <c r="C8648" s="188">
        <v>7.69</v>
      </c>
      <c r="D8648" s="104">
        <f t="shared" si="134"/>
        <v>7.690000000000001E-2</v>
      </c>
      <c r="F8648" s="5"/>
    </row>
    <row r="8649" spans="2:6" ht="13.8" hidden="1" outlineLevel="1">
      <c r="B8649" s="187">
        <v>34715</v>
      </c>
      <c r="C8649" s="188" t="s">
        <v>380</v>
      </c>
      <c r="D8649" s="104">
        <f t="shared" si="134"/>
        <v>7.690000000000001E-2</v>
      </c>
      <c r="F8649" s="5"/>
    </row>
    <row r="8650" spans="2:6" ht="13.8" hidden="1" outlineLevel="1">
      <c r="B8650" s="187">
        <v>34716</v>
      </c>
      <c r="C8650" s="188">
        <v>7.7</v>
      </c>
      <c r="D8650" s="104">
        <f t="shared" si="134"/>
        <v>7.6999999999999999E-2</v>
      </c>
      <c r="F8650" s="5"/>
    </row>
    <row r="8651" spans="2:6" ht="13.8" hidden="1" outlineLevel="1">
      <c r="B8651" s="187">
        <v>34717</v>
      </c>
      <c r="C8651" s="188">
        <v>7.71</v>
      </c>
      <c r="D8651" s="104">
        <f t="shared" si="134"/>
        <v>7.7100000000000002E-2</v>
      </c>
      <c r="F8651" s="5"/>
    </row>
    <row r="8652" spans="2:6" ht="13.8" hidden="1" outlineLevel="1">
      <c r="B8652" s="187">
        <v>34718</v>
      </c>
      <c r="C8652" s="188">
        <v>7.74</v>
      </c>
      <c r="D8652" s="104">
        <f t="shared" si="134"/>
        <v>7.7399999999999997E-2</v>
      </c>
      <c r="F8652" s="5"/>
    </row>
    <row r="8653" spans="2:6" ht="13.8" hidden="1" outlineLevel="1">
      <c r="B8653" s="187">
        <v>34719</v>
      </c>
      <c r="C8653" s="188">
        <v>7.82</v>
      </c>
      <c r="D8653" s="104">
        <f t="shared" si="134"/>
        <v>7.8200000000000006E-2</v>
      </c>
      <c r="F8653" s="5"/>
    </row>
    <row r="8654" spans="2:6" ht="13.8" hidden="1" outlineLevel="1">
      <c r="B8654" s="187">
        <v>34722</v>
      </c>
      <c r="C8654" s="188">
        <v>7.83</v>
      </c>
      <c r="D8654" s="104">
        <f t="shared" si="134"/>
        <v>7.8299999999999995E-2</v>
      </c>
      <c r="F8654" s="5"/>
    </row>
    <row r="8655" spans="2:6" ht="13.8" hidden="1" outlineLevel="1">
      <c r="B8655" s="187">
        <v>34723</v>
      </c>
      <c r="C8655" s="188">
        <v>7.86</v>
      </c>
      <c r="D8655" s="104">
        <f t="shared" si="134"/>
        <v>7.8600000000000003E-2</v>
      </c>
      <c r="F8655" s="5"/>
    </row>
    <row r="8656" spans="2:6" ht="13.8" hidden="1" outlineLevel="1">
      <c r="B8656" s="187">
        <v>34724</v>
      </c>
      <c r="C8656" s="188">
        <v>7.8</v>
      </c>
      <c r="D8656" s="104">
        <f t="shared" si="134"/>
        <v>7.8E-2</v>
      </c>
      <c r="F8656" s="5"/>
    </row>
    <row r="8657" spans="2:6" ht="13.8" hidden="1" outlineLevel="1">
      <c r="B8657" s="187">
        <v>34725</v>
      </c>
      <c r="C8657" s="188">
        <v>7.76</v>
      </c>
      <c r="D8657" s="104">
        <f t="shared" si="134"/>
        <v>7.7600000000000002E-2</v>
      </c>
      <c r="F8657" s="5"/>
    </row>
    <row r="8658" spans="2:6" ht="13.8" hidden="1" outlineLevel="1">
      <c r="B8658" s="187">
        <v>34726</v>
      </c>
      <c r="C8658" s="188">
        <v>7.66</v>
      </c>
      <c r="D8658" s="104">
        <f t="shared" si="134"/>
        <v>7.6600000000000001E-2</v>
      </c>
      <c r="F8658" s="5"/>
    </row>
    <row r="8659" spans="2:6" ht="13.8" hidden="1" outlineLevel="1">
      <c r="B8659" s="187">
        <v>34729</v>
      </c>
      <c r="C8659" s="188">
        <v>7.65</v>
      </c>
      <c r="D8659" s="104">
        <f t="shared" si="134"/>
        <v>7.6499999999999999E-2</v>
      </c>
      <c r="F8659" s="5"/>
    </row>
    <row r="8660" spans="2:6" ht="13.8" hidden="1" outlineLevel="1">
      <c r="B8660" s="187">
        <v>34730</v>
      </c>
      <c r="C8660" s="188">
        <v>7.6</v>
      </c>
      <c r="D8660" s="104">
        <f t="shared" si="134"/>
        <v>7.5999999999999998E-2</v>
      </c>
      <c r="F8660" s="5"/>
    </row>
    <row r="8661" spans="2:6" ht="13.8" hidden="1" outlineLevel="1">
      <c r="B8661" s="187">
        <v>34731</v>
      </c>
      <c r="C8661" s="188">
        <v>7.66</v>
      </c>
      <c r="D8661" s="104">
        <f t="shared" si="134"/>
        <v>7.6600000000000001E-2</v>
      </c>
      <c r="F8661" s="5"/>
    </row>
    <row r="8662" spans="2:6" ht="13.8" hidden="1" outlineLevel="1">
      <c r="B8662" s="187">
        <v>34732</v>
      </c>
      <c r="C8662" s="188">
        <v>7.68</v>
      </c>
      <c r="D8662" s="104">
        <f t="shared" si="134"/>
        <v>7.6799999999999993E-2</v>
      </c>
      <c r="F8662" s="5"/>
    </row>
    <row r="8663" spans="2:6" ht="13.8" hidden="1" outlineLevel="1">
      <c r="B8663" s="187">
        <v>34733</v>
      </c>
      <c r="C8663" s="188">
        <v>7.49</v>
      </c>
      <c r="D8663" s="104">
        <f t="shared" si="134"/>
        <v>7.4900000000000008E-2</v>
      </c>
      <c r="F8663" s="5"/>
    </row>
    <row r="8664" spans="2:6" ht="13.8" hidden="1" outlineLevel="1">
      <c r="B8664" s="187">
        <v>34736</v>
      </c>
      <c r="C8664" s="188">
        <v>7.53</v>
      </c>
      <c r="D8664" s="104">
        <f t="shared" si="134"/>
        <v>7.5300000000000006E-2</v>
      </c>
      <c r="F8664" s="5"/>
    </row>
    <row r="8665" spans="2:6" ht="13.8" hidden="1" outlineLevel="1">
      <c r="B8665" s="187">
        <v>34737</v>
      </c>
      <c r="C8665" s="188">
        <v>7.52</v>
      </c>
      <c r="D8665" s="104">
        <f t="shared" si="134"/>
        <v>7.5199999999999989E-2</v>
      </c>
      <c r="F8665" s="5"/>
    </row>
    <row r="8666" spans="2:6" ht="13.8" hidden="1" outlineLevel="1">
      <c r="B8666" s="187">
        <v>34738</v>
      </c>
      <c r="C8666" s="188">
        <v>7.53</v>
      </c>
      <c r="D8666" s="104">
        <f t="shared" si="134"/>
        <v>7.5300000000000006E-2</v>
      </c>
      <c r="F8666" s="5"/>
    </row>
    <row r="8667" spans="2:6" ht="13.8" hidden="1" outlineLevel="1">
      <c r="B8667" s="187">
        <v>34739</v>
      </c>
      <c r="C8667" s="188">
        <v>7.58</v>
      </c>
      <c r="D8667" s="104">
        <f t="shared" si="134"/>
        <v>7.5800000000000006E-2</v>
      </c>
      <c r="F8667" s="5"/>
    </row>
    <row r="8668" spans="2:6" ht="13.8" hidden="1" outlineLevel="1">
      <c r="B8668" s="187">
        <v>34740</v>
      </c>
      <c r="C8668" s="188">
        <v>7.62</v>
      </c>
      <c r="D8668" s="104">
        <f t="shared" si="134"/>
        <v>7.6200000000000004E-2</v>
      </c>
      <c r="F8668" s="5"/>
    </row>
    <row r="8669" spans="2:6" ht="13.8" hidden="1" outlineLevel="1">
      <c r="B8669" s="187">
        <v>34743</v>
      </c>
      <c r="C8669" s="188">
        <v>7.61</v>
      </c>
      <c r="D8669" s="104">
        <f t="shared" si="134"/>
        <v>7.6100000000000001E-2</v>
      </c>
      <c r="F8669" s="5"/>
    </row>
    <row r="8670" spans="2:6" ht="13.8" hidden="1" outlineLevel="1">
      <c r="B8670" s="187">
        <v>34744</v>
      </c>
      <c r="C8670" s="188">
        <v>7.51</v>
      </c>
      <c r="D8670" s="104">
        <f t="shared" ref="D8670:D8733" si="135">IF( LEN( C8670 ) = 0, #N/A, IF( C8670 = "ND", D8669, C8670 / 100 ) )</f>
        <v>7.51E-2</v>
      </c>
      <c r="F8670" s="5"/>
    </row>
    <row r="8671" spans="2:6" ht="13.8" hidden="1" outlineLevel="1">
      <c r="B8671" s="187">
        <v>34745</v>
      </c>
      <c r="C8671" s="188">
        <v>7.45</v>
      </c>
      <c r="D8671" s="104">
        <f t="shared" si="135"/>
        <v>7.4499999999999997E-2</v>
      </c>
      <c r="F8671" s="5"/>
    </row>
    <row r="8672" spans="2:6" ht="13.8" hidden="1" outlineLevel="1">
      <c r="B8672" s="187">
        <v>34746</v>
      </c>
      <c r="C8672" s="188">
        <v>7.4</v>
      </c>
      <c r="D8672" s="104">
        <f t="shared" si="135"/>
        <v>7.400000000000001E-2</v>
      </c>
      <c r="F8672" s="5"/>
    </row>
    <row r="8673" spans="2:6" ht="13.8" hidden="1" outlineLevel="1">
      <c r="B8673" s="187">
        <v>34747</v>
      </c>
      <c r="C8673" s="188">
        <v>7.43</v>
      </c>
      <c r="D8673" s="104">
        <f t="shared" si="135"/>
        <v>7.4299999999999991E-2</v>
      </c>
      <c r="F8673" s="5"/>
    </row>
    <row r="8674" spans="2:6" ht="13.8" hidden="1" outlineLevel="1">
      <c r="B8674" s="187">
        <v>34750</v>
      </c>
      <c r="C8674" s="188" t="s">
        <v>380</v>
      </c>
      <c r="D8674" s="104">
        <f t="shared" si="135"/>
        <v>7.4299999999999991E-2</v>
      </c>
      <c r="F8674" s="5"/>
    </row>
    <row r="8675" spans="2:6" ht="13.8" hidden="1" outlineLevel="1">
      <c r="B8675" s="187">
        <v>34751</v>
      </c>
      <c r="C8675" s="188">
        <v>7.44</v>
      </c>
      <c r="D8675" s="104">
        <f t="shared" si="135"/>
        <v>7.4400000000000008E-2</v>
      </c>
      <c r="F8675" s="5"/>
    </row>
    <row r="8676" spans="2:6" ht="13.8" hidden="1" outlineLevel="1">
      <c r="B8676" s="187">
        <v>34752</v>
      </c>
      <c r="C8676" s="188">
        <v>7.34</v>
      </c>
      <c r="D8676" s="104">
        <f t="shared" si="135"/>
        <v>7.3399999999999993E-2</v>
      </c>
      <c r="F8676" s="5"/>
    </row>
    <row r="8677" spans="2:6" ht="13.8" hidden="1" outlineLevel="1">
      <c r="B8677" s="187">
        <v>34753</v>
      </c>
      <c r="C8677" s="188">
        <v>7.34</v>
      </c>
      <c r="D8677" s="104">
        <f t="shared" si="135"/>
        <v>7.3399999999999993E-2</v>
      </c>
      <c r="F8677" s="5"/>
    </row>
    <row r="8678" spans="2:6" ht="13.8" hidden="1" outlineLevel="1">
      <c r="B8678" s="187">
        <v>34754</v>
      </c>
      <c r="C8678" s="188">
        <v>7.33</v>
      </c>
      <c r="D8678" s="104">
        <f t="shared" si="135"/>
        <v>7.3300000000000004E-2</v>
      </c>
      <c r="F8678" s="5"/>
    </row>
    <row r="8679" spans="2:6" ht="13.8" hidden="1" outlineLevel="1">
      <c r="B8679" s="187">
        <v>34757</v>
      </c>
      <c r="C8679" s="188">
        <v>7.24</v>
      </c>
      <c r="D8679" s="104">
        <f t="shared" si="135"/>
        <v>7.2400000000000006E-2</v>
      </c>
      <c r="F8679" s="5"/>
    </row>
    <row r="8680" spans="2:6" ht="13.8" hidden="1" outlineLevel="1">
      <c r="B8680" s="187">
        <v>34758</v>
      </c>
      <c r="C8680" s="188">
        <v>7.22</v>
      </c>
      <c r="D8680" s="104">
        <f t="shared" si="135"/>
        <v>7.22E-2</v>
      </c>
      <c r="F8680" s="5"/>
    </row>
    <row r="8681" spans="2:6" ht="13.8" hidden="1" outlineLevel="1">
      <c r="B8681" s="187">
        <v>34759</v>
      </c>
      <c r="C8681" s="188">
        <v>7.23</v>
      </c>
      <c r="D8681" s="104">
        <f t="shared" si="135"/>
        <v>7.2300000000000003E-2</v>
      </c>
      <c r="F8681" s="5"/>
    </row>
    <row r="8682" spans="2:6" ht="13.8" hidden="1" outlineLevel="1">
      <c r="B8682" s="187">
        <v>34760</v>
      </c>
      <c r="C8682" s="188">
        <v>7.3</v>
      </c>
      <c r="D8682" s="104">
        <f t="shared" si="135"/>
        <v>7.2999999999999995E-2</v>
      </c>
      <c r="F8682" s="5"/>
    </row>
    <row r="8683" spans="2:6" ht="13.8" hidden="1" outlineLevel="1">
      <c r="B8683" s="187">
        <v>34761</v>
      </c>
      <c r="C8683" s="188">
        <v>7.36</v>
      </c>
      <c r="D8683" s="104">
        <f t="shared" si="135"/>
        <v>7.3599999999999999E-2</v>
      </c>
      <c r="F8683" s="5"/>
    </row>
    <row r="8684" spans="2:6" ht="13.8" hidden="1" outlineLevel="1">
      <c r="B8684" s="187">
        <v>34764</v>
      </c>
      <c r="C8684" s="188">
        <v>7.41</v>
      </c>
      <c r="D8684" s="104">
        <f t="shared" si="135"/>
        <v>7.4099999999999999E-2</v>
      </c>
      <c r="F8684" s="5"/>
    </row>
    <row r="8685" spans="2:6" ht="13.8" hidden="1" outlineLevel="1">
      <c r="B8685" s="187">
        <v>34765</v>
      </c>
      <c r="C8685" s="188">
        <v>7.44</v>
      </c>
      <c r="D8685" s="104">
        <f t="shared" si="135"/>
        <v>7.4400000000000008E-2</v>
      </c>
      <c r="F8685" s="5"/>
    </row>
    <row r="8686" spans="2:6" ht="13.8" hidden="1" outlineLevel="1">
      <c r="B8686" s="187">
        <v>34766</v>
      </c>
      <c r="C8686" s="188">
        <v>7.36</v>
      </c>
      <c r="D8686" s="104">
        <f t="shared" si="135"/>
        <v>7.3599999999999999E-2</v>
      </c>
      <c r="F8686" s="5"/>
    </row>
    <row r="8687" spans="2:6" ht="13.8" hidden="1" outlineLevel="1">
      <c r="B8687" s="187">
        <v>34767</v>
      </c>
      <c r="C8687" s="188">
        <v>7.3</v>
      </c>
      <c r="D8687" s="104">
        <f t="shared" si="135"/>
        <v>7.2999999999999995E-2</v>
      </c>
      <c r="F8687" s="5"/>
    </row>
    <row r="8688" spans="2:6" ht="13.8" hidden="1" outlineLevel="1">
      <c r="B8688" s="187">
        <v>34768</v>
      </c>
      <c r="C8688" s="188">
        <v>7.23</v>
      </c>
      <c r="D8688" s="104">
        <f t="shared" si="135"/>
        <v>7.2300000000000003E-2</v>
      </c>
      <c r="F8688" s="5"/>
    </row>
    <row r="8689" spans="2:6" ht="13.8" hidden="1" outlineLevel="1">
      <c r="B8689" s="187">
        <v>34771</v>
      </c>
      <c r="C8689" s="188">
        <v>7.19</v>
      </c>
      <c r="D8689" s="104">
        <f t="shared" si="135"/>
        <v>7.1900000000000006E-2</v>
      </c>
      <c r="F8689" s="5"/>
    </row>
    <row r="8690" spans="2:6" ht="13.8" hidden="1" outlineLevel="1">
      <c r="B8690" s="187">
        <v>34772</v>
      </c>
      <c r="C8690" s="188">
        <v>7.09</v>
      </c>
      <c r="D8690" s="104">
        <f t="shared" si="135"/>
        <v>7.0900000000000005E-2</v>
      </c>
      <c r="F8690" s="5"/>
    </row>
    <row r="8691" spans="2:6" ht="13.8" hidden="1" outlineLevel="1">
      <c r="B8691" s="187">
        <v>34773</v>
      </c>
      <c r="C8691" s="188">
        <v>7.09</v>
      </c>
      <c r="D8691" s="104">
        <f t="shared" si="135"/>
        <v>7.0900000000000005E-2</v>
      </c>
      <c r="F8691" s="5"/>
    </row>
    <row r="8692" spans="2:6" ht="13.8" hidden="1" outlineLevel="1">
      <c r="B8692" s="187">
        <v>34774</v>
      </c>
      <c r="C8692" s="188">
        <v>7.05</v>
      </c>
      <c r="D8692" s="104">
        <f t="shared" si="135"/>
        <v>7.0499999999999993E-2</v>
      </c>
      <c r="F8692" s="5"/>
    </row>
    <row r="8693" spans="2:6" ht="13.8" hidden="1" outlineLevel="1">
      <c r="B8693" s="187">
        <v>34775</v>
      </c>
      <c r="C8693" s="188">
        <v>7.12</v>
      </c>
      <c r="D8693" s="104">
        <f t="shared" si="135"/>
        <v>7.1199999999999999E-2</v>
      </c>
      <c r="F8693" s="5"/>
    </row>
    <row r="8694" spans="2:6" ht="13.8" hidden="1" outlineLevel="1">
      <c r="B8694" s="187">
        <v>34778</v>
      </c>
      <c r="C8694" s="188">
        <v>7.12</v>
      </c>
      <c r="D8694" s="104">
        <f t="shared" si="135"/>
        <v>7.1199999999999999E-2</v>
      </c>
      <c r="F8694" s="5"/>
    </row>
    <row r="8695" spans="2:6" ht="13.8" hidden="1" outlineLevel="1">
      <c r="B8695" s="187">
        <v>34779</v>
      </c>
      <c r="C8695" s="188">
        <v>7.16</v>
      </c>
      <c r="D8695" s="104">
        <f t="shared" si="135"/>
        <v>7.1599999999999997E-2</v>
      </c>
      <c r="F8695" s="5"/>
    </row>
    <row r="8696" spans="2:6" ht="13.8" hidden="1" outlineLevel="1">
      <c r="B8696" s="187">
        <v>34780</v>
      </c>
      <c r="C8696" s="188">
        <v>7.21</v>
      </c>
      <c r="D8696" s="104">
        <f t="shared" si="135"/>
        <v>7.2099999999999997E-2</v>
      </c>
      <c r="F8696" s="5"/>
    </row>
    <row r="8697" spans="2:6" ht="13.8" hidden="1" outlineLevel="1">
      <c r="B8697" s="187">
        <v>34781</v>
      </c>
      <c r="C8697" s="188">
        <v>7.21</v>
      </c>
      <c r="D8697" s="104">
        <f t="shared" si="135"/>
        <v>7.2099999999999997E-2</v>
      </c>
      <c r="F8697" s="5"/>
    </row>
    <row r="8698" spans="2:6" ht="13.8" hidden="1" outlineLevel="1">
      <c r="B8698" s="187">
        <v>34782</v>
      </c>
      <c r="C8698" s="188">
        <v>7.09</v>
      </c>
      <c r="D8698" s="104">
        <f t="shared" si="135"/>
        <v>7.0900000000000005E-2</v>
      </c>
      <c r="F8698" s="5"/>
    </row>
    <row r="8699" spans="2:6" ht="13.8" hidden="1" outlineLevel="1">
      <c r="B8699" s="187">
        <v>34785</v>
      </c>
      <c r="C8699" s="188">
        <v>7.05</v>
      </c>
      <c r="D8699" s="104">
        <f t="shared" si="135"/>
        <v>7.0499999999999993E-2</v>
      </c>
      <c r="F8699" s="5"/>
    </row>
    <row r="8700" spans="2:6" ht="13.8" hidden="1" outlineLevel="1">
      <c r="B8700" s="187">
        <v>34786</v>
      </c>
      <c r="C8700" s="188">
        <v>7.16</v>
      </c>
      <c r="D8700" s="104">
        <f t="shared" si="135"/>
        <v>7.1599999999999997E-2</v>
      </c>
      <c r="F8700" s="5"/>
    </row>
    <row r="8701" spans="2:6" ht="13.8" hidden="1" outlineLevel="1">
      <c r="B8701" s="187">
        <v>34787</v>
      </c>
      <c r="C8701" s="188">
        <v>7.16</v>
      </c>
      <c r="D8701" s="104">
        <f t="shared" si="135"/>
        <v>7.1599999999999997E-2</v>
      </c>
      <c r="F8701" s="5"/>
    </row>
    <row r="8702" spans="2:6" ht="13.8" hidden="1" outlineLevel="1">
      <c r="B8702" s="187">
        <v>34788</v>
      </c>
      <c r="C8702" s="188">
        <v>7.18</v>
      </c>
      <c r="D8702" s="104">
        <f t="shared" si="135"/>
        <v>7.1800000000000003E-2</v>
      </c>
      <c r="F8702" s="5"/>
    </row>
    <row r="8703" spans="2:6" ht="13.8" hidden="1" outlineLevel="1">
      <c r="B8703" s="187">
        <v>34789</v>
      </c>
      <c r="C8703" s="188">
        <v>7.2</v>
      </c>
      <c r="D8703" s="104">
        <f t="shared" si="135"/>
        <v>7.2000000000000008E-2</v>
      </c>
      <c r="F8703" s="5"/>
    </row>
    <row r="8704" spans="2:6" ht="13.8" hidden="1" outlineLevel="1">
      <c r="B8704" s="187">
        <v>34792</v>
      </c>
      <c r="C8704" s="188">
        <v>7.14</v>
      </c>
      <c r="D8704" s="104">
        <f t="shared" si="135"/>
        <v>7.1399999999999991E-2</v>
      </c>
      <c r="F8704" s="5"/>
    </row>
    <row r="8705" spans="2:6" ht="13.8" hidden="1" outlineLevel="1">
      <c r="B8705" s="187">
        <v>34793</v>
      </c>
      <c r="C8705" s="188">
        <v>7.12</v>
      </c>
      <c r="D8705" s="104">
        <f t="shared" si="135"/>
        <v>7.1199999999999999E-2</v>
      </c>
      <c r="F8705" s="5"/>
    </row>
    <row r="8706" spans="2:6" ht="13.8" hidden="1" outlineLevel="1">
      <c r="B8706" s="187">
        <v>34794</v>
      </c>
      <c r="C8706" s="188">
        <v>7.12</v>
      </c>
      <c r="D8706" s="104">
        <f t="shared" si="135"/>
        <v>7.1199999999999999E-2</v>
      </c>
      <c r="F8706" s="5"/>
    </row>
    <row r="8707" spans="2:6" ht="13.8" hidden="1" outlineLevel="1">
      <c r="B8707" s="187">
        <v>34795</v>
      </c>
      <c r="C8707" s="188">
        <v>7.09</v>
      </c>
      <c r="D8707" s="104">
        <f t="shared" si="135"/>
        <v>7.0900000000000005E-2</v>
      </c>
      <c r="F8707" s="5"/>
    </row>
    <row r="8708" spans="2:6" ht="13.8" hidden="1" outlineLevel="1">
      <c r="B8708" s="187">
        <v>34796</v>
      </c>
      <c r="C8708" s="188">
        <v>7.11</v>
      </c>
      <c r="D8708" s="104">
        <f t="shared" si="135"/>
        <v>7.1099999999999997E-2</v>
      </c>
      <c r="F8708" s="5"/>
    </row>
    <row r="8709" spans="2:6" ht="13.8" hidden="1" outlineLevel="1">
      <c r="B8709" s="187">
        <v>34799</v>
      </c>
      <c r="C8709" s="188">
        <v>7.12</v>
      </c>
      <c r="D8709" s="104">
        <f t="shared" si="135"/>
        <v>7.1199999999999999E-2</v>
      </c>
      <c r="F8709" s="5"/>
    </row>
    <row r="8710" spans="2:6" ht="13.8" hidden="1" outlineLevel="1">
      <c r="B8710" s="187">
        <v>34800</v>
      </c>
      <c r="C8710" s="188">
        <v>7.09</v>
      </c>
      <c r="D8710" s="104">
        <f t="shared" si="135"/>
        <v>7.0900000000000005E-2</v>
      </c>
      <c r="F8710" s="5"/>
    </row>
    <row r="8711" spans="2:6" ht="13.8" hidden="1" outlineLevel="1">
      <c r="B8711" s="187">
        <v>34801</v>
      </c>
      <c r="C8711" s="188">
        <v>7.06</v>
      </c>
      <c r="D8711" s="104">
        <f t="shared" si="135"/>
        <v>7.0599999999999996E-2</v>
      </c>
      <c r="F8711" s="5"/>
    </row>
    <row r="8712" spans="2:6" ht="13.8" hidden="1" outlineLevel="1">
      <c r="B8712" s="187">
        <v>34802</v>
      </c>
      <c r="C8712" s="188">
        <v>7.03</v>
      </c>
      <c r="D8712" s="104">
        <f t="shared" si="135"/>
        <v>7.0300000000000001E-2</v>
      </c>
      <c r="F8712" s="5"/>
    </row>
    <row r="8713" spans="2:6" ht="13.8" hidden="1" outlineLevel="1">
      <c r="B8713" s="187">
        <v>34803</v>
      </c>
      <c r="C8713" s="188" t="s">
        <v>380</v>
      </c>
      <c r="D8713" s="104">
        <f t="shared" si="135"/>
        <v>7.0300000000000001E-2</v>
      </c>
      <c r="F8713" s="5"/>
    </row>
    <row r="8714" spans="2:6" ht="13.8" hidden="1" outlineLevel="1">
      <c r="B8714" s="187">
        <v>34806</v>
      </c>
      <c r="C8714" s="188">
        <v>7.04</v>
      </c>
      <c r="D8714" s="104">
        <f t="shared" si="135"/>
        <v>7.0400000000000004E-2</v>
      </c>
      <c r="F8714" s="5"/>
    </row>
    <row r="8715" spans="2:6" ht="13.8" hidden="1" outlineLevel="1">
      <c r="B8715" s="187">
        <v>34807</v>
      </c>
      <c r="C8715" s="188">
        <v>7.04</v>
      </c>
      <c r="D8715" s="104">
        <f t="shared" si="135"/>
        <v>7.0400000000000004E-2</v>
      </c>
      <c r="F8715" s="5"/>
    </row>
    <row r="8716" spans="2:6" ht="13.8" hidden="1" outlineLevel="1">
      <c r="B8716" s="187">
        <v>34808</v>
      </c>
      <c r="C8716" s="188">
        <v>7.06</v>
      </c>
      <c r="D8716" s="104">
        <f t="shared" si="135"/>
        <v>7.0599999999999996E-2</v>
      </c>
      <c r="F8716" s="5"/>
    </row>
    <row r="8717" spans="2:6" ht="13.8" hidden="1" outlineLevel="1">
      <c r="B8717" s="187">
        <v>34809</v>
      </c>
      <c r="C8717" s="188">
        <v>7.02</v>
      </c>
      <c r="D8717" s="104">
        <f t="shared" si="135"/>
        <v>7.0199999999999999E-2</v>
      </c>
      <c r="F8717" s="5"/>
    </row>
    <row r="8718" spans="2:6" ht="13.8" hidden="1" outlineLevel="1">
      <c r="B8718" s="187">
        <v>34810</v>
      </c>
      <c r="C8718" s="188">
        <v>7.01</v>
      </c>
      <c r="D8718" s="104">
        <f t="shared" si="135"/>
        <v>7.0099999999999996E-2</v>
      </c>
      <c r="F8718" s="5"/>
    </row>
    <row r="8719" spans="2:6" ht="13.8" hidden="1" outlineLevel="1">
      <c r="B8719" s="187">
        <v>34813</v>
      </c>
      <c r="C8719" s="188">
        <v>7.01</v>
      </c>
      <c r="D8719" s="104">
        <f t="shared" si="135"/>
        <v>7.0099999999999996E-2</v>
      </c>
      <c r="F8719" s="5"/>
    </row>
    <row r="8720" spans="2:6" ht="13.8" hidden="1" outlineLevel="1">
      <c r="B8720" s="187">
        <v>34814</v>
      </c>
      <c r="C8720" s="188">
        <v>7.01</v>
      </c>
      <c r="D8720" s="104">
        <f t="shared" si="135"/>
        <v>7.0099999999999996E-2</v>
      </c>
      <c r="F8720" s="5"/>
    </row>
    <row r="8721" spans="2:6" ht="13.8" hidden="1" outlineLevel="1">
      <c r="B8721" s="187">
        <v>34815</v>
      </c>
      <c r="C8721" s="188">
        <v>7.01</v>
      </c>
      <c r="D8721" s="104">
        <f t="shared" si="135"/>
        <v>7.0099999999999996E-2</v>
      </c>
      <c r="F8721" s="5"/>
    </row>
    <row r="8722" spans="2:6" ht="13.8" hidden="1" outlineLevel="1">
      <c r="B8722" s="187">
        <v>34816</v>
      </c>
      <c r="C8722" s="188">
        <v>7.04</v>
      </c>
      <c r="D8722" s="104">
        <f t="shared" si="135"/>
        <v>7.0400000000000004E-2</v>
      </c>
      <c r="F8722" s="5"/>
    </row>
    <row r="8723" spans="2:6" ht="13.8" hidden="1" outlineLevel="1">
      <c r="B8723" s="187">
        <v>34817</v>
      </c>
      <c r="C8723" s="188">
        <v>7.07</v>
      </c>
      <c r="D8723" s="104">
        <f t="shared" si="135"/>
        <v>7.0699999999999999E-2</v>
      </c>
      <c r="F8723" s="5"/>
    </row>
    <row r="8724" spans="2:6" ht="13.8" hidden="1" outlineLevel="1">
      <c r="B8724" s="187">
        <v>34820</v>
      </c>
      <c r="C8724" s="188">
        <v>7.09</v>
      </c>
      <c r="D8724" s="104">
        <f t="shared" si="135"/>
        <v>7.0900000000000005E-2</v>
      </c>
      <c r="F8724" s="5"/>
    </row>
    <row r="8725" spans="2:6" ht="13.8" hidden="1" outlineLevel="1">
      <c r="B8725" s="187">
        <v>34821</v>
      </c>
      <c r="C8725" s="188">
        <v>7.04</v>
      </c>
      <c r="D8725" s="104">
        <f t="shared" si="135"/>
        <v>7.0400000000000004E-2</v>
      </c>
      <c r="F8725" s="5"/>
    </row>
    <row r="8726" spans="2:6" ht="13.8" hidden="1" outlineLevel="1">
      <c r="B8726" s="187">
        <v>34822</v>
      </c>
      <c r="C8726" s="188">
        <v>6.96</v>
      </c>
      <c r="D8726" s="104">
        <f t="shared" si="135"/>
        <v>6.9599999999999995E-2</v>
      </c>
      <c r="F8726" s="5"/>
    </row>
    <row r="8727" spans="2:6" ht="13.8" hidden="1" outlineLevel="1">
      <c r="B8727" s="187">
        <v>34823</v>
      </c>
      <c r="C8727" s="188">
        <v>6.85</v>
      </c>
      <c r="D8727" s="104">
        <f t="shared" si="135"/>
        <v>6.8499999999999991E-2</v>
      </c>
      <c r="F8727" s="5"/>
    </row>
    <row r="8728" spans="2:6" ht="13.8" hidden="1" outlineLevel="1">
      <c r="B8728" s="187">
        <v>34824</v>
      </c>
      <c r="C8728" s="188">
        <v>6.69</v>
      </c>
      <c r="D8728" s="104">
        <f t="shared" si="135"/>
        <v>6.6900000000000001E-2</v>
      </c>
      <c r="F8728" s="5"/>
    </row>
    <row r="8729" spans="2:6" ht="13.8" hidden="1" outlineLevel="1">
      <c r="B8729" s="187">
        <v>34827</v>
      </c>
      <c r="C8729" s="188">
        <v>6.7</v>
      </c>
      <c r="D8729" s="104">
        <f t="shared" si="135"/>
        <v>6.7000000000000004E-2</v>
      </c>
      <c r="F8729" s="5"/>
    </row>
    <row r="8730" spans="2:6" ht="13.8" hidden="1" outlineLevel="1">
      <c r="B8730" s="187">
        <v>34828</v>
      </c>
      <c r="C8730" s="188">
        <v>6.61</v>
      </c>
      <c r="D8730" s="104">
        <f t="shared" si="135"/>
        <v>6.6100000000000006E-2</v>
      </c>
      <c r="F8730" s="5"/>
    </row>
    <row r="8731" spans="2:6" ht="13.8" hidden="1" outlineLevel="1">
      <c r="B8731" s="187">
        <v>34829</v>
      </c>
      <c r="C8731" s="188">
        <v>6.66</v>
      </c>
      <c r="D8731" s="104">
        <f t="shared" si="135"/>
        <v>6.6600000000000006E-2</v>
      </c>
      <c r="F8731" s="5"/>
    </row>
    <row r="8732" spans="2:6" ht="13.8" hidden="1" outlineLevel="1">
      <c r="B8732" s="187">
        <v>34830</v>
      </c>
      <c r="C8732" s="188">
        <v>6.68</v>
      </c>
      <c r="D8732" s="104">
        <f t="shared" si="135"/>
        <v>6.6799999999999998E-2</v>
      </c>
      <c r="F8732" s="5"/>
    </row>
    <row r="8733" spans="2:6" ht="13.8" hidden="1" outlineLevel="1">
      <c r="B8733" s="187">
        <v>34831</v>
      </c>
      <c r="C8733" s="188">
        <v>6.67</v>
      </c>
      <c r="D8733" s="104">
        <f t="shared" si="135"/>
        <v>6.6699999999999995E-2</v>
      </c>
      <c r="F8733" s="5"/>
    </row>
    <row r="8734" spans="2:6" ht="13.8" hidden="1" outlineLevel="1">
      <c r="B8734" s="187">
        <v>34834</v>
      </c>
      <c r="C8734" s="188">
        <v>6.62</v>
      </c>
      <c r="D8734" s="104">
        <f t="shared" ref="D8734:D8797" si="136">IF( LEN( C8734 ) = 0, #N/A, IF( C8734 = "ND", D8733, C8734 / 100 ) )</f>
        <v>6.6199999999999995E-2</v>
      </c>
      <c r="F8734" s="5"/>
    </row>
    <row r="8735" spans="2:6" ht="13.8" hidden="1" outlineLevel="1">
      <c r="B8735" s="187">
        <v>34835</v>
      </c>
      <c r="C8735" s="188">
        <v>6.57</v>
      </c>
      <c r="D8735" s="104">
        <f t="shared" si="136"/>
        <v>6.5700000000000008E-2</v>
      </c>
      <c r="F8735" s="5"/>
    </row>
    <row r="8736" spans="2:6" ht="13.8" hidden="1" outlineLevel="1">
      <c r="B8736" s="187">
        <v>34836</v>
      </c>
      <c r="C8736" s="188">
        <v>6.53</v>
      </c>
      <c r="D8736" s="104">
        <f t="shared" si="136"/>
        <v>6.5299999999999997E-2</v>
      </c>
      <c r="F8736" s="5"/>
    </row>
    <row r="8737" spans="2:6" ht="13.8" hidden="1" outlineLevel="1">
      <c r="B8737" s="187">
        <v>34837</v>
      </c>
      <c r="C8737" s="188">
        <v>6.61</v>
      </c>
      <c r="D8737" s="104">
        <f t="shared" si="136"/>
        <v>6.6100000000000006E-2</v>
      </c>
      <c r="F8737" s="5"/>
    </row>
    <row r="8738" spans="2:6" ht="13.8" hidden="1" outlineLevel="1">
      <c r="B8738" s="187">
        <v>34838</v>
      </c>
      <c r="C8738" s="188">
        <v>6.61</v>
      </c>
      <c r="D8738" s="104">
        <f t="shared" si="136"/>
        <v>6.6100000000000006E-2</v>
      </c>
      <c r="F8738" s="5"/>
    </row>
    <row r="8739" spans="2:6" ht="13.8" hidden="1" outlineLevel="1">
      <c r="B8739" s="187">
        <v>34841</v>
      </c>
      <c r="C8739" s="188">
        <v>6.63</v>
      </c>
      <c r="D8739" s="104">
        <f t="shared" si="136"/>
        <v>6.6299999999999998E-2</v>
      </c>
      <c r="F8739" s="5"/>
    </row>
    <row r="8740" spans="2:6" ht="13.8" hidden="1" outlineLevel="1">
      <c r="B8740" s="187">
        <v>34842</v>
      </c>
      <c r="C8740" s="188">
        <v>6.57</v>
      </c>
      <c r="D8740" s="104">
        <f t="shared" si="136"/>
        <v>6.5700000000000008E-2</v>
      </c>
      <c r="F8740" s="5"/>
    </row>
    <row r="8741" spans="2:6" ht="13.8" hidden="1" outlineLevel="1">
      <c r="B8741" s="187">
        <v>34843</v>
      </c>
      <c r="C8741" s="188">
        <v>6.44</v>
      </c>
      <c r="D8741" s="104">
        <f t="shared" si="136"/>
        <v>6.4399999999999999E-2</v>
      </c>
      <c r="F8741" s="5"/>
    </row>
    <row r="8742" spans="2:6" ht="13.8" hidden="1" outlineLevel="1">
      <c r="B8742" s="187">
        <v>34844</v>
      </c>
      <c r="C8742" s="188">
        <v>6.39</v>
      </c>
      <c r="D8742" s="104">
        <f t="shared" si="136"/>
        <v>6.3899999999999998E-2</v>
      </c>
      <c r="F8742" s="5"/>
    </row>
    <row r="8743" spans="2:6" ht="13.8" hidden="1" outlineLevel="1">
      <c r="B8743" s="187">
        <v>34845</v>
      </c>
      <c r="C8743" s="188">
        <v>6.4</v>
      </c>
      <c r="D8743" s="104">
        <f t="shared" si="136"/>
        <v>6.4000000000000001E-2</v>
      </c>
      <c r="F8743" s="5"/>
    </row>
    <row r="8744" spans="2:6" ht="13.8" hidden="1" outlineLevel="1">
      <c r="B8744" s="187">
        <v>34848</v>
      </c>
      <c r="C8744" s="188" t="s">
        <v>380</v>
      </c>
      <c r="D8744" s="104">
        <f t="shared" si="136"/>
        <v>6.4000000000000001E-2</v>
      </c>
      <c r="F8744" s="5"/>
    </row>
    <row r="8745" spans="2:6" ht="13.8" hidden="1" outlineLevel="1">
      <c r="B8745" s="187">
        <v>34849</v>
      </c>
      <c r="C8745" s="188">
        <v>6.3</v>
      </c>
      <c r="D8745" s="104">
        <f t="shared" si="136"/>
        <v>6.3E-2</v>
      </c>
      <c r="F8745" s="5"/>
    </row>
    <row r="8746" spans="2:6" ht="13.8" hidden="1" outlineLevel="1">
      <c r="B8746" s="187">
        <v>34850</v>
      </c>
      <c r="C8746" s="188">
        <v>6.3</v>
      </c>
      <c r="D8746" s="104">
        <f t="shared" si="136"/>
        <v>6.3E-2</v>
      </c>
      <c r="F8746" s="5"/>
    </row>
    <row r="8747" spans="2:6" ht="13.8" hidden="1" outlineLevel="1">
      <c r="B8747" s="187">
        <v>34851</v>
      </c>
      <c r="C8747" s="188">
        <v>6.2</v>
      </c>
      <c r="D8747" s="104">
        <f t="shared" si="136"/>
        <v>6.2E-2</v>
      </c>
      <c r="F8747" s="5"/>
    </row>
    <row r="8748" spans="2:6" ht="13.8" hidden="1" outlineLevel="1">
      <c r="B8748" s="187">
        <v>34852</v>
      </c>
      <c r="C8748" s="188">
        <v>6.1</v>
      </c>
      <c r="D8748" s="104">
        <f t="shared" si="136"/>
        <v>6.0999999999999999E-2</v>
      </c>
      <c r="F8748" s="5"/>
    </row>
    <row r="8749" spans="2:6" ht="13.8" hidden="1" outlineLevel="1">
      <c r="B8749" s="187">
        <v>34855</v>
      </c>
      <c r="C8749" s="188">
        <v>6.08</v>
      </c>
      <c r="D8749" s="104">
        <f t="shared" si="136"/>
        <v>6.08E-2</v>
      </c>
      <c r="F8749" s="5"/>
    </row>
    <row r="8750" spans="2:6" ht="13.8" hidden="1" outlineLevel="1">
      <c r="B8750" s="187">
        <v>34856</v>
      </c>
      <c r="C8750" s="188">
        <v>6.08</v>
      </c>
      <c r="D8750" s="104">
        <f t="shared" si="136"/>
        <v>6.08E-2</v>
      </c>
      <c r="F8750" s="5"/>
    </row>
    <row r="8751" spans="2:6" ht="13.8" hidden="1" outlineLevel="1">
      <c r="B8751" s="187">
        <v>34857</v>
      </c>
      <c r="C8751" s="188">
        <v>6.2</v>
      </c>
      <c r="D8751" s="104">
        <f t="shared" si="136"/>
        <v>6.2E-2</v>
      </c>
      <c r="F8751" s="5"/>
    </row>
    <row r="8752" spans="2:6" ht="13.8" hidden="1" outlineLevel="1">
      <c r="B8752" s="187">
        <v>34858</v>
      </c>
      <c r="C8752" s="188">
        <v>6.22</v>
      </c>
      <c r="D8752" s="104">
        <f t="shared" si="136"/>
        <v>6.2199999999999998E-2</v>
      </c>
      <c r="F8752" s="5"/>
    </row>
    <row r="8753" spans="2:6" ht="13.8" hidden="1" outlineLevel="1">
      <c r="B8753" s="187">
        <v>34859</v>
      </c>
      <c r="C8753" s="188">
        <v>6.4</v>
      </c>
      <c r="D8753" s="104">
        <f t="shared" si="136"/>
        <v>6.4000000000000001E-2</v>
      </c>
      <c r="F8753" s="5"/>
    </row>
    <row r="8754" spans="2:6" ht="13.8" hidden="1" outlineLevel="1">
      <c r="B8754" s="187">
        <v>34862</v>
      </c>
      <c r="C8754" s="188">
        <v>6.37</v>
      </c>
      <c r="D8754" s="104">
        <f t="shared" si="136"/>
        <v>6.3700000000000007E-2</v>
      </c>
      <c r="F8754" s="5"/>
    </row>
    <row r="8755" spans="2:6" ht="13.8" hidden="1" outlineLevel="1">
      <c r="B8755" s="187">
        <v>34863</v>
      </c>
      <c r="C8755" s="188">
        <v>6.14</v>
      </c>
      <c r="D8755" s="104">
        <f t="shared" si="136"/>
        <v>6.1399999999999996E-2</v>
      </c>
      <c r="F8755" s="5"/>
    </row>
    <row r="8756" spans="2:6" ht="13.8" hidden="1" outlineLevel="1">
      <c r="B8756" s="187">
        <v>34864</v>
      </c>
      <c r="C8756" s="188">
        <v>6.15</v>
      </c>
      <c r="D8756" s="104">
        <f t="shared" si="136"/>
        <v>6.1500000000000006E-2</v>
      </c>
      <c r="F8756" s="5"/>
    </row>
    <row r="8757" spans="2:6" ht="13.8" hidden="1" outlineLevel="1">
      <c r="B8757" s="187">
        <v>34865</v>
      </c>
      <c r="C8757" s="188">
        <v>6.18</v>
      </c>
      <c r="D8757" s="104">
        <f t="shared" si="136"/>
        <v>6.1799999999999994E-2</v>
      </c>
      <c r="F8757" s="5"/>
    </row>
    <row r="8758" spans="2:6" ht="13.8" hidden="1" outlineLevel="1">
      <c r="B8758" s="187">
        <v>34866</v>
      </c>
      <c r="C8758" s="188">
        <v>6.21</v>
      </c>
      <c r="D8758" s="104">
        <f t="shared" si="136"/>
        <v>6.2100000000000002E-2</v>
      </c>
      <c r="F8758" s="5"/>
    </row>
    <row r="8759" spans="2:6" ht="13.8" hidden="1" outlineLevel="1">
      <c r="B8759" s="187">
        <v>34869</v>
      </c>
      <c r="C8759" s="188">
        <v>6.13</v>
      </c>
      <c r="D8759" s="104">
        <f t="shared" si="136"/>
        <v>6.13E-2</v>
      </c>
      <c r="F8759" s="5"/>
    </row>
    <row r="8760" spans="2:6" ht="13.8" hidden="1" outlineLevel="1">
      <c r="B8760" s="187">
        <v>34870</v>
      </c>
      <c r="C8760" s="188">
        <v>6.16</v>
      </c>
      <c r="D8760" s="104">
        <f t="shared" si="136"/>
        <v>6.1600000000000002E-2</v>
      </c>
      <c r="F8760" s="5"/>
    </row>
    <row r="8761" spans="2:6" ht="13.8" hidden="1" outlineLevel="1">
      <c r="B8761" s="187">
        <v>34871</v>
      </c>
      <c r="C8761" s="188">
        <v>6.13</v>
      </c>
      <c r="D8761" s="104">
        <f t="shared" si="136"/>
        <v>6.13E-2</v>
      </c>
      <c r="F8761" s="5"/>
    </row>
    <row r="8762" spans="2:6" ht="13.8" hidden="1" outlineLevel="1">
      <c r="B8762" s="187">
        <v>34872</v>
      </c>
      <c r="C8762" s="188">
        <v>6.04</v>
      </c>
      <c r="D8762" s="104">
        <f t="shared" si="136"/>
        <v>6.0400000000000002E-2</v>
      </c>
      <c r="F8762" s="5"/>
    </row>
    <row r="8763" spans="2:6" ht="13.8" hidden="1" outlineLevel="1">
      <c r="B8763" s="187">
        <v>34873</v>
      </c>
      <c r="C8763" s="188">
        <v>6.06</v>
      </c>
      <c r="D8763" s="104">
        <f t="shared" si="136"/>
        <v>6.0599999999999994E-2</v>
      </c>
      <c r="F8763" s="5"/>
    </row>
    <row r="8764" spans="2:6" ht="13.8" hidden="1" outlineLevel="1">
      <c r="B8764" s="187">
        <v>34876</v>
      </c>
      <c r="C8764" s="188">
        <v>6.11</v>
      </c>
      <c r="D8764" s="104">
        <f t="shared" si="136"/>
        <v>6.1100000000000002E-2</v>
      </c>
      <c r="F8764" s="5"/>
    </row>
    <row r="8765" spans="2:6" ht="13.8" hidden="1" outlineLevel="1">
      <c r="B8765" s="187">
        <v>34877</v>
      </c>
      <c r="C8765" s="188">
        <v>6.15</v>
      </c>
      <c r="D8765" s="104">
        <f t="shared" si="136"/>
        <v>6.1500000000000006E-2</v>
      </c>
      <c r="F8765" s="5"/>
    </row>
    <row r="8766" spans="2:6" ht="13.8" hidden="1" outlineLevel="1">
      <c r="B8766" s="187">
        <v>34878</v>
      </c>
      <c r="C8766" s="188">
        <v>6.1</v>
      </c>
      <c r="D8766" s="104">
        <f t="shared" si="136"/>
        <v>6.0999999999999999E-2</v>
      </c>
      <c r="F8766" s="5"/>
    </row>
    <row r="8767" spans="2:6" ht="13.8" hidden="1" outlineLevel="1">
      <c r="B8767" s="187">
        <v>34879</v>
      </c>
      <c r="C8767" s="188">
        <v>6.28</v>
      </c>
      <c r="D8767" s="104">
        <f t="shared" si="136"/>
        <v>6.2800000000000009E-2</v>
      </c>
      <c r="F8767" s="5"/>
    </row>
    <row r="8768" spans="2:6" ht="13.8" hidden="1" outlineLevel="1">
      <c r="B8768" s="187">
        <v>34880</v>
      </c>
      <c r="C8768" s="188">
        <v>6.21</v>
      </c>
      <c r="D8768" s="104">
        <f t="shared" si="136"/>
        <v>6.2100000000000002E-2</v>
      </c>
      <c r="F8768" s="5"/>
    </row>
    <row r="8769" spans="2:6" ht="13.8" hidden="1" outlineLevel="1">
      <c r="B8769" s="187">
        <v>34883</v>
      </c>
      <c r="C8769" s="188">
        <v>6.21</v>
      </c>
      <c r="D8769" s="104">
        <f t="shared" si="136"/>
        <v>6.2100000000000002E-2</v>
      </c>
      <c r="F8769" s="5"/>
    </row>
    <row r="8770" spans="2:6" ht="13.8" hidden="1" outlineLevel="1">
      <c r="B8770" s="187">
        <v>34884</v>
      </c>
      <c r="C8770" s="188" t="s">
        <v>380</v>
      </c>
      <c r="D8770" s="104">
        <f t="shared" si="136"/>
        <v>6.2100000000000002E-2</v>
      </c>
      <c r="F8770" s="5"/>
    </row>
    <row r="8771" spans="2:6" ht="13.8" hidden="1" outlineLevel="1">
      <c r="B8771" s="187">
        <v>34885</v>
      </c>
      <c r="C8771" s="188">
        <v>6.19</v>
      </c>
      <c r="D8771" s="104">
        <f t="shared" si="136"/>
        <v>6.1900000000000004E-2</v>
      </c>
      <c r="F8771" s="5"/>
    </row>
    <row r="8772" spans="2:6" ht="13.8" hidden="1" outlineLevel="1">
      <c r="B8772" s="187">
        <v>34886</v>
      </c>
      <c r="C8772" s="188">
        <v>6.05</v>
      </c>
      <c r="D8772" s="104">
        <f t="shared" si="136"/>
        <v>6.0499999999999998E-2</v>
      </c>
      <c r="F8772" s="5"/>
    </row>
    <row r="8773" spans="2:6" ht="13.8" hidden="1" outlineLevel="1">
      <c r="B8773" s="187">
        <v>34887</v>
      </c>
      <c r="C8773" s="188">
        <v>6.04</v>
      </c>
      <c r="D8773" s="104">
        <f t="shared" si="136"/>
        <v>6.0400000000000002E-2</v>
      </c>
      <c r="F8773" s="5"/>
    </row>
    <row r="8774" spans="2:6" ht="13.8" hidden="1" outlineLevel="1">
      <c r="B8774" s="187">
        <v>34890</v>
      </c>
      <c r="C8774" s="188">
        <v>6.04</v>
      </c>
      <c r="D8774" s="104">
        <f t="shared" si="136"/>
        <v>6.0400000000000002E-2</v>
      </c>
      <c r="F8774" s="5"/>
    </row>
    <row r="8775" spans="2:6" ht="13.8" hidden="1" outlineLevel="1">
      <c r="B8775" s="187">
        <v>34891</v>
      </c>
      <c r="C8775" s="188">
        <v>6.09</v>
      </c>
      <c r="D8775" s="104">
        <f t="shared" si="136"/>
        <v>6.0899999999999996E-2</v>
      </c>
      <c r="F8775" s="5"/>
    </row>
    <row r="8776" spans="2:6" ht="13.8" hidden="1" outlineLevel="1">
      <c r="B8776" s="187">
        <v>34892</v>
      </c>
      <c r="C8776" s="188">
        <v>6.1</v>
      </c>
      <c r="D8776" s="104">
        <f t="shared" si="136"/>
        <v>6.0999999999999999E-2</v>
      </c>
      <c r="F8776" s="5"/>
    </row>
    <row r="8777" spans="2:6" ht="13.8" hidden="1" outlineLevel="1">
      <c r="B8777" s="187">
        <v>34893</v>
      </c>
      <c r="C8777" s="188">
        <v>6.09</v>
      </c>
      <c r="D8777" s="104">
        <f t="shared" si="136"/>
        <v>6.0899999999999996E-2</v>
      </c>
      <c r="F8777" s="5"/>
    </row>
    <row r="8778" spans="2:6" ht="13.8" hidden="1" outlineLevel="1">
      <c r="B8778" s="187">
        <v>34894</v>
      </c>
      <c r="C8778" s="188">
        <v>6.15</v>
      </c>
      <c r="D8778" s="104">
        <f t="shared" si="136"/>
        <v>6.1500000000000006E-2</v>
      </c>
      <c r="F8778" s="5"/>
    </row>
    <row r="8779" spans="2:6" ht="13.8" hidden="1" outlineLevel="1">
      <c r="B8779" s="187">
        <v>34897</v>
      </c>
      <c r="C8779" s="188">
        <v>6.22</v>
      </c>
      <c r="D8779" s="104">
        <f t="shared" si="136"/>
        <v>6.2199999999999998E-2</v>
      </c>
      <c r="F8779" s="5"/>
    </row>
    <row r="8780" spans="2:6" ht="13.8" hidden="1" outlineLevel="1">
      <c r="B8780" s="187">
        <v>34898</v>
      </c>
      <c r="C8780" s="188">
        <v>6.25</v>
      </c>
      <c r="D8780" s="104">
        <f t="shared" si="136"/>
        <v>6.25E-2</v>
      </c>
      <c r="F8780" s="5"/>
    </row>
    <row r="8781" spans="2:6" ht="13.8" hidden="1" outlineLevel="1">
      <c r="B8781" s="187">
        <v>34899</v>
      </c>
      <c r="C8781" s="188">
        <v>6.43</v>
      </c>
      <c r="D8781" s="104">
        <f t="shared" si="136"/>
        <v>6.4299999999999996E-2</v>
      </c>
      <c r="F8781" s="5"/>
    </row>
    <row r="8782" spans="2:6" ht="13.8" hidden="1" outlineLevel="1">
      <c r="B8782" s="187">
        <v>34900</v>
      </c>
      <c r="C8782" s="188">
        <v>6.43</v>
      </c>
      <c r="D8782" s="104">
        <f t="shared" si="136"/>
        <v>6.4299999999999996E-2</v>
      </c>
      <c r="F8782" s="5"/>
    </row>
    <row r="8783" spans="2:6" ht="13.8" hidden="1" outlineLevel="1">
      <c r="B8783" s="187">
        <v>34901</v>
      </c>
      <c r="C8783" s="188">
        <v>6.53</v>
      </c>
      <c r="D8783" s="104">
        <f t="shared" si="136"/>
        <v>6.5299999999999997E-2</v>
      </c>
      <c r="F8783" s="5"/>
    </row>
    <row r="8784" spans="2:6" ht="13.8" hidden="1" outlineLevel="1">
      <c r="B8784" s="187">
        <v>34904</v>
      </c>
      <c r="C8784" s="188">
        <v>6.46</v>
      </c>
      <c r="D8784" s="104">
        <f t="shared" si="136"/>
        <v>6.4600000000000005E-2</v>
      </c>
      <c r="F8784" s="5"/>
    </row>
    <row r="8785" spans="2:6" ht="13.8" hidden="1" outlineLevel="1">
      <c r="B8785" s="187">
        <v>34905</v>
      </c>
      <c r="C8785" s="188">
        <v>6.43</v>
      </c>
      <c r="D8785" s="104">
        <f t="shared" si="136"/>
        <v>6.4299999999999996E-2</v>
      </c>
      <c r="F8785" s="5"/>
    </row>
    <row r="8786" spans="2:6" ht="13.8" hidden="1" outlineLevel="1">
      <c r="B8786" s="187">
        <v>34906</v>
      </c>
      <c r="C8786" s="188">
        <v>6.48</v>
      </c>
      <c r="D8786" s="104">
        <f t="shared" si="136"/>
        <v>6.480000000000001E-2</v>
      </c>
      <c r="F8786" s="5"/>
    </row>
    <row r="8787" spans="2:6" ht="13.8" hidden="1" outlineLevel="1">
      <c r="B8787" s="187">
        <v>34907</v>
      </c>
      <c r="C8787" s="188">
        <v>6.43</v>
      </c>
      <c r="D8787" s="104">
        <f t="shared" si="136"/>
        <v>6.4299999999999996E-2</v>
      </c>
      <c r="F8787" s="5"/>
    </row>
    <row r="8788" spans="2:6" ht="13.8" hidden="1" outlineLevel="1">
      <c r="B8788" s="187">
        <v>34908</v>
      </c>
      <c r="C8788" s="188">
        <v>6.49</v>
      </c>
      <c r="D8788" s="104">
        <f t="shared" si="136"/>
        <v>6.4899999999999999E-2</v>
      </c>
      <c r="F8788" s="5"/>
    </row>
    <row r="8789" spans="2:6" ht="13.8" hidden="1" outlineLevel="1">
      <c r="B8789" s="187">
        <v>34911</v>
      </c>
      <c r="C8789" s="188">
        <v>6.45</v>
      </c>
      <c r="D8789" s="104">
        <f t="shared" si="136"/>
        <v>6.4500000000000002E-2</v>
      </c>
      <c r="F8789" s="5"/>
    </row>
    <row r="8790" spans="2:6" ht="13.8" hidden="1" outlineLevel="1">
      <c r="B8790" s="187">
        <v>34912</v>
      </c>
      <c r="C8790" s="188">
        <v>6.5</v>
      </c>
      <c r="D8790" s="104">
        <f t="shared" si="136"/>
        <v>6.5000000000000002E-2</v>
      </c>
      <c r="F8790" s="5"/>
    </row>
    <row r="8791" spans="2:6" ht="13.8" hidden="1" outlineLevel="1">
      <c r="B8791" s="187">
        <v>34913</v>
      </c>
      <c r="C8791" s="188">
        <v>6.44</v>
      </c>
      <c r="D8791" s="104">
        <f t="shared" si="136"/>
        <v>6.4399999999999999E-2</v>
      </c>
      <c r="F8791" s="5"/>
    </row>
    <row r="8792" spans="2:6" ht="13.8" hidden="1" outlineLevel="1">
      <c r="B8792" s="187">
        <v>34914</v>
      </c>
      <c r="C8792" s="188">
        <v>6.53</v>
      </c>
      <c r="D8792" s="104">
        <f t="shared" si="136"/>
        <v>6.5299999999999997E-2</v>
      </c>
      <c r="F8792" s="5"/>
    </row>
    <row r="8793" spans="2:6" ht="13.8" hidden="1" outlineLevel="1">
      <c r="B8793" s="187">
        <v>34915</v>
      </c>
      <c r="C8793" s="188">
        <v>6.5</v>
      </c>
      <c r="D8793" s="104">
        <f t="shared" si="136"/>
        <v>6.5000000000000002E-2</v>
      </c>
      <c r="F8793" s="5"/>
    </row>
    <row r="8794" spans="2:6" ht="13.8" hidden="1" outlineLevel="1">
      <c r="B8794" s="187">
        <v>34918</v>
      </c>
      <c r="C8794" s="188">
        <v>6.48</v>
      </c>
      <c r="D8794" s="104">
        <f t="shared" si="136"/>
        <v>6.480000000000001E-2</v>
      </c>
      <c r="F8794" s="5"/>
    </row>
    <row r="8795" spans="2:6" ht="13.8" hidden="1" outlineLevel="1">
      <c r="B8795" s="187">
        <v>34919</v>
      </c>
      <c r="C8795" s="188">
        <v>6.47</v>
      </c>
      <c r="D8795" s="104">
        <f t="shared" si="136"/>
        <v>6.4699999999999994E-2</v>
      </c>
      <c r="F8795" s="5"/>
    </row>
    <row r="8796" spans="2:6" ht="13.8" hidden="1" outlineLevel="1">
      <c r="B8796" s="187">
        <v>34920</v>
      </c>
      <c r="C8796" s="188">
        <v>6.47</v>
      </c>
      <c r="D8796" s="104">
        <f t="shared" si="136"/>
        <v>6.4699999999999994E-2</v>
      </c>
      <c r="F8796" s="5"/>
    </row>
    <row r="8797" spans="2:6" ht="13.8" hidden="1" outlineLevel="1">
      <c r="B8797" s="187">
        <v>34921</v>
      </c>
      <c r="C8797" s="188">
        <v>6.51</v>
      </c>
      <c r="D8797" s="104">
        <f t="shared" si="136"/>
        <v>6.5099999999999991E-2</v>
      </c>
      <c r="F8797" s="5"/>
    </row>
    <row r="8798" spans="2:6" ht="13.8" hidden="1" outlineLevel="1">
      <c r="B8798" s="187">
        <v>34922</v>
      </c>
      <c r="C8798" s="188">
        <v>6.59</v>
      </c>
      <c r="D8798" s="104">
        <f t="shared" ref="D8798:D8861" si="137">IF( LEN( C8798 ) = 0, #N/A, IF( C8798 = "ND", D8797, C8798 / 100 ) )</f>
        <v>6.59E-2</v>
      </c>
      <c r="F8798" s="5"/>
    </row>
    <row r="8799" spans="2:6" ht="13.8" hidden="1" outlineLevel="1">
      <c r="B8799" s="187">
        <v>34925</v>
      </c>
      <c r="C8799" s="188">
        <v>6.59</v>
      </c>
      <c r="D8799" s="104">
        <f t="shared" si="137"/>
        <v>6.59E-2</v>
      </c>
      <c r="F8799" s="5"/>
    </row>
    <row r="8800" spans="2:6" ht="13.8" hidden="1" outlineLevel="1">
      <c r="B8800" s="187">
        <v>34926</v>
      </c>
      <c r="C8800" s="188">
        <v>6.57</v>
      </c>
      <c r="D8800" s="104">
        <f t="shared" si="137"/>
        <v>6.5700000000000008E-2</v>
      </c>
      <c r="F8800" s="5"/>
    </row>
    <row r="8801" spans="2:6" ht="13.8" hidden="1" outlineLevel="1">
      <c r="B8801" s="187">
        <v>34927</v>
      </c>
      <c r="C8801" s="188">
        <v>6.54</v>
      </c>
      <c r="D8801" s="104">
        <f t="shared" si="137"/>
        <v>6.54E-2</v>
      </c>
      <c r="F8801" s="5"/>
    </row>
    <row r="8802" spans="2:6" ht="13.8" hidden="1" outlineLevel="1">
      <c r="B8802" s="187">
        <v>34928</v>
      </c>
      <c r="C8802" s="188">
        <v>6.57</v>
      </c>
      <c r="D8802" s="104">
        <f t="shared" si="137"/>
        <v>6.5700000000000008E-2</v>
      </c>
      <c r="F8802" s="5"/>
    </row>
    <row r="8803" spans="2:6" ht="13.8" hidden="1" outlineLevel="1">
      <c r="B8803" s="187">
        <v>34929</v>
      </c>
      <c r="C8803" s="188">
        <v>6.57</v>
      </c>
      <c r="D8803" s="104">
        <f t="shared" si="137"/>
        <v>6.5700000000000008E-2</v>
      </c>
      <c r="F8803" s="5"/>
    </row>
    <row r="8804" spans="2:6" ht="13.8" hidden="1" outlineLevel="1">
      <c r="B8804" s="187">
        <v>34932</v>
      </c>
      <c r="C8804" s="188">
        <v>6.54</v>
      </c>
      <c r="D8804" s="104">
        <f t="shared" si="137"/>
        <v>6.54E-2</v>
      </c>
      <c r="F8804" s="5"/>
    </row>
    <row r="8805" spans="2:6" ht="13.8" hidden="1" outlineLevel="1">
      <c r="B8805" s="187">
        <v>34933</v>
      </c>
      <c r="C8805" s="188">
        <v>6.57</v>
      </c>
      <c r="D8805" s="104">
        <f t="shared" si="137"/>
        <v>6.5700000000000008E-2</v>
      </c>
      <c r="F8805" s="5"/>
    </row>
    <row r="8806" spans="2:6" ht="13.8" hidden="1" outlineLevel="1">
      <c r="B8806" s="187">
        <v>34934</v>
      </c>
      <c r="C8806" s="188">
        <v>6.6</v>
      </c>
      <c r="D8806" s="104">
        <f t="shared" si="137"/>
        <v>6.6000000000000003E-2</v>
      </c>
      <c r="F8806" s="5"/>
    </row>
    <row r="8807" spans="2:6" ht="13.8" hidden="1" outlineLevel="1">
      <c r="B8807" s="187">
        <v>34935</v>
      </c>
      <c r="C8807" s="188">
        <v>6.5</v>
      </c>
      <c r="D8807" s="104">
        <f t="shared" si="137"/>
        <v>6.5000000000000002E-2</v>
      </c>
      <c r="F8807" s="5"/>
    </row>
    <row r="8808" spans="2:6" ht="13.8" hidden="1" outlineLevel="1">
      <c r="B8808" s="187">
        <v>34936</v>
      </c>
      <c r="C8808" s="188">
        <v>6.38</v>
      </c>
      <c r="D8808" s="104">
        <f t="shared" si="137"/>
        <v>6.3799999999999996E-2</v>
      </c>
      <c r="F8808" s="5"/>
    </row>
    <row r="8809" spans="2:6" ht="13.8" hidden="1" outlineLevel="1">
      <c r="B8809" s="187">
        <v>34939</v>
      </c>
      <c r="C8809" s="188">
        <v>6.34</v>
      </c>
      <c r="D8809" s="104">
        <f t="shared" si="137"/>
        <v>6.3399999999999998E-2</v>
      </c>
      <c r="F8809" s="5"/>
    </row>
    <row r="8810" spans="2:6" ht="13.8" hidden="1" outlineLevel="1">
      <c r="B8810" s="187">
        <v>34940</v>
      </c>
      <c r="C8810" s="188">
        <v>6.36</v>
      </c>
      <c r="D8810" s="104">
        <f t="shared" si="137"/>
        <v>6.3600000000000004E-2</v>
      </c>
      <c r="F8810" s="5"/>
    </row>
    <row r="8811" spans="2:6" ht="13.8" hidden="1" outlineLevel="1">
      <c r="B8811" s="187">
        <v>34941</v>
      </c>
      <c r="C8811" s="188">
        <v>6.33</v>
      </c>
      <c r="D8811" s="104">
        <f t="shared" si="137"/>
        <v>6.3299999999999995E-2</v>
      </c>
      <c r="F8811" s="5"/>
    </row>
    <row r="8812" spans="2:6" ht="13.8" hidden="1" outlineLevel="1">
      <c r="B8812" s="187">
        <v>34942</v>
      </c>
      <c r="C8812" s="188">
        <v>6.28</v>
      </c>
      <c r="D8812" s="104">
        <f t="shared" si="137"/>
        <v>6.2800000000000009E-2</v>
      </c>
      <c r="F8812" s="5"/>
    </row>
    <row r="8813" spans="2:6" ht="13.8" hidden="1" outlineLevel="1">
      <c r="B8813" s="187">
        <v>34943</v>
      </c>
      <c r="C8813" s="188">
        <v>6.22</v>
      </c>
      <c r="D8813" s="104">
        <f t="shared" si="137"/>
        <v>6.2199999999999998E-2</v>
      </c>
      <c r="F8813" s="5"/>
    </row>
    <row r="8814" spans="2:6" ht="13.8" hidden="1" outlineLevel="1">
      <c r="B8814" s="187">
        <v>34946</v>
      </c>
      <c r="C8814" s="188" t="s">
        <v>380</v>
      </c>
      <c r="D8814" s="104">
        <f t="shared" si="137"/>
        <v>6.2199999999999998E-2</v>
      </c>
      <c r="F8814" s="5"/>
    </row>
    <row r="8815" spans="2:6" ht="13.8" hidden="1" outlineLevel="1">
      <c r="B8815" s="187">
        <v>34947</v>
      </c>
      <c r="C8815" s="188">
        <v>6.18</v>
      </c>
      <c r="D8815" s="104">
        <f t="shared" si="137"/>
        <v>6.1799999999999994E-2</v>
      </c>
      <c r="F8815" s="5"/>
    </row>
    <row r="8816" spans="2:6" ht="13.8" hidden="1" outlineLevel="1">
      <c r="B8816" s="187">
        <v>34948</v>
      </c>
      <c r="C8816" s="188">
        <v>6.17</v>
      </c>
      <c r="D8816" s="104">
        <f t="shared" si="137"/>
        <v>6.1699999999999998E-2</v>
      </c>
      <c r="F8816" s="5"/>
    </row>
    <row r="8817" spans="2:6" ht="13.8" hidden="1" outlineLevel="1">
      <c r="B8817" s="187">
        <v>34949</v>
      </c>
      <c r="C8817" s="188">
        <v>6.21</v>
      </c>
      <c r="D8817" s="104">
        <f t="shared" si="137"/>
        <v>6.2100000000000002E-2</v>
      </c>
      <c r="F8817" s="5"/>
    </row>
    <row r="8818" spans="2:6" ht="13.8" hidden="1" outlineLevel="1">
      <c r="B8818" s="187">
        <v>34950</v>
      </c>
      <c r="C8818" s="188">
        <v>6.24</v>
      </c>
      <c r="D8818" s="104">
        <f t="shared" si="137"/>
        <v>6.2400000000000004E-2</v>
      </c>
      <c r="F8818" s="5"/>
    </row>
    <row r="8819" spans="2:6" ht="13.8" hidden="1" outlineLevel="1">
      <c r="B8819" s="187">
        <v>34953</v>
      </c>
      <c r="C8819" s="188">
        <v>6.24</v>
      </c>
      <c r="D8819" s="104">
        <f t="shared" si="137"/>
        <v>6.2400000000000004E-2</v>
      </c>
      <c r="F8819" s="5"/>
    </row>
    <row r="8820" spans="2:6" ht="13.8" hidden="1" outlineLevel="1">
      <c r="B8820" s="187">
        <v>34954</v>
      </c>
      <c r="C8820" s="188">
        <v>6.16</v>
      </c>
      <c r="D8820" s="104">
        <f t="shared" si="137"/>
        <v>6.1600000000000002E-2</v>
      </c>
      <c r="F8820" s="5"/>
    </row>
    <row r="8821" spans="2:6" ht="13.8" hidden="1" outlineLevel="1">
      <c r="B8821" s="187">
        <v>34955</v>
      </c>
      <c r="C8821" s="188">
        <v>6.18</v>
      </c>
      <c r="D8821" s="104">
        <f t="shared" si="137"/>
        <v>6.1799999999999994E-2</v>
      </c>
      <c r="F8821" s="5"/>
    </row>
    <row r="8822" spans="2:6" ht="13.8" hidden="1" outlineLevel="1">
      <c r="B8822" s="187">
        <v>34956</v>
      </c>
      <c r="C8822" s="188">
        <v>6.08</v>
      </c>
      <c r="D8822" s="104">
        <f t="shared" si="137"/>
        <v>6.08E-2</v>
      </c>
      <c r="F8822" s="5"/>
    </row>
    <row r="8823" spans="2:6" ht="13.8" hidden="1" outlineLevel="1">
      <c r="B8823" s="187">
        <v>34957</v>
      </c>
      <c r="C8823" s="188">
        <v>6.11</v>
      </c>
      <c r="D8823" s="104">
        <f t="shared" si="137"/>
        <v>6.1100000000000002E-2</v>
      </c>
      <c r="F8823" s="5"/>
    </row>
    <row r="8824" spans="2:6" ht="13.8" hidden="1" outlineLevel="1">
      <c r="B8824" s="187">
        <v>34960</v>
      </c>
      <c r="C8824" s="188">
        <v>6.17</v>
      </c>
      <c r="D8824" s="104">
        <f t="shared" si="137"/>
        <v>6.1699999999999998E-2</v>
      </c>
      <c r="F8824" s="5"/>
    </row>
    <row r="8825" spans="2:6" ht="13.8" hidden="1" outlineLevel="1">
      <c r="B8825" s="187">
        <v>34961</v>
      </c>
      <c r="C8825" s="188">
        <v>6.14</v>
      </c>
      <c r="D8825" s="104">
        <f t="shared" si="137"/>
        <v>6.1399999999999996E-2</v>
      </c>
      <c r="F8825" s="5"/>
    </row>
    <row r="8826" spans="2:6" ht="13.8" hidden="1" outlineLevel="1">
      <c r="B8826" s="187">
        <v>34962</v>
      </c>
      <c r="C8826" s="188">
        <v>6.1</v>
      </c>
      <c r="D8826" s="104">
        <f t="shared" si="137"/>
        <v>6.0999999999999999E-2</v>
      </c>
      <c r="F8826" s="5"/>
    </row>
    <row r="8827" spans="2:6" ht="13.8" hidden="1" outlineLevel="1">
      <c r="B8827" s="187">
        <v>34963</v>
      </c>
      <c r="C8827" s="188">
        <v>6.21</v>
      </c>
      <c r="D8827" s="104">
        <f t="shared" si="137"/>
        <v>6.2100000000000002E-2</v>
      </c>
      <c r="F8827" s="5"/>
    </row>
    <row r="8828" spans="2:6" ht="13.8" hidden="1" outlineLevel="1">
      <c r="B8828" s="187">
        <v>34964</v>
      </c>
      <c r="C8828" s="188">
        <v>6.25</v>
      </c>
      <c r="D8828" s="104">
        <f t="shared" si="137"/>
        <v>6.25E-2</v>
      </c>
      <c r="F8828" s="5"/>
    </row>
    <row r="8829" spans="2:6" ht="13.8" hidden="1" outlineLevel="1">
      <c r="B8829" s="187">
        <v>34967</v>
      </c>
      <c r="C8829" s="188">
        <v>6.26</v>
      </c>
      <c r="D8829" s="104">
        <f t="shared" si="137"/>
        <v>6.2600000000000003E-2</v>
      </c>
      <c r="F8829" s="5"/>
    </row>
    <row r="8830" spans="2:6" ht="13.8" hidden="1" outlineLevel="1">
      <c r="B8830" s="187">
        <v>34968</v>
      </c>
      <c r="C8830" s="188">
        <v>6.28</v>
      </c>
      <c r="D8830" s="104">
        <f t="shared" si="137"/>
        <v>6.2800000000000009E-2</v>
      </c>
      <c r="F8830" s="5"/>
    </row>
    <row r="8831" spans="2:6" ht="13.8" hidden="1" outlineLevel="1">
      <c r="B8831" s="187">
        <v>34969</v>
      </c>
      <c r="C8831" s="188">
        <v>6.3</v>
      </c>
      <c r="D8831" s="104">
        <f t="shared" si="137"/>
        <v>6.3E-2</v>
      </c>
      <c r="F8831" s="5"/>
    </row>
    <row r="8832" spans="2:6" ht="13.8" hidden="1" outlineLevel="1">
      <c r="B8832" s="187">
        <v>34970</v>
      </c>
      <c r="C8832" s="188">
        <v>6.28</v>
      </c>
      <c r="D8832" s="104">
        <f t="shared" si="137"/>
        <v>6.2800000000000009E-2</v>
      </c>
      <c r="F8832" s="5"/>
    </row>
    <row r="8833" spans="2:6" ht="13.8" hidden="1" outlineLevel="1">
      <c r="B8833" s="187">
        <v>34971</v>
      </c>
      <c r="C8833" s="188">
        <v>6.17</v>
      </c>
      <c r="D8833" s="104">
        <f t="shared" si="137"/>
        <v>6.1699999999999998E-2</v>
      </c>
      <c r="F8833" s="5"/>
    </row>
    <row r="8834" spans="2:6" ht="13.8" hidden="1" outlineLevel="1">
      <c r="B8834" s="187">
        <v>34974</v>
      </c>
      <c r="C8834" s="188">
        <v>6.15</v>
      </c>
      <c r="D8834" s="104">
        <f t="shared" si="137"/>
        <v>6.1500000000000006E-2</v>
      </c>
      <c r="F8834" s="5"/>
    </row>
    <row r="8835" spans="2:6" ht="13.8" hidden="1" outlineLevel="1">
      <c r="B8835" s="187">
        <v>34975</v>
      </c>
      <c r="C8835" s="188">
        <v>6.13</v>
      </c>
      <c r="D8835" s="104">
        <f t="shared" si="137"/>
        <v>6.13E-2</v>
      </c>
      <c r="F8835" s="5"/>
    </row>
    <row r="8836" spans="2:6" ht="13.8" hidden="1" outlineLevel="1">
      <c r="B8836" s="187">
        <v>34976</v>
      </c>
      <c r="C8836" s="188">
        <v>6.12</v>
      </c>
      <c r="D8836" s="104">
        <f t="shared" si="137"/>
        <v>6.1200000000000004E-2</v>
      </c>
      <c r="F8836" s="5"/>
    </row>
    <row r="8837" spans="2:6" ht="13.8" hidden="1" outlineLevel="1">
      <c r="B8837" s="187">
        <v>34977</v>
      </c>
      <c r="C8837" s="188">
        <v>6.06</v>
      </c>
      <c r="D8837" s="104">
        <f t="shared" si="137"/>
        <v>6.0599999999999994E-2</v>
      </c>
      <c r="F8837" s="5"/>
    </row>
    <row r="8838" spans="2:6" ht="13.8" hidden="1" outlineLevel="1">
      <c r="B8838" s="187">
        <v>34978</v>
      </c>
      <c r="C8838" s="188">
        <v>6.06</v>
      </c>
      <c r="D8838" s="104">
        <f t="shared" si="137"/>
        <v>6.0599999999999994E-2</v>
      </c>
      <c r="F8838" s="5"/>
    </row>
    <row r="8839" spans="2:6" ht="13.8" hidden="1" outlineLevel="1">
      <c r="B8839" s="187">
        <v>34981</v>
      </c>
      <c r="C8839" s="188" t="s">
        <v>380</v>
      </c>
      <c r="D8839" s="104">
        <f t="shared" si="137"/>
        <v>6.0599999999999994E-2</v>
      </c>
      <c r="F8839" s="5"/>
    </row>
    <row r="8840" spans="2:6" ht="13.8" hidden="1" outlineLevel="1">
      <c r="B8840" s="187">
        <v>34982</v>
      </c>
      <c r="C8840" s="188">
        <v>6.07</v>
      </c>
      <c r="D8840" s="104">
        <f t="shared" si="137"/>
        <v>6.0700000000000004E-2</v>
      </c>
      <c r="F8840" s="5"/>
    </row>
    <row r="8841" spans="2:6" ht="13.8" hidden="1" outlineLevel="1">
      <c r="B8841" s="187">
        <v>34983</v>
      </c>
      <c r="C8841" s="188">
        <v>6.09</v>
      </c>
      <c r="D8841" s="104">
        <f t="shared" si="137"/>
        <v>6.0899999999999996E-2</v>
      </c>
      <c r="F8841" s="5"/>
    </row>
    <row r="8842" spans="2:6" ht="13.8" hidden="1" outlineLevel="1">
      <c r="B8842" s="187">
        <v>34984</v>
      </c>
      <c r="C8842" s="188">
        <v>6.07</v>
      </c>
      <c r="D8842" s="104">
        <f t="shared" si="137"/>
        <v>6.0700000000000004E-2</v>
      </c>
      <c r="F8842" s="5"/>
    </row>
    <row r="8843" spans="2:6" ht="13.8" hidden="1" outlineLevel="1">
      <c r="B8843" s="187">
        <v>34985</v>
      </c>
      <c r="C8843" s="188">
        <v>5.97</v>
      </c>
      <c r="D8843" s="104">
        <f t="shared" si="137"/>
        <v>5.9699999999999996E-2</v>
      </c>
      <c r="F8843" s="5"/>
    </row>
    <row r="8844" spans="2:6" ht="13.8" hidden="1" outlineLevel="1">
      <c r="B8844" s="187">
        <v>34988</v>
      </c>
      <c r="C8844" s="188">
        <v>5.97</v>
      </c>
      <c r="D8844" s="104">
        <f t="shared" si="137"/>
        <v>5.9699999999999996E-2</v>
      </c>
      <c r="F8844" s="5"/>
    </row>
    <row r="8845" spans="2:6" ht="13.8" hidden="1" outlineLevel="1">
      <c r="B8845" s="187">
        <v>34989</v>
      </c>
      <c r="C8845" s="188">
        <v>5.97</v>
      </c>
      <c r="D8845" s="104">
        <f t="shared" si="137"/>
        <v>5.9699999999999996E-2</v>
      </c>
      <c r="F8845" s="5"/>
    </row>
    <row r="8846" spans="2:6" ht="13.8" hidden="1" outlineLevel="1">
      <c r="B8846" s="187">
        <v>34990</v>
      </c>
      <c r="C8846" s="188">
        <v>5.99</v>
      </c>
      <c r="D8846" s="104">
        <f t="shared" si="137"/>
        <v>5.9900000000000002E-2</v>
      </c>
      <c r="F8846" s="5"/>
    </row>
    <row r="8847" spans="2:6" ht="13.8" hidden="1" outlineLevel="1">
      <c r="B8847" s="187">
        <v>34991</v>
      </c>
      <c r="C8847" s="188">
        <v>5.98</v>
      </c>
      <c r="D8847" s="104">
        <f t="shared" si="137"/>
        <v>5.9800000000000006E-2</v>
      </c>
      <c r="F8847" s="5"/>
    </row>
    <row r="8848" spans="2:6" ht="13.8" hidden="1" outlineLevel="1">
      <c r="B8848" s="187">
        <v>34992</v>
      </c>
      <c r="C8848" s="188">
        <v>6.04</v>
      </c>
      <c r="D8848" s="104">
        <f t="shared" si="137"/>
        <v>6.0400000000000002E-2</v>
      </c>
      <c r="F8848" s="5"/>
    </row>
    <row r="8849" spans="2:6" ht="13.8" hidden="1" outlineLevel="1">
      <c r="B8849" s="187">
        <v>34995</v>
      </c>
      <c r="C8849" s="188">
        <v>6.07</v>
      </c>
      <c r="D8849" s="104">
        <f t="shared" si="137"/>
        <v>6.0700000000000004E-2</v>
      </c>
      <c r="F8849" s="5"/>
    </row>
    <row r="8850" spans="2:6" ht="13.8" hidden="1" outlineLevel="1">
      <c r="B8850" s="187">
        <v>34996</v>
      </c>
      <c r="C8850" s="188">
        <v>6.02</v>
      </c>
      <c r="D8850" s="104">
        <f t="shared" si="137"/>
        <v>6.0199999999999997E-2</v>
      </c>
      <c r="F8850" s="5"/>
    </row>
    <row r="8851" spans="2:6" ht="13.8" hidden="1" outlineLevel="1">
      <c r="B8851" s="187">
        <v>34997</v>
      </c>
      <c r="C8851" s="188">
        <v>6</v>
      </c>
      <c r="D8851" s="104">
        <f t="shared" si="137"/>
        <v>0.06</v>
      </c>
      <c r="F8851" s="5"/>
    </row>
    <row r="8852" spans="2:6" ht="13.8" hidden="1" outlineLevel="1">
      <c r="B8852" s="187">
        <v>34998</v>
      </c>
      <c r="C8852" s="188">
        <v>6.06</v>
      </c>
      <c r="D8852" s="104">
        <f t="shared" si="137"/>
        <v>6.0599999999999994E-2</v>
      </c>
      <c r="F8852" s="5"/>
    </row>
    <row r="8853" spans="2:6" ht="13.8" hidden="1" outlineLevel="1">
      <c r="B8853" s="187">
        <v>34999</v>
      </c>
      <c r="C8853" s="188">
        <v>6.05</v>
      </c>
      <c r="D8853" s="104">
        <f t="shared" si="137"/>
        <v>6.0499999999999998E-2</v>
      </c>
      <c r="F8853" s="5"/>
    </row>
    <row r="8854" spans="2:6" ht="13.8" hidden="1" outlineLevel="1">
      <c r="B8854" s="187">
        <v>35002</v>
      </c>
      <c r="C8854" s="188">
        <v>6.04</v>
      </c>
      <c r="D8854" s="104">
        <f t="shared" si="137"/>
        <v>6.0400000000000002E-2</v>
      </c>
      <c r="F8854" s="5"/>
    </row>
    <row r="8855" spans="2:6" ht="13.8" hidden="1" outlineLevel="1">
      <c r="B8855" s="187">
        <v>35003</v>
      </c>
      <c r="C8855" s="188">
        <v>6.03</v>
      </c>
      <c r="D8855" s="104">
        <f t="shared" si="137"/>
        <v>6.0299999999999999E-2</v>
      </c>
      <c r="F8855" s="5"/>
    </row>
    <row r="8856" spans="2:6" ht="13.8" hidden="1" outlineLevel="1">
      <c r="B8856" s="187">
        <v>35004</v>
      </c>
      <c r="C8856" s="188">
        <v>5.98</v>
      </c>
      <c r="D8856" s="104">
        <f t="shared" si="137"/>
        <v>5.9800000000000006E-2</v>
      </c>
      <c r="F8856" s="5"/>
    </row>
    <row r="8857" spans="2:6" ht="13.8" hidden="1" outlineLevel="1">
      <c r="B8857" s="187">
        <v>35005</v>
      </c>
      <c r="C8857" s="188">
        <v>5.92</v>
      </c>
      <c r="D8857" s="104">
        <f t="shared" si="137"/>
        <v>5.9200000000000003E-2</v>
      </c>
      <c r="F8857" s="5"/>
    </row>
    <row r="8858" spans="2:6" ht="13.8" hidden="1" outlineLevel="1">
      <c r="B8858" s="187">
        <v>35006</v>
      </c>
      <c r="C8858" s="188">
        <v>5.94</v>
      </c>
      <c r="D8858" s="104">
        <f t="shared" si="137"/>
        <v>5.9400000000000001E-2</v>
      </c>
      <c r="F8858" s="5"/>
    </row>
    <row r="8859" spans="2:6" ht="13.8" hidden="1" outlineLevel="1">
      <c r="B8859" s="187">
        <v>35009</v>
      </c>
      <c r="C8859" s="188">
        <v>5.96</v>
      </c>
      <c r="D8859" s="104">
        <f t="shared" si="137"/>
        <v>5.96E-2</v>
      </c>
      <c r="F8859" s="5"/>
    </row>
    <row r="8860" spans="2:6" ht="13.8" hidden="1" outlineLevel="1">
      <c r="B8860" s="187">
        <v>35010</v>
      </c>
      <c r="C8860" s="188">
        <v>5.99</v>
      </c>
      <c r="D8860" s="104">
        <f t="shared" si="137"/>
        <v>5.9900000000000002E-2</v>
      </c>
      <c r="F8860" s="5"/>
    </row>
    <row r="8861" spans="2:6" ht="13.8" hidden="1" outlineLevel="1">
      <c r="B8861" s="187">
        <v>35011</v>
      </c>
      <c r="C8861" s="188">
        <v>5.92</v>
      </c>
      <c r="D8861" s="104">
        <f t="shared" si="137"/>
        <v>5.9200000000000003E-2</v>
      </c>
      <c r="F8861" s="5"/>
    </row>
    <row r="8862" spans="2:6" ht="13.8" hidden="1" outlineLevel="1">
      <c r="B8862" s="187">
        <v>35012</v>
      </c>
      <c r="C8862" s="188">
        <v>5.97</v>
      </c>
      <c r="D8862" s="104">
        <f t="shared" ref="D8862:D8925" si="138">IF( LEN( C8862 ) = 0, #N/A, IF( C8862 = "ND", D8861, C8862 / 100 ) )</f>
        <v>5.9699999999999996E-2</v>
      </c>
      <c r="F8862" s="5"/>
    </row>
    <row r="8863" spans="2:6" ht="13.8" hidden="1" outlineLevel="1">
      <c r="B8863" s="187">
        <v>35013</v>
      </c>
      <c r="C8863" s="188">
        <v>6</v>
      </c>
      <c r="D8863" s="104">
        <f t="shared" si="138"/>
        <v>0.06</v>
      </c>
      <c r="F8863" s="5"/>
    </row>
    <row r="8864" spans="2:6" ht="13.8" hidden="1" outlineLevel="1">
      <c r="B8864" s="187">
        <v>35016</v>
      </c>
      <c r="C8864" s="188">
        <v>5.98</v>
      </c>
      <c r="D8864" s="104">
        <f t="shared" si="138"/>
        <v>5.9800000000000006E-2</v>
      </c>
      <c r="F8864" s="5"/>
    </row>
    <row r="8865" spans="2:6" ht="13.8" hidden="1" outlineLevel="1">
      <c r="B8865" s="187">
        <v>35017</v>
      </c>
      <c r="C8865" s="188">
        <v>5.97</v>
      </c>
      <c r="D8865" s="104">
        <f t="shared" si="138"/>
        <v>5.9699999999999996E-2</v>
      </c>
      <c r="F8865" s="5"/>
    </row>
    <row r="8866" spans="2:6" ht="13.8" hidden="1" outlineLevel="1">
      <c r="B8866" s="187">
        <v>35018</v>
      </c>
      <c r="C8866" s="188">
        <v>6</v>
      </c>
      <c r="D8866" s="104">
        <f t="shared" si="138"/>
        <v>0.06</v>
      </c>
      <c r="F8866" s="5"/>
    </row>
    <row r="8867" spans="2:6" ht="13.8" hidden="1" outlineLevel="1">
      <c r="B8867" s="187">
        <v>35019</v>
      </c>
      <c r="C8867" s="188">
        <v>5.93</v>
      </c>
      <c r="D8867" s="104">
        <f t="shared" si="138"/>
        <v>5.9299999999999999E-2</v>
      </c>
      <c r="F8867" s="5"/>
    </row>
    <row r="8868" spans="2:6" ht="13.8" hidden="1" outlineLevel="1">
      <c r="B8868" s="187">
        <v>35020</v>
      </c>
      <c r="C8868" s="188">
        <v>5.92</v>
      </c>
      <c r="D8868" s="104">
        <f t="shared" si="138"/>
        <v>5.9200000000000003E-2</v>
      </c>
      <c r="F8868" s="5"/>
    </row>
    <row r="8869" spans="2:6" ht="13.8" hidden="1" outlineLevel="1">
      <c r="B8869" s="187">
        <v>35023</v>
      </c>
      <c r="C8869" s="188">
        <v>5.93</v>
      </c>
      <c r="D8869" s="104">
        <f t="shared" si="138"/>
        <v>5.9299999999999999E-2</v>
      </c>
      <c r="F8869" s="5"/>
    </row>
    <row r="8870" spans="2:6" ht="13.8" hidden="1" outlineLevel="1">
      <c r="B8870" s="187">
        <v>35024</v>
      </c>
      <c r="C8870" s="188">
        <v>5.92</v>
      </c>
      <c r="D8870" s="104">
        <f t="shared" si="138"/>
        <v>5.9200000000000003E-2</v>
      </c>
      <c r="F8870" s="5"/>
    </row>
    <row r="8871" spans="2:6" ht="13.8" hidden="1" outlineLevel="1">
      <c r="B8871" s="187">
        <v>35025</v>
      </c>
      <c r="C8871" s="188">
        <v>5.93</v>
      </c>
      <c r="D8871" s="104">
        <f t="shared" si="138"/>
        <v>5.9299999999999999E-2</v>
      </c>
      <c r="F8871" s="5"/>
    </row>
    <row r="8872" spans="2:6" ht="13.8" hidden="1" outlineLevel="1">
      <c r="B8872" s="187">
        <v>35026</v>
      </c>
      <c r="C8872" s="188" t="s">
        <v>380</v>
      </c>
      <c r="D8872" s="104">
        <f t="shared" si="138"/>
        <v>5.9299999999999999E-2</v>
      </c>
      <c r="F8872" s="5"/>
    </row>
    <row r="8873" spans="2:6" ht="13.8" hidden="1" outlineLevel="1">
      <c r="B8873" s="187">
        <v>35027</v>
      </c>
      <c r="C8873" s="188">
        <v>5.91</v>
      </c>
      <c r="D8873" s="104">
        <f t="shared" si="138"/>
        <v>5.91E-2</v>
      </c>
      <c r="F8873" s="5"/>
    </row>
    <row r="8874" spans="2:6" ht="13.8" hidden="1" outlineLevel="1">
      <c r="B8874" s="187">
        <v>35030</v>
      </c>
      <c r="C8874" s="188">
        <v>5.88</v>
      </c>
      <c r="D8874" s="104">
        <f t="shared" si="138"/>
        <v>5.8799999999999998E-2</v>
      </c>
      <c r="F8874" s="5"/>
    </row>
    <row r="8875" spans="2:6" ht="13.8" hidden="1" outlineLevel="1">
      <c r="B8875" s="187">
        <v>35031</v>
      </c>
      <c r="C8875" s="188">
        <v>5.88</v>
      </c>
      <c r="D8875" s="104">
        <f t="shared" si="138"/>
        <v>5.8799999999999998E-2</v>
      </c>
      <c r="F8875" s="5"/>
    </row>
    <row r="8876" spans="2:6" ht="13.8" hidden="1" outlineLevel="1">
      <c r="B8876" s="187">
        <v>35032</v>
      </c>
      <c r="C8876" s="188">
        <v>5.85</v>
      </c>
      <c r="D8876" s="104">
        <f t="shared" si="138"/>
        <v>5.8499999999999996E-2</v>
      </c>
      <c r="F8876" s="5"/>
    </row>
    <row r="8877" spans="2:6" ht="13.8" hidden="1" outlineLevel="1">
      <c r="B8877" s="187">
        <v>35033</v>
      </c>
      <c r="C8877" s="188">
        <v>5.76</v>
      </c>
      <c r="D8877" s="104">
        <f t="shared" si="138"/>
        <v>5.7599999999999998E-2</v>
      </c>
      <c r="F8877" s="5"/>
    </row>
    <row r="8878" spans="2:6" ht="13.8" hidden="1" outlineLevel="1">
      <c r="B8878" s="187">
        <v>35034</v>
      </c>
      <c r="C8878" s="188">
        <v>5.71</v>
      </c>
      <c r="D8878" s="104">
        <f t="shared" si="138"/>
        <v>5.7099999999999998E-2</v>
      </c>
      <c r="F8878" s="5"/>
    </row>
    <row r="8879" spans="2:6" ht="13.8" hidden="1" outlineLevel="1">
      <c r="B8879" s="187">
        <v>35037</v>
      </c>
      <c r="C8879" s="188">
        <v>5.63</v>
      </c>
      <c r="D8879" s="104">
        <f t="shared" si="138"/>
        <v>5.6299999999999996E-2</v>
      </c>
      <c r="F8879" s="5"/>
    </row>
    <row r="8880" spans="2:6" ht="13.8" hidden="1" outlineLevel="1">
      <c r="B8880" s="187">
        <v>35038</v>
      </c>
      <c r="C8880" s="188">
        <v>5.65</v>
      </c>
      <c r="D8880" s="104">
        <f t="shared" si="138"/>
        <v>5.6500000000000002E-2</v>
      </c>
      <c r="F8880" s="5"/>
    </row>
    <row r="8881" spans="2:6" ht="13.8" hidden="1" outlineLevel="1">
      <c r="B8881" s="187">
        <v>35039</v>
      </c>
      <c r="C8881" s="188">
        <v>5.67</v>
      </c>
      <c r="D8881" s="104">
        <f t="shared" si="138"/>
        <v>5.67E-2</v>
      </c>
      <c r="F8881" s="5"/>
    </row>
    <row r="8882" spans="2:6" ht="13.8" hidden="1" outlineLevel="1">
      <c r="B8882" s="187">
        <v>35040</v>
      </c>
      <c r="C8882" s="188">
        <v>5.72</v>
      </c>
      <c r="D8882" s="104">
        <f t="shared" si="138"/>
        <v>5.7200000000000001E-2</v>
      </c>
      <c r="F8882" s="5"/>
    </row>
    <row r="8883" spans="2:6" ht="13.8" hidden="1" outlineLevel="1">
      <c r="B8883" s="187">
        <v>35041</v>
      </c>
      <c r="C8883" s="188">
        <v>5.73</v>
      </c>
      <c r="D8883" s="104">
        <f t="shared" si="138"/>
        <v>5.7300000000000004E-2</v>
      </c>
      <c r="F8883" s="5"/>
    </row>
    <row r="8884" spans="2:6" ht="13.8" hidden="1" outlineLevel="1">
      <c r="B8884" s="187">
        <v>35044</v>
      </c>
      <c r="C8884" s="188">
        <v>5.71</v>
      </c>
      <c r="D8884" s="104">
        <f t="shared" si="138"/>
        <v>5.7099999999999998E-2</v>
      </c>
      <c r="F8884" s="5"/>
    </row>
    <row r="8885" spans="2:6" ht="13.8" hidden="1" outlineLevel="1">
      <c r="B8885" s="187">
        <v>35045</v>
      </c>
      <c r="C8885" s="188">
        <v>5.72</v>
      </c>
      <c r="D8885" s="104">
        <f t="shared" si="138"/>
        <v>5.7200000000000001E-2</v>
      </c>
      <c r="F8885" s="5"/>
    </row>
    <row r="8886" spans="2:6" ht="13.8" hidden="1" outlineLevel="1">
      <c r="B8886" s="187">
        <v>35046</v>
      </c>
      <c r="C8886" s="188">
        <v>5.74</v>
      </c>
      <c r="D8886" s="104">
        <f t="shared" si="138"/>
        <v>5.74E-2</v>
      </c>
      <c r="F8886" s="5"/>
    </row>
    <row r="8887" spans="2:6" ht="13.8" hidden="1" outlineLevel="1">
      <c r="B8887" s="187">
        <v>35047</v>
      </c>
      <c r="C8887" s="188">
        <v>5.74</v>
      </c>
      <c r="D8887" s="104">
        <f t="shared" si="138"/>
        <v>5.74E-2</v>
      </c>
      <c r="F8887" s="5"/>
    </row>
    <row r="8888" spans="2:6" ht="13.8" hidden="1" outlineLevel="1">
      <c r="B8888" s="187">
        <v>35048</v>
      </c>
      <c r="C8888" s="188">
        <v>5.75</v>
      </c>
      <c r="D8888" s="104">
        <f t="shared" si="138"/>
        <v>5.7500000000000002E-2</v>
      </c>
      <c r="F8888" s="5"/>
    </row>
    <row r="8889" spans="2:6" ht="13.8" hidden="1" outlineLevel="1">
      <c r="B8889" s="187">
        <v>35051</v>
      </c>
      <c r="C8889" s="188">
        <v>5.85</v>
      </c>
      <c r="D8889" s="104">
        <f t="shared" si="138"/>
        <v>5.8499999999999996E-2</v>
      </c>
      <c r="F8889" s="5"/>
    </row>
    <row r="8890" spans="2:6" ht="13.8" hidden="1" outlineLevel="1">
      <c r="B8890" s="187">
        <v>35052</v>
      </c>
      <c r="C8890" s="188">
        <v>5.81</v>
      </c>
      <c r="D8890" s="104">
        <f t="shared" si="138"/>
        <v>5.8099999999999999E-2</v>
      </c>
      <c r="F8890" s="5"/>
    </row>
    <row r="8891" spans="2:6" ht="13.8" hidden="1" outlineLevel="1">
      <c r="B8891" s="187">
        <v>35053</v>
      </c>
      <c r="C8891" s="188">
        <v>5.76</v>
      </c>
      <c r="D8891" s="104">
        <f t="shared" si="138"/>
        <v>5.7599999999999998E-2</v>
      </c>
      <c r="F8891" s="5"/>
    </row>
    <row r="8892" spans="2:6" ht="13.8" hidden="1" outlineLevel="1">
      <c r="B8892" s="187">
        <v>35054</v>
      </c>
      <c r="C8892" s="188">
        <v>5.77</v>
      </c>
      <c r="D8892" s="104">
        <f t="shared" si="138"/>
        <v>5.7699999999999994E-2</v>
      </c>
      <c r="F8892" s="5"/>
    </row>
    <row r="8893" spans="2:6" ht="13.8" hidden="1" outlineLevel="1">
      <c r="B8893" s="187">
        <v>35055</v>
      </c>
      <c r="C8893" s="188">
        <v>5.71</v>
      </c>
      <c r="D8893" s="104">
        <f t="shared" si="138"/>
        <v>5.7099999999999998E-2</v>
      </c>
      <c r="F8893" s="5"/>
    </row>
    <row r="8894" spans="2:6" ht="13.8" hidden="1" outlineLevel="1">
      <c r="B8894" s="187">
        <v>35058</v>
      </c>
      <c r="C8894" s="188" t="s">
        <v>380</v>
      </c>
      <c r="D8894" s="104">
        <f t="shared" si="138"/>
        <v>5.7099999999999998E-2</v>
      </c>
      <c r="F8894" s="5"/>
    </row>
    <row r="8895" spans="2:6" ht="13.8" hidden="1" outlineLevel="1">
      <c r="B8895" s="187">
        <v>35059</v>
      </c>
      <c r="C8895" s="188">
        <v>5.69</v>
      </c>
      <c r="D8895" s="104">
        <f t="shared" si="138"/>
        <v>5.6900000000000006E-2</v>
      </c>
      <c r="F8895" s="5"/>
    </row>
    <row r="8896" spans="2:6" ht="13.8" hidden="1" outlineLevel="1">
      <c r="B8896" s="187">
        <v>35060</v>
      </c>
      <c r="C8896" s="188">
        <v>5.66</v>
      </c>
      <c r="D8896" s="104">
        <f t="shared" si="138"/>
        <v>5.6600000000000004E-2</v>
      </c>
      <c r="F8896" s="5"/>
    </row>
    <row r="8897" spans="2:6" ht="13.8" hidden="1" outlineLevel="1">
      <c r="B8897" s="187">
        <v>35061</v>
      </c>
      <c r="C8897" s="188">
        <v>5.63</v>
      </c>
      <c r="D8897" s="104">
        <f t="shared" si="138"/>
        <v>5.6299999999999996E-2</v>
      </c>
      <c r="F8897" s="5"/>
    </row>
    <row r="8898" spans="2:6" ht="13.8" hidden="1" outlineLevel="1">
      <c r="B8898" s="187">
        <v>35062</v>
      </c>
      <c r="C8898" s="188">
        <v>5.58</v>
      </c>
      <c r="D8898" s="104">
        <f t="shared" si="138"/>
        <v>5.5800000000000002E-2</v>
      </c>
      <c r="F8898" s="5"/>
    </row>
    <row r="8899" spans="2:6" ht="13.8" hidden="1" outlineLevel="1">
      <c r="B8899" s="187">
        <v>35065</v>
      </c>
      <c r="C8899" s="188" t="s">
        <v>380</v>
      </c>
      <c r="D8899" s="104">
        <f t="shared" si="138"/>
        <v>5.5800000000000002E-2</v>
      </c>
      <c r="F8899" s="5"/>
    </row>
    <row r="8900" spans="2:6" ht="13.8" hidden="1" outlineLevel="1">
      <c r="B8900" s="187">
        <v>35066</v>
      </c>
      <c r="C8900" s="188">
        <v>5.6</v>
      </c>
      <c r="D8900" s="104">
        <f t="shared" si="138"/>
        <v>5.5999999999999994E-2</v>
      </c>
      <c r="F8900" s="5"/>
    </row>
    <row r="8901" spans="2:6" ht="13.8" hidden="1" outlineLevel="1">
      <c r="B8901" s="187">
        <v>35067</v>
      </c>
      <c r="C8901" s="188">
        <v>5.58</v>
      </c>
      <c r="D8901" s="104">
        <f t="shared" si="138"/>
        <v>5.5800000000000002E-2</v>
      </c>
      <c r="F8901" s="5"/>
    </row>
    <row r="8902" spans="2:6" ht="13.8" hidden="1" outlineLevel="1">
      <c r="B8902" s="187">
        <v>35068</v>
      </c>
      <c r="C8902" s="188">
        <v>5.65</v>
      </c>
      <c r="D8902" s="104">
        <f t="shared" si="138"/>
        <v>5.6500000000000002E-2</v>
      </c>
      <c r="F8902" s="5"/>
    </row>
    <row r="8903" spans="2:6" ht="13.8" hidden="1" outlineLevel="1">
      <c r="B8903" s="187">
        <v>35069</v>
      </c>
      <c r="C8903" s="188">
        <v>5.69</v>
      </c>
      <c r="D8903" s="104">
        <f t="shared" si="138"/>
        <v>5.6900000000000006E-2</v>
      </c>
      <c r="F8903" s="5"/>
    </row>
    <row r="8904" spans="2:6" ht="13.8" hidden="1" outlineLevel="1">
      <c r="B8904" s="187">
        <v>35072</v>
      </c>
      <c r="C8904" s="188">
        <v>5.68</v>
      </c>
      <c r="D8904" s="104">
        <f t="shared" si="138"/>
        <v>5.6799999999999996E-2</v>
      </c>
      <c r="F8904" s="5"/>
    </row>
    <row r="8905" spans="2:6" ht="13.8" hidden="1" outlineLevel="1">
      <c r="B8905" s="187">
        <v>35073</v>
      </c>
      <c r="C8905" s="188">
        <v>5.7</v>
      </c>
      <c r="D8905" s="104">
        <f t="shared" si="138"/>
        <v>5.7000000000000002E-2</v>
      </c>
      <c r="F8905" s="5"/>
    </row>
    <row r="8906" spans="2:6" ht="13.8" hidden="1" outlineLevel="1">
      <c r="B8906" s="187">
        <v>35074</v>
      </c>
      <c r="C8906" s="188">
        <v>5.8</v>
      </c>
      <c r="D8906" s="104">
        <f t="shared" si="138"/>
        <v>5.7999999999999996E-2</v>
      </c>
      <c r="F8906" s="5"/>
    </row>
    <row r="8907" spans="2:6" ht="13.8" hidden="1" outlineLevel="1">
      <c r="B8907" s="187">
        <v>35075</v>
      </c>
      <c r="C8907" s="188">
        <v>5.78</v>
      </c>
      <c r="D8907" s="104">
        <f t="shared" si="138"/>
        <v>5.7800000000000004E-2</v>
      </c>
      <c r="F8907" s="5"/>
    </row>
    <row r="8908" spans="2:6" ht="13.8" hidden="1" outlineLevel="1">
      <c r="B8908" s="187">
        <v>35076</v>
      </c>
      <c r="C8908" s="188">
        <v>5.75</v>
      </c>
      <c r="D8908" s="104">
        <f t="shared" si="138"/>
        <v>5.7500000000000002E-2</v>
      </c>
      <c r="F8908" s="5"/>
    </row>
    <row r="8909" spans="2:6" ht="13.8" hidden="1" outlineLevel="1">
      <c r="B8909" s="187">
        <v>35079</v>
      </c>
      <c r="C8909" s="188" t="s">
        <v>380</v>
      </c>
      <c r="D8909" s="104">
        <f t="shared" si="138"/>
        <v>5.7500000000000002E-2</v>
      </c>
      <c r="F8909" s="5"/>
    </row>
    <row r="8910" spans="2:6" ht="13.8" hidden="1" outlineLevel="1">
      <c r="B8910" s="187">
        <v>35080</v>
      </c>
      <c r="C8910" s="188">
        <v>5.66</v>
      </c>
      <c r="D8910" s="104">
        <f t="shared" si="138"/>
        <v>5.6600000000000004E-2</v>
      </c>
      <c r="F8910" s="5"/>
    </row>
    <row r="8911" spans="2:6" ht="13.8" hidden="1" outlineLevel="1">
      <c r="B8911" s="187">
        <v>35081</v>
      </c>
      <c r="C8911" s="188">
        <v>5.58</v>
      </c>
      <c r="D8911" s="104">
        <f t="shared" si="138"/>
        <v>5.5800000000000002E-2</v>
      </c>
      <c r="F8911" s="5"/>
    </row>
    <row r="8912" spans="2:6" ht="13.8" hidden="1" outlineLevel="1">
      <c r="B8912" s="187">
        <v>35082</v>
      </c>
      <c r="C8912" s="188">
        <v>5.53</v>
      </c>
      <c r="D8912" s="104">
        <f t="shared" si="138"/>
        <v>5.5300000000000002E-2</v>
      </c>
      <c r="F8912" s="5"/>
    </row>
    <row r="8913" spans="2:6" ht="13.8" hidden="1" outlineLevel="1">
      <c r="B8913" s="187">
        <v>35083</v>
      </c>
      <c r="C8913" s="188">
        <v>5.54</v>
      </c>
      <c r="D8913" s="104">
        <f t="shared" si="138"/>
        <v>5.5399999999999998E-2</v>
      </c>
      <c r="F8913" s="5"/>
    </row>
    <row r="8914" spans="2:6" ht="13.8" hidden="1" outlineLevel="1">
      <c r="B8914" s="187">
        <v>35086</v>
      </c>
      <c r="C8914" s="188">
        <v>5.61</v>
      </c>
      <c r="D8914" s="104">
        <f t="shared" si="138"/>
        <v>5.6100000000000004E-2</v>
      </c>
      <c r="F8914" s="5"/>
    </row>
    <row r="8915" spans="2:6" ht="13.8" hidden="1" outlineLevel="1">
      <c r="B8915" s="187">
        <v>35087</v>
      </c>
      <c r="C8915" s="188">
        <v>5.66</v>
      </c>
      <c r="D8915" s="104">
        <f t="shared" si="138"/>
        <v>5.6600000000000004E-2</v>
      </c>
      <c r="F8915" s="5"/>
    </row>
    <row r="8916" spans="2:6" ht="13.8" hidden="1" outlineLevel="1">
      <c r="B8916" s="187">
        <v>35088</v>
      </c>
      <c r="C8916" s="188">
        <v>5.62</v>
      </c>
      <c r="D8916" s="104">
        <f t="shared" si="138"/>
        <v>5.62E-2</v>
      </c>
      <c r="F8916" s="5"/>
    </row>
    <row r="8917" spans="2:6" ht="13.8" hidden="1" outlineLevel="1">
      <c r="B8917" s="187">
        <v>35089</v>
      </c>
      <c r="C8917" s="188">
        <v>5.7</v>
      </c>
      <c r="D8917" s="104">
        <f t="shared" si="138"/>
        <v>5.7000000000000002E-2</v>
      </c>
      <c r="F8917" s="5"/>
    </row>
    <row r="8918" spans="2:6" ht="13.8" hidden="1" outlineLevel="1">
      <c r="B8918" s="187">
        <v>35090</v>
      </c>
      <c r="C8918" s="188">
        <v>5.65</v>
      </c>
      <c r="D8918" s="104">
        <f t="shared" si="138"/>
        <v>5.6500000000000002E-2</v>
      </c>
      <c r="F8918" s="5"/>
    </row>
    <row r="8919" spans="2:6" ht="13.8" hidden="1" outlineLevel="1">
      <c r="B8919" s="187">
        <v>35093</v>
      </c>
      <c r="C8919" s="188">
        <v>5.69</v>
      </c>
      <c r="D8919" s="104">
        <f t="shared" si="138"/>
        <v>5.6900000000000006E-2</v>
      </c>
      <c r="F8919" s="5"/>
    </row>
    <row r="8920" spans="2:6" ht="13.8" hidden="1" outlineLevel="1">
      <c r="B8920" s="187">
        <v>35094</v>
      </c>
      <c r="C8920" s="188">
        <v>5.63</v>
      </c>
      <c r="D8920" s="104">
        <f t="shared" si="138"/>
        <v>5.6299999999999996E-2</v>
      </c>
      <c r="F8920" s="5"/>
    </row>
    <row r="8921" spans="2:6" ht="13.8" hidden="1" outlineLevel="1">
      <c r="B8921" s="187">
        <v>35095</v>
      </c>
      <c r="C8921" s="188">
        <v>5.6</v>
      </c>
      <c r="D8921" s="104">
        <f t="shared" si="138"/>
        <v>5.5999999999999994E-2</v>
      </c>
      <c r="F8921" s="5"/>
    </row>
    <row r="8922" spans="2:6" ht="13.8" hidden="1" outlineLevel="1">
      <c r="B8922" s="187">
        <v>35096</v>
      </c>
      <c r="C8922" s="188">
        <v>5.63</v>
      </c>
      <c r="D8922" s="104">
        <f t="shared" si="138"/>
        <v>5.6299999999999996E-2</v>
      </c>
      <c r="F8922" s="5"/>
    </row>
    <row r="8923" spans="2:6" ht="13.8" hidden="1" outlineLevel="1">
      <c r="B8923" s="187">
        <v>35097</v>
      </c>
      <c r="C8923" s="188">
        <v>5.66</v>
      </c>
      <c r="D8923" s="104">
        <f t="shared" si="138"/>
        <v>5.6600000000000004E-2</v>
      </c>
      <c r="F8923" s="5"/>
    </row>
    <row r="8924" spans="2:6" ht="13.8" hidden="1" outlineLevel="1">
      <c r="B8924" s="187">
        <v>35100</v>
      </c>
      <c r="C8924" s="188">
        <v>5.7</v>
      </c>
      <c r="D8924" s="104">
        <f t="shared" si="138"/>
        <v>5.7000000000000002E-2</v>
      </c>
      <c r="F8924" s="5"/>
    </row>
    <row r="8925" spans="2:6" ht="13.8" hidden="1" outlineLevel="1">
      <c r="B8925" s="187">
        <v>35101</v>
      </c>
      <c r="C8925" s="188">
        <v>5.68</v>
      </c>
      <c r="D8925" s="104">
        <f t="shared" si="138"/>
        <v>5.6799999999999996E-2</v>
      </c>
      <c r="F8925" s="5"/>
    </row>
    <row r="8926" spans="2:6" ht="13.8" hidden="1" outlineLevel="1">
      <c r="B8926" s="187">
        <v>35102</v>
      </c>
      <c r="C8926" s="188">
        <v>5.66</v>
      </c>
      <c r="D8926" s="104">
        <f t="shared" ref="D8926:D8989" si="139">IF( LEN( C8926 ) = 0, #N/A, IF( C8926 = "ND", D8925, C8926 / 100 ) )</f>
        <v>5.6600000000000004E-2</v>
      </c>
      <c r="F8926" s="5"/>
    </row>
    <row r="8927" spans="2:6" ht="13.8" hidden="1" outlineLevel="1">
      <c r="B8927" s="187">
        <v>35103</v>
      </c>
      <c r="C8927" s="188">
        <v>5.66</v>
      </c>
      <c r="D8927" s="104">
        <f t="shared" si="139"/>
        <v>5.6600000000000004E-2</v>
      </c>
      <c r="F8927" s="5"/>
    </row>
    <row r="8928" spans="2:6" ht="13.8" hidden="1" outlineLevel="1">
      <c r="B8928" s="187">
        <v>35104</v>
      </c>
      <c r="C8928" s="188">
        <v>5.66</v>
      </c>
      <c r="D8928" s="104">
        <f t="shared" si="139"/>
        <v>5.6600000000000004E-2</v>
      </c>
      <c r="F8928" s="5"/>
    </row>
    <row r="8929" spans="2:6" ht="13.8" hidden="1" outlineLevel="1">
      <c r="B8929" s="187">
        <v>35107</v>
      </c>
      <c r="C8929" s="188">
        <v>5.61</v>
      </c>
      <c r="D8929" s="104">
        <f t="shared" si="139"/>
        <v>5.6100000000000004E-2</v>
      </c>
      <c r="F8929" s="5"/>
    </row>
    <row r="8930" spans="2:6" ht="13.8" hidden="1" outlineLevel="1">
      <c r="B8930" s="187">
        <v>35108</v>
      </c>
      <c r="C8930" s="188">
        <v>5.58</v>
      </c>
      <c r="D8930" s="104">
        <f t="shared" si="139"/>
        <v>5.5800000000000002E-2</v>
      </c>
      <c r="F8930" s="5"/>
    </row>
    <row r="8931" spans="2:6" ht="13.8" hidden="1" outlineLevel="1">
      <c r="B8931" s="187">
        <v>35109</v>
      </c>
      <c r="C8931" s="188">
        <v>5.62</v>
      </c>
      <c r="D8931" s="104">
        <f t="shared" si="139"/>
        <v>5.62E-2</v>
      </c>
      <c r="F8931" s="5"/>
    </row>
    <row r="8932" spans="2:6" ht="13.8" hidden="1" outlineLevel="1">
      <c r="B8932" s="187">
        <v>35110</v>
      </c>
      <c r="C8932" s="188">
        <v>5.7</v>
      </c>
      <c r="D8932" s="104">
        <f t="shared" si="139"/>
        <v>5.7000000000000002E-2</v>
      </c>
      <c r="F8932" s="5"/>
    </row>
    <row r="8933" spans="2:6" ht="13.8" hidden="1" outlineLevel="1">
      <c r="B8933" s="187">
        <v>35111</v>
      </c>
      <c r="C8933" s="188">
        <v>5.76</v>
      </c>
      <c r="D8933" s="104">
        <f t="shared" si="139"/>
        <v>5.7599999999999998E-2</v>
      </c>
      <c r="F8933" s="5"/>
    </row>
    <row r="8934" spans="2:6" ht="13.8" hidden="1" outlineLevel="1">
      <c r="B8934" s="187">
        <v>35114</v>
      </c>
      <c r="C8934" s="188" t="s">
        <v>380</v>
      </c>
      <c r="D8934" s="104">
        <f t="shared" si="139"/>
        <v>5.7599999999999998E-2</v>
      </c>
      <c r="F8934" s="5"/>
    </row>
    <row r="8935" spans="2:6" ht="13.8" hidden="1" outlineLevel="1">
      <c r="B8935" s="187">
        <v>35115</v>
      </c>
      <c r="C8935" s="188">
        <v>6.01</v>
      </c>
      <c r="D8935" s="104">
        <f t="shared" si="139"/>
        <v>6.0100000000000001E-2</v>
      </c>
      <c r="F8935" s="5"/>
    </row>
    <row r="8936" spans="2:6" ht="13.8" hidden="1" outlineLevel="1">
      <c r="B8936" s="187">
        <v>35116</v>
      </c>
      <c r="C8936" s="188">
        <v>5.98</v>
      </c>
      <c r="D8936" s="104">
        <f t="shared" si="139"/>
        <v>5.9800000000000006E-2</v>
      </c>
      <c r="F8936" s="5"/>
    </row>
    <row r="8937" spans="2:6" ht="13.8" hidden="1" outlineLevel="1">
      <c r="B8937" s="187">
        <v>35117</v>
      </c>
      <c r="C8937" s="188">
        <v>5.92</v>
      </c>
      <c r="D8937" s="104">
        <f t="shared" si="139"/>
        <v>5.9200000000000003E-2</v>
      </c>
      <c r="F8937" s="5"/>
    </row>
    <row r="8938" spans="2:6" ht="13.8" hidden="1" outlineLevel="1">
      <c r="B8938" s="187">
        <v>35118</v>
      </c>
      <c r="C8938" s="188">
        <v>5.97</v>
      </c>
      <c r="D8938" s="104">
        <f t="shared" si="139"/>
        <v>5.9699999999999996E-2</v>
      </c>
      <c r="F8938" s="5"/>
    </row>
    <row r="8939" spans="2:6" ht="13.8" hidden="1" outlineLevel="1">
      <c r="B8939" s="187">
        <v>35121</v>
      </c>
      <c r="C8939" s="188">
        <v>6.01</v>
      </c>
      <c r="D8939" s="104">
        <f t="shared" si="139"/>
        <v>6.0100000000000001E-2</v>
      </c>
      <c r="F8939" s="5"/>
    </row>
    <row r="8940" spans="2:6" ht="13.8" hidden="1" outlineLevel="1">
      <c r="B8940" s="187">
        <v>35122</v>
      </c>
      <c r="C8940" s="188">
        <v>6.06</v>
      </c>
      <c r="D8940" s="104">
        <f t="shared" si="139"/>
        <v>6.0599999999999994E-2</v>
      </c>
      <c r="F8940" s="5"/>
    </row>
    <row r="8941" spans="2:6" ht="13.8" hidden="1" outlineLevel="1">
      <c r="B8941" s="187">
        <v>35123</v>
      </c>
      <c r="C8941" s="188">
        <v>6.11</v>
      </c>
      <c r="D8941" s="104">
        <f t="shared" si="139"/>
        <v>6.1100000000000002E-2</v>
      </c>
      <c r="F8941" s="5"/>
    </row>
    <row r="8942" spans="2:6" ht="13.8" hidden="1" outlineLevel="1">
      <c r="B8942" s="187">
        <v>35124</v>
      </c>
      <c r="C8942" s="188">
        <v>6.13</v>
      </c>
      <c r="D8942" s="104">
        <f t="shared" si="139"/>
        <v>6.13E-2</v>
      </c>
      <c r="F8942" s="5"/>
    </row>
    <row r="8943" spans="2:6" ht="13.8" hidden="1" outlineLevel="1">
      <c r="B8943" s="187">
        <v>35125</v>
      </c>
      <c r="C8943" s="188">
        <v>5.99</v>
      </c>
      <c r="D8943" s="104">
        <f t="shared" si="139"/>
        <v>5.9900000000000002E-2</v>
      </c>
      <c r="F8943" s="5"/>
    </row>
    <row r="8944" spans="2:6" ht="13.8" hidden="1" outlineLevel="1">
      <c r="B8944" s="187">
        <v>35128</v>
      </c>
      <c r="C8944" s="188">
        <v>5.92</v>
      </c>
      <c r="D8944" s="104">
        <f t="shared" si="139"/>
        <v>5.9200000000000003E-2</v>
      </c>
      <c r="F8944" s="5"/>
    </row>
    <row r="8945" spans="2:6" ht="13.8" hidden="1" outlineLevel="1">
      <c r="B8945" s="187">
        <v>35129</v>
      </c>
      <c r="C8945" s="188">
        <v>5.96</v>
      </c>
      <c r="D8945" s="104">
        <f t="shared" si="139"/>
        <v>5.96E-2</v>
      </c>
      <c r="F8945" s="5"/>
    </row>
    <row r="8946" spans="2:6" ht="13.8" hidden="1" outlineLevel="1">
      <c r="B8946" s="187">
        <v>35130</v>
      </c>
      <c r="C8946" s="188">
        <v>6.05</v>
      </c>
      <c r="D8946" s="104">
        <f t="shared" si="139"/>
        <v>6.0499999999999998E-2</v>
      </c>
      <c r="F8946" s="5"/>
    </row>
    <row r="8947" spans="2:6" ht="13.8" hidden="1" outlineLevel="1">
      <c r="B8947" s="187">
        <v>35131</v>
      </c>
      <c r="C8947" s="188">
        <v>6.07</v>
      </c>
      <c r="D8947" s="104">
        <f t="shared" si="139"/>
        <v>6.0700000000000004E-2</v>
      </c>
      <c r="F8947" s="5"/>
    </row>
    <row r="8948" spans="2:6" ht="13.8" hidden="1" outlineLevel="1">
      <c r="B8948" s="187">
        <v>35132</v>
      </c>
      <c r="C8948" s="188">
        <v>6.41</v>
      </c>
      <c r="D8948" s="104">
        <f t="shared" si="139"/>
        <v>6.4100000000000004E-2</v>
      </c>
      <c r="F8948" s="5"/>
    </row>
    <row r="8949" spans="2:6" ht="13.8" hidden="1" outlineLevel="1">
      <c r="B8949" s="187">
        <v>35135</v>
      </c>
      <c r="C8949" s="188">
        <v>6.33</v>
      </c>
      <c r="D8949" s="104">
        <f t="shared" si="139"/>
        <v>6.3299999999999995E-2</v>
      </c>
      <c r="F8949" s="5"/>
    </row>
    <row r="8950" spans="2:6" ht="13.8" hidden="1" outlineLevel="1">
      <c r="B8950" s="187">
        <v>35136</v>
      </c>
      <c r="C8950" s="188">
        <v>6.36</v>
      </c>
      <c r="D8950" s="104">
        <f t="shared" si="139"/>
        <v>6.3600000000000004E-2</v>
      </c>
      <c r="F8950" s="5"/>
    </row>
    <row r="8951" spans="2:6" ht="13.8" hidden="1" outlineLevel="1">
      <c r="B8951" s="187">
        <v>35137</v>
      </c>
      <c r="C8951" s="188">
        <v>6.35</v>
      </c>
      <c r="D8951" s="104">
        <f t="shared" si="139"/>
        <v>6.3500000000000001E-2</v>
      </c>
      <c r="F8951" s="5"/>
    </row>
    <row r="8952" spans="2:6" ht="13.8" hidden="1" outlineLevel="1">
      <c r="B8952" s="187">
        <v>35138</v>
      </c>
      <c r="C8952" s="188">
        <v>6.36</v>
      </c>
      <c r="D8952" s="104">
        <f t="shared" si="139"/>
        <v>6.3600000000000004E-2</v>
      </c>
      <c r="F8952" s="5"/>
    </row>
    <row r="8953" spans="2:6" ht="13.8" hidden="1" outlineLevel="1">
      <c r="B8953" s="187">
        <v>35139</v>
      </c>
      <c r="C8953" s="188">
        <v>6.46</v>
      </c>
      <c r="D8953" s="104">
        <f t="shared" si="139"/>
        <v>6.4600000000000005E-2</v>
      </c>
      <c r="F8953" s="5"/>
    </row>
    <row r="8954" spans="2:6" ht="13.8" hidden="1" outlineLevel="1">
      <c r="B8954" s="187">
        <v>35142</v>
      </c>
      <c r="C8954" s="188">
        <v>6.43</v>
      </c>
      <c r="D8954" s="104">
        <f t="shared" si="139"/>
        <v>6.4299999999999996E-2</v>
      </c>
      <c r="F8954" s="5"/>
    </row>
    <row r="8955" spans="2:6" ht="13.8" hidden="1" outlineLevel="1">
      <c r="B8955" s="187">
        <v>35143</v>
      </c>
      <c r="C8955" s="188">
        <v>6.41</v>
      </c>
      <c r="D8955" s="104">
        <f t="shared" si="139"/>
        <v>6.4100000000000004E-2</v>
      </c>
      <c r="F8955" s="5"/>
    </row>
    <row r="8956" spans="2:6" ht="13.8" hidden="1" outlineLevel="1">
      <c r="B8956" s="187">
        <v>35144</v>
      </c>
      <c r="C8956" s="188">
        <v>6.34</v>
      </c>
      <c r="D8956" s="104">
        <f t="shared" si="139"/>
        <v>6.3399999999999998E-2</v>
      </c>
      <c r="F8956" s="5"/>
    </row>
    <row r="8957" spans="2:6" ht="13.8" hidden="1" outlineLevel="1">
      <c r="B8957" s="187">
        <v>35145</v>
      </c>
      <c r="C8957" s="188">
        <v>6.28</v>
      </c>
      <c r="D8957" s="104">
        <f t="shared" si="139"/>
        <v>6.2800000000000009E-2</v>
      </c>
      <c r="F8957" s="5"/>
    </row>
    <row r="8958" spans="2:6" ht="13.8" hidden="1" outlineLevel="1">
      <c r="B8958" s="187">
        <v>35146</v>
      </c>
      <c r="C8958" s="188">
        <v>6.32</v>
      </c>
      <c r="D8958" s="104">
        <f t="shared" si="139"/>
        <v>6.3200000000000006E-2</v>
      </c>
      <c r="F8958" s="5"/>
    </row>
    <row r="8959" spans="2:6" ht="13.8" hidden="1" outlineLevel="1">
      <c r="B8959" s="187">
        <v>35149</v>
      </c>
      <c r="C8959" s="188">
        <v>6.26</v>
      </c>
      <c r="D8959" s="104">
        <f t="shared" si="139"/>
        <v>6.2600000000000003E-2</v>
      </c>
      <c r="F8959" s="5"/>
    </row>
    <row r="8960" spans="2:6" ht="13.8" hidden="1" outlineLevel="1">
      <c r="B8960" s="187">
        <v>35150</v>
      </c>
      <c r="C8960" s="188">
        <v>6.25</v>
      </c>
      <c r="D8960" s="104">
        <f t="shared" si="139"/>
        <v>6.25E-2</v>
      </c>
      <c r="F8960" s="5"/>
    </row>
    <row r="8961" spans="2:6" ht="13.8" hidden="1" outlineLevel="1">
      <c r="B8961" s="187">
        <v>35151</v>
      </c>
      <c r="C8961" s="188">
        <v>6.34</v>
      </c>
      <c r="D8961" s="104">
        <f t="shared" si="139"/>
        <v>6.3399999999999998E-2</v>
      </c>
      <c r="F8961" s="5"/>
    </row>
    <row r="8962" spans="2:6" ht="13.8" hidden="1" outlineLevel="1">
      <c r="B8962" s="187">
        <v>35152</v>
      </c>
      <c r="C8962" s="188">
        <v>6.41</v>
      </c>
      <c r="D8962" s="104">
        <f t="shared" si="139"/>
        <v>6.4100000000000004E-2</v>
      </c>
      <c r="F8962" s="5"/>
    </row>
    <row r="8963" spans="2:6" ht="13.8" hidden="1" outlineLevel="1">
      <c r="B8963" s="187">
        <v>35153</v>
      </c>
      <c r="C8963" s="188">
        <v>6.34</v>
      </c>
      <c r="D8963" s="104">
        <f t="shared" si="139"/>
        <v>6.3399999999999998E-2</v>
      </c>
      <c r="F8963" s="5"/>
    </row>
    <row r="8964" spans="2:6" ht="13.8" hidden="1" outlineLevel="1">
      <c r="B8964" s="187">
        <v>35156</v>
      </c>
      <c r="C8964" s="188">
        <v>6.31</v>
      </c>
      <c r="D8964" s="104">
        <f t="shared" si="139"/>
        <v>6.3099999999999989E-2</v>
      </c>
      <c r="F8964" s="5"/>
    </row>
    <row r="8965" spans="2:6" ht="13.8" hidden="1" outlineLevel="1">
      <c r="B8965" s="187">
        <v>35157</v>
      </c>
      <c r="C8965" s="188">
        <v>6.25</v>
      </c>
      <c r="D8965" s="104">
        <f t="shared" si="139"/>
        <v>6.25E-2</v>
      </c>
      <c r="F8965" s="5"/>
    </row>
    <row r="8966" spans="2:6" ht="13.8" hidden="1" outlineLevel="1">
      <c r="B8966" s="187">
        <v>35158</v>
      </c>
      <c r="C8966" s="188">
        <v>6.27</v>
      </c>
      <c r="D8966" s="104">
        <f t="shared" si="139"/>
        <v>6.2699999999999992E-2</v>
      </c>
      <c r="F8966" s="5"/>
    </row>
    <row r="8967" spans="2:6" ht="13.8" hidden="1" outlineLevel="1">
      <c r="B8967" s="187">
        <v>35159</v>
      </c>
      <c r="C8967" s="188">
        <v>6.33</v>
      </c>
      <c r="D8967" s="104">
        <f t="shared" si="139"/>
        <v>6.3299999999999995E-2</v>
      </c>
      <c r="F8967" s="5"/>
    </row>
    <row r="8968" spans="2:6" ht="13.8" hidden="1" outlineLevel="1">
      <c r="B8968" s="187">
        <v>35160</v>
      </c>
      <c r="C8968" s="188">
        <v>6.57</v>
      </c>
      <c r="D8968" s="104">
        <f t="shared" si="139"/>
        <v>6.5700000000000008E-2</v>
      </c>
      <c r="F8968" s="5"/>
    </row>
    <row r="8969" spans="2:6" ht="13.8" hidden="1" outlineLevel="1">
      <c r="B8969" s="187">
        <v>35163</v>
      </c>
      <c r="C8969" s="188">
        <v>6.63</v>
      </c>
      <c r="D8969" s="104">
        <f t="shared" si="139"/>
        <v>6.6299999999999998E-2</v>
      </c>
      <c r="F8969" s="5"/>
    </row>
    <row r="8970" spans="2:6" ht="13.8" hidden="1" outlineLevel="1">
      <c r="B8970" s="187">
        <v>35164</v>
      </c>
      <c r="C8970" s="188">
        <v>6.56</v>
      </c>
      <c r="D8970" s="104">
        <f t="shared" si="139"/>
        <v>6.5599999999999992E-2</v>
      </c>
      <c r="F8970" s="5"/>
    </row>
    <row r="8971" spans="2:6" ht="13.8" hidden="1" outlineLevel="1">
      <c r="B8971" s="187">
        <v>35165</v>
      </c>
      <c r="C8971" s="188">
        <v>6.63</v>
      </c>
      <c r="D8971" s="104">
        <f t="shared" si="139"/>
        <v>6.6299999999999998E-2</v>
      </c>
      <c r="F8971" s="5"/>
    </row>
    <row r="8972" spans="2:6" ht="13.8" hidden="1" outlineLevel="1">
      <c r="B8972" s="187">
        <v>35166</v>
      </c>
      <c r="C8972" s="188">
        <v>6.68</v>
      </c>
      <c r="D8972" s="104">
        <f t="shared" si="139"/>
        <v>6.6799999999999998E-2</v>
      </c>
      <c r="F8972" s="5"/>
    </row>
    <row r="8973" spans="2:6" ht="13.8" hidden="1" outlineLevel="1">
      <c r="B8973" s="187">
        <v>35167</v>
      </c>
      <c r="C8973" s="188">
        <v>6.52</v>
      </c>
      <c r="D8973" s="104">
        <f t="shared" si="139"/>
        <v>6.5199999999999994E-2</v>
      </c>
      <c r="F8973" s="5"/>
    </row>
    <row r="8974" spans="2:6" ht="13.8" hidden="1" outlineLevel="1">
      <c r="B8974" s="187">
        <v>35170</v>
      </c>
      <c r="C8974" s="188">
        <v>6.47</v>
      </c>
      <c r="D8974" s="104">
        <f t="shared" si="139"/>
        <v>6.4699999999999994E-2</v>
      </c>
      <c r="F8974" s="5"/>
    </row>
    <row r="8975" spans="2:6" ht="13.8" hidden="1" outlineLevel="1">
      <c r="B8975" s="187">
        <v>35171</v>
      </c>
      <c r="C8975" s="188">
        <v>6.48</v>
      </c>
      <c r="D8975" s="104">
        <f t="shared" si="139"/>
        <v>6.480000000000001E-2</v>
      </c>
      <c r="F8975" s="5"/>
    </row>
    <row r="8976" spans="2:6" ht="13.8" hidden="1" outlineLevel="1">
      <c r="B8976" s="187">
        <v>35172</v>
      </c>
      <c r="C8976" s="188">
        <v>6.52</v>
      </c>
      <c r="D8976" s="104">
        <f t="shared" si="139"/>
        <v>6.5199999999999994E-2</v>
      </c>
      <c r="F8976" s="5"/>
    </row>
    <row r="8977" spans="2:6" ht="13.8" hidden="1" outlineLevel="1">
      <c r="B8977" s="187">
        <v>35173</v>
      </c>
      <c r="C8977" s="188">
        <v>6.58</v>
      </c>
      <c r="D8977" s="104">
        <f t="shared" si="139"/>
        <v>6.5799999999999997E-2</v>
      </c>
      <c r="F8977" s="5"/>
    </row>
    <row r="8978" spans="2:6" ht="13.8" hidden="1" outlineLevel="1">
      <c r="B8978" s="187">
        <v>35174</v>
      </c>
      <c r="C8978" s="188">
        <v>6.53</v>
      </c>
      <c r="D8978" s="104">
        <f t="shared" si="139"/>
        <v>6.5299999999999997E-2</v>
      </c>
      <c r="F8978" s="5"/>
    </row>
    <row r="8979" spans="2:6" ht="13.8" hidden="1" outlineLevel="1">
      <c r="B8979" s="187">
        <v>35177</v>
      </c>
      <c r="C8979" s="188">
        <v>6.48</v>
      </c>
      <c r="D8979" s="104">
        <f t="shared" si="139"/>
        <v>6.480000000000001E-2</v>
      </c>
      <c r="F8979" s="5"/>
    </row>
    <row r="8980" spans="2:6" ht="13.8" hidden="1" outlineLevel="1">
      <c r="B8980" s="187">
        <v>35178</v>
      </c>
      <c r="C8980" s="188">
        <v>6.52</v>
      </c>
      <c r="D8980" s="104">
        <f t="shared" si="139"/>
        <v>6.5199999999999994E-2</v>
      </c>
      <c r="F8980" s="5"/>
    </row>
    <row r="8981" spans="2:6" ht="13.8" hidden="1" outlineLevel="1">
      <c r="B8981" s="187">
        <v>35179</v>
      </c>
      <c r="C8981" s="188">
        <v>6.57</v>
      </c>
      <c r="D8981" s="104">
        <f t="shared" si="139"/>
        <v>6.5700000000000008E-2</v>
      </c>
      <c r="F8981" s="5"/>
    </row>
    <row r="8982" spans="2:6" ht="13.8" hidden="1" outlineLevel="1">
      <c r="B8982" s="187">
        <v>35180</v>
      </c>
      <c r="C8982" s="188">
        <v>6.56</v>
      </c>
      <c r="D8982" s="104">
        <f t="shared" si="139"/>
        <v>6.5599999999999992E-2</v>
      </c>
      <c r="F8982" s="5"/>
    </row>
    <row r="8983" spans="2:6" ht="13.8" hidden="1" outlineLevel="1">
      <c r="B8983" s="187">
        <v>35181</v>
      </c>
      <c r="C8983" s="188">
        <v>6.54</v>
      </c>
      <c r="D8983" s="104">
        <f t="shared" si="139"/>
        <v>6.54E-2</v>
      </c>
      <c r="F8983" s="5"/>
    </row>
    <row r="8984" spans="2:6" ht="13.8" hidden="1" outlineLevel="1">
      <c r="B8984" s="187">
        <v>35184</v>
      </c>
      <c r="C8984" s="188">
        <v>6.59</v>
      </c>
      <c r="D8984" s="104">
        <f t="shared" si="139"/>
        <v>6.59E-2</v>
      </c>
      <c r="F8984" s="5"/>
    </row>
    <row r="8985" spans="2:6" ht="13.8" hidden="1" outlineLevel="1">
      <c r="B8985" s="187">
        <v>35185</v>
      </c>
      <c r="C8985" s="188">
        <v>6.66</v>
      </c>
      <c r="D8985" s="104">
        <f t="shared" si="139"/>
        <v>6.6600000000000006E-2</v>
      </c>
      <c r="F8985" s="5"/>
    </row>
    <row r="8986" spans="2:6" ht="13.8" hidden="1" outlineLevel="1">
      <c r="B8986" s="187">
        <v>35186</v>
      </c>
      <c r="C8986" s="188">
        <v>6.68</v>
      </c>
      <c r="D8986" s="104">
        <f t="shared" si="139"/>
        <v>6.6799999999999998E-2</v>
      </c>
      <c r="F8986" s="5"/>
    </row>
    <row r="8987" spans="2:6" ht="13.8" hidden="1" outlineLevel="1">
      <c r="B8987" s="187">
        <v>35187</v>
      </c>
      <c r="C8987" s="188">
        <v>6.85</v>
      </c>
      <c r="D8987" s="104">
        <f t="shared" si="139"/>
        <v>6.8499999999999991E-2</v>
      </c>
      <c r="F8987" s="5"/>
    </row>
    <row r="8988" spans="2:6" ht="13.8" hidden="1" outlineLevel="1">
      <c r="B8988" s="187">
        <v>35188</v>
      </c>
      <c r="C8988" s="188">
        <v>6.9</v>
      </c>
      <c r="D8988" s="104">
        <f t="shared" si="139"/>
        <v>6.9000000000000006E-2</v>
      </c>
      <c r="F8988" s="5"/>
    </row>
    <row r="8989" spans="2:6" ht="13.8" hidden="1" outlineLevel="1">
      <c r="B8989" s="187">
        <v>35191</v>
      </c>
      <c r="C8989" s="188">
        <v>6.86</v>
      </c>
      <c r="D8989" s="104">
        <f t="shared" si="139"/>
        <v>6.8600000000000008E-2</v>
      </c>
      <c r="F8989" s="5"/>
    </row>
    <row r="8990" spans="2:6" ht="13.8" hidden="1" outlineLevel="1">
      <c r="B8990" s="187">
        <v>35192</v>
      </c>
      <c r="C8990" s="188">
        <v>6.87</v>
      </c>
      <c r="D8990" s="104">
        <f t="shared" ref="D8990:D9053" si="140">IF( LEN( C8990 ) = 0, #N/A, IF( C8990 = "ND", D8989, C8990 / 100 ) )</f>
        <v>6.8699999999999997E-2</v>
      </c>
      <c r="F8990" s="5"/>
    </row>
    <row r="8991" spans="2:6" ht="13.8" hidden="1" outlineLevel="1">
      <c r="B8991" s="187">
        <v>35193</v>
      </c>
      <c r="C8991" s="188">
        <v>6.78</v>
      </c>
      <c r="D8991" s="104">
        <f t="shared" si="140"/>
        <v>6.7799999999999999E-2</v>
      </c>
      <c r="F8991" s="5"/>
    </row>
    <row r="8992" spans="2:6" ht="13.8" hidden="1" outlineLevel="1">
      <c r="B8992" s="187">
        <v>35194</v>
      </c>
      <c r="C8992" s="188">
        <v>6.84</v>
      </c>
      <c r="D8992" s="104">
        <f t="shared" si="140"/>
        <v>6.8400000000000002E-2</v>
      </c>
      <c r="F8992" s="5"/>
    </row>
    <row r="8993" spans="2:6" ht="13.8" hidden="1" outlineLevel="1">
      <c r="B8993" s="187">
        <v>35195</v>
      </c>
      <c r="C8993" s="188">
        <v>6.75</v>
      </c>
      <c r="D8993" s="104">
        <f t="shared" si="140"/>
        <v>6.7500000000000004E-2</v>
      </c>
      <c r="F8993" s="5"/>
    </row>
    <row r="8994" spans="2:6" ht="13.8" hidden="1" outlineLevel="1">
      <c r="B8994" s="187">
        <v>35198</v>
      </c>
      <c r="C8994" s="188">
        <v>6.72</v>
      </c>
      <c r="D8994" s="104">
        <f t="shared" si="140"/>
        <v>6.7199999999999996E-2</v>
      </c>
      <c r="F8994" s="5"/>
    </row>
    <row r="8995" spans="2:6" ht="13.8" hidden="1" outlineLevel="1">
      <c r="B8995" s="187">
        <v>35199</v>
      </c>
      <c r="C8995" s="188">
        <v>6.66</v>
      </c>
      <c r="D8995" s="104">
        <f t="shared" si="140"/>
        <v>6.6600000000000006E-2</v>
      </c>
      <c r="F8995" s="5"/>
    </row>
    <row r="8996" spans="2:6" ht="13.8" hidden="1" outlineLevel="1">
      <c r="B8996" s="187">
        <v>35200</v>
      </c>
      <c r="C8996" s="188">
        <v>6.65</v>
      </c>
      <c r="D8996" s="104">
        <f t="shared" si="140"/>
        <v>6.6500000000000004E-2</v>
      </c>
      <c r="F8996" s="5"/>
    </row>
    <row r="8997" spans="2:6" ht="13.8" hidden="1" outlineLevel="1">
      <c r="B8997" s="187">
        <v>35201</v>
      </c>
      <c r="C8997" s="188">
        <v>6.7</v>
      </c>
      <c r="D8997" s="104">
        <f t="shared" si="140"/>
        <v>6.7000000000000004E-2</v>
      </c>
      <c r="F8997" s="5"/>
    </row>
    <row r="8998" spans="2:6" ht="13.8" hidden="1" outlineLevel="1">
      <c r="B8998" s="187">
        <v>35202</v>
      </c>
      <c r="C8998" s="188">
        <v>6.65</v>
      </c>
      <c r="D8998" s="104">
        <f t="shared" si="140"/>
        <v>6.6500000000000004E-2</v>
      </c>
      <c r="F8998" s="5"/>
    </row>
    <row r="8999" spans="2:6" ht="13.8" hidden="1" outlineLevel="1">
      <c r="B8999" s="187">
        <v>35205</v>
      </c>
      <c r="C8999" s="188">
        <v>6.62</v>
      </c>
      <c r="D8999" s="104">
        <f t="shared" si="140"/>
        <v>6.6199999999999995E-2</v>
      </c>
      <c r="F8999" s="5"/>
    </row>
    <row r="9000" spans="2:6" ht="13.8" hidden="1" outlineLevel="1">
      <c r="B9000" s="187">
        <v>35206</v>
      </c>
      <c r="C9000" s="188">
        <v>6.65</v>
      </c>
      <c r="D9000" s="104">
        <f t="shared" si="140"/>
        <v>6.6500000000000004E-2</v>
      </c>
      <c r="F9000" s="5"/>
    </row>
    <row r="9001" spans="2:6" ht="13.8" hidden="1" outlineLevel="1">
      <c r="B9001" s="187">
        <v>35207</v>
      </c>
      <c r="C9001" s="188">
        <v>6.63</v>
      </c>
      <c r="D9001" s="104">
        <f t="shared" si="140"/>
        <v>6.6299999999999998E-2</v>
      </c>
      <c r="F9001" s="5"/>
    </row>
    <row r="9002" spans="2:6" ht="13.8" hidden="1" outlineLevel="1">
      <c r="B9002" s="187">
        <v>35208</v>
      </c>
      <c r="C9002" s="188">
        <v>6.68</v>
      </c>
      <c r="D9002" s="104">
        <f t="shared" si="140"/>
        <v>6.6799999999999998E-2</v>
      </c>
      <c r="F9002" s="5"/>
    </row>
    <row r="9003" spans="2:6" ht="13.8" hidden="1" outlineLevel="1">
      <c r="B9003" s="187">
        <v>35209</v>
      </c>
      <c r="C9003" s="188">
        <v>6.65</v>
      </c>
      <c r="D9003" s="104">
        <f t="shared" si="140"/>
        <v>6.6500000000000004E-2</v>
      </c>
      <c r="F9003" s="5"/>
    </row>
    <row r="9004" spans="2:6" ht="13.8" hidden="1" outlineLevel="1">
      <c r="B9004" s="187">
        <v>35212</v>
      </c>
      <c r="C9004" s="188" t="s">
        <v>380</v>
      </c>
      <c r="D9004" s="104">
        <f t="shared" si="140"/>
        <v>6.6500000000000004E-2</v>
      </c>
      <c r="F9004" s="5"/>
    </row>
    <row r="9005" spans="2:6" ht="13.8" hidden="1" outlineLevel="1">
      <c r="B9005" s="187">
        <v>35213</v>
      </c>
      <c r="C9005" s="188">
        <v>6.67</v>
      </c>
      <c r="D9005" s="104">
        <f t="shared" si="140"/>
        <v>6.6699999999999995E-2</v>
      </c>
      <c r="F9005" s="5"/>
    </row>
    <row r="9006" spans="2:6" ht="13.8" hidden="1" outlineLevel="1">
      <c r="B9006" s="187">
        <v>35214</v>
      </c>
      <c r="C9006" s="188">
        <v>6.77</v>
      </c>
      <c r="D9006" s="104">
        <f t="shared" si="140"/>
        <v>6.7699999999999996E-2</v>
      </c>
      <c r="F9006" s="5"/>
    </row>
    <row r="9007" spans="2:6" ht="13.8" hidden="1" outlineLevel="1">
      <c r="B9007" s="187">
        <v>35215</v>
      </c>
      <c r="C9007" s="188">
        <v>6.78</v>
      </c>
      <c r="D9007" s="104">
        <f t="shared" si="140"/>
        <v>6.7799999999999999E-2</v>
      </c>
      <c r="F9007" s="5"/>
    </row>
    <row r="9008" spans="2:6" ht="13.8" hidden="1" outlineLevel="1">
      <c r="B9008" s="187">
        <v>35216</v>
      </c>
      <c r="C9008" s="188">
        <v>6.85</v>
      </c>
      <c r="D9008" s="104">
        <f t="shared" si="140"/>
        <v>6.8499999999999991E-2</v>
      </c>
      <c r="F9008" s="5"/>
    </row>
    <row r="9009" spans="2:6" ht="13.8" hidden="1" outlineLevel="1">
      <c r="B9009" s="187">
        <v>35219</v>
      </c>
      <c r="C9009" s="188">
        <v>6.87</v>
      </c>
      <c r="D9009" s="104">
        <f t="shared" si="140"/>
        <v>6.8699999999999997E-2</v>
      </c>
      <c r="F9009" s="5"/>
    </row>
    <row r="9010" spans="2:6" ht="13.8" hidden="1" outlineLevel="1">
      <c r="B9010" s="187">
        <v>35220</v>
      </c>
      <c r="C9010" s="188">
        <v>6.86</v>
      </c>
      <c r="D9010" s="104">
        <f t="shared" si="140"/>
        <v>6.8600000000000008E-2</v>
      </c>
      <c r="F9010" s="5"/>
    </row>
    <row r="9011" spans="2:6" ht="13.8" hidden="1" outlineLevel="1">
      <c r="B9011" s="187">
        <v>35221</v>
      </c>
      <c r="C9011" s="188">
        <v>6.82</v>
      </c>
      <c r="D9011" s="104">
        <f t="shared" si="140"/>
        <v>6.8199999999999997E-2</v>
      </c>
      <c r="F9011" s="5"/>
    </row>
    <row r="9012" spans="2:6" ht="13.8" hidden="1" outlineLevel="1">
      <c r="B9012" s="187">
        <v>35222</v>
      </c>
      <c r="C9012" s="188">
        <v>6.76</v>
      </c>
      <c r="D9012" s="104">
        <f t="shared" si="140"/>
        <v>6.7599999999999993E-2</v>
      </c>
      <c r="F9012" s="5"/>
    </row>
    <row r="9013" spans="2:6" ht="13.8" hidden="1" outlineLevel="1">
      <c r="B9013" s="187">
        <v>35223</v>
      </c>
      <c r="C9013" s="188">
        <v>6.93</v>
      </c>
      <c r="D9013" s="104">
        <f t="shared" si="140"/>
        <v>6.93E-2</v>
      </c>
      <c r="F9013" s="5"/>
    </row>
    <row r="9014" spans="2:6" ht="13.8" hidden="1" outlineLevel="1">
      <c r="B9014" s="187">
        <v>35226</v>
      </c>
      <c r="C9014" s="188">
        <v>6.97</v>
      </c>
      <c r="D9014" s="104">
        <f t="shared" si="140"/>
        <v>6.9699999999999998E-2</v>
      </c>
      <c r="F9014" s="5"/>
    </row>
    <row r="9015" spans="2:6" ht="13.8" hidden="1" outlineLevel="1">
      <c r="B9015" s="187">
        <v>35227</v>
      </c>
      <c r="C9015" s="188">
        <v>6.99</v>
      </c>
      <c r="D9015" s="104">
        <f t="shared" si="140"/>
        <v>6.9900000000000004E-2</v>
      </c>
      <c r="F9015" s="5"/>
    </row>
    <row r="9016" spans="2:6" ht="13.8" hidden="1" outlineLevel="1">
      <c r="B9016" s="187">
        <v>35228</v>
      </c>
      <c r="C9016" s="188">
        <v>7.03</v>
      </c>
      <c r="D9016" s="104">
        <f t="shared" si="140"/>
        <v>7.0300000000000001E-2</v>
      </c>
      <c r="F9016" s="5"/>
    </row>
    <row r="9017" spans="2:6" ht="13.8" hidden="1" outlineLevel="1">
      <c r="B9017" s="187">
        <v>35229</v>
      </c>
      <c r="C9017" s="188">
        <v>7.01</v>
      </c>
      <c r="D9017" s="104">
        <f t="shared" si="140"/>
        <v>7.0099999999999996E-2</v>
      </c>
      <c r="F9017" s="5"/>
    </row>
    <row r="9018" spans="2:6" ht="13.8" hidden="1" outlineLevel="1">
      <c r="B9018" s="187">
        <v>35230</v>
      </c>
      <c r="C9018" s="188">
        <v>6.95</v>
      </c>
      <c r="D9018" s="104">
        <f t="shared" si="140"/>
        <v>6.9500000000000006E-2</v>
      </c>
      <c r="F9018" s="5"/>
    </row>
    <row r="9019" spans="2:6" ht="13.8" hidden="1" outlineLevel="1">
      <c r="B9019" s="187">
        <v>35233</v>
      </c>
      <c r="C9019" s="188">
        <v>6.9</v>
      </c>
      <c r="D9019" s="104">
        <f t="shared" si="140"/>
        <v>6.9000000000000006E-2</v>
      </c>
      <c r="F9019" s="5"/>
    </row>
    <row r="9020" spans="2:6" ht="13.8" hidden="1" outlineLevel="1">
      <c r="B9020" s="187">
        <v>35234</v>
      </c>
      <c r="C9020" s="188">
        <v>6.93</v>
      </c>
      <c r="D9020" s="104">
        <f t="shared" si="140"/>
        <v>6.93E-2</v>
      </c>
      <c r="F9020" s="5"/>
    </row>
    <row r="9021" spans="2:6" ht="13.8" hidden="1" outlineLevel="1">
      <c r="B9021" s="187">
        <v>35235</v>
      </c>
      <c r="C9021" s="188">
        <v>6.96</v>
      </c>
      <c r="D9021" s="104">
        <f t="shared" si="140"/>
        <v>6.9599999999999995E-2</v>
      </c>
      <c r="F9021" s="5"/>
    </row>
    <row r="9022" spans="2:6" ht="13.8" hidden="1" outlineLevel="1">
      <c r="B9022" s="187">
        <v>35236</v>
      </c>
      <c r="C9022" s="188">
        <v>6.98</v>
      </c>
      <c r="D9022" s="104">
        <f t="shared" si="140"/>
        <v>6.9800000000000001E-2</v>
      </c>
      <c r="F9022" s="5"/>
    </row>
    <row r="9023" spans="2:6" ht="13.8" hidden="1" outlineLevel="1">
      <c r="B9023" s="187">
        <v>35237</v>
      </c>
      <c r="C9023" s="188">
        <v>6.96</v>
      </c>
      <c r="D9023" s="104">
        <f t="shared" si="140"/>
        <v>6.9599999999999995E-2</v>
      </c>
      <c r="F9023" s="5"/>
    </row>
    <row r="9024" spans="2:6" ht="13.8" hidden="1" outlineLevel="1">
      <c r="B9024" s="187">
        <v>35240</v>
      </c>
      <c r="C9024" s="188">
        <v>6.94</v>
      </c>
      <c r="D9024" s="104">
        <f t="shared" si="140"/>
        <v>6.9400000000000003E-2</v>
      </c>
      <c r="F9024" s="5"/>
    </row>
    <row r="9025" spans="2:6" ht="13.8" hidden="1" outlineLevel="1">
      <c r="B9025" s="187">
        <v>35241</v>
      </c>
      <c r="C9025" s="188">
        <v>6.91</v>
      </c>
      <c r="D9025" s="104">
        <f t="shared" si="140"/>
        <v>6.9099999999999995E-2</v>
      </c>
      <c r="F9025" s="5"/>
    </row>
    <row r="9026" spans="2:6" ht="13.8" hidden="1" outlineLevel="1">
      <c r="B9026" s="187">
        <v>35242</v>
      </c>
      <c r="C9026" s="188">
        <v>6.91</v>
      </c>
      <c r="D9026" s="104">
        <f t="shared" si="140"/>
        <v>6.9099999999999995E-2</v>
      </c>
      <c r="F9026" s="5"/>
    </row>
    <row r="9027" spans="2:6" ht="13.8" hidden="1" outlineLevel="1">
      <c r="B9027" s="187">
        <v>35243</v>
      </c>
      <c r="C9027" s="188">
        <v>6.83</v>
      </c>
      <c r="D9027" s="104">
        <f t="shared" si="140"/>
        <v>6.83E-2</v>
      </c>
      <c r="F9027" s="5"/>
    </row>
    <row r="9028" spans="2:6" ht="13.8" hidden="1" outlineLevel="1">
      <c r="B9028" s="187">
        <v>35244</v>
      </c>
      <c r="C9028" s="188">
        <v>6.73</v>
      </c>
      <c r="D9028" s="104">
        <f t="shared" si="140"/>
        <v>6.7299999999999999E-2</v>
      </c>
      <c r="F9028" s="5"/>
    </row>
    <row r="9029" spans="2:6" ht="13.8" hidden="1" outlineLevel="1">
      <c r="B9029" s="187">
        <v>35247</v>
      </c>
      <c r="C9029" s="188">
        <v>6.74</v>
      </c>
      <c r="D9029" s="104">
        <f t="shared" si="140"/>
        <v>6.7400000000000002E-2</v>
      </c>
      <c r="F9029" s="5"/>
    </row>
    <row r="9030" spans="2:6" ht="13.8" hidden="1" outlineLevel="1">
      <c r="B9030" s="187">
        <v>35248</v>
      </c>
      <c r="C9030" s="188">
        <v>6.8</v>
      </c>
      <c r="D9030" s="104">
        <f t="shared" si="140"/>
        <v>6.8000000000000005E-2</v>
      </c>
      <c r="F9030" s="5"/>
    </row>
    <row r="9031" spans="2:6" ht="13.8" hidden="1" outlineLevel="1">
      <c r="B9031" s="187">
        <v>35249</v>
      </c>
      <c r="C9031" s="188">
        <v>6.78</v>
      </c>
      <c r="D9031" s="104">
        <f t="shared" si="140"/>
        <v>6.7799999999999999E-2</v>
      </c>
      <c r="F9031" s="5"/>
    </row>
    <row r="9032" spans="2:6" ht="13.8" hidden="1" outlineLevel="1">
      <c r="B9032" s="187">
        <v>35250</v>
      </c>
      <c r="C9032" s="188" t="s">
        <v>380</v>
      </c>
      <c r="D9032" s="104">
        <f t="shared" si="140"/>
        <v>6.7799999999999999E-2</v>
      </c>
      <c r="F9032" s="5"/>
    </row>
    <row r="9033" spans="2:6" ht="13.8" hidden="1" outlineLevel="1">
      <c r="B9033" s="187">
        <v>35251</v>
      </c>
      <c r="C9033" s="188">
        <v>7.06</v>
      </c>
      <c r="D9033" s="104">
        <f t="shared" si="140"/>
        <v>7.0599999999999996E-2</v>
      </c>
      <c r="F9033" s="5"/>
    </row>
    <row r="9034" spans="2:6" ht="13.8" hidden="1" outlineLevel="1">
      <c r="B9034" s="187">
        <v>35254</v>
      </c>
      <c r="C9034" s="188">
        <v>7.05</v>
      </c>
      <c r="D9034" s="104">
        <f t="shared" si="140"/>
        <v>7.0499999999999993E-2</v>
      </c>
      <c r="F9034" s="5"/>
    </row>
    <row r="9035" spans="2:6" ht="13.8" hidden="1" outlineLevel="1">
      <c r="B9035" s="187">
        <v>35255</v>
      </c>
      <c r="C9035" s="188">
        <v>7</v>
      </c>
      <c r="D9035" s="104">
        <f t="shared" si="140"/>
        <v>7.0000000000000007E-2</v>
      </c>
      <c r="F9035" s="5"/>
    </row>
    <row r="9036" spans="2:6" ht="13.8" hidden="1" outlineLevel="1">
      <c r="B9036" s="187">
        <v>35256</v>
      </c>
      <c r="C9036" s="188">
        <v>6.95</v>
      </c>
      <c r="D9036" s="104">
        <f t="shared" si="140"/>
        <v>6.9500000000000006E-2</v>
      </c>
      <c r="F9036" s="5"/>
    </row>
    <row r="9037" spans="2:6" ht="13.8" hidden="1" outlineLevel="1">
      <c r="B9037" s="187">
        <v>35257</v>
      </c>
      <c r="C9037" s="188">
        <v>6.9</v>
      </c>
      <c r="D9037" s="104">
        <f t="shared" si="140"/>
        <v>6.9000000000000006E-2</v>
      </c>
      <c r="F9037" s="5"/>
    </row>
    <row r="9038" spans="2:6" ht="13.8" hidden="1" outlineLevel="1">
      <c r="B9038" s="187">
        <v>35258</v>
      </c>
      <c r="C9038" s="188">
        <v>6.85</v>
      </c>
      <c r="D9038" s="104">
        <f t="shared" si="140"/>
        <v>6.8499999999999991E-2</v>
      </c>
      <c r="F9038" s="5"/>
    </row>
    <row r="9039" spans="2:6" ht="13.8" hidden="1" outlineLevel="1">
      <c r="B9039" s="187">
        <v>35261</v>
      </c>
      <c r="C9039" s="188">
        <v>6.89</v>
      </c>
      <c r="D9039" s="104">
        <f t="shared" si="140"/>
        <v>6.8900000000000003E-2</v>
      </c>
      <c r="F9039" s="5"/>
    </row>
    <row r="9040" spans="2:6" ht="13.8" hidden="1" outlineLevel="1">
      <c r="B9040" s="187">
        <v>35262</v>
      </c>
      <c r="C9040" s="188">
        <v>6.84</v>
      </c>
      <c r="D9040" s="104">
        <f t="shared" si="140"/>
        <v>6.8400000000000002E-2</v>
      </c>
      <c r="F9040" s="5"/>
    </row>
    <row r="9041" spans="2:6" ht="13.8" hidden="1" outlineLevel="1">
      <c r="B9041" s="187">
        <v>35263</v>
      </c>
      <c r="C9041" s="188">
        <v>6.83</v>
      </c>
      <c r="D9041" s="104">
        <f t="shared" si="140"/>
        <v>6.83E-2</v>
      </c>
      <c r="F9041" s="5"/>
    </row>
    <row r="9042" spans="2:6" ht="13.8" hidden="1" outlineLevel="1">
      <c r="B9042" s="187">
        <v>35264</v>
      </c>
      <c r="C9042" s="188">
        <v>6.72</v>
      </c>
      <c r="D9042" s="104">
        <f t="shared" si="140"/>
        <v>6.7199999999999996E-2</v>
      </c>
      <c r="F9042" s="5"/>
    </row>
    <row r="9043" spans="2:6" ht="13.8" hidden="1" outlineLevel="1">
      <c r="B9043" s="187">
        <v>35265</v>
      </c>
      <c r="C9043" s="188">
        <v>6.78</v>
      </c>
      <c r="D9043" s="104">
        <f t="shared" si="140"/>
        <v>6.7799999999999999E-2</v>
      </c>
      <c r="F9043" s="5"/>
    </row>
    <row r="9044" spans="2:6" ht="13.8" hidden="1" outlineLevel="1">
      <c r="B9044" s="187">
        <v>35268</v>
      </c>
      <c r="C9044" s="188">
        <v>6.84</v>
      </c>
      <c r="D9044" s="104">
        <f t="shared" si="140"/>
        <v>6.8400000000000002E-2</v>
      </c>
      <c r="F9044" s="5"/>
    </row>
    <row r="9045" spans="2:6" ht="13.8" hidden="1" outlineLevel="1">
      <c r="B9045" s="187">
        <v>35269</v>
      </c>
      <c r="C9045" s="188">
        <v>6.8</v>
      </c>
      <c r="D9045" s="104">
        <f t="shared" si="140"/>
        <v>6.8000000000000005E-2</v>
      </c>
      <c r="F9045" s="5"/>
    </row>
    <row r="9046" spans="2:6" ht="13.8" hidden="1" outlineLevel="1">
      <c r="B9046" s="187">
        <v>35270</v>
      </c>
      <c r="C9046" s="188">
        <v>6.87</v>
      </c>
      <c r="D9046" s="104">
        <f t="shared" si="140"/>
        <v>6.8699999999999997E-2</v>
      </c>
      <c r="F9046" s="5"/>
    </row>
    <row r="9047" spans="2:6" ht="13.8" hidden="1" outlineLevel="1">
      <c r="B9047" s="187">
        <v>35271</v>
      </c>
      <c r="C9047" s="188">
        <v>6.87</v>
      </c>
      <c r="D9047" s="104">
        <f t="shared" si="140"/>
        <v>6.8699999999999997E-2</v>
      </c>
      <c r="F9047" s="5"/>
    </row>
    <row r="9048" spans="2:6" ht="13.8" hidden="1" outlineLevel="1">
      <c r="B9048" s="187">
        <v>35272</v>
      </c>
      <c r="C9048" s="188">
        <v>6.85</v>
      </c>
      <c r="D9048" s="104">
        <f t="shared" si="140"/>
        <v>6.8499999999999991E-2</v>
      </c>
      <c r="F9048" s="5"/>
    </row>
    <row r="9049" spans="2:6" ht="13.8" hidden="1" outlineLevel="1">
      <c r="B9049" s="187">
        <v>35275</v>
      </c>
      <c r="C9049" s="188">
        <v>6.93</v>
      </c>
      <c r="D9049" s="104">
        <f t="shared" si="140"/>
        <v>6.93E-2</v>
      </c>
      <c r="F9049" s="5"/>
    </row>
    <row r="9050" spans="2:6" ht="13.8" hidden="1" outlineLevel="1">
      <c r="B9050" s="187">
        <v>35276</v>
      </c>
      <c r="C9050" s="188">
        <v>6.89</v>
      </c>
      <c r="D9050" s="104">
        <f t="shared" si="140"/>
        <v>6.8900000000000003E-2</v>
      </c>
      <c r="F9050" s="5"/>
    </row>
    <row r="9051" spans="2:6" ht="13.8" hidden="1" outlineLevel="1">
      <c r="B9051" s="187">
        <v>35277</v>
      </c>
      <c r="C9051" s="188">
        <v>6.8</v>
      </c>
      <c r="D9051" s="104">
        <f t="shared" si="140"/>
        <v>6.8000000000000005E-2</v>
      </c>
      <c r="F9051" s="5"/>
    </row>
    <row r="9052" spans="2:6" ht="13.8" hidden="1" outlineLevel="1">
      <c r="B9052" s="187">
        <v>35278</v>
      </c>
      <c r="C9052" s="188">
        <v>6.65</v>
      </c>
      <c r="D9052" s="104">
        <f t="shared" si="140"/>
        <v>6.6500000000000004E-2</v>
      </c>
      <c r="F9052" s="5"/>
    </row>
    <row r="9053" spans="2:6" ht="13.8" hidden="1" outlineLevel="1">
      <c r="B9053" s="187">
        <v>35279</v>
      </c>
      <c r="C9053" s="188">
        <v>6.51</v>
      </c>
      <c r="D9053" s="104">
        <f t="shared" si="140"/>
        <v>6.5099999999999991E-2</v>
      </c>
      <c r="F9053" s="5"/>
    </row>
    <row r="9054" spans="2:6" ht="13.8" hidden="1" outlineLevel="1">
      <c r="B9054" s="187">
        <v>35282</v>
      </c>
      <c r="C9054" s="188">
        <v>6.53</v>
      </c>
      <c r="D9054" s="104">
        <f t="shared" ref="D9054:D9117" si="141">IF( LEN( C9054 ) = 0, #N/A, IF( C9054 = "ND", D9053, C9054 / 100 ) )</f>
        <v>6.5299999999999997E-2</v>
      </c>
      <c r="F9054" s="5"/>
    </row>
    <row r="9055" spans="2:6" ht="13.8" hidden="1" outlineLevel="1">
      <c r="B9055" s="187">
        <v>35283</v>
      </c>
      <c r="C9055" s="188">
        <v>6.54</v>
      </c>
      <c r="D9055" s="104">
        <f t="shared" si="141"/>
        <v>6.54E-2</v>
      </c>
      <c r="F9055" s="5"/>
    </row>
    <row r="9056" spans="2:6" ht="13.8" hidden="1" outlineLevel="1">
      <c r="B9056" s="187">
        <v>35284</v>
      </c>
      <c r="C9056" s="188">
        <v>6.55</v>
      </c>
      <c r="D9056" s="104">
        <f t="shared" si="141"/>
        <v>6.5500000000000003E-2</v>
      </c>
      <c r="F9056" s="5"/>
    </row>
    <row r="9057" spans="2:6" ht="13.8" hidden="1" outlineLevel="1">
      <c r="B9057" s="187">
        <v>35285</v>
      </c>
      <c r="C9057" s="188">
        <v>6.56</v>
      </c>
      <c r="D9057" s="104">
        <f t="shared" si="141"/>
        <v>6.5599999999999992E-2</v>
      </c>
      <c r="F9057" s="5"/>
    </row>
    <row r="9058" spans="2:6" ht="13.8" hidden="1" outlineLevel="1">
      <c r="B9058" s="187">
        <v>35286</v>
      </c>
      <c r="C9058" s="188">
        <v>6.5</v>
      </c>
      <c r="D9058" s="104">
        <f t="shared" si="141"/>
        <v>6.5000000000000002E-2</v>
      </c>
      <c r="F9058" s="5"/>
    </row>
    <row r="9059" spans="2:6" ht="13.8" hidden="1" outlineLevel="1">
      <c r="B9059" s="187">
        <v>35289</v>
      </c>
      <c r="C9059" s="188">
        <v>6.49</v>
      </c>
      <c r="D9059" s="104">
        <f t="shared" si="141"/>
        <v>6.4899999999999999E-2</v>
      </c>
      <c r="F9059" s="5"/>
    </row>
    <row r="9060" spans="2:6" ht="13.8" hidden="1" outlineLevel="1">
      <c r="B9060" s="187">
        <v>35290</v>
      </c>
      <c r="C9060" s="188">
        <v>6.57</v>
      </c>
      <c r="D9060" s="104">
        <f t="shared" si="141"/>
        <v>6.5700000000000008E-2</v>
      </c>
      <c r="F9060" s="5"/>
    </row>
    <row r="9061" spans="2:6" ht="13.8" hidden="1" outlineLevel="1">
      <c r="B9061" s="187">
        <v>35291</v>
      </c>
      <c r="C9061" s="188">
        <v>6.58</v>
      </c>
      <c r="D9061" s="104">
        <f t="shared" si="141"/>
        <v>6.5799999999999997E-2</v>
      </c>
      <c r="F9061" s="5"/>
    </row>
    <row r="9062" spans="2:6" ht="13.8" hidden="1" outlineLevel="1">
      <c r="B9062" s="187">
        <v>35292</v>
      </c>
      <c r="C9062" s="188">
        <v>6.62</v>
      </c>
      <c r="D9062" s="104">
        <f t="shared" si="141"/>
        <v>6.6199999999999995E-2</v>
      </c>
      <c r="F9062" s="5"/>
    </row>
    <row r="9063" spans="2:6" ht="13.8" hidden="1" outlineLevel="1">
      <c r="B9063" s="187">
        <v>35293</v>
      </c>
      <c r="C9063" s="188">
        <v>6.56</v>
      </c>
      <c r="D9063" s="104">
        <f t="shared" si="141"/>
        <v>6.5599999999999992E-2</v>
      </c>
      <c r="F9063" s="5"/>
    </row>
    <row r="9064" spans="2:6" ht="13.8" hidden="1" outlineLevel="1">
      <c r="B9064" s="187">
        <v>35296</v>
      </c>
      <c r="C9064" s="188">
        <v>6.59</v>
      </c>
      <c r="D9064" s="104">
        <f t="shared" si="141"/>
        <v>6.59E-2</v>
      </c>
      <c r="F9064" s="5"/>
    </row>
    <row r="9065" spans="2:6" ht="13.8" hidden="1" outlineLevel="1">
      <c r="B9065" s="187">
        <v>35297</v>
      </c>
      <c r="C9065" s="188">
        <v>6.59</v>
      </c>
      <c r="D9065" s="104">
        <f t="shared" si="141"/>
        <v>6.59E-2</v>
      </c>
      <c r="F9065" s="5"/>
    </row>
    <row r="9066" spans="2:6" ht="13.8" hidden="1" outlineLevel="1">
      <c r="B9066" s="187">
        <v>35298</v>
      </c>
      <c r="C9066" s="188">
        <v>6.61</v>
      </c>
      <c r="D9066" s="104">
        <f t="shared" si="141"/>
        <v>6.6100000000000006E-2</v>
      </c>
      <c r="F9066" s="5"/>
    </row>
    <row r="9067" spans="2:6" ht="13.8" hidden="1" outlineLevel="1">
      <c r="B9067" s="187">
        <v>35299</v>
      </c>
      <c r="C9067" s="188">
        <v>6.62</v>
      </c>
      <c r="D9067" s="104">
        <f t="shared" si="141"/>
        <v>6.6199999999999995E-2</v>
      </c>
      <c r="F9067" s="5"/>
    </row>
    <row r="9068" spans="2:6" ht="13.8" hidden="1" outlineLevel="1">
      <c r="B9068" s="187">
        <v>35300</v>
      </c>
      <c r="C9068" s="188">
        <v>6.72</v>
      </c>
      <c r="D9068" s="104">
        <f t="shared" si="141"/>
        <v>6.7199999999999996E-2</v>
      </c>
      <c r="F9068" s="5"/>
    </row>
    <row r="9069" spans="2:6" ht="13.8" hidden="1" outlineLevel="1">
      <c r="B9069" s="187">
        <v>35303</v>
      </c>
      <c r="C9069" s="188">
        <v>6.8</v>
      </c>
      <c r="D9069" s="104">
        <f t="shared" si="141"/>
        <v>6.8000000000000005E-2</v>
      </c>
      <c r="F9069" s="5"/>
    </row>
    <row r="9070" spans="2:6" ht="13.8" hidden="1" outlineLevel="1">
      <c r="B9070" s="187">
        <v>35304</v>
      </c>
      <c r="C9070" s="188">
        <v>6.78</v>
      </c>
      <c r="D9070" s="104">
        <f t="shared" si="141"/>
        <v>6.7799999999999999E-2</v>
      </c>
      <c r="F9070" s="5"/>
    </row>
    <row r="9071" spans="2:6" ht="13.8" hidden="1" outlineLevel="1">
      <c r="B9071" s="187">
        <v>35305</v>
      </c>
      <c r="C9071" s="188">
        <v>6.79</v>
      </c>
      <c r="D9071" s="104">
        <f t="shared" si="141"/>
        <v>6.7900000000000002E-2</v>
      </c>
      <c r="F9071" s="5"/>
    </row>
    <row r="9072" spans="2:6" ht="13.8" hidden="1" outlineLevel="1">
      <c r="B9072" s="187">
        <v>35306</v>
      </c>
      <c r="C9072" s="188">
        <v>6.86</v>
      </c>
      <c r="D9072" s="104">
        <f t="shared" si="141"/>
        <v>6.8600000000000008E-2</v>
      </c>
      <c r="F9072" s="5"/>
    </row>
    <row r="9073" spans="2:6" ht="13.8" hidden="1" outlineLevel="1">
      <c r="B9073" s="187">
        <v>35307</v>
      </c>
      <c r="C9073" s="188">
        <v>6.96</v>
      </c>
      <c r="D9073" s="104">
        <f t="shared" si="141"/>
        <v>6.9599999999999995E-2</v>
      </c>
      <c r="F9073" s="5"/>
    </row>
    <row r="9074" spans="2:6" ht="13.8" hidden="1" outlineLevel="1">
      <c r="B9074" s="187">
        <v>35310</v>
      </c>
      <c r="C9074" s="188" t="s">
        <v>380</v>
      </c>
      <c r="D9074" s="104">
        <f t="shared" si="141"/>
        <v>6.9599999999999995E-2</v>
      </c>
      <c r="F9074" s="5"/>
    </row>
    <row r="9075" spans="2:6" ht="13.8" hidden="1" outlineLevel="1">
      <c r="B9075" s="187">
        <v>35311</v>
      </c>
      <c r="C9075" s="188">
        <v>6.92</v>
      </c>
      <c r="D9075" s="104">
        <f t="shared" si="141"/>
        <v>6.9199999999999998E-2</v>
      </c>
      <c r="F9075" s="5"/>
    </row>
    <row r="9076" spans="2:6" ht="13.8" hidden="1" outlineLevel="1">
      <c r="B9076" s="187">
        <v>35312</v>
      </c>
      <c r="C9076" s="188">
        <v>6.94</v>
      </c>
      <c r="D9076" s="104">
        <f t="shared" si="141"/>
        <v>6.9400000000000003E-2</v>
      </c>
      <c r="F9076" s="5"/>
    </row>
    <row r="9077" spans="2:6" ht="13.8" hidden="1" outlineLevel="1">
      <c r="B9077" s="187">
        <v>35313</v>
      </c>
      <c r="C9077" s="188">
        <v>6.98</v>
      </c>
      <c r="D9077" s="104">
        <f t="shared" si="141"/>
        <v>6.9800000000000001E-2</v>
      </c>
      <c r="F9077" s="5"/>
    </row>
    <row r="9078" spans="2:6" ht="13.8" hidden="1" outlineLevel="1">
      <c r="B9078" s="187">
        <v>35314</v>
      </c>
      <c r="C9078" s="188">
        <v>6.94</v>
      </c>
      <c r="D9078" s="104">
        <f t="shared" si="141"/>
        <v>6.9400000000000003E-2</v>
      </c>
      <c r="F9078" s="5"/>
    </row>
    <row r="9079" spans="2:6" ht="13.8" hidden="1" outlineLevel="1">
      <c r="B9079" s="187">
        <v>35317</v>
      </c>
      <c r="C9079" s="188">
        <v>6.9</v>
      </c>
      <c r="D9079" s="104">
        <f t="shared" si="141"/>
        <v>6.9000000000000006E-2</v>
      </c>
      <c r="F9079" s="5"/>
    </row>
    <row r="9080" spans="2:6" ht="13.8" hidden="1" outlineLevel="1">
      <c r="B9080" s="187">
        <v>35318</v>
      </c>
      <c r="C9080" s="188">
        <v>6.94</v>
      </c>
      <c r="D9080" s="104">
        <f t="shared" si="141"/>
        <v>6.9400000000000003E-2</v>
      </c>
      <c r="F9080" s="5"/>
    </row>
    <row r="9081" spans="2:6" ht="13.8" hidden="1" outlineLevel="1">
      <c r="B9081" s="187">
        <v>35319</v>
      </c>
      <c r="C9081" s="188">
        <v>6.94</v>
      </c>
      <c r="D9081" s="104">
        <f t="shared" si="141"/>
        <v>6.9400000000000003E-2</v>
      </c>
      <c r="F9081" s="5"/>
    </row>
    <row r="9082" spans="2:6" ht="13.8" hidden="1" outlineLevel="1">
      <c r="B9082" s="187">
        <v>35320</v>
      </c>
      <c r="C9082" s="188">
        <v>6.88</v>
      </c>
      <c r="D9082" s="104">
        <f t="shared" si="141"/>
        <v>6.88E-2</v>
      </c>
      <c r="F9082" s="5"/>
    </row>
    <row r="9083" spans="2:6" ht="13.8" hidden="1" outlineLevel="1">
      <c r="B9083" s="187">
        <v>35321</v>
      </c>
      <c r="C9083" s="188">
        <v>6.74</v>
      </c>
      <c r="D9083" s="104">
        <f t="shared" si="141"/>
        <v>6.7400000000000002E-2</v>
      </c>
      <c r="F9083" s="5"/>
    </row>
    <row r="9084" spans="2:6" ht="13.8" hidden="1" outlineLevel="1">
      <c r="B9084" s="187">
        <v>35324</v>
      </c>
      <c r="C9084" s="188">
        <v>6.73</v>
      </c>
      <c r="D9084" s="104">
        <f t="shared" si="141"/>
        <v>6.7299999999999999E-2</v>
      </c>
      <c r="F9084" s="5"/>
    </row>
    <row r="9085" spans="2:6" ht="13.8" hidden="1" outlineLevel="1">
      <c r="B9085" s="187">
        <v>35325</v>
      </c>
      <c r="C9085" s="188">
        <v>6.81</v>
      </c>
      <c r="D9085" s="104">
        <f t="shared" si="141"/>
        <v>6.8099999999999994E-2</v>
      </c>
      <c r="F9085" s="5"/>
    </row>
    <row r="9086" spans="2:6" ht="13.8" hidden="1" outlineLevel="1">
      <c r="B9086" s="187">
        <v>35326</v>
      </c>
      <c r="C9086" s="188">
        <v>6.83</v>
      </c>
      <c r="D9086" s="104">
        <f t="shared" si="141"/>
        <v>6.83E-2</v>
      </c>
      <c r="F9086" s="5"/>
    </row>
    <row r="9087" spans="2:6" ht="13.8" hidden="1" outlineLevel="1">
      <c r="B9087" s="187">
        <v>35327</v>
      </c>
      <c r="C9087" s="188">
        <v>6.87</v>
      </c>
      <c r="D9087" s="104">
        <f t="shared" si="141"/>
        <v>6.8699999999999997E-2</v>
      </c>
      <c r="F9087" s="5"/>
    </row>
    <row r="9088" spans="2:6" ht="13.8" hidden="1" outlineLevel="1">
      <c r="B9088" s="187">
        <v>35328</v>
      </c>
      <c r="C9088" s="188">
        <v>6.85</v>
      </c>
      <c r="D9088" s="104">
        <f t="shared" si="141"/>
        <v>6.8499999999999991E-2</v>
      </c>
      <c r="F9088" s="5"/>
    </row>
    <row r="9089" spans="2:6" ht="13.8" hidden="1" outlineLevel="1">
      <c r="B9089" s="187">
        <v>35331</v>
      </c>
      <c r="C9089" s="188">
        <v>6.83</v>
      </c>
      <c r="D9089" s="104">
        <f t="shared" si="141"/>
        <v>6.83E-2</v>
      </c>
      <c r="F9089" s="5"/>
    </row>
    <row r="9090" spans="2:6" ht="13.8" hidden="1" outlineLevel="1">
      <c r="B9090" s="187">
        <v>35332</v>
      </c>
      <c r="C9090" s="188">
        <v>6.77</v>
      </c>
      <c r="D9090" s="104">
        <f t="shared" si="141"/>
        <v>6.7699999999999996E-2</v>
      </c>
      <c r="F9090" s="5"/>
    </row>
    <row r="9091" spans="2:6" ht="13.8" hidden="1" outlineLevel="1">
      <c r="B9091" s="187">
        <v>35333</v>
      </c>
      <c r="C9091" s="188">
        <v>6.71</v>
      </c>
      <c r="D9091" s="104">
        <f t="shared" si="141"/>
        <v>6.7099999999999993E-2</v>
      </c>
      <c r="F9091" s="5"/>
    </row>
    <row r="9092" spans="2:6" ht="13.8" hidden="1" outlineLevel="1">
      <c r="B9092" s="187">
        <v>35334</v>
      </c>
      <c r="C9092" s="188">
        <v>6.66</v>
      </c>
      <c r="D9092" s="104">
        <f t="shared" si="141"/>
        <v>6.6600000000000006E-2</v>
      </c>
      <c r="F9092" s="5"/>
    </row>
    <row r="9093" spans="2:6" ht="13.8" hidden="1" outlineLevel="1">
      <c r="B9093" s="187">
        <v>35335</v>
      </c>
      <c r="C9093" s="188">
        <v>6.68</v>
      </c>
      <c r="D9093" s="104">
        <f t="shared" si="141"/>
        <v>6.6799999999999998E-2</v>
      </c>
      <c r="F9093" s="5"/>
    </row>
    <row r="9094" spans="2:6" ht="13.8" hidden="1" outlineLevel="1">
      <c r="B9094" s="187">
        <v>35338</v>
      </c>
      <c r="C9094" s="188">
        <v>6.72</v>
      </c>
      <c r="D9094" s="104">
        <f t="shared" si="141"/>
        <v>6.7199999999999996E-2</v>
      </c>
      <c r="F9094" s="5"/>
    </row>
    <row r="9095" spans="2:6" ht="13.8" hidden="1" outlineLevel="1">
      <c r="B9095" s="187">
        <v>35339</v>
      </c>
      <c r="C9095" s="188">
        <v>6.65</v>
      </c>
      <c r="D9095" s="104">
        <f t="shared" si="141"/>
        <v>6.6500000000000004E-2</v>
      </c>
      <c r="F9095" s="5"/>
    </row>
    <row r="9096" spans="2:6" ht="13.8" hidden="1" outlineLevel="1">
      <c r="B9096" s="187">
        <v>35340</v>
      </c>
      <c r="C9096" s="188">
        <v>6.61</v>
      </c>
      <c r="D9096" s="104">
        <f t="shared" si="141"/>
        <v>6.6100000000000006E-2</v>
      </c>
      <c r="F9096" s="5"/>
    </row>
    <row r="9097" spans="2:6" ht="13.8" hidden="1" outlineLevel="1">
      <c r="B9097" s="187">
        <v>35341</v>
      </c>
      <c r="C9097" s="188">
        <v>6.61</v>
      </c>
      <c r="D9097" s="104">
        <f t="shared" si="141"/>
        <v>6.6100000000000006E-2</v>
      </c>
      <c r="F9097" s="5"/>
    </row>
    <row r="9098" spans="2:6" ht="13.8" hidden="1" outlineLevel="1">
      <c r="B9098" s="187">
        <v>35342</v>
      </c>
      <c r="C9098" s="188">
        <v>6.48</v>
      </c>
      <c r="D9098" s="104">
        <f t="shared" si="141"/>
        <v>6.480000000000001E-2</v>
      </c>
      <c r="F9098" s="5"/>
    </row>
    <row r="9099" spans="2:6" ht="13.8" hidden="1" outlineLevel="1">
      <c r="B9099" s="187">
        <v>35345</v>
      </c>
      <c r="C9099" s="188">
        <v>6.53</v>
      </c>
      <c r="D9099" s="104">
        <f t="shared" si="141"/>
        <v>6.5299999999999997E-2</v>
      </c>
      <c r="F9099" s="5"/>
    </row>
    <row r="9100" spans="2:6" ht="13.8" hidden="1" outlineLevel="1">
      <c r="B9100" s="187">
        <v>35346</v>
      </c>
      <c r="C9100" s="188">
        <v>6.53</v>
      </c>
      <c r="D9100" s="104">
        <f t="shared" si="141"/>
        <v>6.5299999999999997E-2</v>
      </c>
      <c r="F9100" s="5"/>
    </row>
    <row r="9101" spans="2:6" ht="13.8" hidden="1" outlineLevel="1">
      <c r="B9101" s="187">
        <v>35347</v>
      </c>
      <c r="C9101" s="188">
        <v>6.55</v>
      </c>
      <c r="D9101" s="104">
        <f t="shared" si="141"/>
        <v>6.5500000000000003E-2</v>
      </c>
      <c r="F9101" s="5"/>
    </row>
    <row r="9102" spans="2:6" ht="13.8" hidden="1" outlineLevel="1">
      <c r="B9102" s="187">
        <v>35348</v>
      </c>
      <c r="C9102" s="188">
        <v>6.61</v>
      </c>
      <c r="D9102" s="104">
        <f t="shared" si="141"/>
        <v>6.6100000000000006E-2</v>
      </c>
      <c r="F9102" s="5"/>
    </row>
    <row r="9103" spans="2:6" ht="13.8" hidden="1" outlineLevel="1">
      <c r="B9103" s="187">
        <v>35349</v>
      </c>
      <c r="C9103" s="188">
        <v>6.55</v>
      </c>
      <c r="D9103" s="104">
        <f t="shared" si="141"/>
        <v>6.5500000000000003E-2</v>
      </c>
      <c r="F9103" s="5"/>
    </row>
    <row r="9104" spans="2:6" ht="13.8" hidden="1" outlineLevel="1">
      <c r="B9104" s="187">
        <v>35352</v>
      </c>
      <c r="C9104" s="188" t="s">
        <v>380</v>
      </c>
      <c r="D9104" s="104">
        <f t="shared" si="141"/>
        <v>6.5500000000000003E-2</v>
      </c>
      <c r="F9104" s="5"/>
    </row>
    <row r="9105" spans="2:6" ht="13.8" hidden="1" outlineLevel="1">
      <c r="B9105" s="187">
        <v>35353</v>
      </c>
      <c r="C9105" s="188">
        <v>6.56</v>
      </c>
      <c r="D9105" s="104">
        <f t="shared" si="141"/>
        <v>6.5599999999999992E-2</v>
      </c>
      <c r="F9105" s="5"/>
    </row>
    <row r="9106" spans="2:6" ht="13.8" hidden="1" outlineLevel="1">
      <c r="B9106" s="187">
        <v>35354</v>
      </c>
      <c r="C9106" s="188">
        <v>6.57</v>
      </c>
      <c r="D9106" s="104">
        <f t="shared" si="141"/>
        <v>6.5700000000000008E-2</v>
      </c>
      <c r="F9106" s="5"/>
    </row>
    <row r="9107" spans="2:6" ht="13.8" hidden="1" outlineLevel="1">
      <c r="B9107" s="187">
        <v>35355</v>
      </c>
      <c r="C9107" s="188">
        <v>6.51</v>
      </c>
      <c r="D9107" s="104">
        <f t="shared" si="141"/>
        <v>6.5099999999999991E-2</v>
      </c>
      <c r="F9107" s="5"/>
    </row>
    <row r="9108" spans="2:6" ht="13.8" hidden="1" outlineLevel="1">
      <c r="B9108" s="187">
        <v>35356</v>
      </c>
      <c r="C9108" s="188">
        <v>6.5</v>
      </c>
      <c r="D9108" s="104">
        <f t="shared" si="141"/>
        <v>6.5000000000000002E-2</v>
      </c>
      <c r="F9108" s="5"/>
    </row>
    <row r="9109" spans="2:6" ht="13.8" hidden="1" outlineLevel="1">
      <c r="B9109" s="187">
        <v>35359</v>
      </c>
      <c r="C9109" s="188">
        <v>6.52</v>
      </c>
      <c r="D9109" s="104">
        <f t="shared" si="141"/>
        <v>6.5199999999999994E-2</v>
      </c>
      <c r="F9109" s="5"/>
    </row>
    <row r="9110" spans="2:6" ht="13.8" hidden="1" outlineLevel="1">
      <c r="B9110" s="187">
        <v>35360</v>
      </c>
      <c r="C9110" s="188">
        <v>6.56</v>
      </c>
      <c r="D9110" s="104">
        <f t="shared" si="141"/>
        <v>6.5599999999999992E-2</v>
      </c>
      <c r="F9110" s="5"/>
    </row>
    <row r="9111" spans="2:6" ht="13.8" hidden="1" outlineLevel="1">
      <c r="B9111" s="187">
        <v>35361</v>
      </c>
      <c r="C9111" s="188">
        <v>6.56</v>
      </c>
      <c r="D9111" s="104">
        <f t="shared" si="141"/>
        <v>6.5599999999999992E-2</v>
      </c>
      <c r="F9111" s="5"/>
    </row>
    <row r="9112" spans="2:6" ht="13.8" hidden="1" outlineLevel="1">
      <c r="B9112" s="187">
        <v>35362</v>
      </c>
      <c r="C9112" s="188">
        <v>6.57</v>
      </c>
      <c r="D9112" s="104">
        <f t="shared" si="141"/>
        <v>6.5700000000000008E-2</v>
      </c>
      <c r="F9112" s="5"/>
    </row>
    <row r="9113" spans="2:6" ht="13.8" hidden="1" outlineLevel="1">
      <c r="B9113" s="187">
        <v>35363</v>
      </c>
      <c r="C9113" s="188">
        <v>6.54</v>
      </c>
      <c r="D9113" s="104">
        <f t="shared" si="141"/>
        <v>6.54E-2</v>
      </c>
      <c r="F9113" s="5"/>
    </row>
    <row r="9114" spans="2:6" ht="13.8" hidden="1" outlineLevel="1">
      <c r="B9114" s="187">
        <v>35366</v>
      </c>
      <c r="C9114" s="188">
        <v>6.56</v>
      </c>
      <c r="D9114" s="104">
        <f t="shared" si="141"/>
        <v>6.5599999999999992E-2</v>
      </c>
      <c r="F9114" s="5"/>
    </row>
    <row r="9115" spans="2:6" ht="13.8" hidden="1" outlineLevel="1">
      <c r="B9115" s="187">
        <v>35367</v>
      </c>
      <c r="C9115" s="188">
        <v>6.4</v>
      </c>
      <c r="D9115" s="104">
        <f t="shared" si="141"/>
        <v>6.4000000000000001E-2</v>
      </c>
      <c r="F9115" s="5"/>
    </row>
    <row r="9116" spans="2:6" ht="13.8" hidden="1" outlineLevel="1">
      <c r="B9116" s="187">
        <v>35368</v>
      </c>
      <c r="C9116" s="188">
        <v>6.4</v>
      </c>
      <c r="D9116" s="104">
        <f t="shared" si="141"/>
        <v>6.4000000000000001E-2</v>
      </c>
      <c r="F9116" s="5"/>
    </row>
    <row r="9117" spans="2:6" ht="13.8" hidden="1" outlineLevel="1">
      <c r="B9117" s="187">
        <v>35369</v>
      </c>
      <c r="C9117" s="188">
        <v>6.37</v>
      </c>
      <c r="D9117" s="104">
        <f t="shared" si="141"/>
        <v>6.3700000000000007E-2</v>
      </c>
      <c r="F9117" s="5"/>
    </row>
    <row r="9118" spans="2:6" ht="13.8" hidden="1" outlineLevel="1">
      <c r="B9118" s="187">
        <v>35370</v>
      </c>
      <c r="C9118" s="188">
        <v>6.38</v>
      </c>
      <c r="D9118" s="104">
        <f t="shared" ref="D9118:D9181" si="142">IF( LEN( C9118 ) = 0, #N/A, IF( C9118 = "ND", D9117, C9118 / 100 ) )</f>
        <v>6.3799999999999996E-2</v>
      </c>
      <c r="F9118" s="5"/>
    </row>
    <row r="9119" spans="2:6" ht="13.8" hidden="1" outlineLevel="1">
      <c r="B9119" s="187">
        <v>35373</v>
      </c>
      <c r="C9119" s="188">
        <v>6.36</v>
      </c>
      <c r="D9119" s="104">
        <f t="shared" si="142"/>
        <v>6.3600000000000004E-2</v>
      </c>
      <c r="F9119" s="5"/>
    </row>
    <row r="9120" spans="2:6" ht="13.8" hidden="1" outlineLevel="1">
      <c r="B9120" s="187">
        <v>35374</v>
      </c>
      <c r="C9120" s="188">
        <v>6.28</v>
      </c>
      <c r="D9120" s="104">
        <f t="shared" si="142"/>
        <v>6.2800000000000009E-2</v>
      </c>
      <c r="F9120" s="5"/>
    </row>
    <row r="9121" spans="2:6" ht="13.8" hidden="1" outlineLevel="1">
      <c r="B9121" s="187">
        <v>35375</v>
      </c>
      <c r="C9121" s="188">
        <v>6.3</v>
      </c>
      <c r="D9121" s="104">
        <f t="shared" si="142"/>
        <v>6.3E-2</v>
      </c>
      <c r="F9121" s="5"/>
    </row>
    <row r="9122" spans="2:6" ht="13.8" hidden="1" outlineLevel="1">
      <c r="B9122" s="187">
        <v>35376</v>
      </c>
      <c r="C9122" s="188">
        <v>6.26</v>
      </c>
      <c r="D9122" s="104">
        <f t="shared" si="142"/>
        <v>6.2600000000000003E-2</v>
      </c>
      <c r="F9122" s="5"/>
    </row>
    <row r="9123" spans="2:6" ht="13.8" hidden="1" outlineLevel="1">
      <c r="B9123" s="187">
        <v>35377</v>
      </c>
      <c r="C9123" s="188">
        <v>6.29</v>
      </c>
      <c r="D9123" s="104">
        <f t="shared" si="142"/>
        <v>6.2899999999999998E-2</v>
      </c>
      <c r="F9123" s="5"/>
    </row>
    <row r="9124" spans="2:6" ht="13.8" hidden="1" outlineLevel="1">
      <c r="B9124" s="187">
        <v>35380</v>
      </c>
      <c r="C9124" s="188" t="s">
        <v>380</v>
      </c>
      <c r="D9124" s="104">
        <f t="shared" si="142"/>
        <v>6.2899999999999998E-2</v>
      </c>
      <c r="F9124" s="5"/>
    </row>
    <row r="9125" spans="2:6" ht="13.8" hidden="1" outlineLevel="1">
      <c r="B9125" s="187">
        <v>35381</v>
      </c>
      <c r="C9125" s="188">
        <v>6.19</v>
      </c>
      <c r="D9125" s="104">
        <f t="shared" si="142"/>
        <v>6.1900000000000004E-2</v>
      </c>
      <c r="F9125" s="5"/>
    </row>
    <row r="9126" spans="2:6" ht="13.8" hidden="1" outlineLevel="1">
      <c r="B9126" s="187">
        <v>35382</v>
      </c>
      <c r="C9126" s="188">
        <v>6.2</v>
      </c>
      <c r="D9126" s="104">
        <f t="shared" si="142"/>
        <v>6.2E-2</v>
      </c>
      <c r="F9126" s="5"/>
    </row>
    <row r="9127" spans="2:6" ht="13.8" hidden="1" outlineLevel="1">
      <c r="B9127" s="187">
        <v>35383</v>
      </c>
      <c r="C9127" s="188">
        <v>6.15</v>
      </c>
      <c r="D9127" s="104">
        <f t="shared" si="142"/>
        <v>6.1500000000000006E-2</v>
      </c>
      <c r="F9127" s="5"/>
    </row>
    <row r="9128" spans="2:6" ht="13.8" hidden="1" outlineLevel="1">
      <c r="B9128" s="187">
        <v>35384</v>
      </c>
      <c r="C9128" s="188">
        <v>6.19</v>
      </c>
      <c r="D9128" s="104">
        <f t="shared" si="142"/>
        <v>6.1900000000000004E-2</v>
      </c>
      <c r="F9128" s="5"/>
    </row>
    <row r="9129" spans="2:6" ht="13.8" hidden="1" outlineLevel="1">
      <c r="B9129" s="187">
        <v>35387</v>
      </c>
      <c r="C9129" s="188">
        <v>6.2</v>
      </c>
      <c r="D9129" s="104">
        <f t="shared" si="142"/>
        <v>6.2E-2</v>
      </c>
      <c r="F9129" s="5"/>
    </row>
    <row r="9130" spans="2:6" ht="13.8" hidden="1" outlineLevel="1">
      <c r="B9130" s="187">
        <v>35388</v>
      </c>
      <c r="C9130" s="188">
        <v>6.17</v>
      </c>
      <c r="D9130" s="104">
        <f t="shared" si="142"/>
        <v>6.1699999999999998E-2</v>
      </c>
      <c r="F9130" s="5"/>
    </row>
    <row r="9131" spans="2:6" ht="13.8" hidden="1" outlineLevel="1">
      <c r="B9131" s="187">
        <v>35389</v>
      </c>
      <c r="C9131" s="188">
        <v>6.14</v>
      </c>
      <c r="D9131" s="104">
        <f t="shared" si="142"/>
        <v>6.1399999999999996E-2</v>
      </c>
      <c r="F9131" s="5"/>
    </row>
    <row r="9132" spans="2:6" ht="13.8" hidden="1" outlineLevel="1">
      <c r="B9132" s="187">
        <v>35390</v>
      </c>
      <c r="C9132" s="188">
        <v>6.15</v>
      </c>
      <c r="D9132" s="104">
        <f t="shared" si="142"/>
        <v>6.1500000000000006E-2</v>
      </c>
      <c r="F9132" s="5"/>
    </row>
    <row r="9133" spans="2:6" ht="13.8" hidden="1" outlineLevel="1">
      <c r="B9133" s="187">
        <v>35391</v>
      </c>
      <c r="C9133" s="188">
        <v>6.15</v>
      </c>
      <c r="D9133" s="104">
        <f t="shared" si="142"/>
        <v>6.1500000000000006E-2</v>
      </c>
      <c r="F9133" s="5"/>
    </row>
    <row r="9134" spans="2:6" ht="13.8" hidden="1" outlineLevel="1">
      <c r="B9134" s="187">
        <v>35394</v>
      </c>
      <c r="C9134" s="188">
        <v>6.13</v>
      </c>
      <c r="D9134" s="104">
        <f t="shared" si="142"/>
        <v>6.13E-2</v>
      </c>
      <c r="F9134" s="5"/>
    </row>
    <row r="9135" spans="2:6" ht="13.8" hidden="1" outlineLevel="1">
      <c r="B9135" s="187">
        <v>35395</v>
      </c>
      <c r="C9135" s="188">
        <v>6.13</v>
      </c>
      <c r="D9135" s="104">
        <f t="shared" si="142"/>
        <v>6.13E-2</v>
      </c>
      <c r="F9135" s="5"/>
    </row>
    <row r="9136" spans="2:6" ht="13.8" hidden="1" outlineLevel="1">
      <c r="B9136" s="187">
        <v>35396</v>
      </c>
      <c r="C9136" s="188">
        <v>6.14</v>
      </c>
      <c r="D9136" s="104">
        <f t="shared" si="142"/>
        <v>6.1399999999999996E-2</v>
      </c>
      <c r="F9136" s="5"/>
    </row>
    <row r="9137" spans="2:6" ht="13.8" hidden="1" outlineLevel="1">
      <c r="B9137" s="187">
        <v>35397</v>
      </c>
      <c r="C9137" s="188" t="s">
        <v>380</v>
      </c>
      <c r="D9137" s="104">
        <f t="shared" si="142"/>
        <v>6.1399999999999996E-2</v>
      </c>
      <c r="F9137" s="5"/>
    </row>
    <row r="9138" spans="2:6" ht="13.8" hidden="1" outlineLevel="1">
      <c r="B9138" s="187">
        <v>35398</v>
      </c>
      <c r="C9138" s="188">
        <v>6.06</v>
      </c>
      <c r="D9138" s="104">
        <f t="shared" si="142"/>
        <v>6.0599999999999994E-2</v>
      </c>
      <c r="F9138" s="5"/>
    </row>
    <row r="9139" spans="2:6" ht="13.8" hidden="1" outlineLevel="1">
      <c r="B9139" s="187">
        <v>35401</v>
      </c>
      <c r="C9139" s="188">
        <v>6.08</v>
      </c>
      <c r="D9139" s="104">
        <f t="shared" si="142"/>
        <v>6.08E-2</v>
      </c>
      <c r="F9139" s="5"/>
    </row>
    <row r="9140" spans="2:6" ht="13.8" hidden="1" outlineLevel="1">
      <c r="B9140" s="187">
        <v>35402</v>
      </c>
      <c r="C9140" s="188">
        <v>6.06</v>
      </c>
      <c r="D9140" s="104">
        <f t="shared" si="142"/>
        <v>6.0599999999999994E-2</v>
      </c>
      <c r="F9140" s="5"/>
    </row>
    <row r="9141" spans="2:6" ht="13.8" hidden="1" outlineLevel="1">
      <c r="B9141" s="187">
        <v>35403</v>
      </c>
      <c r="C9141" s="188">
        <v>6.11</v>
      </c>
      <c r="D9141" s="104">
        <f t="shared" si="142"/>
        <v>6.1100000000000002E-2</v>
      </c>
      <c r="F9141" s="5"/>
    </row>
    <row r="9142" spans="2:6" ht="13.8" hidden="1" outlineLevel="1">
      <c r="B9142" s="187">
        <v>35404</v>
      </c>
      <c r="C9142" s="188">
        <v>6.22</v>
      </c>
      <c r="D9142" s="104">
        <f t="shared" si="142"/>
        <v>6.2199999999999998E-2</v>
      </c>
      <c r="F9142" s="5"/>
    </row>
    <row r="9143" spans="2:6" ht="13.8" hidden="1" outlineLevel="1">
      <c r="B9143" s="187">
        <v>35405</v>
      </c>
      <c r="C9143" s="188">
        <v>6.26</v>
      </c>
      <c r="D9143" s="104">
        <f t="shared" si="142"/>
        <v>6.2600000000000003E-2</v>
      </c>
      <c r="F9143" s="5"/>
    </row>
    <row r="9144" spans="2:6" ht="13.8" hidden="1" outlineLevel="1">
      <c r="B9144" s="187">
        <v>35408</v>
      </c>
      <c r="C9144" s="188">
        <v>6.21</v>
      </c>
      <c r="D9144" s="104">
        <f t="shared" si="142"/>
        <v>6.2100000000000002E-2</v>
      </c>
      <c r="F9144" s="5"/>
    </row>
    <row r="9145" spans="2:6" ht="13.8" hidden="1" outlineLevel="1">
      <c r="B9145" s="187">
        <v>35409</v>
      </c>
      <c r="C9145" s="188">
        <v>6.23</v>
      </c>
      <c r="D9145" s="104">
        <f t="shared" si="142"/>
        <v>6.2300000000000001E-2</v>
      </c>
      <c r="F9145" s="5"/>
    </row>
    <row r="9146" spans="2:6" ht="13.8" hidden="1" outlineLevel="1">
      <c r="B9146" s="187">
        <v>35410</v>
      </c>
      <c r="C9146" s="188">
        <v>6.38</v>
      </c>
      <c r="D9146" s="104">
        <f t="shared" si="142"/>
        <v>6.3799999999999996E-2</v>
      </c>
      <c r="F9146" s="5"/>
    </row>
    <row r="9147" spans="2:6" ht="13.8" hidden="1" outlineLevel="1">
      <c r="B9147" s="187">
        <v>35411</v>
      </c>
      <c r="C9147" s="188">
        <v>6.4</v>
      </c>
      <c r="D9147" s="104">
        <f t="shared" si="142"/>
        <v>6.4000000000000001E-2</v>
      </c>
      <c r="F9147" s="5"/>
    </row>
    <row r="9148" spans="2:6" ht="13.8" hidden="1" outlineLevel="1">
      <c r="B9148" s="187">
        <v>35412</v>
      </c>
      <c r="C9148" s="188">
        <v>6.33</v>
      </c>
      <c r="D9148" s="104">
        <f t="shared" si="142"/>
        <v>6.3299999999999995E-2</v>
      </c>
      <c r="F9148" s="5"/>
    </row>
    <row r="9149" spans="2:6" ht="13.8" hidden="1" outlineLevel="1">
      <c r="B9149" s="187">
        <v>35415</v>
      </c>
      <c r="C9149" s="188">
        <v>6.39</v>
      </c>
      <c r="D9149" s="104">
        <f t="shared" si="142"/>
        <v>6.3899999999999998E-2</v>
      </c>
      <c r="F9149" s="5"/>
    </row>
    <row r="9150" spans="2:6" ht="13.8" hidden="1" outlineLevel="1">
      <c r="B9150" s="187">
        <v>35416</v>
      </c>
      <c r="C9150" s="188">
        <v>6.42</v>
      </c>
      <c r="D9150" s="104">
        <f t="shared" si="142"/>
        <v>6.4199999999999993E-2</v>
      </c>
      <c r="F9150" s="5"/>
    </row>
    <row r="9151" spans="2:6" ht="13.8" hidden="1" outlineLevel="1">
      <c r="B9151" s="187">
        <v>35417</v>
      </c>
      <c r="C9151" s="188">
        <v>6.46</v>
      </c>
      <c r="D9151" s="104">
        <f t="shared" si="142"/>
        <v>6.4600000000000005E-2</v>
      </c>
      <c r="F9151" s="5"/>
    </row>
    <row r="9152" spans="2:6" ht="13.8" hidden="1" outlineLevel="1">
      <c r="B9152" s="187">
        <v>35418</v>
      </c>
      <c r="C9152" s="188">
        <v>6.36</v>
      </c>
      <c r="D9152" s="104">
        <f t="shared" si="142"/>
        <v>6.3600000000000004E-2</v>
      </c>
      <c r="F9152" s="5"/>
    </row>
    <row r="9153" spans="2:6" ht="13.8" hidden="1" outlineLevel="1">
      <c r="B9153" s="187">
        <v>35419</v>
      </c>
      <c r="C9153" s="188">
        <v>6.35</v>
      </c>
      <c r="D9153" s="104">
        <f t="shared" si="142"/>
        <v>6.3500000000000001E-2</v>
      </c>
      <c r="F9153" s="5"/>
    </row>
    <row r="9154" spans="2:6" ht="13.8" hidden="1" outlineLevel="1">
      <c r="B9154" s="187">
        <v>35422</v>
      </c>
      <c r="C9154" s="188">
        <v>6.34</v>
      </c>
      <c r="D9154" s="104">
        <f t="shared" si="142"/>
        <v>6.3399999999999998E-2</v>
      </c>
      <c r="F9154" s="5"/>
    </row>
    <row r="9155" spans="2:6" ht="13.8" hidden="1" outlineLevel="1">
      <c r="B9155" s="187">
        <v>35423</v>
      </c>
      <c r="C9155" s="188">
        <v>6.36</v>
      </c>
      <c r="D9155" s="104">
        <f t="shared" si="142"/>
        <v>6.3600000000000004E-2</v>
      </c>
      <c r="F9155" s="5"/>
    </row>
    <row r="9156" spans="2:6" ht="13.8" hidden="1" outlineLevel="1">
      <c r="B9156" s="187">
        <v>35424</v>
      </c>
      <c r="C9156" s="188" t="s">
        <v>380</v>
      </c>
      <c r="D9156" s="104">
        <f t="shared" si="142"/>
        <v>6.3600000000000004E-2</v>
      </c>
      <c r="F9156" s="5"/>
    </row>
    <row r="9157" spans="2:6" ht="13.8" hidden="1" outlineLevel="1">
      <c r="B9157" s="187">
        <v>35425</v>
      </c>
      <c r="C9157" s="188">
        <v>6.35</v>
      </c>
      <c r="D9157" s="104">
        <f t="shared" si="142"/>
        <v>6.3500000000000001E-2</v>
      </c>
      <c r="F9157" s="5"/>
    </row>
    <row r="9158" spans="2:6" ht="13.8" hidden="1" outlineLevel="1">
      <c r="B9158" s="187">
        <v>35426</v>
      </c>
      <c r="C9158" s="188">
        <v>6.3</v>
      </c>
      <c r="D9158" s="104">
        <f t="shared" si="142"/>
        <v>6.3E-2</v>
      </c>
      <c r="F9158" s="5"/>
    </row>
    <row r="9159" spans="2:6" ht="13.8" hidden="1" outlineLevel="1">
      <c r="B9159" s="187">
        <v>35429</v>
      </c>
      <c r="C9159" s="188">
        <v>6.31</v>
      </c>
      <c r="D9159" s="104">
        <f t="shared" si="142"/>
        <v>6.3099999999999989E-2</v>
      </c>
      <c r="F9159" s="5"/>
    </row>
    <row r="9160" spans="2:6" ht="13.8" hidden="1" outlineLevel="1">
      <c r="B9160" s="187">
        <v>35430</v>
      </c>
      <c r="C9160" s="188">
        <v>6.43</v>
      </c>
      <c r="D9160" s="104">
        <f t="shared" si="142"/>
        <v>6.4299999999999996E-2</v>
      </c>
      <c r="F9160" s="5"/>
    </row>
    <row r="9161" spans="2:6" ht="13.8" hidden="1" outlineLevel="1">
      <c r="B9161" s="187">
        <v>35431</v>
      </c>
      <c r="C9161" s="188" t="s">
        <v>380</v>
      </c>
      <c r="D9161" s="104">
        <f t="shared" si="142"/>
        <v>6.4299999999999996E-2</v>
      </c>
      <c r="F9161" s="5"/>
    </row>
    <row r="9162" spans="2:6" ht="13.8" hidden="1" outlineLevel="1">
      <c r="B9162" s="187">
        <v>35432</v>
      </c>
      <c r="C9162" s="188">
        <v>6.54</v>
      </c>
      <c r="D9162" s="104">
        <f t="shared" si="142"/>
        <v>6.54E-2</v>
      </c>
      <c r="F9162" s="5"/>
    </row>
    <row r="9163" spans="2:6" ht="13.8" hidden="1" outlineLevel="1">
      <c r="B9163" s="187">
        <v>35433</v>
      </c>
      <c r="C9163" s="188">
        <v>6.52</v>
      </c>
      <c r="D9163" s="104">
        <f t="shared" si="142"/>
        <v>6.5199999999999994E-2</v>
      </c>
      <c r="F9163" s="5"/>
    </row>
    <row r="9164" spans="2:6" ht="13.8" hidden="1" outlineLevel="1">
      <c r="B9164" s="187">
        <v>35436</v>
      </c>
      <c r="C9164" s="188">
        <v>6.54</v>
      </c>
      <c r="D9164" s="104">
        <f t="shared" si="142"/>
        <v>6.54E-2</v>
      </c>
      <c r="F9164" s="5"/>
    </row>
    <row r="9165" spans="2:6" ht="13.8" hidden="1" outlineLevel="1">
      <c r="B9165" s="187">
        <v>35437</v>
      </c>
      <c r="C9165" s="188">
        <v>6.57</v>
      </c>
      <c r="D9165" s="104">
        <f t="shared" si="142"/>
        <v>6.5700000000000008E-2</v>
      </c>
      <c r="F9165" s="5"/>
    </row>
    <row r="9166" spans="2:6" ht="13.8" hidden="1" outlineLevel="1">
      <c r="B9166" s="187">
        <v>35438</v>
      </c>
      <c r="C9166" s="188">
        <v>6.6</v>
      </c>
      <c r="D9166" s="104">
        <f t="shared" si="142"/>
        <v>6.6000000000000003E-2</v>
      </c>
      <c r="F9166" s="5"/>
    </row>
    <row r="9167" spans="2:6" ht="13.8" hidden="1" outlineLevel="1">
      <c r="B9167" s="187">
        <v>35439</v>
      </c>
      <c r="C9167" s="188">
        <v>6.52</v>
      </c>
      <c r="D9167" s="104">
        <f t="shared" si="142"/>
        <v>6.5199999999999994E-2</v>
      </c>
      <c r="F9167" s="5"/>
    </row>
    <row r="9168" spans="2:6" ht="13.8" hidden="1" outlineLevel="1">
      <c r="B9168" s="187">
        <v>35440</v>
      </c>
      <c r="C9168" s="188">
        <v>6.63</v>
      </c>
      <c r="D9168" s="104">
        <f t="shared" si="142"/>
        <v>6.6299999999999998E-2</v>
      </c>
      <c r="F9168" s="5"/>
    </row>
    <row r="9169" spans="2:6" ht="13.8" hidden="1" outlineLevel="1">
      <c r="B9169" s="187">
        <v>35443</v>
      </c>
      <c r="C9169" s="188">
        <v>6.63</v>
      </c>
      <c r="D9169" s="104">
        <f t="shared" si="142"/>
        <v>6.6299999999999998E-2</v>
      </c>
      <c r="F9169" s="5"/>
    </row>
    <row r="9170" spans="2:6" ht="13.8" hidden="1" outlineLevel="1">
      <c r="B9170" s="187">
        <v>35444</v>
      </c>
      <c r="C9170" s="188">
        <v>6.53</v>
      </c>
      <c r="D9170" s="104">
        <f t="shared" si="142"/>
        <v>6.5299999999999997E-2</v>
      </c>
      <c r="F9170" s="5"/>
    </row>
    <row r="9171" spans="2:6" ht="13.8" hidden="1" outlineLevel="1">
      <c r="B9171" s="187">
        <v>35445</v>
      </c>
      <c r="C9171" s="188">
        <v>6.53</v>
      </c>
      <c r="D9171" s="104">
        <f t="shared" si="142"/>
        <v>6.5299999999999997E-2</v>
      </c>
      <c r="F9171" s="5"/>
    </row>
    <row r="9172" spans="2:6" ht="13.8" hidden="1" outlineLevel="1">
      <c r="B9172" s="187">
        <v>35446</v>
      </c>
      <c r="C9172" s="188">
        <v>6.57</v>
      </c>
      <c r="D9172" s="104">
        <f t="shared" si="142"/>
        <v>6.5700000000000008E-2</v>
      </c>
      <c r="F9172" s="5"/>
    </row>
    <row r="9173" spans="2:6" ht="13.8" hidden="1" outlineLevel="1">
      <c r="B9173" s="187">
        <v>35447</v>
      </c>
      <c r="C9173" s="188">
        <v>6.56</v>
      </c>
      <c r="D9173" s="104">
        <f t="shared" si="142"/>
        <v>6.5599999999999992E-2</v>
      </c>
      <c r="F9173" s="5"/>
    </row>
    <row r="9174" spans="2:6" ht="13.8" hidden="1" outlineLevel="1">
      <c r="B9174" s="187">
        <v>35450</v>
      </c>
      <c r="C9174" s="188" t="s">
        <v>380</v>
      </c>
      <c r="D9174" s="104">
        <f t="shared" si="142"/>
        <v>6.5599999999999992E-2</v>
      </c>
      <c r="F9174" s="5"/>
    </row>
    <row r="9175" spans="2:6" ht="13.8" hidden="1" outlineLevel="1">
      <c r="B9175" s="187">
        <v>35451</v>
      </c>
      <c r="C9175" s="188">
        <v>6.52</v>
      </c>
      <c r="D9175" s="104">
        <f t="shared" si="142"/>
        <v>6.5199999999999994E-2</v>
      </c>
      <c r="F9175" s="5"/>
    </row>
    <row r="9176" spans="2:6" ht="13.8" hidden="1" outlineLevel="1">
      <c r="B9176" s="187">
        <v>35452</v>
      </c>
      <c r="C9176" s="188">
        <v>6.56</v>
      </c>
      <c r="D9176" s="104">
        <f t="shared" si="142"/>
        <v>6.5599999999999992E-2</v>
      </c>
      <c r="F9176" s="5"/>
    </row>
    <row r="9177" spans="2:6" ht="13.8" hidden="1" outlineLevel="1">
      <c r="B9177" s="187">
        <v>35453</v>
      </c>
      <c r="C9177" s="188">
        <v>6.6</v>
      </c>
      <c r="D9177" s="104">
        <f t="shared" si="142"/>
        <v>6.6000000000000003E-2</v>
      </c>
      <c r="F9177" s="5"/>
    </row>
    <row r="9178" spans="2:6" ht="13.8" hidden="1" outlineLevel="1">
      <c r="B9178" s="187">
        <v>35454</v>
      </c>
      <c r="C9178" s="188">
        <v>6.64</v>
      </c>
      <c r="D9178" s="104">
        <f t="shared" si="142"/>
        <v>6.6400000000000001E-2</v>
      </c>
      <c r="F9178" s="5"/>
    </row>
    <row r="9179" spans="2:6" ht="13.8" hidden="1" outlineLevel="1">
      <c r="B9179" s="187">
        <v>35457</v>
      </c>
      <c r="C9179" s="188">
        <v>6.69</v>
      </c>
      <c r="D9179" s="104">
        <f t="shared" si="142"/>
        <v>6.6900000000000001E-2</v>
      </c>
      <c r="F9179" s="5"/>
    </row>
    <row r="9180" spans="2:6" ht="13.8" hidden="1" outlineLevel="1">
      <c r="B9180" s="187">
        <v>35458</v>
      </c>
      <c r="C9180" s="188">
        <v>6.64</v>
      </c>
      <c r="D9180" s="104">
        <f t="shared" si="142"/>
        <v>6.6400000000000001E-2</v>
      </c>
      <c r="F9180" s="5"/>
    </row>
    <row r="9181" spans="2:6" ht="13.8" hidden="1" outlineLevel="1">
      <c r="B9181" s="187">
        <v>35459</v>
      </c>
      <c r="C9181" s="188">
        <v>6.63</v>
      </c>
      <c r="D9181" s="104">
        <f t="shared" si="142"/>
        <v>6.6299999999999998E-2</v>
      </c>
      <c r="F9181" s="5"/>
    </row>
    <row r="9182" spans="2:6" ht="13.8" hidden="1" outlineLevel="1">
      <c r="B9182" s="187">
        <v>35460</v>
      </c>
      <c r="C9182" s="188">
        <v>6.61</v>
      </c>
      <c r="D9182" s="104">
        <f t="shared" ref="D9182:D9245" si="143">IF( LEN( C9182 ) = 0, #N/A, IF( C9182 = "ND", D9181, C9182 / 100 ) )</f>
        <v>6.6100000000000006E-2</v>
      </c>
      <c r="F9182" s="5"/>
    </row>
    <row r="9183" spans="2:6" ht="13.8" hidden="1" outlineLevel="1">
      <c r="B9183" s="187">
        <v>35461</v>
      </c>
      <c r="C9183" s="188">
        <v>6.53</v>
      </c>
      <c r="D9183" s="104">
        <f t="shared" si="143"/>
        <v>6.5299999999999997E-2</v>
      </c>
      <c r="F9183" s="5"/>
    </row>
    <row r="9184" spans="2:6" ht="13.8" hidden="1" outlineLevel="1">
      <c r="B9184" s="187">
        <v>35464</v>
      </c>
      <c r="C9184" s="188">
        <v>6.47</v>
      </c>
      <c r="D9184" s="104">
        <f t="shared" si="143"/>
        <v>6.4699999999999994E-2</v>
      </c>
      <c r="F9184" s="5"/>
    </row>
    <row r="9185" spans="2:6" ht="13.8" hidden="1" outlineLevel="1">
      <c r="B9185" s="187">
        <v>35465</v>
      </c>
      <c r="C9185" s="188">
        <v>6.45</v>
      </c>
      <c r="D9185" s="104">
        <f t="shared" si="143"/>
        <v>6.4500000000000002E-2</v>
      </c>
      <c r="F9185" s="5"/>
    </row>
    <row r="9186" spans="2:6" ht="13.8" hidden="1" outlineLevel="1">
      <c r="B9186" s="187">
        <v>35466</v>
      </c>
      <c r="C9186" s="188">
        <v>6.47</v>
      </c>
      <c r="D9186" s="104">
        <f t="shared" si="143"/>
        <v>6.4699999999999994E-2</v>
      </c>
      <c r="F9186" s="5"/>
    </row>
    <row r="9187" spans="2:6" ht="13.8" hidden="1" outlineLevel="1">
      <c r="B9187" s="187">
        <v>35467</v>
      </c>
      <c r="C9187" s="188">
        <v>6.49</v>
      </c>
      <c r="D9187" s="104">
        <f t="shared" si="143"/>
        <v>6.4899999999999999E-2</v>
      </c>
      <c r="F9187" s="5"/>
    </row>
    <row r="9188" spans="2:6" ht="13.8" hidden="1" outlineLevel="1">
      <c r="B9188" s="187">
        <v>35468</v>
      </c>
      <c r="C9188" s="188">
        <v>6.43</v>
      </c>
      <c r="D9188" s="104">
        <f t="shared" si="143"/>
        <v>6.4299999999999996E-2</v>
      </c>
      <c r="F9188" s="5"/>
    </row>
    <row r="9189" spans="2:6" ht="13.8" hidden="1" outlineLevel="1">
      <c r="B9189" s="187">
        <v>35471</v>
      </c>
      <c r="C9189" s="188">
        <v>6.43</v>
      </c>
      <c r="D9189" s="104">
        <f t="shared" si="143"/>
        <v>6.4299999999999996E-2</v>
      </c>
      <c r="F9189" s="5"/>
    </row>
    <row r="9190" spans="2:6" ht="13.8" hidden="1" outlineLevel="1">
      <c r="B9190" s="187">
        <v>35472</v>
      </c>
      <c r="C9190" s="188">
        <v>6.43</v>
      </c>
      <c r="D9190" s="104">
        <f t="shared" si="143"/>
        <v>6.4299999999999996E-2</v>
      </c>
      <c r="F9190" s="5"/>
    </row>
    <row r="9191" spans="2:6" ht="13.8" hidden="1" outlineLevel="1">
      <c r="B9191" s="187">
        <v>35473</v>
      </c>
      <c r="C9191" s="188">
        <v>6.39</v>
      </c>
      <c r="D9191" s="104">
        <f t="shared" si="143"/>
        <v>6.3899999999999998E-2</v>
      </c>
      <c r="F9191" s="5"/>
    </row>
    <row r="9192" spans="2:6" ht="13.8" hidden="1" outlineLevel="1">
      <c r="B9192" s="187">
        <v>35474</v>
      </c>
      <c r="C9192" s="188">
        <v>6.32</v>
      </c>
      <c r="D9192" s="104">
        <f t="shared" si="143"/>
        <v>6.3200000000000006E-2</v>
      </c>
      <c r="F9192" s="5"/>
    </row>
    <row r="9193" spans="2:6" ht="13.8" hidden="1" outlineLevel="1">
      <c r="B9193" s="187">
        <v>35475</v>
      </c>
      <c r="C9193" s="188">
        <v>6.28</v>
      </c>
      <c r="D9193" s="104">
        <f t="shared" si="143"/>
        <v>6.2800000000000009E-2</v>
      </c>
      <c r="F9193" s="5"/>
    </row>
    <row r="9194" spans="2:6" ht="13.8" hidden="1" outlineLevel="1">
      <c r="B9194" s="187">
        <v>35478</v>
      </c>
      <c r="C9194" s="188" t="s">
        <v>380</v>
      </c>
      <c r="D9194" s="104">
        <f t="shared" si="143"/>
        <v>6.2800000000000009E-2</v>
      </c>
      <c r="F9194" s="5"/>
    </row>
    <row r="9195" spans="2:6" ht="13.8" hidden="1" outlineLevel="1">
      <c r="B9195" s="187">
        <v>35479</v>
      </c>
      <c r="C9195" s="188">
        <v>6.28</v>
      </c>
      <c r="D9195" s="104">
        <f t="shared" si="143"/>
        <v>6.2800000000000009E-2</v>
      </c>
      <c r="F9195" s="5"/>
    </row>
    <row r="9196" spans="2:6" ht="13.8" hidden="1" outlineLevel="1">
      <c r="B9196" s="187">
        <v>35480</v>
      </c>
      <c r="C9196" s="188">
        <v>6.3</v>
      </c>
      <c r="D9196" s="104">
        <f t="shared" si="143"/>
        <v>6.3E-2</v>
      </c>
      <c r="F9196" s="5"/>
    </row>
    <row r="9197" spans="2:6" ht="13.8" hidden="1" outlineLevel="1">
      <c r="B9197" s="187">
        <v>35481</v>
      </c>
      <c r="C9197" s="188">
        <v>6.38</v>
      </c>
      <c r="D9197" s="104">
        <f t="shared" si="143"/>
        <v>6.3799999999999996E-2</v>
      </c>
      <c r="F9197" s="5"/>
    </row>
    <row r="9198" spans="2:6" ht="13.8" hidden="1" outlineLevel="1">
      <c r="B9198" s="187">
        <v>35482</v>
      </c>
      <c r="C9198" s="188">
        <v>6.36</v>
      </c>
      <c r="D9198" s="104">
        <f t="shared" si="143"/>
        <v>6.3600000000000004E-2</v>
      </c>
      <c r="F9198" s="5"/>
    </row>
    <row r="9199" spans="2:6" ht="13.8" hidden="1" outlineLevel="1">
      <c r="B9199" s="187">
        <v>35485</v>
      </c>
      <c r="C9199" s="188">
        <v>6.39</v>
      </c>
      <c r="D9199" s="104">
        <f t="shared" si="143"/>
        <v>6.3899999999999998E-2</v>
      </c>
      <c r="F9199" s="5"/>
    </row>
    <row r="9200" spans="2:6" ht="13.8" hidden="1" outlineLevel="1">
      <c r="B9200" s="187">
        <v>35486</v>
      </c>
      <c r="C9200" s="188">
        <v>6.4</v>
      </c>
      <c r="D9200" s="104">
        <f t="shared" si="143"/>
        <v>6.4000000000000001E-2</v>
      </c>
      <c r="F9200" s="5"/>
    </row>
    <row r="9201" spans="2:6" ht="13.8" hidden="1" outlineLevel="1">
      <c r="B9201" s="187">
        <v>35487</v>
      </c>
      <c r="C9201" s="188">
        <v>6.56</v>
      </c>
      <c r="D9201" s="104">
        <f t="shared" si="143"/>
        <v>6.5599999999999992E-2</v>
      </c>
      <c r="F9201" s="5"/>
    </row>
    <row r="9202" spans="2:6" ht="13.8" hidden="1" outlineLevel="1">
      <c r="B9202" s="187">
        <v>35488</v>
      </c>
      <c r="C9202" s="188">
        <v>6.58</v>
      </c>
      <c r="D9202" s="104">
        <f t="shared" si="143"/>
        <v>6.5799999999999997E-2</v>
      </c>
      <c r="F9202" s="5"/>
    </row>
    <row r="9203" spans="2:6" ht="13.8" hidden="1" outlineLevel="1">
      <c r="B9203" s="187">
        <v>35489</v>
      </c>
      <c r="C9203" s="188">
        <v>6.56</v>
      </c>
      <c r="D9203" s="104">
        <f t="shared" si="143"/>
        <v>6.5599999999999992E-2</v>
      </c>
      <c r="F9203" s="5"/>
    </row>
    <row r="9204" spans="2:6" ht="13.8" hidden="1" outlineLevel="1">
      <c r="B9204" s="187">
        <v>35492</v>
      </c>
      <c r="C9204" s="188">
        <v>6.58</v>
      </c>
      <c r="D9204" s="104">
        <f t="shared" si="143"/>
        <v>6.5799999999999997E-2</v>
      </c>
      <c r="F9204" s="5"/>
    </row>
    <row r="9205" spans="2:6" ht="13.8" hidden="1" outlineLevel="1">
      <c r="B9205" s="187">
        <v>35493</v>
      </c>
      <c r="C9205" s="188">
        <v>6.6</v>
      </c>
      <c r="D9205" s="104">
        <f t="shared" si="143"/>
        <v>6.6000000000000003E-2</v>
      </c>
      <c r="F9205" s="5"/>
    </row>
    <row r="9206" spans="2:6" ht="13.8" hidden="1" outlineLevel="1">
      <c r="B9206" s="187">
        <v>35494</v>
      </c>
      <c r="C9206" s="188">
        <v>6.6</v>
      </c>
      <c r="D9206" s="104">
        <f t="shared" si="143"/>
        <v>6.6000000000000003E-2</v>
      </c>
      <c r="F9206" s="5"/>
    </row>
    <row r="9207" spans="2:6" ht="13.8" hidden="1" outlineLevel="1">
      <c r="B9207" s="187">
        <v>35495</v>
      </c>
      <c r="C9207" s="188">
        <v>6.62</v>
      </c>
      <c r="D9207" s="104">
        <f t="shared" si="143"/>
        <v>6.6199999999999995E-2</v>
      </c>
      <c r="F9207" s="5"/>
    </row>
    <row r="9208" spans="2:6" ht="13.8" hidden="1" outlineLevel="1">
      <c r="B9208" s="187">
        <v>35496</v>
      </c>
      <c r="C9208" s="188">
        <v>6.57</v>
      </c>
      <c r="D9208" s="104">
        <f t="shared" si="143"/>
        <v>6.5700000000000008E-2</v>
      </c>
      <c r="F9208" s="5"/>
    </row>
    <row r="9209" spans="2:6" ht="13.8" hidden="1" outlineLevel="1">
      <c r="B9209" s="187">
        <v>35499</v>
      </c>
      <c r="C9209" s="188">
        <v>6.56</v>
      </c>
      <c r="D9209" s="104">
        <f t="shared" si="143"/>
        <v>6.5599999999999992E-2</v>
      </c>
      <c r="F9209" s="5"/>
    </row>
    <row r="9210" spans="2:6" ht="13.8" hidden="1" outlineLevel="1">
      <c r="B9210" s="187">
        <v>35500</v>
      </c>
      <c r="C9210" s="188">
        <v>6.57</v>
      </c>
      <c r="D9210" s="104">
        <f t="shared" si="143"/>
        <v>6.5700000000000008E-2</v>
      </c>
      <c r="F9210" s="5"/>
    </row>
    <row r="9211" spans="2:6" ht="13.8" hidden="1" outlineLevel="1">
      <c r="B9211" s="187">
        <v>35501</v>
      </c>
      <c r="C9211" s="188">
        <v>6.6</v>
      </c>
      <c r="D9211" s="104">
        <f t="shared" si="143"/>
        <v>6.6000000000000003E-2</v>
      </c>
      <c r="F9211" s="5"/>
    </row>
    <row r="9212" spans="2:6" ht="13.8" hidden="1" outlineLevel="1">
      <c r="B9212" s="187">
        <v>35502</v>
      </c>
      <c r="C9212" s="188">
        <v>6.72</v>
      </c>
      <c r="D9212" s="104">
        <f t="shared" si="143"/>
        <v>6.7199999999999996E-2</v>
      </c>
      <c r="F9212" s="5"/>
    </row>
    <row r="9213" spans="2:6" ht="13.8" hidden="1" outlineLevel="1">
      <c r="B9213" s="187">
        <v>35503</v>
      </c>
      <c r="C9213" s="188">
        <v>6.71</v>
      </c>
      <c r="D9213" s="104">
        <f t="shared" si="143"/>
        <v>6.7099999999999993E-2</v>
      </c>
      <c r="F9213" s="5"/>
    </row>
    <row r="9214" spans="2:6" ht="13.8" hidden="1" outlineLevel="1">
      <c r="B9214" s="187">
        <v>35506</v>
      </c>
      <c r="C9214" s="188">
        <v>6.72</v>
      </c>
      <c r="D9214" s="104">
        <f t="shared" si="143"/>
        <v>6.7199999999999996E-2</v>
      </c>
      <c r="F9214" s="5"/>
    </row>
    <row r="9215" spans="2:6" ht="13.8" hidden="1" outlineLevel="1">
      <c r="B9215" s="187">
        <v>35507</v>
      </c>
      <c r="C9215" s="188">
        <v>6.72</v>
      </c>
      <c r="D9215" s="104">
        <f t="shared" si="143"/>
        <v>6.7199999999999996E-2</v>
      </c>
      <c r="F9215" s="5"/>
    </row>
    <row r="9216" spans="2:6" ht="13.8" hidden="1" outlineLevel="1">
      <c r="B9216" s="187">
        <v>35508</v>
      </c>
      <c r="C9216" s="188">
        <v>6.74</v>
      </c>
      <c r="D9216" s="104">
        <f t="shared" si="143"/>
        <v>6.7400000000000002E-2</v>
      </c>
      <c r="F9216" s="5"/>
    </row>
    <row r="9217" spans="2:6" ht="13.8" hidden="1" outlineLevel="1">
      <c r="B9217" s="187">
        <v>35509</v>
      </c>
      <c r="C9217" s="188">
        <v>6.75</v>
      </c>
      <c r="D9217" s="104">
        <f t="shared" si="143"/>
        <v>6.7500000000000004E-2</v>
      </c>
      <c r="F9217" s="5"/>
    </row>
    <row r="9218" spans="2:6" ht="13.8" hidden="1" outlineLevel="1">
      <c r="B9218" s="187">
        <v>35510</v>
      </c>
      <c r="C9218" s="188">
        <v>6.74</v>
      </c>
      <c r="D9218" s="104">
        <f t="shared" si="143"/>
        <v>6.7400000000000002E-2</v>
      </c>
      <c r="F9218" s="5"/>
    </row>
    <row r="9219" spans="2:6" ht="13.8" hidden="1" outlineLevel="1">
      <c r="B9219" s="187">
        <v>35513</v>
      </c>
      <c r="C9219" s="188">
        <v>6.72</v>
      </c>
      <c r="D9219" s="104">
        <f t="shared" si="143"/>
        <v>6.7199999999999996E-2</v>
      </c>
      <c r="F9219" s="5"/>
    </row>
    <row r="9220" spans="2:6" ht="13.8" hidden="1" outlineLevel="1">
      <c r="B9220" s="187">
        <v>35514</v>
      </c>
      <c r="C9220" s="188">
        <v>6.75</v>
      </c>
      <c r="D9220" s="104">
        <f t="shared" si="143"/>
        <v>6.7500000000000004E-2</v>
      </c>
      <c r="F9220" s="5"/>
    </row>
    <row r="9221" spans="2:6" ht="13.8" hidden="1" outlineLevel="1">
      <c r="B9221" s="187">
        <v>35515</v>
      </c>
      <c r="C9221" s="188">
        <v>6.8</v>
      </c>
      <c r="D9221" s="104">
        <f t="shared" si="143"/>
        <v>6.8000000000000005E-2</v>
      </c>
      <c r="F9221" s="5"/>
    </row>
    <row r="9222" spans="2:6" ht="13.8" hidden="1" outlineLevel="1">
      <c r="B9222" s="187">
        <v>35516</v>
      </c>
      <c r="C9222" s="188">
        <v>6.9</v>
      </c>
      <c r="D9222" s="104">
        <f t="shared" si="143"/>
        <v>6.9000000000000006E-2</v>
      </c>
      <c r="F9222" s="5"/>
    </row>
    <row r="9223" spans="2:6" ht="13.8" hidden="1" outlineLevel="1">
      <c r="B9223" s="187">
        <v>35517</v>
      </c>
      <c r="C9223" s="188" t="s">
        <v>380</v>
      </c>
      <c r="D9223" s="104">
        <f t="shared" si="143"/>
        <v>6.9000000000000006E-2</v>
      </c>
      <c r="F9223" s="5"/>
    </row>
    <row r="9224" spans="2:6" ht="13.8" hidden="1" outlineLevel="1">
      <c r="B9224" s="187">
        <v>35520</v>
      </c>
      <c r="C9224" s="188">
        <v>6.92</v>
      </c>
      <c r="D9224" s="104">
        <f t="shared" si="143"/>
        <v>6.9199999999999998E-2</v>
      </c>
      <c r="F9224" s="5"/>
    </row>
    <row r="9225" spans="2:6" ht="13.8" hidden="1" outlineLevel="1">
      <c r="B9225" s="187">
        <v>35521</v>
      </c>
      <c r="C9225" s="188">
        <v>6.9</v>
      </c>
      <c r="D9225" s="104">
        <f t="shared" si="143"/>
        <v>6.9000000000000006E-2</v>
      </c>
      <c r="F9225" s="5"/>
    </row>
    <row r="9226" spans="2:6" ht="13.8" hidden="1" outlineLevel="1">
      <c r="B9226" s="187">
        <v>35522</v>
      </c>
      <c r="C9226" s="188">
        <v>6.88</v>
      </c>
      <c r="D9226" s="104">
        <f t="shared" si="143"/>
        <v>6.88E-2</v>
      </c>
      <c r="F9226" s="5"/>
    </row>
    <row r="9227" spans="2:6" ht="13.8" hidden="1" outlineLevel="1">
      <c r="B9227" s="187">
        <v>35523</v>
      </c>
      <c r="C9227" s="188">
        <v>6.86</v>
      </c>
      <c r="D9227" s="104">
        <f t="shared" si="143"/>
        <v>6.8600000000000008E-2</v>
      </c>
      <c r="F9227" s="5"/>
    </row>
    <row r="9228" spans="2:6" ht="13.8" hidden="1" outlineLevel="1">
      <c r="B9228" s="187">
        <v>35524</v>
      </c>
      <c r="C9228" s="188">
        <v>6.92</v>
      </c>
      <c r="D9228" s="104">
        <f t="shared" si="143"/>
        <v>6.9199999999999998E-2</v>
      </c>
      <c r="F9228" s="5"/>
    </row>
    <row r="9229" spans="2:6" ht="13.8" hidden="1" outlineLevel="1">
      <c r="B9229" s="187">
        <v>35527</v>
      </c>
      <c r="C9229" s="188">
        <v>6.87</v>
      </c>
      <c r="D9229" s="104">
        <f t="shared" si="143"/>
        <v>6.8699999999999997E-2</v>
      </c>
      <c r="F9229" s="5"/>
    </row>
    <row r="9230" spans="2:6" ht="13.8" hidden="1" outlineLevel="1">
      <c r="B9230" s="187">
        <v>35528</v>
      </c>
      <c r="C9230" s="188">
        <v>6.91</v>
      </c>
      <c r="D9230" s="104">
        <f t="shared" si="143"/>
        <v>6.9099999999999995E-2</v>
      </c>
      <c r="F9230" s="5"/>
    </row>
    <row r="9231" spans="2:6" ht="13.8" hidden="1" outlineLevel="1">
      <c r="B9231" s="187">
        <v>35529</v>
      </c>
      <c r="C9231" s="188">
        <v>6.91</v>
      </c>
      <c r="D9231" s="104">
        <f t="shared" si="143"/>
        <v>6.9099999999999995E-2</v>
      </c>
      <c r="F9231" s="5"/>
    </row>
    <row r="9232" spans="2:6" ht="13.8" hidden="1" outlineLevel="1">
      <c r="B9232" s="187">
        <v>35530</v>
      </c>
      <c r="C9232" s="188">
        <v>6.91</v>
      </c>
      <c r="D9232" s="104">
        <f t="shared" si="143"/>
        <v>6.9099999999999995E-2</v>
      </c>
      <c r="F9232" s="5"/>
    </row>
    <row r="9233" spans="2:6" ht="13.8" hidden="1" outlineLevel="1">
      <c r="B9233" s="187">
        <v>35531</v>
      </c>
      <c r="C9233" s="188">
        <v>6.98</v>
      </c>
      <c r="D9233" s="104">
        <f t="shared" si="143"/>
        <v>6.9800000000000001E-2</v>
      </c>
      <c r="F9233" s="5"/>
    </row>
    <row r="9234" spans="2:6" ht="13.8" hidden="1" outlineLevel="1">
      <c r="B9234" s="187">
        <v>35534</v>
      </c>
      <c r="C9234" s="188">
        <v>6.98</v>
      </c>
      <c r="D9234" s="104">
        <f t="shared" si="143"/>
        <v>6.9800000000000001E-2</v>
      </c>
      <c r="F9234" s="5"/>
    </row>
    <row r="9235" spans="2:6" ht="13.8" hidden="1" outlineLevel="1">
      <c r="B9235" s="187">
        <v>35535</v>
      </c>
      <c r="C9235" s="188">
        <v>6.88</v>
      </c>
      <c r="D9235" s="104">
        <f t="shared" si="143"/>
        <v>6.88E-2</v>
      </c>
      <c r="F9235" s="5"/>
    </row>
    <row r="9236" spans="2:6" ht="13.8" hidden="1" outlineLevel="1">
      <c r="B9236" s="187">
        <v>35536</v>
      </c>
      <c r="C9236" s="188">
        <v>6.9</v>
      </c>
      <c r="D9236" s="104">
        <f t="shared" si="143"/>
        <v>6.9000000000000006E-2</v>
      </c>
      <c r="F9236" s="5"/>
    </row>
    <row r="9237" spans="2:6" ht="13.8" hidden="1" outlineLevel="1">
      <c r="B9237" s="187">
        <v>35537</v>
      </c>
      <c r="C9237" s="188">
        <v>6.86</v>
      </c>
      <c r="D9237" s="104">
        <f t="shared" si="143"/>
        <v>6.8600000000000008E-2</v>
      </c>
      <c r="F9237" s="5"/>
    </row>
    <row r="9238" spans="2:6" ht="13.8" hidden="1" outlineLevel="1">
      <c r="B9238" s="187">
        <v>35538</v>
      </c>
      <c r="C9238" s="188">
        <v>6.84</v>
      </c>
      <c r="D9238" s="104">
        <f t="shared" si="143"/>
        <v>6.8400000000000002E-2</v>
      </c>
      <c r="F9238" s="5"/>
    </row>
    <row r="9239" spans="2:6" ht="13.8" hidden="1" outlineLevel="1">
      <c r="B9239" s="187">
        <v>35541</v>
      </c>
      <c r="C9239" s="188">
        <v>6.87</v>
      </c>
      <c r="D9239" s="104">
        <f t="shared" si="143"/>
        <v>6.8699999999999997E-2</v>
      </c>
      <c r="F9239" s="5"/>
    </row>
    <row r="9240" spans="2:6" ht="13.8" hidden="1" outlineLevel="1">
      <c r="B9240" s="187">
        <v>35542</v>
      </c>
      <c r="C9240" s="188">
        <v>6.84</v>
      </c>
      <c r="D9240" s="104">
        <f t="shared" si="143"/>
        <v>6.8400000000000002E-2</v>
      </c>
      <c r="F9240" s="5"/>
    </row>
    <row r="9241" spans="2:6" ht="13.8" hidden="1" outlineLevel="1">
      <c r="B9241" s="187">
        <v>35543</v>
      </c>
      <c r="C9241" s="188">
        <v>6.89</v>
      </c>
      <c r="D9241" s="104">
        <f t="shared" si="143"/>
        <v>6.8900000000000003E-2</v>
      </c>
      <c r="F9241" s="5"/>
    </row>
    <row r="9242" spans="2:6" ht="13.8" hidden="1" outlineLevel="1">
      <c r="B9242" s="187">
        <v>35544</v>
      </c>
      <c r="C9242" s="188">
        <v>6.93</v>
      </c>
      <c r="D9242" s="104">
        <f t="shared" si="143"/>
        <v>6.93E-2</v>
      </c>
      <c r="F9242" s="5"/>
    </row>
    <row r="9243" spans="2:6" ht="13.8" hidden="1" outlineLevel="1">
      <c r="B9243" s="187">
        <v>35545</v>
      </c>
      <c r="C9243" s="188">
        <v>6.94</v>
      </c>
      <c r="D9243" s="104">
        <f t="shared" si="143"/>
        <v>6.9400000000000003E-2</v>
      </c>
      <c r="F9243" s="5"/>
    </row>
    <row r="9244" spans="2:6" ht="13.8" hidden="1" outlineLevel="1">
      <c r="B9244" s="187">
        <v>35548</v>
      </c>
      <c r="C9244" s="188">
        <v>6.92</v>
      </c>
      <c r="D9244" s="104">
        <f t="shared" si="143"/>
        <v>6.9199999999999998E-2</v>
      </c>
      <c r="F9244" s="5"/>
    </row>
    <row r="9245" spans="2:6" ht="13.8" hidden="1" outlineLevel="1">
      <c r="B9245" s="187">
        <v>35549</v>
      </c>
      <c r="C9245" s="188">
        <v>6.77</v>
      </c>
      <c r="D9245" s="104">
        <f t="shared" si="143"/>
        <v>6.7699999999999996E-2</v>
      </c>
      <c r="F9245" s="5"/>
    </row>
    <row r="9246" spans="2:6" ht="13.8" hidden="1" outlineLevel="1">
      <c r="B9246" s="187">
        <v>35550</v>
      </c>
      <c r="C9246" s="188">
        <v>6.72</v>
      </c>
      <c r="D9246" s="104">
        <f t="shared" ref="D9246:D9309" si="144">IF( LEN( C9246 ) = 0, #N/A, IF( C9246 = "ND", D9245, C9246 / 100 ) )</f>
        <v>6.7199999999999996E-2</v>
      </c>
      <c r="F9246" s="5"/>
    </row>
    <row r="9247" spans="2:6" ht="13.8" hidden="1" outlineLevel="1">
      <c r="B9247" s="187">
        <v>35551</v>
      </c>
      <c r="C9247" s="188">
        <v>6.69</v>
      </c>
      <c r="D9247" s="104">
        <f t="shared" si="144"/>
        <v>6.6900000000000001E-2</v>
      </c>
      <c r="F9247" s="5"/>
    </row>
    <row r="9248" spans="2:6" ht="13.8" hidden="1" outlineLevel="1">
      <c r="B9248" s="187">
        <v>35552</v>
      </c>
      <c r="C9248" s="188">
        <v>6.68</v>
      </c>
      <c r="D9248" s="104">
        <f t="shared" si="144"/>
        <v>6.6799999999999998E-2</v>
      </c>
      <c r="F9248" s="5"/>
    </row>
    <row r="9249" spans="2:6" ht="13.8" hidden="1" outlineLevel="1">
      <c r="B9249" s="187">
        <v>35555</v>
      </c>
      <c r="C9249" s="188">
        <v>6.67</v>
      </c>
      <c r="D9249" s="104">
        <f t="shared" si="144"/>
        <v>6.6699999999999995E-2</v>
      </c>
      <c r="F9249" s="5"/>
    </row>
    <row r="9250" spans="2:6" ht="13.8" hidden="1" outlineLevel="1">
      <c r="B9250" s="187">
        <v>35556</v>
      </c>
      <c r="C9250" s="188">
        <v>6.67</v>
      </c>
      <c r="D9250" s="104">
        <f t="shared" si="144"/>
        <v>6.6699999999999995E-2</v>
      </c>
      <c r="F9250" s="5"/>
    </row>
    <row r="9251" spans="2:6" ht="13.8" hidden="1" outlineLevel="1">
      <c r="B9251" s="187">
        <v>35557</v>
      </c>
      <c r="C9251" s="188">
        <v>6.76</v>
      </c>
      <c r="D9251" s="104">
        <f t="shared" si="144"/>
        <v>6.7599999999999993E-2</v>
      </c>
      <c r="F9251" s="5"/>
    </row>
    <row r="9252" spans="2:6" ht="13.8" hidden="1" outlineLevel="1">
      <c r="B9252" s="187">
        <v>35558</v>
      </c>
      <c r="C9252" s="188">
        <v>6.72</v>
      </c>
      <c r="D9252" s="104">
        <f t="shared" si="144"/>
        <v>6.7199999999999996E-2</v>
      </c>
      <c r="F9252" s="5"/>
    </row>
    <row r="9253" spans="2:6" ht="13.8" hidden="1" outlineLevel="1">
      <c r="B9253" s="187">
        <v>35559</v>
      </c>
      <c r="C9253" s="188">
        <v>6.67</v>
      </c>
      <c r="D9253" s="104">
        <f t="shared" si="144"/>
        <v>6.6699999999999995E-2</v>
      </c>
      <c r="F9253" s="5"/>
    </row>
    <row r="9254" spans="2:6" ht="13.8" hidden="1" outlineLevel="1">
      <c r="B9254" s="187">
        <v>35562</v>
      </c>
      <c r="C9254" s="188">
        <v>6.65</v>
      </c>
      <c r="D9254" s="104">
        <f t="shared" si="144"/>
        <v>6.6500000000000004E-2</v>
      </c>
      <c r="F9254" s="5"/>
    </row>
    <row r="9255" spans="2:6" ht="13.8" hidden="1" outlineLevel="1">
      <c r="B9255" s="187">
        <v>35563</v>
      </c>
      <c r="C9255" s="188">
        <v>6.71</v>
      </c>
      <c r="D9255" s="104">
        <f t="shared" si="144"/>
        <v>6.7099999999999993E-2</v>
      </c>
      <c r="F9255" s="5"/>
    </row>
    <row r="9256" spans="2:6" ht="13.8" hidden="1" outlineLevel="1">
      <c r="B9256" s="187">
        <v>35564</v>
      </c>
      <c r="C9256" s="188">
        <v>6.68</v>
      </c>
      <c r="D9256" s="104">
        <f t="shared" si="144"/>
        <v>6.6799999999999998E-2</v>
      </c>
      <c r="F9256" s="5"/>
    </row>
    <row r="9257" spans="2:6" ht="13.8" hidden="1" outlineLevel="1">
      <c r="B9257" s="187">
        <v>35565</v>
      </c>
      <c r="C9257" s="188">
        <v>6.67</v>
      </c>
      <c r="D9257" s="104">
        <f t="shared" si="144"/>
        <v>6.6699999999999995E-2</v>
      </c>
      <c r="F9257" s="5"/>
    </row>
    <row r="9258" spans="2:6" ht="13.8" hidden="1" outlineLevel="1">
      <c r="B9258" s="187">
        <v>35566</v>
      </c>
      <c r="C9258" s="188">
        <v>6.7</v>
      </c>
      <c r="D9258" s="104">
        <f t="shared" si="144"/>
        <v>6.7000000000000004E-2</v>
      </c>
      <c r="F9258" s="5"/>
    </row>
    <row r="9259" spans="2:6" ht="13.8" hidden="1" outlineLevel="1">
      <c r="B9259" s="187">
        <v>35569</v>
      </c>
      <c r="C9259" s="188">
        <v>6.71</v>
      </c>
      <c r="D9259" s="104">
        <f t="shared" si="144"/>
        <v>6.7099999999999993E-2</v>
      </c>
      <c r="F9259" s="5"/>
    </row>
    <row r="9260" spans="2:6" ht="13.8" hidden="1" outlineLevel="1">
      <c r="B9260" s="187">
        <v>35570</v>
      </c>
      <c r="C9260" s="188">
        <v>6.7</v>
      </c>
      <c r="D9260" s="104">
        <f t="shared" si="144"/>
        <v>6.7000000000000004E-2</v>
      </c>
      <c r="F9260" s="5"/>
    </row>
    <row r="9261" spans="2:6" ht="13.8" hidden="1" outlineLevel="1">
      <c r="B9261" s="187">
        <v>35571</v>
      </c>
      <c r="C9261" s="188">
        <v>6.74</v>
      </c>
      <c r="D9261" s="104">
        <f t="shared" si="144"/>
        <v>6.7400000000000002E-2</v>
      </c>
      <c r="F9261" s="5"/>
    </row>
    <row r="9262" spans="2:6" ht="13.8" hidden="1" outlineLevel="1">
      <c r="B9262" s="187">
        <v>35572</v>
      </c>
      <c r="C9262" s="188">
        <v>6.76</v>
      </c>
      <c r="D9262" s="104">
        <f t="shared" si="144"/>
        <v>6.7599999999999993E-2</v>
      </c>
      <c r="F9262" s="5"/>
    </row>
    <row r="9263" spans="2:6" ht="13.8" hidden="1" outlineLevel="1">
      <c r="B9263" s="187">
        <v>35573</v>
      </c>
      <c r="C9263" s="188">
        <v>6.74</v>
      </c>
      <c r="D9263" s="104">
        <f t="shared" si="144"/>
        <v>6.7400000000000002E-2</v>
      </c>
      <c r="F9263" s="5"/>
    </row>
    <row r="9264" spans="2:6" ht="13.8" hidden="1" outlineLevel="1">
      <c r="B9264" s="187">
        <v>35576</v>
      </c>
      <c r="C9264" s="188" t="s">
        <v>380</v>
      </c>
      <c r="D9264" s="104">
        <f t="shared" si="144"/>
        <v>6.7400000000000002E-2</v>
      </c>
      <c r="F9264" s="5"/>
    </row>
    <row r="9265" spans="2:6" ht="13.8" hidden="1" outlineLevel="1">
      <c r="B9265" s="187">
        <v>35577</v>
      </c>
      <c r="C9265" s="188">
        <v>6.79</v>
      </c>
      <c r="D9265" s="104">
        <f t="shared" si="144"/>
        <v>6.7900000000000002E-2</v>
      </c>
      <c r="F9265" s="5"/>
    </row>
    <row r="9266" spans="2:6" ht="13.8" hidden="1" outlineLevel="1">
      <c r="B9266" s="187">
        <v>35578</v>
      </c>
      <c r="C9266" s="188">
        <v>6.8</v>
      </c>
      <c r="D9266" s="104">
        <f t="shared" si="144"/>
        <v>6.8000000000000005E-2</v>
      </c>
      <c r="F9266" s="5"/>
    </row>
    <row r="9267" spans="2:6" ht="13.8" hidden="1" outlineLevel="1">
      <c r="B9267" s="187">
        <v>35579</v>
      </c>
      <c r="C9267" s="188">
        <v>6.75</v>
      </c>
      <c r="D9267" s="104">
        <f t="shared" si="144"/>
        <v>6.7500000000000004E-2</v>
      </c>
      <c r="F9267" s="5"/>
    </row>
    <row r="9268" spans="2:6" ht="13.8" hidden="1" outlineLevel="1">
      <c r="B9268" s="187">
        <v>35580</v>
      </c>
      <c r="C9268" s="188">
        <v>6.67</v>
      </c>
      <c r="D9268" s="104">
        <f t="shared" si="144"/>
        <v>6.6699999999999995E-2</v>
      </c>
      <c r="F9268" s="5"/>
    </row>
    <row r="9269" spans="2:6" ht="13.8" hidden="1" outlineLevel="1">
      <c r="B9269" s="187">
        <v>35583</v>
      </c>
      <c r="C9269" s="188">
        <v>6.66</v>
      </c>
      <c r="D9269" s="104">
        <f t="shared" si="144"/>
        <v>6.6600000000000006E-2</v>
      </c>
      <c r="F9269" s="5"/>
    </row>
    <row r="9270" spans="2:6" ht="13.8" hidden="1" outlineLevel="1">
      <c r="B9270" s="187">
        <v>35584</v>
      </c>
      <c r="C9270" s="188">
        <v>6.63</v>
      </c>
      <c r="D9270" s="104">
        <f t="shared" si="144"/>
        <v>6.6299999999999998E-2</v>
      </c>
      <c r="F9270" s="5"/>
    </row>
    <row r="9271" spans="2:6" ht="13.8" hidden="1" outlineLevel="1">
      <c r="B9271" s="187">
        <v>35585</v>
      </c>
      <c r="C9271" s="188">
        <v>6.62</v>
      </c>
      <c r="D9271" s="104">
        <f t="shared" si="144"/>
        <v>6.6199999999999995E-2</v>
      </c>
      <c r="F9271" s="5"/>
    </row>
    <row r="9272" spans="2:6" ht="13.8" hidden="1" outlineLevel="1">
      <c r="B9272" s="187">
        <v>35586</v>
      </c>
      <c r="C9272" s="188">
        <v>6.62</v>
      </c>
      <c r="D9272" s="104">
        <f t="shared" si="144"/>
        <v>6.6199999999999995E-2</v>
      </c>
      <c r="F9272" s="5"/>
    </row>
    <row r="9273" spans="2:6" ht="13.8" hidden="1" outlineLevel="1">
      <c r="B9273" s="187">
        <v>35587</v>
      </c>
      <c r="C9273" s="188">
        <v>6.51</v>
      </c>
      <c r="D9273" s="104">
        <f t="shared" si="144"/>
        <v>6.5099999999999991E-2</v>
      </c>
      <c r="F9273" s="5"/>
    </row>
    <row r="9274" spans="2:6" ht="13.8" hidden="1" outlineLevel="1">
      <c r="B9274" s="187">
        <v>35590</v>
      </c>
      <c r="C9274" s="188">
        <v>6.55</v>
      </c>
      <c r="D9274" s="104">
        <f t="shared" si="144"/>
        <v>6.5500000000000003E-2</v>
      </c>
      <c r="F9274" s="5"/>
    </row>
    <row r="9275" spans="2:6" ht="13.8" hidden="1" outlineLevel="1">
      <c r="B9275" s="187">
        <v>35591</v>
      </c>
      <c r="C9275" s="188">
        <v>6.57</v>
      </c>
      <c r="D9275" s="104">
        <f t="shared" si="144"/>
        <v>6.5700000000000008E-2</v>
      </c>
      <c r="F9275" s="5"/>
    </row>
    <row r="9276" spans="2:6" ht="13.8" hidden="1" outlineLevel="1">
      <c r="B9276" s="187">
        <v>35592</v>
      </c>
      <c r="C9276" s="188">
        <v>6.56</v>
      </c>
      <c r="D9276" s="104">
        <f t="shared" si="144"/>
        <v>6.5599999999999992E-2</v>
      </c>
      <c r="F9276" s="5"/>
    </row>
    <row r="9277" spans="2:6" ht="13.8" hidden="1" outlineLevel="1">
      <c r="B9277" s="187">
        <v>35593</v>
      </c>
      <c r="C9277" s="188">
        <v>6.48</v>
      </c>
      <c r="D9277" s="104">
        <f t="shared" si="144"/>
        <v>6.480000000000001E-2</v>
      </c>
      <c r="F9277" s="5"/>
    </row>
    <row r="9278" spans="2:6" ht="13.8" hidden="1" outlineLevel="1">
      <c r="B9278" s="187">
        <v>35594</v>
      </c>
      <c r="C9278" s="188">
        <v>6.43</v>
      </c>
      <c r="D9278" s="104">
        <f t="shared" si="144"/>
        <v>6.4299999999999996E-2</v>
      </c>
      <c r="F9278" s="5"/>
    </row>
    <row r="9279" spans="2:6" ht="13.8" hidden="1" outlineLevel="1">
      <c r="B9279" s="187">
        <v>35597</v>
      </c>
      <c r="C9279" s="188">
        <v>6.4</v>
      </c>
      <c r="D9279" s="104">
        <f t="shared" si="144"/>
        <v>6.4000000000000001E-2</v>
      </c>
      <c r="F9279" s="5"/>
    </row>
    <row r="9280" spans="2:6" ht="13.8" hidden="1" outlineLevel="1">
      <c r="B9280" s="187">
        <v>35598</v>
      </c>
      <c r="C9280" s="188">
        <v>6.43</v>
      </c>
      <c r="D9280" s="104">
        <f t="shared" si="144"/>
        <v>6.4299999999999996E-2</v>
      </c>
      <c r="F9280" s="5"/>
    </row>
    <row r="9281" spans="2:6" ht="13.8" hidden="1" outlineLevel="1">
      <c r="B9281" s="187">
        <v>35599</v>
      </c>
      <c r="C9281" s="188">
        <v>6.4</v>
      </c>
      <c r="D9281" s="104">
        <f t="shared" si="144"/>
        <v>6.4000000000000001E-2</v>
      </c>
      <c r="F9281" s="5"/>
    </row>
    <row r="9282" spans="2:6" ht="13.8" hidden="1" outlineLevel="1">
      <c r="B9282" s="187">
        <v>35600</v>
      </c>
      <c r="C9282" s="188">
        <v>6.4</v>
      </c>
      <c r="D9282" s="104">
        <f t="shared" si="144"/>
        <v>6.4000000000000001E-2</v>
      </c>
      <c r="F9282" s="5"/>
    </row>
    <row r="9283" spans="2:6" ht="13.8" hidden="1" outlineLevel="1">
      <c r="B9283" s="187">
        <v>35601</v>
      </c>
      <c r="C9283" s="188">
        <v>6.37</v>
      </c>
      <c r="D9283" s="104">
        <f t="shared" si="144"/>
        <v>6.3700000000000007E-2</v>
      </c>
      <c r="F9283" s="5"/>
    </row>
    <row r="9284" spans="2:6" ht="13.8" hidden="1" outlineLevel="1">
      <c r="B9284" s="187">
        <v>35604</v>
      </c>
      <c r="C9284" s="188">
        <v>6.4</v>
      </c>
      <c r="D9284" s="104">
        <f t="shared" si="144"/>
        <v>6.4000000000000001E-2</v>
      </c>
      <c r="F9284" s="5"/>
    </row>
    <row r="9285" spans="2:6" ht="13.8" hidden="1" outlineLevel="1">
      <c r="B9285" s="187">
        <v>35605</v>
      </c>
      <c r="C9285" s="188">
        <v>6.42</v>
      </c>
      <c r="D9285" s="104">
        <f t="shared" si="144"/>
        <v>6.4199999999999993E-2</v>
      </c>
      <c r="F9285" s="5"/>
    </row>
    <row r="9286" spans="2:6" ht="13.8" hidden="1" outlineLevel="1">
      <c r="B9286" s="187">
        <v>35606</v>
      </c>
      <c r="C9286" s="188">
        <v>6.45</v>
      </c>
      <c r="D9286" s="104">
        <f t="shared" si="144"/>
        <v>6.4500000000000002E-2</v>
      </c>
      <c r="F9286" s="5"/>
    </row>
    <row r="9287" spans="2:6" ht="13.8" hidden="1" outlineLevel="1">
      <c r="B9287" s="187">
        <v>35607</v>
      </c>
      <c r="C9287" s="188">
        <v>6.5</v>
      </c>
      <c r="D9287" s="104">
        <f t="shared" si="144"/>
        <v>6.5000000000000002E-2</v>
      </c>
      <c r="F9287" s="5"/>
    </row>
    <row r="9288" spans="2:6" ht="13.8" hidden="1" outlineLevel="1">
      <c r="B9288" s="187">
        <v>35608</v>
      </c>
      <c r="C9288" s="188">
        <v>6.46</v>
      </c>
      <c r="D9288" s="104">
        <f t="shared" si="144"/>
        <v>6.4600000000000005E-2</v>
      </c>
      <c r="F9288" s="5"/>
    </row>
    <row r="9289" spans="2:6" ht="13.8" hidden="1" outlineLevel="1">
      <c r="B9289" s="187">
        <v>35611</v>
      </c>
      <c r="C9289" s="188">
        <v>6.51</v>
      </c>
      <c r="D9289" s="104">
        <f t="shared" si="144"/>
        <v>6.5099999999999991E-2</v>
      </c>
      <c r="F9289" s="5"/>
    </row>
    <row r="9290" spans="2:6" ht="13.8" hidden="1" outlineLevel="1">
      <c r="B9290" s="187">
        <v>35612</v>
      </c>
      <c r="C9290" s="188">
        <v>6.45</v>
      </c>
      <c r="D9290" s="104">
        <f t="shared" si="144"/>
        <v>6.4500000000000002E-2</v>
      </c>
      <c r="F9290" s="5"/>
    </row>
    <row r="9291" spans="2:6" ht="13.8" hidden="1" outlineLevel="1">
      <c r="B9291" s="187">
        <v>35613</v>
      </c>
      <c r="C9291" s="188">
        <v>6.42</v>
      </c>
      <c r="D9291" s="104">
        <f t="shared" si="144"/>
        <v>6.4199999999999993E-2</v>
      </c>
      <c r="F9291" s="5"/>
    </row>
    <row r="9292" spans="2:6" ht="13.8" hidden="1" outlineLevel="1">
      <c r="B9292" s="187">
        <v>35614</v>
      </c>
      <c r="C9292" s="188">
        <v>6.31</v>
      </c>
      <c r="D9292" s="104">
        <f t="shared" si="144"/>
        <v>6.3099999999999989E-2</v>
      </c>
      <c r="F9292" s="5"/>
    </row>
    <row r="9293" spans="2:6" ht="13.8" hidden="1" outlineLevel="1">
      <c r="B9293" s="187">
        <v>35615</v>
      </c>
      <c r="C9293" s="188" t="s">
        <v>380</v>
      </c>
      <c r="D9293" s="104">
        <f t="shared" si="144"/>
        <v>6.3099999999999989E-2</v>
      </c>
      <c r="F9293" s="5"/>
    </row>
    <row r="9294" spans="2:6" ht="13.8" hidden="1" outlineLevel="1">
      <c r="B9294" s="187">
        <v>35618</v>
      </c>
      <c r="C9294" s="188">
        <v>6.27</v>
      </c>
      <c r="D9294" s="104">
        <f t="shared" si="144"/>
        <v>6.2699999999999992E-2</v>
      </c>
      <c r="F9294" s="5"/>
    </row>
    <row r="9295" spans="2:6" ht="13.8" hidden="1" outlineLevel="1">
      <c r="B9295" s="187">
        <v>35619</v>
      </c>
      <c r="C9295" s="188">
        <v>6.27</v>
      </c>
      <c r="D9295" s="104">
        <f t="shared" si="144"/>
        <v>6.2699999999999992E-2</v>
      </c>
      <c r="F9295" s="5"/>
    </row>
    <row r="9296" spans="2:6" ht="13.8" hidden="1" outlineLevel="1">
      <c r="B9296" s="187">
        <v>35620</v>
      </c>
      <c r="C9296" s="188">
        <v>6.25</v>
      </c>
      <c r="D9296" s="104">
        <f t="shared" si="144"/>
        <v>6.25E-2</v>
      </c>
      <c r="F9296" s="5"/>
    </row>
    <row r="9297" spans="2:6" ht="13.8" hidden="1" outlineLevel="1">
      <c r="B9297" s="187">
        <v>35621</v>
      </c>
      <c r="C9297" s="188">
        <v>6.26</v>
      </c>
      <c r="D9297" s="104">
        <f t="shared" si="144"/>
        <v>6.2600000000000003E-2</v>
      </c>
      <c r="F9297" s="5"/>
    </row>
    <row r="9298" spans="2:6" ht="13.8" hidden="1" outlineLevel="1">
      <c r="B9298" s="187">
        <v>35622</v>
      </c>
      <c r="C9298" s="188">
        <v>6.23</v>
      </c>
      <c r="D9298" s="104">
        <f t="shared" si="144"/>
        <v>6.2300000000000001E-2</v>
      </c>
      <c r="F9298" s="5"/>
    </row>
    <row r="9299" spans="2:6" ht="13.8" hidden="1" outlineLevel="1">
      <c r="B9299" s="187">
        <v>35625</v>
      </c>
      <c r="C9299" s="188">
        <v>6.26</v>
      </c>
      <c r="D9299" s="104">
        <f t="shared" si="144"/>
        <v>6.2600000000000003E-2</v>
      </c>
      <c r="F9299" s="5"/>
    </row>
    <row r="9300" spans="2:6" ht="13.8" hidden="1" outlineLevel="1">
      <c r="B9300" s="187">
        <v>35626</v>
      </c>
      <c r="C9300" s="188">
        <v>6.26</v>
      </c>
      <c r="D9300" s="104">
        <f t="shared" si="144"/>
        <v>6.2600000000000003E-2</v>
      </c>
      <c r="F9300" s="5"/>
    </row>
    <row r="9301" spans="2:6" ht="13.8" hidden="1" outlineLevel="1">
      <c r="B9301" s="187">
        <v>35627</v>
      </c>
      <c r="C9301" s="188">
        <v>6.2</v>
      </c>
      <c r="D9301" s="104">
        <f t="shared" si="144"/>
        <v>6.2E-2</v>
      </c>
      <c r="F9301" s="5"/>
    </row>
    <row r="9302" spans="2:6" ht="13.8" hidden="1" outlineLevel="1">
      <c r="B9302" s="187">
        <v>35628</v>
      </c>
      <c r="C9302" s="188">
        <v>6.19</v>
      </c>
      <c r="D9302" s="104">
        <f t="shared" si="144"/>
        <v>6.1900000000000004E-2</v>
      </c>
      <c r="F9302" s="5"/>
    </row>
    <row r="9303" spans="2:6" ht="13.8" hidden="1" outlineLevel="1">
      <c r="B9303" s="187">
        <v>35629</v>
      </c>
      <c r="C9303" s="188">
        <v>6.24</v>
      </c>
      <c r="D9303" s="104">
        <f t="shared" si="144"/>
        <v>6.2400000000000004E-2</v>
      </c>
      <c r="F9303" s="5"/>
    </row>
    <row r="9304" spans="2:6" ht="13.8" hidden="1" outlineLevel="1">
      <c r="B9304" s="187">
        <v>35632</v>
      </c>
      <c r="C9304" s="188">
        <v>6.27</v>
      </c>
      <c r="D9304" s="104">
        <f t="shared" si="144"/>
        <v>6.2699999999999992E-2</v>
      </c>
      <c r="F9304" s="5"/>
    </row>
    <row r="9305" spans="2:6" ht="13.8" hidden="1" outlineLevel="1">
      <c r="B9305" s="187">
        <v>35633</v>
      </c>
      <c r="C9305" s="188">
        <v>6.15</v>
      </c>
      <c r="D9305" s="104">
        <f t="shared" si="144"/>
        <v>6.1500000000000006E-2</v>
      </c>
      <c r="F9305" s="5"/>
    </row>
    <row r="9306" spans="2:6" ht="13.8" hidden="1" outlineLevel="1">
      <c r="B9306" s="187">
        <v>35634</v>
      </c>
      <c r="C9306" s="188">
        <v>6.14</v>
      </c>
      <c r="D9306" s="104">
        <f t="shared" si="144"/>
        <v>6.1399999999999996E-2</v>
      </c>
      <c r="F9306" s="5"/>
    </row>
    <row r="9307" spans="2:6" ht="13.8" hidden="1" outlineLevel="1">
      <c r="B9307" s="187">
        <v>35635</v>
      </c>
      <c r="C9307" s="188">
        <v>6.16</v>
      </c>
      <c r="D9307" s="104">
        <f t="shared" si="144"/>
        <v>6.1600000000000002E-2</v>
      </c>
      <c r="F9307" s="5"/>
    </row>
    <row r="9308" spans="2:6" ht="13.8" hidden="1" outlineLevel="1">
      <c r="B9308" s="187">
        <v>35636</v>
      </c>
      <c r="C9308" s="188">
        <v>6.18</v>
      </c>
      <c r="D9308" s="104">
        <f t="shared" si="144"/>
        <v>6.1799999999999994E-2</v>
      </c>
      <c r="F9308" s="5"/>
    </row>
    <row r="9309" spans="2:6" ht="13.8" hidden="1" outlineLevel="1">
      <c r="B9309" s="187">
        <v>35639</v>
      </c>
      <c r="C9309" s="188">
        <v>6.16</v>
      </c>
      <c r="D9309" s="104">
        <f t="shared" si="144"/>
        <v>6.1600000000000002E-2</v>
      </c>
      <c r="F9309" s="5"/>
    </row>
    <row r="9310" spans="2:6" ht="13.8" hidden="1" outlineLevel="1">
      <c r="B9310" s="187">
        <v>35640</v>
      </c>
      <c r="C9310" s="188">
        <v>6.11</v>
      </c>
      <c r="D9310" s="104">
        <f t="shared" ref="D9310:D9373" si="145">IF( LEN( C9310 ) = 0, #N/A, IF( C9310 = "ND", D9309, C9310 / 100 ) )</f>
        <v>6.1100000000000002E-2</v>
      </c>
      <c r="F9310" s="5"/>
    </row>
    <row r="9311" spans="2:6" ht="13.8" hidden="1" outlineLevel="1">
      <c r="B9311" s="187">
        <v>35641</v>
      </c>
      <c r="C9311" s="188">
        <v>6.05</v>
      </c>
      <c r="D9311" s="104">
        <f t="shared" si="145"/>
        <v>6.0499999999999998E-2</v>
      </c>
      <c r="F9311" s="5"/>
    </row>
    <row r="9312" spans="2:6" ht="13.8" hidden="1" outlineLevel="1">
      <c r="B9312" s="187">
        <v>35642</v>
      </c>
      <c r="C9312" s="188">
        <v>6.02</v>
      </c>
      <c r="D9312" s="104">
        <f t="shared" si="145"/>
        <v>6.0199999999999997E-2</v>
      </c>
      <c r="F9312" s="5"/>
    </row>
    <row r="9313" spans="2:6" ht="13.8" hidden="1" outlineLevel="1">
      <c r="B9313" s="187">
        <v>35643</v>
      </c>
      <c r="C9313" s="188">
        <v>6.2</v>
      </c>
      <c r="D9313" s="104">
        <f t="shared" si="145"/>
        <v>6.2E-2</v>
      </c>
      <c r="F9313" s="5"/>
    </row>
    <row r="9314" spans="2:6" ht="13.8" hidden="1" outlineLevel="1">
      <c r="B9314" s="187">
        <v>35646</v>
      </c>
      <c r="C9314" s="188">
        <v>6.23</v>
      </c>
      <c r="D9314" s="104">
        <f t="shared" si="145"/>
        <v>6.2300000000000001E-2</v>
      </c>
      <c r="F9314" s="5"/>
    </row>
    <row r="9315" spans="2:6" ht="13.8" hidden="1" outlineLevel="1">
      <c r="B9315" s="187">
        <v>35647</v>
      </c>
      <c r="C9315" s="188">
        <v>6.23</v>
      </c>
      <c r="D9315" s="104">
        <f t="shared" si="145"/>
        <v>6.2300000000000001E-2</v>
      </c>
      <c r="F9315" s="5"/>
    </row>
    <row r="9316" spans="2:6" ht="13.8" hidden="1" outlineLevel="1">
      <c r="B9316" s="187">
        <v>35648</v>
      </c>
      <c r="C9316" s="188">
        <v>6.21</v>
      </c>
      <c r="D9316" s="104">
        <f t="shared" si="145"/>
        <v>6.2100000000000002E-2</v>
      </c>
      <c r="F9316" s="5"/>
    </row>
    <row r="9317" spans="2:6" ht="13.8" hidden="1" outlineLevel="1">
      <c r="B9317" s="187">
        <v>35649</v>
      </c>
      <c r="C9317" s="188">
        <v>6.24</v>
      </c>
      <c r="D9317" s="104">
        <f t="shared" si="145"/>
        <v>6.2400000000000004E-2</v>
      </c>
      <c r="F9317" s="5"/>
    </row>
    <row r="9318" spans="2:6" ht="13.8" hidden="1" outlineLevel="1">
      <c r="B9318" s="187">
        <v>35650</v>
      </c>
      <c r="C9318" s="188">
        <v>6.38</v>
      </c>
      <c r="D9318" s="104">
        <f t="shared" si="145"/>
        <v>6.3799999999999996E-2</v>
      </c>
      <c r="F9318" s="5"/>
    </row>
    <row r="9319" spans="2:6" ht="13.8" hidden="1" outlineLevel="1">
      <c r="B9319" s="187">
        <v>35653</v>
      </c>
      <c r="C9319" s="188">
        <v>6.36</v>
      </c>
      <c r="D9319" s="104">
        <f t="shared" si="145"/>
        <v>6.3600000000000004E-2</v>
      </c>
      <c r="F9319" s="5"/>
    </row>
    <row r="9320" spans="2:6" ht="13.8" hidden="1" outlineLevel="1">
      <c r="B9320" s="187">
        <v>35654</v>
      </c>
      <c r="C9320" s="188">
        <v>6.39</v>
      </c>
      <c r="D9320" s="104">
        <f t="shared" si="145"/>
        <v>6.3899999999999998E-2</v>
      </c>
      <c r="F9320" s="5"/>
    </row>
    <row r="9321" spans="2:6" ht="13.8" hidden="1" outlineLevel="1">
      <c r="B9321" s="187">
        <v>35655</v>
      </c>
      <c r="C9321" s="188">
        <v>6.36</v>
      </c>
      <c r="D9321" s="104">
        <f t="shared" si="145"/>
        <v>6.3600000000000004E-2</v>
      </c>
      <c r="F9321" s="5"/>
    </row>
    <row r="9322" spans="2:6" ht="13.8" hidden="1" outlineLevel="1">
      <c r="B9322" s="187">
        <v>35656</v>
      </c>
      <c r="C9322" s="188">
        <v>6.27</v>
      </c>
      <c r="D9322" s="104">
        <f t="shared" si="145"/>
        <v>6.2699999999999992E-2</v>
      </c>
      <c r="F9322" s="5"/>
    </row>
    <row r="9323" spans="2:6" ht="13.8" hidden="1" outlineLevel="1">
      <c r="B9323" s="187">
        <v>35657</v>
      </c>
      <c r="C9323" s="188">
        <v>6.27</v>
      </c>
      <c r="D9323" s="104">
        <f t="shared" si="145"/>
        <v>6.2699999999999992E-2</v>
      </c>
      <c r="F9323" s="5"/>
    </row>
    <row r="9324" spans="2:6" ht="13.8" hidden="1" outlineLevel="1">
      <c r="B9324" s="187">
        <v>35660</v>
      </c>
      <c r="C9324" s="188">
        <v>6.21</v>
      </c>
      <c r="D9324" s="104">
        <f t="shared" si="145"/>
        <v>6.2100000000000002E-2</v>
      </c>
      <c r="F9324" s="5"/>
    </row>
    <row r="9325" spans="2:6" ht="13.8" hidden="1" outlineLevel="1">
      <c r="B9325" s="187">
        <v>35661</v>
      </c>
      <c r="C9325" s="188">
        <v>6.21</v>
      </c>
      <c r="D9325" s="104">
        <f t="shared" si="145"/>
        <v>6.2100000000000002E-2</v>
      </c>
      <c r="F9325" s="5"/>
    </row>
    <row r="9326" spans="2:6" ht="13.8" hidden="1" outlineLevel="1">
      <c r="B9326" s="187">
        <v>35662</v>
      </c>
      <c r="C9326" s="188">
        <v>6.24</v>
      </c>
      <c r="D9326" s="104">
        <f t="shared" si="145"/>
        <v>6.2400000000000004E-2</v>
      </c>
      <c r="F9326" s="5"/>
    </row>
    <row r="9327" spans="2:6" ht="13.8" hidden="1" outlineLevel="1">
      <c r="B9327" s="187">
        <v>35663</v>
      </c>
      <c r="C9327" s="188">
        <v>6.3</v>
      </c>
      <c r="D9327" s="104">
        <f t="shared" si="145"/>
        <v>6.3E-2</v>
      </c>
      <c r="F9327" s="5"/>
    </row>
    <row r="9328" spans="2:6" ht="13.8" hidden="1" outlineLevel="1">
      <c r="B9328" s="187">
        <v>35664</v>
      </c>
      <c r="C9328" s="188">
        <v>6.38</v>
      </c>
      <c r="D9328" s="104">
        <f t="shared" si="145"/>
        <v>6.3799999999999996E-2</v>
      </c>
      <c r="F9328" s="5"/>
    </row>
    <row r="9329" spans="2:6" ht="13.8" hidden="1" outlineLevel="1">
      <c r="B9329" s="187">
        <v>35667</v>
      </c>
      <c r="C9329" s="188">
        <v>6.39</v>
      </c>
      <c r="D9329" s="104">
        <f t="shared" si="145"/>
        <v>6.3899999999999998E-2</v>
      </c>
      <c r="F9329" s="5"/>
    </row>
    <row r="9330" spans="2:6" ht="13.8" hidden="1" outlineLevel="1">
      <c r="B9330" s="187">
        <v>35668</v>
      </c>
      <c r="C9330" s="188">
        <v>6.38</v>
      </c>
      <c r="D9330" s="104">
        <f t="shared" si="145"/>
        <v>6.3799999999999996E-2</v>
      </c>
      <c r="F9330" s="5"/>
    </row>
    <row r="9331" spans="2:6" ht="13.8" hidden="1" outlineLevel="1">
      <c r="B9331" s="187">
        <v>35669</v>
      </c>
      <c r="C9331" s="188">
        <v>6.38</v>
      </c>
      <c r="D9331" s="104">
        <f t="shared" si="145"/>
        <v>6.3799999999999996E-2</v>
      </c>
      <c r="F9331" s="5"/>
    </row>
    <row r="9332" spans="2:6" ht="13.8" hidden="1" outlineLevel="1">
      <c r="B9332" s="187">
        <v>35670</v>
      </c>
      <c r="C9332" s="188">
        <v>6.3</v>
      </c>
      <c r="D9332" s="104">
        <f t="shared" si="145"/>
        <v>6.3E-2</v>
      </c>
      <c r="F9332" s="5"/>
    </row>
    <row r="9333" spans="2:6" ht="13.8" hidden="1" outlineLevel="1">
      <c r="B9333" s="187">
        <v>35671</v>
      </c>
      <c r="C9333" s="188">
        <v>6.34</v>
      </c>
      <c r="D9333" s="104">
        <f t="shared" si="145"/>
        <v>6.3399999999999998E-2</v>
      </c>
      <c r="F9333" s="5"/>
    </row>
    <row r="9334" spans="2:6" ht="13.8" hidden="1" outlineLevel="1">
      <c r="B9334" s="187">
        <v>35674</v>
      </c>
      <c r="C9334" s="188" t="s">
        <v>380</v>
      </c>
      <c r="D9334" s="104">
        <f t="shared" si="145"/>
        <v>6.3399999999999998E-2</v>
      </c>
      <c r="F9334" s="5"/>
    </row>
    <row r="9335" spans="2:6" ht="13.8" hidden="1" outlineLevel="1">
      <c r="B9335" s="187">
        <v>35675</v>
      </c>
      <c r="C9335" s="188">
        <v>6.31</v>
      </c>
      <c r="D9335" s="104">
        <f t="shared" si="145"/>
        <v>6.3099999999999989E-2</v>
      </c>
      <c r="F9335" s="5"/>
    </row>
    <row r="9336" spans="2:6" ht="13.8" hidden="1" outlineLevel="1">
      <c r="B9336" s="187">
        <v>35676</v>
      </c>
      <c r="C9336" s="188">
        <v>6.33</v>
      </c>
      <c r="D9336" s="104">
        <f t="shared" si="145"/>
        <v>6.3299999999999995E-2</v>
      </c>
      <c r="F9336" s="5"/>
    </row>
    <row r="9337" spans="2:6" ht="13.8" hidden="1" outlineLevel="1">
      <c r="B9337" s="187">
        <v>35677</v>
      </c>
      <c r="C9337" s="188">
        <v>6.33</v>
      </c>
      <c r="D9337" s="104">
        <f t="shared" si="145"/>
        <v>6.3299999999999995E-2</v>
      </c>
      <c r="F9337" s="5"/>
    </row>
    <row r="9338" spans="2:6" ht="13.8" hidden="1" outlineLevel="1">
      <c r="B9338" s="187">
        <v>35678</v>
      </c>
      <c r="C9338" s="188">
        <v>6.37</v>
      </c>
      <c r="D9338" s="104">
        <f t="shared" si="145"/>
        <v>6.3700000000000007E-2</v>
      </c>
      <c r="F9338" s="5"/>
    </row>
    <row r="9339" spans="2:6" ht="13.8" hidden="1" outlineLevel="1">
      <c r="B9339" s="187">
        <v>35681</v>
      </c>
      <c r="C9339" s="188">
        <v>6.33</v>
      </c>
      <c r="D9339" s="104">
        <f t="shared" si="145"/>
        <v>6.3299999999999995E-2</v>
      </c>
      <c r="F9339" s="5"/>
    </row>
    <row r="9340" spans="2:6" ht="13.8" hidden="1" outlineLevel="1">
      <c r="B9340" s="187">
        <v>35682</v>
      </c>
      <c r="C9340" s="188">
        <v>6.34</v>
      </c>
      <c r="D9340" s="104">
        <f t="shared" si="145"/>
        <v>6.3399999999999998E-2</v>
      </c>
      <c r="F9340" s="5"/>
    </row>
    <row r="9341" spans="2:6" ht="13.8" hidden="1" outlineLevel="1">
      <c r="B9341" s="187">
        <v>35683</v>
      </c>
      <c r="C9341" s="188">
        <v>6.37</v>
      </c>
      <c r="D9341" s="104">
        <f t="shared" si="145"/>
        <v>6.3700000000000007E-2</v>
      </c>
      <c r="F9341" s="5"/>
    </row>
    <row r="9342" spans="2:6" ht="13.8" hidden="1" outlineLevel="1">
      <c r="B9342" s="187">
        <v>35684</v>
      </c>
      <c r="C9342" s="188">
        <v>6.39</v>
      </c>
      <c r="D9342" s="104">
        <f t="shared" si="145"/>
        <v>6.3899999999999998E-2</v>
      </c>
      <c r="F9342" s="5"/>
    </row>
    <row r="9343" spans="2:6" ht="13.8" hidden="1" outlineLevel="1">
      <c r="B9343" s="187">
        <v>35685</v>
      </c>
      <c r="C9343" s="188">
        <v>6.29</v>
      </c>
      <c r="D9343" s="104">
        <f t="shared" si="145"/>
        <v>6.2899999999999998E-2</v>
      </c>
      <c r="F9343" s="5"/>
    </row>
    <row r="9344" spans="2:6" ht="13.8" hidden="1" outlineLevel="1">
      <c r="B9344" s="187">
        <v>35688</v>
      </c>
      <c r="C9344" s="188">
        <v>6.28</v>
      </c>
      <c r="D9344" s="104">
        <f t="shared" si="145"/>
        <v>6.2800000000000009E-2</v>
      </c>
      <c r="F9344" s="5"/>
    </row>
    <row r="9345" spans="2:6" ht="13.8" hidden="1" outlineLevel="1">
      <c r="B9345" s="187">
        <v>35689</v>
      </c>
      <c r="C9345" s="188">
        <v>6.11</v>
      </c>
      <c r="D9345" s="104">
        <f t="shared" si="145"/>
        <v>6.1100000000000002E-2</v>
      </c>
      <c r="F9345" s="5"/>
    </row>
    <row r="9346" spans="2:6" ht="13.8" hidden="1" outlineLevel="1">
      <c r="B9346" s="187">
        <v>35690</v>
      </c>
      <c r="C9346" s="188">
        <v>6.1</v>
      </c>
      <c r="D9346" s="104">
        <f t="shared" si="145"/>
        <v>6.0999999999999999E-2</v>
      </c>
      <c r="F9346" s="5"/>
    </row>
    <row r="9347" spans="2:6" ht="13.8" hidden="1" outlineLevel="1">
      <c r="B9347" s="187">
        <v>35691</v>
      </c>
      <c r="C9347" s="188">
        <v>6.11</v>
      </c>
      <c r="D9347" s="104">
        <f t="shared" si="145"/>
        <v>6.1100000000000002E-2</v>
      </c>
      <c r="F9347" s="5"/>
    </row>
    <row r="9348" spans="2:6" ht="13.8" hidden="1" outlineLevel="1">
      <c r="B9348" s="187">
        <v>35692</v>
      </c>
      <c r="C9348" s="188">
        <v>6.09</v>
      </c>
      <c r="D9348" s="104">
        <f t="shared" si="145"/>
        <v>6.0899999999999996E-2</v>
      </c>
      <c r="F9348" s="5"/>
    </row>
    <row r="9349" spans="2:6" ht="13.8" hidden="1" outlineLevel="1">
      <c r="B9349" s="187">
        <v>35695</v>
      </c>
      <c r="C9349" s="188">
        <v>6.06</v>
      </c>
      <c r="D9349" s="104">
        <f t="shared" si="145"/>
        <v>6.0599999999999994E-2</v>
      </c>
      <c r="F9349" s="5"/>
    </row>
    <row r="9350" spans="2:6" ht="13.8" hidden="1" outlineLevel="1">
      <c r="B9350" s="187">
        <v>35696</v>
      </c>
      <c r="C9350" s="188">
        <v>6.1</v>
      </c>
      <c r="D9350" s="104">
        <f t="shared" si="145"/>
        <v>6.0999999999999999E-2</v>
      </c>
      <c r="F9350" s="5"/>
    </row>
    <row r="9351" spans="2:6" ht="13.8" hidden="1" outlineLevel="1">
      <c r="B9351" s="187">
        <v>35697</v>
      </c>
      <c r="C9351" s="188">
        <v>6.04</v>
      </c>
      <c r="D9351" s="104">
        <f t="shared" si="145"/>
        <v>6.0400000000000002E-2</v>
      </c>
      <c r="F9351" s="5"/>
    </row>
    <row r="9352" spans="2:6" ht="13.8" hidden="1" outlineLevel="1">
      <c r="B9352" s="187">
        <v>35698</v>
      </c>
      <c r="C9352" s="188">
        <v>6.13</v>
      </c>
      <c r="D9352" s="104">
        <f t="shared" si="145"/>
        <v>6.13E-2</v>
      </c>
      <c r="F9352" s="5"/>
    </row>
    <row r="9353" spans="2:6" ht="13.8" hidden="1" outlineLevel="1">
      <c r="B9353" s="187">
        <v>35699</v>
      </c>
      <c r="C9353" s="188">
        <v>6.08</v>
      </c>
      <c r="D9353" s="104">
        <f t="shared" si="145"/>
        <v>6.08E-2</v>
      </c>
      <c r="F9353" s="5"/>
    </row>
    <row r="9354" spans="2:6" ht="13.8" hidden="1" outlineLevel="1">
      <c r="B9354" s="187">
        <v>35702</v>
      </c>
      <c r="C9354" s="188">
        <v>6.1</v>
      </c>
      <c r="D9354" s="104">
        <f t="shared" si="145"/>
        <v>6.0999999999999999E-2</v>
      </c>
      <c r="F9354" s="5"/>
    </row>
    <row r="9355" spans="2:6" ht="13.8" hidden="1" outlineLevel="1">
      <c r="B9355" s="187">
        <v>35703</v>
      </c>
      <c r="C9355" s="188">
        <v>6.12</v>
      </c>
      <c r="D9355" s="104">
        <f t="shared" si="145"/>
        <v>6.1200000000000004E-2</v>
      </c>
      <c r="F9355" s="5"/>
    </row>
    <row r="9356" spans="2:6" ht="13.8" hidden="1" outlineLevel="1">
      <c r="B9356" s="187">
        <v>35704</v>
      </c>
      <c r="C9356" s="188">
        <v>6.04</v>
      </c>
      <c r="D9356" s="104">
        <f t="shared" si="145"/>
        <v>6.0400000000000002E-2</v>
      </c>
      <c r="F9356" s="5"/>
    </row>
    <row r="9357" spans="2:6" ht="13.8" hidden="1" outlineLevel="1">
      <c r="B9357" s="187">
        <v>35705</v>
      </c>
      <c r="C9357" s="188">
        <v>6.01</v>
      </c>
      <c r="D9357" s="104">
        <f t="shared" si="145"/>
        <v>6.0100000000000001E-2</v>
      </c>
      <c r="F9357" s="5"/>
    </row>
    <row r="9358" spans="2:6" ht="13.8" hidden="1" outlineLevel="1">
      <c r="B9358" s="187">
        <v>35706</v>
      </c>
      <c r="C9358" s="188">
        <v>6.01</v>
      </c>
      <c r="D9358" s="104">
        <f t="shared" si="145"/>
        <v>6.0100000000000001E-2</v>
      </c>
      <c r="F9358" s="5"/>
    </row>
    <row r="9359" spans="2:6" ht="13.8" hidden="1" outlineLevel="1">
      <c r="B9359" s="187">
        <v>35709</v>
      </c>
      <c r="C9359" s="188">
        <v>5.96</v>
      </c>
      <c r="D9359" s="104">
        <f t="shared" si="145"/>
        <v>5.96E-2</v>
      </c>
      <c r="F9359" s="5"/>
    </row>
    <row r="9360" spans="2:6" ht="13.8" hidden="1" outlineLevel="1">
      <c r="B9360" s="187">
        <v>35710</v>
      </c>
      <c r="C9360" s="188">
        <v>5.94</v>
      </c>
      <c r="D9360" s="104">
        <f t="shared" si="145"/>
        <v>5.9400000000000001E-2</v>
      </c>
      <c r="F9360" s="5"/>
    </row>
    <row r="9361" spans="2:6" ht="13.8" hidden="1" outlineLevel="1">
      <c r="B9361" s="187">
        <v>35711</v>
      </c>
      <c r="C9361" s="188">
        <v>6.08</v>
      </c>
      <c r="D9361" s="104">
        <f t="shared" si="145"/>
        <v>6.08E-2</v>
      </c>
      <c r="F9361" s="5"/>
    </row>
    <row r="9362" spans="2:6" ht="13.8" hidden="1" outlineLevel="1">
      <c r="B9362" s="187">
        <v>35712</v>
      </c>
      <c r="C9362" s="188">
        <v>6.09</v>
      </c>
      <c r="D9362" s="104">
        <f t="shared" si="145"/>
        <v>6.0899999999999996E-2</v>
      </c>
      <c r="F9362" s="5"/>
    </row>
    <row r="9363" spans="2:6" ht="13.8" hidden="1" outlineLevel="1">
      <c r="B9363" s="187">
        <v>35713</v>
      </c>
      <c r="C9363" s="188">
        <v>6.15</v>
      </c>
      <c r="D9363" s="104">
        <f t="shared" si="145"/>
        <v>6.1500000000000006E-2</v>
      </c>
      <c r="F9363" s="5"/>
    </row>
    <row r="9364" spans="2:6" ht="13.8" hidden="1" outlineLevel="1">
      <c r="B9364" s="187">
        <v>35716</v>
      </c>
      <c r="C9364" s="188" t="s">
        <v>380</v>
      </c>
      <c r="D9364" s="104">
        <f t="shared" si="145"/>
        <v>6.1500000000000006E-2</v>
      </c>
      <c r="F9364" s="5"/>
    </row>
    <row r="9365" spans="2:6" ht="13.8" hidden="1" outlineLevel="1">
      <c r="B9365" s="187">
        <v>35717</v>
      </c>
      <c r="C9365" s="188">
        <v>6.07</v>
      </c>
      <c r="D9365" s="104">
        <f t="shared" si="145"/>
        <v>6.0700000000000004E-2</v>
      </c>
      <c r="F9365" s="5"/>
    </row>
    <row r="9366" spans="2:6" ht="13.8" hidden="1" outlineLevel="1">
      <c r="B9366" s="187">
        <v>35718</v>
      </c>
      <c r="C9366" s="188">
        <v>6.1</v>
      </c>
      <c r="D9366" s="104">
        <f t="shared" si="145"/>
        <v>6.0999999999999999E-2</v>
      </c>
      <c r="F9366" s="5"/>
    </row>
    <row r="9367" spans="2:6" ht="13.8" hidden="1" outlineLevel="1">
      <c r="B9367" s="187">
        <v>35719</v>
      </c>
      <c r="C9367" s="188">
        <v>6.09</v>
      </c>
      <c r="D9367" s="104">
        <f t="shared" si="145"/>
        <v>6.0899999999999996E-2</v>
      </c>
      <c r="F9367" s="5"/>
    </row>
    <row r="9368" spans="2:6" ht="13.8" hidden="1" outlineLevel="1">
      <c r="B9368" s="187">
        <v>35720</v>
      </c>
      <c r="C9368" s="188">
        <v>6.17</v>
      </c>
      <c r="D9368" s="104">
        <f t="shared" si="145"/>
        <v>6.1699999999999998E-2</v>
      </c>
      <c r="F9368" s="5"/>
    </row>
    <row r="9369" spans="2:6" ht="13.8" hidden="1" outlineLevel="1">
      <c r="B9369" s="187">
        <v>35723</v>
      </c>
      <c r="C9369" s="188">
        <v>6.15</v>
      </c>
      <c r="D9369" s="104">
        <f t="shared" si="145"/>
        <v>6.1500000000000006E-2</v>
      </c>
      <c r="F9369" s="5"/>
    </row>
    <row r="9370" spans="2:6" ht="13.8" hidden="1" outlineLevel="1">
      <c r="B9370" s="187">
        <v>35724</v>
      </c>
      <c r="C9370" s="188">
        <v>6.14</v>
      </c>
      <c r="D9370" s="104">
        <f t="shared" si="145"/>
        <v>6.1399999999999996E-2</v>
      </c>
      <c r="F9370" s="5"/>
    </row>
    <row r="9371" spans="2:6" ht="13.8" hidden="1" outlineLevel="1">
      <c r="B9371" s="187">
        <v>35725</v>
      </c>
      <c r="C9371" s="188">
        <v>6.12</v>
      </c>
      <c r="D9371" s="104">
        <f t="shared" si="145"/>
        <v>6.1200000000000004E-2</v>
      </c>
      <c r="F9371" s="5"/>
    </row>
    <row r="9372" spans="2:6" ht="13.8" hidden="1" outlineLevel="1">
      <c r="B9372" s="187">
        <v>35726</v>
      </c>
      <c r="C9372" s="188">
        <v>6.04</v>
      </c>
      <c r="D9372" s="104">
        <f t="shared" si="145"/>
        <v>6.0400000000000002E-2</v>
      </c>
      <c r="F9372" s="5"/>
    </row>
    <row r="9373" spans="2:6" ht="13.8" hidden="1" outlineLevel="1">
      <c r="B9373" s="187">
        <v>35727</v>
      </c>
      <c r="C9373" s="188">
        <v>6.01</v>
      </c>
      <c r="D9373" s="104">
        <f t="shared" si="145"/>
        <v>6.0100000000000001E-2</v>
      </c>
      <c r="F9373" s="5"/>
    </row>
    <row r="9374" spans="2:6" ht="13.8" hidden="1" outlineLevel="1">
      <c r="B9374" s="187">
        <v>35730</v>
      </c>
      <c r="C9374" s="188">
        <v>5.91</v>
      </c>
      <c r="D9374" s="104">
        <f t="shared" ref="D9374:D9437" si="146">IF( LEN( C9374 ) = 0, #N/A, IF( C9374 = "ND", D9373, C9374 / 100 ) )</f>
        <v>5.91E-2</v>
      </c>
      <c r="F9374" s="5"/>
    </row>
    <row r="9375" spans="2:6" ht="13.8" hidden="1" outlineLevel="1">
      <c r="B9375" s="187">
        <v>35731</v>
      </c>
      <c r="C9375" s="188">
        <v>5.98</v>
      </c>
      <c r="D9375" s="104">
        <f t="shared" si="146"/>
        <v>5.9800000000000006E-2</v>
      </c>
      <c r="F9375" s="5"/>
    </row>
    <row r="9376" spans="2:6" ht="13.8" hidden="1" outlineLevel="1">
      <c r="B9376" s="187">
        <v>35732</v>
      </c>
      <c r="C9376" s="188">
        <v>5.91</v>
      </c>
      <c r="D9376" s="104">
        <f t="shared" si="146"/>
        <v>5.91E-2</v>
      </c>
      <c r="F9376" s="5"/>
    </row>
    <row r="9377" spans="2:6" ht="13.8" hidden="1" outlineLevel="1">
      <c r="B9377" s="187">
        <v>35733</v>
      </c>
      <c r="C9377" s="188">
        <v>5.84</v>
      </c>
      <c r="D9377" s="104">
        <f t="shared" si="146"/>
        <v>5.8400000000000001E-2</v>
      </c>
      <c r="F9377" s="5"/>
    </row>
    <row r="9378" spans="2:6" ht="13.8" hidden="1" outlineLevel="1">
      <c r="B9378" s="187">
        <v>35734</v>
      </c>
      <c r="C9378" s="188">
        <v>5.84</v>
      </c>
      <c r="D9378" s="104">
        <f t="shared" si="146"/>
        <v>5.8400000000000001E-2</v>
      </c>
      <c r="F9378" s="5"/>
    </row>
    <row r="9379" spans="2:6" ht="13.8" hidden="1" outlineLevel="1">
      <c r="B9379" s="187">
        <v>35737</v>
      </c>
      <c r="C9379" s="188">
        <v>5.91</v>
      </c>
      <c r="D9379" s="104">
        <f t="shared" si="146"/>
        <v>5.91E-2</v>
      </c>
      <c r="F9379" s="5"/>
    </row>
    <row r="9380" spans="2:6" ht="13.8" hidden="1" outlineLevel="1">
      <c r="B9380" s="187">
        <v>35738</v>
      </c>
      <c r="C9380" s="188">
        <v>5.95</v>
      </c>
      <c r="D9380" s="104">
        <f t="shared" si="146"/>
        <v>5.9500000000000004E-2</v>
      </c>
      <c r="F9380" s="5"/>
    </row>
    <row r="9381" spans="2:6" ht="13.8" hidden="1" outlineLevel="1">
      <c r="B9381" s="187">
        <v>35739</v>
      </c>
      <c r="C9381" s="188">
        <v>5.95</v>
      </c>
      <c r="D9381" s="104">
        <f t="shared" si="146"/>
        <v>5.9500000000000004E-2</v>
      </c>
      <c r="F9381" s="5"/>
    </row>
    <row r="9382" spans="2:6" ht="13.8" hidden="1" outlineLevel="1">
      <c r="B9382" s="187">
        <v>35740</v>
      </c>
      <c r="C9382" s="188">
        <v>5.9</v>
      </c>
      <c r="D9382" s="104">
        <f t="shared" si="146"/>
        <v>5.9000000000000004E-2</v>
      </c>
      <c r="F9382" s="5"/>
    </row>
    <row r="9383" spans="2:6" ht="13.8" hidden="1" outlineLevel="1">
      <c r="B9383" s="187">
        <v>35741</v>
      </c>
      <c r="C9383" s="188">
        <v>5.9</v>
      </c>
      <c r="D9383" s="104">
        <f t="shared" si="146"/>
        <v>5.9000000000000004E-2</v>
      </c>
      <c r="F9383" s="5"/>
    </row>
    <row r="9384" spans="2:6" ht="13.8" hidden="1" outlineLevel="1">
      <c r="B9384" s="187">
        <v>35744</v>
      </c>
      <c r="C9384" s="188">
        <v>5.91</v>
      </c>
      <c r="D9384" s="104">
        <f t="shared" si="146"/>
        <v>5.91E-2</v>
      </c>
      <c r="F9384" s="5"/>
    </row>
    <row r="9385" spans="2:6" ht="13.8" hidden="1" outlineLevel="1">
      <c r="B9385" s="187">
        <v>35745</v>
      </c>
      <c r="C9385" s="188" t="s">
        <v>380</v>
      </c>
      <c r="D9385" s="104">
        <f t="shared" si="146"/>
        <v>5.91E-2</v>
      </c>
      <c r="F9385" s="5"/>
    </row>
    <row r="9386" spans="2:6" ht="13.8" hidden="1" outlineLevel="1">
      <c r="B9386" s="187">
        <v>35746</v>
      </c>
      <c r="C9386" s="188">
        <v>5.89</v>
      </c>
      <c r="D9386" s="104">
        <f t="shared" si="146"/>
        <v>5.8899999999999994E-2</v>
      </c>
      <c r="F9386" s="5"/>
    </row>
    <row r="9387" spans="2:6" ht="13.8" hidden="1" outlineLevel="1">
      <c r="B9387" s="187">
        <v>35747</v>
      </c>
      <c r="C9387" s="188">
        <v>5.87</v>
      </c>
      <c r="D9387" s="104">
        <f t="shared" si="146"/>
        <v>5.8700000000000002E-2</v>
      </c>
      <c r="F9387" s="5"/>
    </row>
    <row r="9388" spans="2:6" ht="13.8" hidden="1" outlineLevel="1">
      <c r="B9388" s="187">
        <v>35748</v>
      </c>
      <c r="C9388" s="188">
        <v>5.86</v>
      </c>
      <c r="D9388" s="104">
        <f t="shared" si="146"/>
        <v>5.8600000000000006E-2</v>
      </c>
      <c r="F9388" s="5"/>
    </row>
    <row r="9389" spans="2:6" ht="13.8" hidden="1" outlineLevel="1">
      <c r="B9389" s="187">
        <v>35751</v>
      </c>
      <c r="C9389" s="188">
        <v>5.85</v>
      </c>
      <c r="D9389" s="104">
        <f t="shared" si="146"/>
        <v>5.8499999999999996E-2</v>
      </c>
      <c r="F9389" s="5"/>
    </row>
    <row r="9390" spans="2:6" ht="13.8" hidden="1" outlineLevel="1">
      <c r="B9390" s="187">
        <v>35752</v>
      </c>
      <c r="C9390" s="188">
        <v>5.85</v>
      </c>
      <c r="D9390" s="104">
        <f t="shared" si="146"/>
        <v>5.8499999999999996E-2</v>
      </c>
      <c r="F9390" s="5"/>
    </row>
    <row r="9391" spans="2:6" ht="13.8" hidden="1" outlineLevel="1">
      <c r="B9391" s="187">
        <v>35753</v>
      </c>
      <c r="C9391" s="188">
        <v>5.82</v>
      </c>
      <c r="D9391" s="104">
        <f t="shared" si="146"/>
        <v>5.8200000000000002E-2</v>
      </c>
      <c r="F9391" s="5"/>
    </row>
    <row r="9392" spans="2:6" ht="13.8" hidden="1" outlineLevel="1">
      <c r="B9392" s="187">
        <v>35754</v>
      </c>
      <c r="C9392" s="188">
        <v>5.84</v>
      </c>
      <c r="D9392" s="104">
        <f t="shared" si="146"/>
        <v>5.8400000000000001E-2</v>
      </c>
      <c r="F9392" s="5"/>
    </row>
    <row r="9393" spans="2:6" ht="13.8" hidden="1" outlineLevel="1">
      <c r="B9393" s="187">
        <v>35755</v>
      </c>
      <c r="C9393" s="188">
        <v>5.82</v>
      </c>
      <c r="D9393" s="104">
        <f t="shared" si="146"/>
        <v>5.8200000000000002E-2</v>
      </c>
      <c r="F9393" s="5"/>
    </row>
    <row r="9394" spans="2:6" ht="13.8" hidden="1" outlineLevel="1">
      <c r="B9394" s="187">
        <v>35758</v>
      </c>
      <c r="C9394" s="188">
        <v>5.86</v>
      </c>
      <c r="D9394" s="104">
        <f t="shared" si="146"/>
        <v>5.8600000000000006E-2</v>
      </c>
      <c r="F9394" s="5"/>
    </row>
    <row r="9395" spans="2:6" ht="13.8" hidden="1" outlineLevel="1">
      <c r="B9395" s="187">
        <v>35759</v>
      </c>
      <c r="C9395" s="188">
        <v>5.85</v>
      </c>
      <c r="D9395" s="104">
        <f t="shared" si="146"/>
        <v>5.8499999999999996E-2</v>
      </c>
      <c r="F9395" s="5"/>
    </row>
    <row r="9396" spans="2:6" ht="13.8" hidden="1" outlineLevel="1">
      <c r="B9396" s="187">
        <v>35760</v>
      </c>
      <c r="C9396" s="188">
        <v>5.86</v>
      </c>
      <c r="D9396" s="104">
        <f t="shared" si="146"/>
        <v>5.8600000000000006E-2</v>
      </c>
      <c r="F9396" s="5"/>
    </row>
    <row r="9397" spans="2:6" ht="13.8" hidden="1" outlineLevel="1">
      <c r="B9397" s="187">
        <v>35761</v>
      </c>
      <c r="C9397" s="188" t="s">
        <v>380</v>
      </c>
      <c r="D9397" s="104">
        <f t="shared" si="146"/>
        <v>5.8600000000000006E-2</v>
      </c>
      <c r="F9397" s="5"/>
    </row>
    <row r="9398" spans="2:6" ht="13.8" hidden="1" outlineLevel="1">
      <c r="B9398" s="187">
        <v>35762</v>
      </c>
      <c r="C9398" s="188">
        <v>5.86</v>
      </c>
      <c r="D9398" s="104">
        <f t="shared" si="146"/>
        <v>5.8600000000000006E-2</v>
      </c>
      <c r="F9398" s="5"/>
    </row>
    <row r="9399" spans="2:6" ht="13.8" hidden="1" outlineLevel="1">
      <c r="B9399" s="187">
        <v>35765</v>
      </c>
      <c r="C9399" s="188">
        <v>5.86</v>
      </c>
      <c r="D9399" s="104">
        <f t="shared" si="146"/>
        <v>5.8600000000000006E-2</v>
      </c>
      <c r="F9399" s="5"/>
    </row>
    <row r="9400" spans="2:6" ht="13.8" hidden="1" outlineLevel="1">
      <c r="B9400" s="187">
        <v>35766</v>
      </c>
      <c r="C9400" s="188">
        <v>5.86</v>
      </c>
      <c r="D9400" s="104">
        <f t="shared" si="146"/>
        <v>5.8600000000000006E-2</v>
      </c>
      <c r="F9400" s="5"/>
    </row>
    <row r="9401" spans="2:6" ht="13.8" hidden="1" outlineLevel="1">
      <c r="B9401" s="187">
        <v>35767</v>
      </c>
      <c r="C9401" s="188">
        <v>5.83</v>
      </c>
      <c r="D9401" s="104">
        <f t="shared" si="146"/>
        <v>5.8299999999999998E-2</v>
      </c>
      <c r="F9401" s="5"/>
    </row>
    <row r="9402" spans="2:6" ht="13.8" hidden="1" outlineLevel="1">
      <c r="B9402" s="187">
        <v>35768</v>
      </c>
      <c r="C9402" s="188">
        <v>5.84</v>
      </c>
      <c r="D9402" s="104">
        <f t="shared" si="146"/>
        <v>5.8400000000000001E-2</v>
      </c>
      <c r="F9402" s="5"/>
    </row>
    <row r="9403" spans="2:6" ht="13.8" hidden="1" outlineLevel="1">
      <c r="B9403" s="187">
        <v>35769</v>
      </c>
      <c r="C9403" s="188">
        <v>5.92</v>
      </c>
      <c r="D9403" s="104">
        <f t="shared" si="146"/>
        <v>5.9200000000000003E-2</v>
      </c>
      <c r="F9403" s="5"/>
    </row>
    <row r="9404" spans="2:6" ht="13.8" hidden="1" outlineLevel="1">
      <c r="B9404" s="187">
        <v>35772</v>
      </c>
      <c r="C9404" s="188">
        <v>5.96</v>
      </c>
      <c r="D9404" s="104">
        <f t="shared" si="146"/>
        <v>5.96E-2</v>
      </c>
      <c r="F9404" s="5"/>
    </row>
    <row r="9405" spans="2:6" ht="13.8" hidden="1" outlineLevel="1">
      <c r="B9405" s="187">
        <v>35773</v>
      </c>
      <c r="C9405" s="188">
        <v>5.95</v>
      </c>
      <c r="D9405" s="104">
        <f t="shared" si="146"/>
        <v>5.9500000000000004E-2</v>
      </c>
      <c r="F9405" s="5"/>
    </row>
    <row r="9406" spans="2:6" ht="13.8" hidden="1" outlineLevel="1">
      <c r="B9406" s="187">
        <v>35774</v>
      </c>
      <c r="C9406" s="188">
        <v>5.9</v>
      </c>
      <c r="D9406" s="104">
        <f t="shared" si="146"/>
        <v>5.9000000000000004E-2</v>
      </c>
      <c r="F9406" s="5"/>
    </row>
    <row r="9407" spans="2:6" ht="13.8" hidden="1" outlineLevel="1">
      <c r="B9407" s="187">
        <v>35775</v>
      </c>
      <c r="C9407" s="188">
        <v>5.82</v>
      </c>
      <c r="D9407" s="104">
        <f t="shared" si="146"/>
        <v>5.8200000000000002E-2</v>
      </c>
      <c r="F9407" s="5"/>
    </row>
    <row r="9408" spans="2:6" ht="13.8" hidden="1" outlineLevel="1">
      <c r="B9408" s="187">
        <v>35776</v>
      </c>
      <c r="C9408" s="188">
        <v>5.74</v>
      </c>
      <c r="D9408" s="104">
        <f t="shared" si="146"/>
        <v>5.74E-2</v>
      </c>
      <c r="F9408" s="5"/>
    </row>
    <row r="9409" spans="2:6" ht="13.8" hidden="1" outlineLevel="1">
      <c r="B9409" s="187">
        <v>35779</v>
      </c>
      <c r="C9409" s="188">
        <v>5.78</v>
      </c>
      <c r="D9409" s="104">
        <f t="shared" si="146"/>
        <v>5.7800000000000004E-2</v>
      </c>
      <c r="F9409" s="5"/>
    </row>
    <row r="9410" spans="2:6" ht="13.8" hidden="1" outlineLevel="1">
      <c r="B9410" s="187">
        <v>35780</v>
      </c>
      <c r="C9410" s="188">
        <v>5.77</v>
      </c>
      <c r="D9410" s="104">
        <f t="shared" si="146"/>
        <v>5.7699999999999994E-2</v>
      </c>
      <c r="F9410" s="5"/>
    </row>
    <row r="9411" spans="2:6" ht="13.8" hidden="1" outlineLevel="1">
      <c r="B9411" s="187">
        <v>35781</v>
      </c>
      <c r="C9411" s="188">
        <v>5.81</v>
      </c>
      <c r="D9411" s="104">
        <f t="shared" si="146"/>
        <v>5.8099999999999999E-2</v>
      </c>
      <c r="F9411" s="5"/>
    </row>
    <row r="9412" spans="2:6" ht="13.8" hidden="1" outlineLevel="1">
      <c r="B9412" s="187">
        <v>35782</v>
      </c>
      <c r="C9412" s="188">
        <v>5.76</v>
      </c>
      <c r="D9412" s="104">
        <f t="shared" si="146"/>
        <v>5.7599999999999998E-2</v>
      </c>
      <c r="F9412" s="5"/>
    </row>
    <row r="9413" spans="2:6" ht="13.8" hidden="1" outlineLevel="1">
      <c r="B9413" s="187">
        <v>35783</v>
      </c>
      <c r="C9413" s="188">
        <v>5.72</v>
      </c>
      <c r="D9413" s="104">
        <f t="shared" si="146"/>
        <v>5.7200000000000001E-2</v>
      </c>
      <c r="F9413" s="5"/>
    </row>
    <row r="9414" spans="2:6" ht="13.8" hidden="1" outlineLevel="1">
      <c r="B9414" s="187">
        <v>35786</v>
      </c>
      <c r="C9414" s="188">
        <v>5.72</v>
      </c>
      <c r="D9414" s="104">
        <f t="shared" si="146"/>
        <v>5.7200000000000001E-2</v>
      </c>
      <c r="F9414" s="5"/>
    </row>
    <row r="9415" spans="2:6" ht="13.8" hidden="1" outlineLevel="1">
      <c r="B9415" s="187">
        <v>35787</v>
      </c>
      <c r="C9415" s="188">
        <v>5.73</v>
      </c>
      <c r="D9415" s="104">
        <f t="shared" si="146"/>
        <v>5.7300000000000004E-2</v>
      </c>
      <c r="F9415" s="5"/>
    </row>
    <row r="9416" spans="2:6" ht="13.8" hidden="1" outlineLevel="1">
      <c r="B9416" s="187">
        <v>35788</v>
      </c>
      <c r="C9416" s="188">
        <v>5.76</v>
      </c>
      <c r="D9416" s="104">
        <f t="shared" si="146"/>
        <v>5.7599999999999998E-2</v>
      </c>
      <c r="F9416" s="5"/>
    </row>
    <row r="9417" spans="2:6" ht="13.8" hidden="1" outlineLevel="1">
      <c r="B9417" s="187">
        <v>35789</v>
      </c>
      <c r="C9417" s="188" t="s">
        <v>380</v>
      </c>
      <c r="D9417" s="104">
        <f t="shared" si="146"/>
        <v>5.7599999999999998E-2</v>
      </c>
      <c r="F9417" s="5"/>
    </row>
    <row r="9418" spans="2:6" ht="13.8" hidden="1" outlineLevel="1">
      <c r="B9418" s="187">
        <v>35790</v>
      </c>
      <c r="C9418" s="188">
        <v>5.75</v>
      </c>
      <c r="D9418" s="104">
        <f t="shared" si="146"/>
        <v>5.7500000000000002E-2</v>
      </c>
      <c r="F9418" s="5"/>
    </row>
    <row r="9419" spans="2:6" ht="13.8" hidden="1" outlineLevel="1">
      <c r="B9419" s="187">
        <v>35793</v>
      </c>
      <c r="C9419" s="188">
        <v>5.76</v>
      </c>
      <c r="D9419" s="104">
        <f t="shared" si="146"/>
        <v>5.7599999999999998E-2</v>
      </c>
      <c r="F9419" s="5"/>
    </row>
    <row r="9420" spans="2:6" ht="13.8" hidden="1" outlineLevel="1">
      <c r="B9420" s="187">
        <v>35794</v>
      </c>
      <c r="C9420" s="188">
        <v>5.8</v>
      </c>
      <c r="D9420" s="104">
        <f t="shared" si="146"/>
        <v>5.7999999999999996E-2</v>
      </c>
      <c r="F9420" s="5"/>
    </row>
    <row r="9421" spans="2:6" ht="13.8" hidden="1" outlineLevel="1">
      <c r="B9421" s="187">
        <v>35795</v>
      </c>
      <c r="C9421" s="188">
        <v>5.75</v>
      </c>
      <c r="D9421" s="104">
        <f t="shared" si="146"/>
        <v>5.7500000000000002E-2</v>
      </c>
      <c r="F9421" s="5"/>
    </row>
    <row r="9422" spans="2:6" ht="13.8" hidden="1" outlineLevel="1">
      <c r="B9422" s="187">
        <v>35796</v>
      </c>
      <c r="C9422" s="188" t="s">
        <v>380</v>
      </c>
      <c r="D9422" s="104">
        <f t="shared" si="146"/>
        <v>5.7500000000000002E-2</v>
      </c>
      <c r="F9422" s="5"/>
    </row>
    <row r="9423" spans="2:6" ht="13.8" hidden="1" outlineLevel="1">
      <c r="B9423" s="187">
        <v>35797</v>
      </c>
      <c r="C9423" s="188">
        <v>5.67</v>
      </c>
      <c r="D9423" s="104">
        <f t="shared" si="146"/>
        <v>5.67E-2</v>
      </c>
      <c r="F9423" s="5"/>
    </row>
    <row r="9424" spans="2:6" ht="13.8" hidden="1" outlineLevel="1">
      <c r="B9424" s="187">
        <v>35800</v>
      </c>
      <c r="C9424" s="188">
        <v>5.52</v>
      </c>
      <c r="D9424" s="104">
        <f t="shared" si="146"/>
        <v>5.5199999999999999E-2</v>
      </c>
      <c r="F9424" s="5"/>
    </row>
    <row r="9425" spans="2:6" ht="13.8" hidden="1" outlineLevel="1">
      <c r="B9425" s="187">
        <v>35801</v>
      </c>
      <c r="C9425" s="188">
        <v>5.49</v>
      </c>
      <c r="D9425" s="104">
        <f t="shared" si="146"/>
        <v>5.4900000000000004E-2</v>
      </c>
      <c r="F9425" s="5"/>
    </row>
    <row r="9426" spans="2:6" ht="13.8" hidden="1" outlineLevel="1">
      <c r="B9426" s="187">
        <v>35802</v>
      </c>
      <c r="C9426" s="188">
        <v>5.55</v>
      </c>
      <c r="D9426" s="104">
        <f t="shared" si="146"/>
        <v>5.5500000000000001E-2</v>
      </c>
      <c r="F9426" s="5"/>
    </row>
    <row r="9427" spans="2:6" ht="13.8" hidden="1" outlineLevel="1">
      <c r="B9427" s="187">
        <v>35803</v>
      </c>
      <c r="C9427" s="188">
        <v>5.49</v>
      </c>
      <c r="D9427" s="104">
        <f t="shared" si="146"/>
        <v>5.4900000000000004E-2</v>
      </c>
      <c r="F9427" s="5"/>
    </row>
    <row r="9428" spans="2:6" ht="13.8" hidden="1" outlineLevel="1">
      <c r="B9428" s="187">
        <v>35804</v>
      </c>
      <c r="C9428" s="188">
        <v>5.4</v>
      </c>
      <c r="D9428" s="104">
        <f t="shared" si="146"/>
        <v>5.4000000000000006E-2</v>
      </c>
      <c r="F9428" s="5"/>
    </row>
    <row r="9429" spans="2:6" ht="13.8" hidden="1" outlineLevel="1">
      <c r="B9429" s="187">
        <v>35807</v>
      </c>
      <c r="C9429" s="188">
        <v>5.39</v>
      </c>
      <c r="D9429" s="104">
        <f t="shared" si="146"/>
        <v>5.3899999999999997E-2</v>
      </c>
      <c r="F9429" s="5"/>
    </row>
    <row r="9430" spans="2:6" ht="13.8" hidden="1" outlineLevel="1">
      <c r="B9430" s="187">
        <v>35808</v>
      </c>
      <c r="C9430" s="188">
        <v>5.41</v>
      </c>
      <c r="D9430" s="104">
        <f t="shared" si="146"/>
        <v>5.4100000000000002E-2</v>
      </c>
      <c r="F9430" s="5"/>
    </row>
    <row r="9431" spans="2:6" ht="13.8" hidden="1" outlineLevel="1">
      <c r="B9431" s="187">
        <v>35809</v>
      </c>
      <c r="C9431" s="188">
        <v>5.45</v>
      </c>
      <c r="D9431" s="104">
        <f t="shared" si="146"/>
        <v>5.45E-2</v>
      </c>
      <c r="F9431" s="5"/>
    </row>
    <row r="9432" spans="2:6" ht="13.8" hidden="1" outlineLevel="1">
      <c r="B9432" s="187">
        <v>35810</v>
      </c>
      <c r="C9432" s="188">
        <v>5.48</v>
      </c>
      <c r="D9432" s="104">
        <f t="shared" si="146"/>
        <v>5.4800000000000001E-2</v>
      </c>
      <c r="F9432" s="5"/>
    </row>
    <row r="9433" spans="2:6" ht="13.8" hidden="1" outlineLevel="1">
      <c r="B9433" s="187">
        <v>35811</v>
      </c>
      <c r="C9433" s="188">
        <v>5.54</v>
      </c>
      <c r="D9433" s="104">
        <f t="shared" si="146"/>
        <v>5.5399999999999998E-2</v>
      </c>
      <c r="F9433" s="5"/>
    </row>
    <row r="9434" spans="2:6" ht="13.8" hidden="1" outlineLevel="1">
      <c r="B9434" s="187">
        <v>35814</v>
      </c>
      <c r="C9434" s="188" t="s">
        <v>380</v>
      </c>
      <c r="D9434" s="104">
        <f t="shared" si="146"/>
        <v>5.5399999999999998E-2</v>
      </c>
      <c r="F9434" s="5"/>
    </row>
    <row r="9435" spans="2:6" ht="13.8" hidden="1" outlineLevel="1">
      <c r="B9435" s="187">
        <v>35815</v>
      </c>
      <c r="C9435" s="188">
        <v>5.57</v>
      </c>
      <c r="D9435" s="104">
        <f t="shared" si="146"/>
        <v>5.57E-2</v>
      </c>
      <c r="F9435" s="5"/>
    </row>
    <row r="9436" spans="2:6" ht="13.8" hidden="1" outlineLevel="1">
      <c r="B9436" s="187">
        <v>35816</v>
      </c>
      <c r="C9436" s="188">
        <v>5.54</v>
      </c>
      <c r="D9436" s="104">
        <f t="shared" si="146"/>
        <v>5.5399999999999998E-2</v>
      </c>
      <c r="F9436" s="5"/>
    </row>
    <row r="9437" spans="2:6" ht="13.8" hidden="1" outlineLevel="1">
      <c r="B9437" s="187">
        <v>35817</v>
      </c>
      <c r="C9437" s="188">
        <v>5.56</v>
      </c>
      <c r="D9437" s="104">
        <f t="shared" si="146"/>
        <v>5.5599999999999997E-2</v>
      </c>
      <c r="F9437" s="5"/>
    </row>
    <row r="9438" spans="2:6" ht="13.8" hidden="1" outlineLevel="1">
      <c r="B9438" s="187">
        <v>35818</v>
      </c>
      <c r="C9438" s="188">
        <v>5.7</v>
      </c>
      <c r="D9438" s="104">
        <f t="shared" ref="D9438:D9501" si="147">IF( LEN( C9438 ) = 0, #N/A, IF( C9438 = "ND", D9437, C9438 / 100 ) )</f>
        <v>5.7000000000000002E-2</v>
      </c>
      <c r="F9438" s="5"/>
    </row>
    <row r="9439" spans="2:6" ht="13.8" hidden="1" outlineLevel="1">
      <c r="B9439" s="187">
        <v>35821</v>
      </c>
      <c r="C9439" s="188">
        <v>5.63</v>
      </c>
      <c r="D9439" s="104">
        <f t="shared" si="147"/>
        <v>5.6299999999999996E-2</v>
      </c>
      <c r="F9439" s="5"/>
    </row>
    <row r="9440" spans="2:6" ht="13.8" hidden="1" outlineLevel="1">
      <c r="B9440" s="187">
        <v>35822</v>
      </c>
      <c r="C9440" s="188">
        <v>5.7</v>
      </c>
      <c r="D9440" s="104">
        <f t="shared" si="147"/>
        <v>5.7000000000000002E-2</v>
      </c>
      <c r="F9440" s="5"/>
    </row>
    <row r="9441" spans="2:6" ht="13.8" hidden="1" outlineLevel="1">
      <c r="B9441" s="187">
        <v>35823</v>
      </c>
      <c r="C9441" s="188">
        <v>5.69</v>
      </c>
      <c r="D9441" s="104">
        <f t="shared" si="147"/>
        <v>5.6900000000000006E-2</v>
      </c>
      <c r="F9441" s="5"/>
    </row>
    <row r="9442" spans="2:6" ht="13.8" hidden="1" outlineLevel="1">
      <c r="B9442" s="187">
        <v>35824</v>
      </c>
      <c r="C9442" s="188">
        <v>5.58</v>
      </c>
      <c r="D9442" s="104">
        <f t="shared" si="147"/>
        <v>5.5800000000000002E-2</v>
      </c>
      <c r="F9442" s="5"/>
    </row>
    <row r="9443" spans="2:6" ht="13.8" hidden="1" outlineLevel="1">
      <c r="B9443" s="187">
        <v>35825</v>
      </c>
      <c r="C9443" s="188">
        <v>5.53</v>
      </c>
      <c r="D9443" s="104">
        <f t="shared" si="147"/>
        <v>5.5300000000000002E-2</v>
      </c>
      <c r="F9443" s="5"/>
    </row>
    <row r="9444" spans="2:6" ht="13.8" hidden="1" outlineLevel="1">
      <c r="B9444" s="187">
        <v>35828</v>
      </c>
      <c r="C9444" s="188">
        <v>5.57</v>
      </c>
      <c r="D9444" s="104">
        <f t="shared" si="147"/>
        <v>5.57E-2</v>
      </c>
      <c r="F9444" s="5"/>
    </row>
    <row r="9445" spans="2:6" ht="13.8" hidden="1" outlineLevel="1">
      <c r="B9445" s="187">
        <v>35829</v>
      </c>
      <c r="C9445" s="188">
        <v>5.56</v>
      </c>
      <c r="D9445" s="104">
        <f t="shared" si="147"/>
        <v>5.5599999999999997E-2</v>
      </c>
      <c r="F9445" s="5"/>
    </row>
    <row r="9446" spans="2:6" ht="13.8" hidden="1" outlineLevel="1">
      <c r="B9446" s="187">
        <v>35830</v>
      </c>
      <c r="C9446" s="188">
        <v>5.57</v>
      </c>
      <c r="D9446" s="104">
        <f t="shared" si="147"/>
        <v>5.57E-2</v>
      </c>
      <c r="F9446" s="5"/>
    </row>
    <row r="9447" spans="2:6" ht="13.8" hidden="1" outlineLevel="1">
      <c r="B9447" s="187">
        <v>35831</v>
      </c>
      <c r="C9447" s="188">
        <v>5.62</v>
      </c>
      <c r="D9447" s="104">
        <f t="shared" si="147"/>
        <v>5.62E-2</v>
      </c>
      <c r="F9447" s="5"/>
    </row>
    <row r="9448" spans="2:6" ht="13.8" hidden="1" outlineLevel="1">
      <c r="B9448" s="187">
        <v>35832</v>
      </c>
      <c r="C9448" s="188">
        <v>5.62</v>
      </c>
      <c r="D9448" s="104">
        <f t="shared" si="147"/>
        <v>5.62E-2</v>
      </c>
      <c r="F9448" s="5"/>
    </row>
    <row r="9449" spans="2:6" ht="13.8" hidden="1" outlineLevel="1">
      <c r="B9449" s="187">
        <v>35835</v>
      </c>
      <c r="C9449" s="188">
        <v>5.65</v>
      </c>
      <c r="D9449" s="104">
        <f t="shared" si="147"/>
        <v>5.6500000000000002E-2</v>
      </c>
      <c r="F9449" s="5"/>
    </row>
    <row r="9450" spans="2:6" ht="13.8" hidden="1" outlineLevel="1">
      <c r="B9450" s="187">
        <v>35836</v>
      </c>
      <c r="C9450" s="188">
        <v>5.64</v>
      </c>
      <c r="D9450" s="104">
        <f t="shared" si="147"/>
        <v>5.6399999999999999E-2</v>
      </c>
      <c r="F9450" s="5"/>
    </row>
    <row r="9451" spans="2:6" ht="13.8" hidden="1" outlineLevel="1">
      <c r="B9451" s="187">
        <v>35837</v>
      </c>
      <c r="C9451" s="188">
        <v>5.53</v>
      </c>
      <c r="D9451" s="104">
        <f t="shared" si="147"/>
        <v>5.5300000000000002E-2</v>
      </c>
      <c r="F9451" s="5"/>
    </row>
    <row r="9452" spans="2:6" ht="13.8" hidden="1" outlineLevel="1">
      <c r="B9452" s="187">
        <v>35838</v>
      </c>
      <c r="C9452" s="188">
        <v>5.52</v>
      </c>
      <c r="D9452" s="104">
        <f t="shared" si="147"/>
        <v>5.5199999999999999E-2</v>
      </c>
      <c r="F9452" s="5"/>
    </row>
    <row r="9453" spans="2:6" ht="13.8" hidden="1" outlineLevel="1">
      <c r="B9453" s="187">
        <v>35839</v>
      </c>
      <c r="C9453" s="188">
        <v>5.49</v>
      </c>
      <c r="D9453" s="104">
        <f t="shared" si="147"/>
        <v>5.4900000000000004E-2</v>
      </c>
      <c r="F9453" s="5"/>
    </row>
    <row r="9454" spans="2:6" ht="13.8" hidden="1" outlineLevel="1">
      <c r="B9454" s="187">
        <v>35842</v>
      </c>
      <c r="C9454" s="188" t="s">
        <v>380</v>
      </c>
      <c r="D9454" s="104">
        <f t="shared" si="147"/>
        <v>5.4900000000000004E-2</v>
      </c>
      <c r="F9454" s="5"/>
    </row>
    <row r="9455" spans="2:6" ht="13.8" hidden="1" outlineLevel="1">
      <c r="B9455" s="187">
        <v>35843</v>
      </c>
      <c r="C9455" s="188">
        <v>5.44</v>
      </c>
      <c r="D9455" s="104">
        <f t="shared" si="147"/>
        <v>5.4400000000000004E-2</v>
      </c>
      <c r="F9455" s="5"/>
    </row>
    <row r="9456" spans="2:6" ht="13.8" hidden="1" outlineLevel="1">
      <c r="B9456" s="187">
        <v>35844</v>
      </c>
      <c r="C9456" s="188">
        <v>5.49</v>
      </c>
      <c r="D9456" s="104">
        <f t="shared" si="147"/>
        <v>5.4900000000000004E-2</v>
      </c>
      <c r="F9456" s="5"/>
    </row>
    <row r="9457" spans="2:6" ht="13.8" hidden="1" outlineLevel="1">
      <c r="B9457" s="187">
        <v>35845</v>
      </c>
      <c r="C9457" s="188">
        <v>5.51</v>
      </c>
      <c r="D9457" s="104">
        <f t="shared" si="147"/>
        <v>5.5099999999999996E-2</v>
      </c>
      <c r="F9457" s="5"/>
    </row>
    <row r="9458" spans="2:6" ht="13.8" hidden="1" outlineLevel="1">
      <c r="B9458" s="187">
        <v>35846</v>
      </c>
      <c r="C9458" s="188">
        <v>5.54</v>
      </c>
      <c r="D9458" s="104">
        <f t="shared" si="147"/>
        <v>5.5399999999999998E-2</v>
      </c>
      <c r="F9458" s="5"/>
    </row>
    <row r="9459" spans="2:6" ht="13.8" hidden="1" outlineLevel="1">
      <c r="B9459" s="187">
        <v>35849</v>
      </c>
      <c r="C9459" s="188">
        <v>5.58</v>
      </c>
      <c r="D9459" s="104">
        <f t="shared" si="147"/>
        <v>5.5800000000000002E-2</v>
      </c>
      <c r="F9459" s="5"/>
    </row>
    <row r="9460" spans="2:6" ht="13.8" hidden="1" outlineLevel="1">
      <c r="B9460" s="187">
        <v>35850</v>
      </c>
      <c r="C9460" s="188">
        <v>5.69</v>
      </c>
      <c r="D9460" s="104">
        <f t="shared" si="147"/>
        <v>5.6900000000000006E-2</v>
      </c>
      <c r="F9460" s="5"/>
    </row>
    <row r="9461" spans="2:6" ht="13.8" hidden="1" outlineLevel="1">
      <c r="B9461" s="187">
        <v>35851</v>
      </c>
      <c r="C9461" s="188">
        <v>5.63</v>
      </c>
      <c r="D9461" s="104">
        <f t="shared" si="147"/>
        <v>5.6299999999999996E-2</v>
      </c>
      <c r="F9461" s="5"/>
    </row>
    <row r="9462" spans="2:6" ht="13.8" hidden="1" outlineLevel="1">
      <c r="B9462" s="187">
        <v>35852</v>
      </c>
      <c r="C9462" s="188">
        <v>5.65</v>
      </c>
      <c r="D9462" s="104">
        <f t="shared" si="147"/>
        <v>5.6500000000000002E-2</v>
      </c>
      <c r="F9462" s="5"/>
    </row>
    <row r="9463" spans="2:6" ht="13.8" hidden="1" outlineLevel="1">
      <c r="B9463" s="187">
        <v>35853</v>
      </c>
      <c r="C9463" s="188">
        <v>5.62</v>
      </c>
      <c r="D9463" s="104">
        <f t="shared" si="147"/>
        <v>5.62E-2</v>
      </c>
      <c r="F9463" s="5"/>
    </row>
    <row r="9464" spans="2:6" ht="13.8" hidden="1" outlineLevel="1">
      <c r="B9464" s="187">
        <v>35856</v>
      </c>
      <c r="C9464" s="188">
        <v>5.72</v>
      </c>
      <c r="D9464" s="104">
        <f t="shared" si="147"/>
        <v>5.7200000000000001E-2</v>
      </c>
      <c r="F9464" s="5"/>
    </row>
    <row r="9465" spans="2:6" ht="13.8" hidden="1" outlineLevel="1">
      <c r="B9465" s="187">
        <v>35857</v>
      </c>
      <c r="C9465" s="188">
        <v>5.77</v>
      </c>
      <c r="D9465" s="104">
        <f t="shared" si="147"/>
        <v>5.7699999999999994E-2</v>
      </c>
      <c r="F9465" s="5"/>
    </row>
    <row r="9466" spans="2:6" ht="13.8" hidden="1" outlineLevel="1">
      <c r="B9466" s="187">
        <v>35858</v>
      </c>
      <c r="C9466" s="188">
        <v>5.76</v>
      </c>
      <c r="D9466" s="104">
        <f t="shared" si="147"/>
        <v>5.7599999999999998E-2</v>
      </c>
      <c r="F9466" s="5"/>
    </row>
    <row r="9467" spans="2:6" ht="13.8" hidden="1" outlineLevel="1">
      <c r="B9467" s="187">
        <v>35859</v>
      </c>
      <c r="C9467" s="188">
        <v>5.78</v>
      </c>
      <c r="D9467" s="104">
        <f t="shared" si="147"/>
        <v>5.7800000000000004E-2</v>
      </c>
      <c r="F9467" s="5"/>
    </row>
    <row r="9468" spans="2:6" ht="13.8" hidden="1" outlineLevel="1">
      <c r="B9468" s="187">
        <v>35860</v>
      </c>
      <c r="C9468" s="188">
        <v>5.73</v>
      </c>
      <c r="D9468" s="104">
        <f t="shared" si="147"/>
        <v>5.7300000000000004E-2</v>
      </c>
      <c r="F9468" s="5"/>
    </row>
    <row r="9469" spans="2:6" ht="13.8" hidden="1" outlineLevel="1">
      <c r="B9469" s="187">
        <v>35863</v>
      </c>
      <c r="C9469" s="188">
        <v>5.67</v>
      </c>
      <c r="D9469" s="104">
        <f t="shared" si="147"/>
        <v>5.67E-2</v>
      </c>
      <c r="F9469" s="5"/>
    </row>
    <row r="9470" spans="2:6" ht="13.8" hidden="1" outlineLevel="1">
      <c r="B9470" s="187">
        <v>35864</v>
      </c>
      <c r="C9470" s="188">
        <v>5.67</v>
      </c>
      <c r="D9470" s="104">
        <f t="shared" si="147"/>
        <v>5.67E-2</v>
      </c>
      <c r="F9470" s="5"/>
    </row>
    <row r="9471" spans="2:6" ht="13.8" hidden="1" outlineLevel="1">
      <c r="B9471" s="187">
        <v>35865</v>
      </c>
      <c r="C9471" s="188">
        <v>5.63</v>
      </c>
      <c r="D9471" s="104">
        <f t="shared" si="147"/>
        <v>5.6299999999999996E-2</v>
      </c>
      <c r="F9471" s="5"/>
    </row>
    <row r="9472" spans="2:6" ht="13.8" hidden="1" outlineLevel="1">
      <c r="B9472" s="187">
        <v>35866</v>
      </c>
      <c r="C9472" s="188">
        <v>5.56</v>
      </c>
      <c r="D9472" s="104">
        <f t="shared" si="147"/>
        <v>5.5599999999999997E-2</v>
      </c>
      <c r="F9472" s="5"/>
    </row>
    <row r="9473" spans="2:6" ht="13.8" hidden="1" outlineLevel="1">
      <c r="B9473" s="187">
        <v>35867</v>
      </c>
      <c r="C9473" s="188">
        <v>5.58</v>
      </c>
      <c r="D9473" s="104">
        <f t="shared" si="147"/>
        <v>5.5800000000000002E-2</v>
      </c>
      <c r="F9473" s="5"/>
    </row>
    <row r="9474" spans="2:6" ht="13.8" hidden="1" outlineLevel="1">
      <c r="B9474" s="187">
        <v>35870</v>
      </c>
      <c r="C9474" s="188">
        <v>5.54</v>
      </c>
      <c r="D9474" s="104">
        <f t="shared" si="147"/>
        <v>5.5399999999999998E-2</v>
      </c>
      <c r="F9474" s="5"/>
    </row>
    <row r="9475" spans="2:6" ht="13.8" hidden="1" outlineLevel="1">
      <c r="B9475" s="187">
        <v>35871</v>
      </c>
      <c r="C9475" s="188">
        <v>5.56</v>
      </c>
      <c r="D9475" s="104">
        <f t="shared" si="147"/>
        <v>5.5599999999999997E-2</v>
      </c>
      <c r="F9475" s="5"/>
    </row>
    <row r="9476" spans="2:6" ht="13.8" hidden="1" outlineLevel="1">
      <c r="B9476" s="187">
        <v>35872</v>
      </c>
      <c r="C9476" s="188">
        <v>5.58</v>
      </c>
      <c r="D9476" s="104">
        <f t="shared" si="147"/>
        <v>5.5800000000000002E-2</v>
      </c>
      <c r="F9476" s="5"/>
    </row>
    <row r="9477" spans="2:6" ht="13.8" hidden="1" outlineLevel="1">
      <c r="B9477" s="187">
        <v>35873</v>
      </c>
      <c r="C9477" s="188">
        <v>5.58</v>
      </c>
      <c r="D9477" s="104">
        <f t="shared" si="147"/>
        <v>5.5800000000000002E-2</v>
      </c>
      <c r="F9477" s="5"/>
    </row>
    <row r="9478" spans="2:6" ht="13.8" hidden="1" outlineLevel="1">
      <c r="B9478" s="187">
        <v>35874</v>
      </c>
      <c r="C9478" s="188">
        <v>5.57</v>
      </c>
      <c r="D9478" s="104">
        <f t="shared" si="147"/>
        <v>5.57E-2</v>
      </c>
      <c r="F9478" s="5"/>
    </row>
    <row r="9479" spans="2:6" ht="13.8" hidden="1" outlineLevel="1">
      <c r="B9479" s="187">
        <v>35877</v>
      </c>
      <c r="C9479" s="188">
        <v>5.57</v>
      </c>
      <c r="D9479" s="104">
        <f t="shared" si="147"/>
        <v>5.57E-2</v>
      </c>
      <c r="F9479" s="5"/>
    </row>
    <row r="9480" spans="2:6" ht="13.8" hidden="1" outlineLevel="1">
      <c r="B9480" s="187">
        <v>35878</v>
      </c>
      <c r="C9480" s="188">
        <v>5.58</v>
      </c>
      <c r="D9480" s="104">
        <f t="shared" si="147"/>
        <v>5.5800000000000002E-2</v>
      </c>
      <c r="F9480" s="5"/>
    </row>
    <row r="9481" spans="2:6" ht="13.8" hidden="1" outlineLevel="1">
      <c r="B9481" s="187">
        <v>35879</v>
      </c>
      <c r="C9481" s="188">
        <v>5.64</v>
      </c>
      <c r="D9481" s="104">
        <f t="shared" si="147"/>
        <v>5.6399999999999999E-2</v>
      </c>
      <c r="F9481" s="5"/>
    </row>
    <row r="9482" spans="2:6" ht="13.8" hidden="1" outlineLevel="1">
      <c r="B9482" s="187">
        <v>35880</v>
      </c>
      <c r="C9482" s="188">
        <v>5.68</v>
      </c>
      <c r="D9482" s="104">
        <f t="shared" si="147"/>
        <v>5.6799999999999996E-2</v>
      </c>
      <c r="F9482" s="5"/>
    </row>
    <row r="9483" spans="2:6" ht="13.8" hidden="1" outlineLevel="1">
      <c r="B9483" s="187">
        <v>35881</v>
      </c>
      <c r="C9483" s="188">
        <v>5.68</v>
      </c>
      <c r="D9483" s="104">
        <f t="shared" si="147"/>
        <v>5.6799999999999996E-2</v>
      </c>
      <c r="F9483" s="5"/>
    </row>
    <row r="9484" spans="2:6" ht="13.8" hidden="1" outlineLevel="1">
      <c r="B9484" s="187">
        <v>35884</v>
      </c>
      <c r="C9484" s="188">
        <v>5.72</v>
      </c>
      <c r="D9484" s="104">
        <f t="shared" si="147"/>
        <v>5.7200000000000001E-2</v>
      </c>
      <c r="F9484" s="5"/>
    </row>
    <row r="9485" spans="2:6" ht="13.8" hidden="1" outlineLevel="1">
      <c r="B9485" s="187">
        <v>35885</v>
      </c>
      <c r="C9485" s="188">
        <v>5.67</v>
      </c>
      <c r="D9485" s="104">
        <f t="shared" si="147"/>
        <v>5.67E-2</v>
      </c>
      <c r="F9485" s="5"/>
    </row>
    <row r="9486" spans="2:6" ht="13.8" hidden="1" outlineLevel="1">
      <c r="B9486" s="187">
        <v>35886</v>
      </c>
      <c r="C9486" s="188">
        <v>5.62</v>
      </c>
      <c r="D9486" s="104">
        <f t="shared" si="147"/>
        <v>5.62E-2</v>
      </c>
      <c r="F9486" s="5"/>
    </row>
    <row r="9487" spans="2:6" ht="13.8" hidden="1" outlineLevel="1">
      <c r="B9487" s="187">
        <v>35887</v>
      </c>
      <c r="C9487" s="188">
        <v>5.56</v>
      </c>
      <c r="D9487" s="104">
        <f t="shared" si="147"/>
        <v>5.5599999999999997E-2</v>
      </c>
      <c r="F9487" s="5"/>
    </row>
    <row r="9488" spans="2:6" ht="13.8" hidden="1" outlineLevel="1">
      <c r="B9488" s="187">
        <v>35888</v>
      </c>
      <c r="C9488" s="188">
        <v>5.47</v>
      </c>
      <c r="D9488" s="104">
        <f t="shared" si="147"/>
        <v>5.4699999999999999E-2</v>
      </c>
      <c r="F9488" s="5"/>
    </row>
    <row r="9489" spans="2:6" ht="13.8" hidden="1" outlineLevel="1">
      <c r="B9489" s="187">
        <v>35891</v>
      </c>
      <c r="C9489" s="188">
        <v>5.51</v>
      </c>
      <c r="D9489" s="104">
        <f t="shared" si="147"/>
        <v>5.5099999999999996E-2</v>
      </c>
      <c r="F9489" s="5"/>
    </row>
    <row r="9490" spans="2:6" ht="13.8" hidden="1" outlineLevel="1">
      <c r="B9490" s="187">
        <v>35892</v>
      </c>
      <c r="C9490" s="188">
        <v>5.53</v>
      </c>
      <c r="D9490" s="104">
        <f t="shared" si="147"/>
        <v>5.5300000000000002E-2</v>
      </c>
      <c r="F9490" s="5"/>
    </row>
    <row r="9491" spans="2:6" ht="13.8" hidden="1" outlineLevel="1">
      <c r="B9491" s="187">
        <v>35893</v>
      </c>
      <c r="C9491" s="188">
        <v>5.58</v>
      </c>
      <c r="D9491" s="104">
        <f t="shared" si="147"/>
        <v>5.5800000000000002E-2</v>
      </c>
      <c r="F9491" s="5"/>
    </row>
    <row r="9492" spans="2:6" ht="13.8" hidden="1" outlineLevel="1">
      <c r="B9492" s="187">
        <v>35894</v>
      </c>
      <c r="C9492" s="188">
        <v>5.59</v>
      </c>
      <c r="D9492" s="104">
        <f t="shared" si="147"/>
        <v>5.5899999999999998E-2</v>
      </c>
      <c r="F9492" s="5"/>
    </row>
    <row r="9493" spans="2:6" ht="13.8" hidden="1" outlineLevel="1">
      <c r="B9493" s="187">
        <v>35895</v>
      </c>
      <c r="C9493" s="188" t="s">
        <v>380</v>
      </c>
      <c r="D9493" s="104">
        <f t="shared" si="147"/>
        <v>5.5899999999999998E-2</v>
      </c>
      <c r="F9493" s="5"/>
    </row>
    <row r="9494" spans="2:6" ht="13.8" hidden="1" outlineLevel="1">
      <c r="B9494" s="187">
        <v>35898</v>
      </c>
      <c r="C9494" s="188">
        <v>5.66</v>
      </c>
      <c r="D9494" s="104">
        <f t="shared" si="147"/>
        <v>5.6600000000000004E-2</v>
      </c>
      <c r="F9494" s="5"/>
    </row>
    <row r="9495" spans="2:6" ht="13.8" hidden="1" outlineLevel="1">
      <c r="B9495" s="187">
        <v>35899</v>
      </c>
      <c r="C9495" s="188">
        <v>5.63</v>
      </c>
      <c r="D9495" s="104">
        <f t="shared" si="147"/>
        <v>5.6299999999999996E-2</v>
      </c>
      <c r="F9495" s="5"/>
    </row>
    <row r="9496" spans="2:6" ht="13.8" hidden="1" outlineLevel="1">
      <c r="B9496" s="187">
        <v>35900</v>
      </c>
      <c r="C9496" s="188">
        <v>5.6</v>
      </c>
      <c r="D9496" s="104">
        <f t="shared" si="147"/>
        <v>5.5999999999999994E-2</v>
      </c>
      <c r="F9496" s="5"/>
    </row>
    <row r="9497" spans="2:6" ht="13.8" hidden="1" outlineLevel="1">
      <c r="B9497" s="187">
        <v>35901</v>
      </c>
      <c r="C9497" s="188">
        <v>5.59</v>
      </c>
      <c r="D9497" s="104">
        <f t="shared" si="147"/>
        <v>5.5899999999999998E-2</v>
      </c>
      <c r="F9497" s="5"/>
    </row>
    <row r="9498" spans="2:6" ht="13.8" hidden="1" outlineLevel="1">
      <c r="B9498" s="187">
        <v>35902</v>
      </c>
      <c r="C9498" s="188">
        <v>5.59</v>
      </c>
      <c r="D9498" s="104">
        <f t="shared" si="147"/>
        <v>5.5899999999999998E-2</v>
      </c>
      <c r="F9498" s="5"/>
    </row>
    <row r="9499" spans="2:6" ht="13.8" hidden="1" outlineLevel="1">
      <c r="B9499" s="187">
        <v>35905</v>
      </c>
      <c r="C9499" s="188">
        <v>5.65</v>
      </c>
      <c r="D9499" s="104">
        <f t="shared" si="147"/>
        <v>5.6500000000000002E-2</v>
      </c>
      <c r="F9499" s="5"/>
    </row>
    <row r="9500" spans="2:6" ht="13.8" hidden="1" outlineLevel="1">
      <c r="B9500" s="187">
        <v>35906</v>
      </c>
      <c r="C9500" s="188">
        <v>5.68</v>
      </c>
      <c r="D9500" s="104">
        <f t="shared" si="147"/>
        <v>5.6799999999999996E-2</v>
      </c>
      <c r="F9500" s="5"/>
    </row>
    <row r="9501" spans="2:6" ht="13.8" hidden="1" outlineLevel="1">
      <c r="B9501" s="187">
        <v>35907</v>
      </c>
      <c r="C9501" s="188">
        <v>5.68</v>
      </c>
      <c r="D9501" s="104">
        <f t="shared" si="147"/>
        <v>5.6799999999999996E-2</v>
      </c>
      <c r="F9501" s="5"/>
    </row>
    <row r="9502" spans="2:6" ht="13.8" hidden="1" outlineLevel="1">
      <c r="B9502" s="187">
        <v>35908</v>
      </c>
      <c r="C9502" s="188">
        <v>5.69</v>
      </c>
      <c r="D9502" s="104">
        <f t="shared" ref="D9502:D9565" si="148">IF( LEN( C9502 ) = 0, #N/A, IF( C9502 = "ND", D9501, C9502 / 100 ) )</f>
        <v>5.6900000000000006E-2</v>
      </c>
      <c r="F9502" s="5"/>
    </row>
    <row r="9503" spans="2:6" ht="13.8" hidden="1" outlineLevel="1">
      <c r="B9503" s="187">
        <v>35909</v>
      </c>
      <c r="C9503" s="188">
        <v>5.67</v>
      </c>
      <c r="D9503" s="104">
        <f t="shared" si="148"/>
        <v>5.67E-2</v>
      </c>
      <c r="F9503" s="5"/>
    </row>
    <row r="9504" spans="2:6" ht="13.8" hidden="1" outlineLevel="1">
      <c r="B9504" s="187">
        <v>35912</v>
      </c>
      <c r="C9504" s="188">
        <v>5.8</v>
      </c>
      <c r="D9504" s="104">
        <f t="shared" si="148"/>
        <v>5.7999999999999996E-2</v>
      </c>
      <c r="F9504" s="5"/>
    </row>
    <row r="9505" spans="2:6" ht="13.8" hidden="1" outlineLevel="1">
      <c r="B9505" s="187">
        <v>35913</v>
      </c>
      <c r="C9505" s="188">
        <v>5.8</v>
      </c>
      <c r="D9505" s="104">
        <f t="shared" si="148"/>
        <v>5.7999999999999996E-2</v>
      </c>
      <c r="F9505" s="5"/>
    </row>
    <row r="9506" spans="2:6" ht="13.8" hidden="1" outlineLevel="1">
      <c r="B9506" s="187">
        <v>35914</v>
      </c>
      <c r="C9506" s="188">
        <v>5.81</v>
      </c>
      <c r="D9506" s="104">
        <f t="shared" si="148"/>
        <v>5.8099999999999999E-2</v>
      </c>
      <c r="F9506" s="5"/>
    </row>
    <row r="9507" spans="2:6" ht="13.8" hidden="1" outlineLevel="1">
      <c r="B9507" s="187">
        <v>35915</v>
      </c>
      <c r="C9507" s="188">
        <v>5.68</v>
      </c>
      <c r="D9507" s="104">
        <f t="shared" si="148"/>
        <v>5.6799999999999996E-2</v>
      </c>
      <c r="F9507" s="5"/>
    </row>
    <row r="9508" spans="2:6" ht="13.8" hidden="1" outlineLevel="1">
      <c r="B9508" s="187">
        <v>35916</v>
      </c>
      <c r="C9508" s="188">
        <v>5.67</v>
      </c>
      <c r="D9508" s="104">
        <f t="shared" si="148"/>
        <v>5.67E-2</v>
      </c>
      <c r="F9508" s="5"/>
    </row>
    <row r="9509" spans="2:6" ht="13.8" hidden="1" outlineLevel="1">
      <c r="B9509" s="187">
        <v>35919</v>
      </c>
      <c r="C9509" s="188">
        <v>5.67</v>
      </c>
      <c r="D9509" s="104">
        <f t="shared" si="148"/>
        <v>5.67E-2</v>
      </c>
      <c r="F9509" s="5"/>
    </row>
    <row r="9510" spans="2:6" ht="13.8" hidden="1" outlineLevel="1">
      <c r="B9510" s="187">
        <v>35920</v>
      </c>
      <c r="C9510" s="188">
        <v>5.7</v>
      </c>
      <c r="D9510" s="104">
        <f t="shared" si="148"/>
        <v>5.7000000000000002E-2</v>
      </c>
      <c r="F9510" s="5"/>
    </row>
    <row r="9511" spans="2:6" ht="13.8" hidden="1" outlineLevel="1">
      <c r="B9511" s="187">
        <v>35921</v>
      </c>
      <c r="C9511" s="188">
        <v>5.67</v>
      </c>
      <c r="D9511" s="104">
        <f t="shared" si="148"/>
        <v>5.67E-2</v>
      </c>
      <c r="F9511" s="5"/>
    </row>
    <row r="9512" spans="2:6" ht="13.8" hidden="1" outlineLevel="1">
      <c r="B9512" s="187">
        <v>35922</v>
      </c>
      <c r="C9512" s="188">
        <v>5.67</v>
      </c>
      <c r="D9512" s="104">
        <f t="shared" si="148"/>
        <v>5.67E-2</v>
      </c>
      <c r="F9512" s="5"/>
    </row>
    <row r="9513" spans="2:6" ht="13.8" hidden="1" outlineLevel="1">
      <c r="B9513" s="187">
        <v>35923</v>
      </c>
      <c r="C9513" s="188">
        <v>5.71</v>
      </c>
      <c r="D9513" s="104">
        <f t="shared" si="148"/>
        <v>5.7099999999999998E-2</v>
      </c>
      <c r="F9513" s="5"/>
    </row>
    <row r="9514" spans="2:6" ht="13.8" hidden="1" outlineLevel="1">
      <c r="B9514" s="187">
        <v>35926</v>
      </c>
      <c r="C9514" s="188">
        <v>5.79</v>
      </c>
      <c r="D9514" s="104">
        <f t="shared" si="148"/>
        <v>5.79E-2</v>
      </c>
      <c r="F9514" s="5"/>
    </row>
    <row r="9515" spans="2:6" ht="13.8" hidden="1" outlineLevel="1">
      <c r="B9515" s="187">
        <v>35927</v>
      </c>
      <c r="C9515" s="188">
        <v>5.7</v>
      </c>
      <c r="D9515" s="104">
        <f t="shared" si="148"/>
        <v>5.7000000000000002E-2</v>
      </c>
      <c r="F9515" s="5"/>
    </row>
    <row r="9516" spans="2:6" ht="13.8" hidden="1" outlineLevel="1">
      <c r="B9516" s="187">
        <v>35928</v>
      </c>
      <c r="C9516" s="188">
        <v>5.64</v>
      </c>
      <c r="D9516" s="104">
        <f t="shared" si="148"/>
        <v>5.6399999999999999E-2</v>
      </c>
      <c r="F9516" s="5"/>
    </row>
    <row r="9517" spans="2:6" ht="13.8" hidden="1" outlineLevel="1">
      <c r="B9517" s="187">
        <v>35929</v>
      </c>
      <c r="C9517" s="188">
        <v>5.67</v>
      </c>
      <c r="D9517" s="104">
        <f t="shared" si="148"/>
        <v>5.67E-2</v>
      </c>
      <c r="F9517" s="5"/>
    </row>
    <row r="9518" spans="2:6" ht="13.8" hidden="1" outlineLevel="1">
      <c r="B9518" s="187">
        <v>35930</v>
      </c>
      <c r="C9518" s="188">
        <v>5.68</v>
      </c>
      <c r="D9518" s="104">
        <f t="shared" si="148"/>
        <v>5.6799999999999996E-2</v>
      </c>
      <c r="F9518" s="5"/>
    </row>
    <row r="9519" spans="2:6" ht="13.8" hidden="1" outlineLevel="1">
      <c r="B9519" s="187">
        <v>35933</v>
      </c>
      <c r="C9519" s="188">
        <v>5.64</v>
      </c>
      <c r="D9519" s="104">
        <f t="shared" si="148"/>
        <v>5.6399999999999999E-2</v>
      </c>
      <c r="F9519" s="5"/>
    </row>
    <row r="9520" spans="2:6" ht="13.8" hidden="1" outlineLevel="1">
      <c r="B9520" s="187">
        <v>35934</v>
      </c>
      <c r="C9520" s="188">
        <v>5.65</v>
      </c>
      <c r="D9520" s="104">
        <f t="shared" si="148"/>
        <v>5.6500000000000002E-2</v>
      </c>
      <c r="F9520" s="5"/>
    </row>
    <row r="9521" spans="2:6" ht="13.8" hidden="1" outlineLevel="1">
      <c r="B9521" s="187">
        <v>35935</v>
      </c>
      <c r="C9521" s="188">
        <v>5.61</v>
      </c>
      <c r="D9521" s="104">
        <f t="shared" si="148"/>
        <v>5.6100000000000004E-2</v>
      </c>
      <c r="F9521" s="5"/>
    </row>
    <row r="9522" spans="2:6" ht="13.8" hidden="1" outlineLevel="1">
      <c r="B9522" s="187">
        <v>35936</v>
      </c>
      <c r="C9522" s="188">
        <v>5.65</v>
      </c>
      <c r="D9522" s="104">
        <f t="shared" si="148"/>
        <v>5.6500000000000002E-2</v>
      </c>
      <c r="F9522" s="5"/>
    </row>
    <row r="9523" spans="2:6" ht="13.8" hidden="1" outlineLevel="1">
      <c r="B9523" s="187">
        <v>35937</v>
      </c>
      <c r="C9523" s="188">
        <v>5.64</v>
      </c>
      <c r="D9523" s="104">
        <f t="shared" si="148"/>
        <v>5.6399999999999999E-2</v>
      </c>
      <c r="F9523" s="5"/>
    </row>
    <row r="9524" spans="2:6" ht="13.8" hidden="1" outlineLevel="1">
      <c r="B9524" s="187">
        <v>35940</v>
      </c>
      <c r="C9524" s="188" t="s">
        <v>380</v>
      </c>
      <c r="D9524" s="104">
        <f t="shared" si="148"/>
        <v>5.6399999999999999E-2</v>
      </c>
      <c r="F9524" s="5"/>
    </row>
    <row r="9525" spans="2:6" ht="13.8" hidden="1" outlineLevel="1">
      <c r="B9525" s="187">
        <v>35941</v>
      </c>
      <c r="C9525" s="188">
        <v>5.59</v>
      </c>
      <c r="D9525" s="104">
        <f t="shared" si="148"/>
        <v>5.5899999999999998E-2</v>
      </c>
      <c r="F9525" s="5"/>
    </row>
    <row r="9526" spans="2:6" ht="13.8" hidden="1" outlineLevel="1">
      <c r="B9526" s="187">
        <v>35942</v>
      </c>
      <c r="C9526" s="188">
        <v>5.56</v>
      </c>
      <c r="D9526" s="104">
        <f t="shared" si="148"/>
        <v>5.5599999999999997E-2</v>
      </c>
      <c r="F9526" s="5"/>
    </row>
    <row r="9527" spans="2:6" ht="13.8" hidden="1" outlineLevel="1">
      <c r="B9527" s="187">
        <v>35943</v>
      </c>
      <c r="C9527" s="188">
        <v>5.58</v>
      </c>
      <c r="D9527" s="104">
        <f t="shared" si="148"/>
        <v>5.5800000000000002E-2</v>
      </c>
      <c r="F9527" s="5"/>
    </row>
    <row r="9528" spans="2:6" ht="13.8" hidden="1" outlineLevel="1">
      <c r="B9528" s="187">
        <v>35944</v>
      </c>
      <c r="C9528" s="188">
        <v>5.56</v>
      </c>
      <c r="D9528" s="104">
        <f t="shared" si="148"/>
        <v>5.5599999999999997E-2</v>
      </c>
      <c r="F9528" s="5"/>
    </row>
    <row r="9529" spans="2:6" ht="13.8" hidden="1" outlineLevel="1">
      <c r="B9529" s="187">
        <v>35947</v>
      </c>
      <c r="C9529" s="188">
        <v>5.53</v>
      </c>
      <c r="D9529" s="104">
        <f t="shared" si="148"/>
        <v>5.5300000000000002E-2</v>
      </c>
      <c r="F9529" s="5"/>
    </row>
    <row r="9530" spans="2:6" ht="13.8" hidden="1" outlineLevel="1">
      <c r="B9530" s="187">
        <v>35948</v>
      </c>
      <c r="C9530" s="188">
        <v>5.56</v>
      </c>
      <c r="D9530" s="104">
        <f t="shared" si="148"/>
        <v>5.5599999999999997E-2</v>
      </c>
      <c r="F9530" s="5"/>
    </row>
    <row r="9531" spans="2:6" ht="13.8" hidden="1" outlineLevel="1">
      <c r="B9531" s="187">
        <v>35949</v>
      </c>
      <c r="C9531" s="188">
        <v>5.57</v>
      </c>
      <c r="D9531" s="104">
        <f t="shared" si="148"/>
        <v>5.57E-2</v>
      </c>
      <c r="F9531" s="5"/>
    </row>
    <row r="9532" spans="2:6" ht="13.8" hidden="1" outlineLevel="1">
      <c r="B9532" s="187">
        <v>35950</v>
      </c>
      <c r="C9532" s="188">
        <v>5.59</v>
      </c>
      <c r="D9532" s="104">
        <f t="shared" si="148"/>
        <v>5.5899999999999998E-2</v>
      </c>
      <c r="F9532" s="5"/>
    </row>
    <row r="9533" spans="2:6" ht="13.8" hidden="1" outlineLevel="1">
      <c r="B9533" s="187">
        <v>35951</v>
      </c>
      <c r="C9533" s="188">
        <v>5.58</v>
      </c>
      <c r="D9533" s="104">
        <f t="shared" si="148"/>
        <v>5.5800000000000002E-2</v>
      </c>
      <c r="F9533" s="5"/>
    </row>
    <row r="9534" spans="2:6" ht="13.8" hidden="1" outlineLevel="1">
      <c r="B9534" s="187">
        <v>35954</v>
      </c>
      <c r="C9534" s="188">
        <v>5.58</v>
      </c>
      <c r="D9534" s="104">
        <f t="shared" si="148"/>
        <v>5.5800000000000002E-2</v>
      </c>
      <c r="F9534" s="5"/>
    </row>
    <row r="9535" spans="2:6" ht="13.8" hidden="1" outlineLevel="1">
      <c r="B9535" s="187">
        <v>35955</v>
      </c>
      <c r="C9535" s="188">
        <v>5.59</v>
      </c>
      <c r="D9535" s="104">
        <f t="shared" si="148"/>
        <v>5.5899999999999998E-2</v>
      </c>
      <c r="F9535" s="5"/>
    </row>
    <row r="9536" spans="2:6" ht="13.8" hidden="1" outlineLevel="1">
      <c r="B9536" s="187">
        <v>35956</v>
      </c>
      <c r="C9536" s="188">
        <v>5.51</v>
      </c>
      <c r="D9536" s="104">
        <f t="shared" si="148"/>
        <v>5.5099999999999996E-2</v>
      </c>
      <c r="F9536" s="5"/>
    </row>
    <row r="9537" spans="2:6" ht="13.8" hidden="1" outlineLevel="1">
      <c r="B9537" s="187">
        <v>35957</v>
      </c>
      <c r="C9537" s="188">
        <v>5.44</v>
      </c>
      <c r="D9537" s="104">
        <f t="shared" si="148"/>
        <v>5.4400000000000004E-2</v>
      </c>
      <c r="F9537" s="5"/>
    </row>
    <row r="9538" spans="2:6" ht="13.8" hidden="1" outlineLevel="1">
      <c r="B9538" s="187">
        <v>35958</v>
      </c>
      <c r="C9538" s="188">
        <v>5.43</v>
      </c>
      <c r="D9538" s="104">
        <f t="shared" si="148"/>
        <v>5.4299999999999994E-2</v>
      </c>
      <c r="F9538" s="5"/>
    </row>
    <row r="9539" spans="2:6" ht="13.8" hidden="1" outlineLevel="1">
      <c r="B9539" s="187">
        <v>35961</v>
      </c>
      <c r="C9539" s="188">
        <v>5.38</v>
      </c>
      <c r="D9539" s="104">
        <f t="shared" si="148"/>
        <v>5.3800000000000001E-2</v>
      </c>
      <c r="F9539" s="5"/>
    </row>
    <row r="9540" spans="2:6" ht="13.8" hidden="1" outlineLevel="1">
      <c r="B9540" s="187">
        <v>35962</v>
      </c>
      <c r="C9540" s="188">
        <v>5.45</v>
      </c>
      <c r="D9540" s="104">
        <f t="shared" si="148"/>
        <v>5.45E-2</v>
      </c>
      <c r="F9540" s="5"/>
    </row>
    <row r="9541" spans="2:6" ht="13.8" hidden="1" outlineLevel="1">
      <c r="B9541" s="187">
        <v>35963</v>
      </c>
      <c r="C9541" s="188">
        <v>5.54</v>
      </c>
      <c r="D9541" s="104">
        <f t="shared" si="148"/>
        <v>5.5399999999999998E-2</v>
      </c>
      <c r="F9541" s="5"/>
    </row>
    <row r="9542" spans="2:6" ht="13.8" hidden="1" outlineLevel="1">
      <c r="B9542" s="187">
        <v>35964</v>
      </c>
      <c r="C9542" s="188">
        <v>5.5</v>
      </c>
      <c r="D9542" s="104">
        <f t="shared" si="148"/>
        <v>5.5E-2</v>
      </c>
      <c r="F9542" s="5"/>
    </row>
    <row r="9543" spans="2:6" ht="13.8" hidden="1" outlineLevel="1">
      <c r="B9543" s="187">
        <v>35965</v>
      </c>
      <c r="C9543" s="188">
        <v>5.47</v>
      </c>
      <c r="D9543" s="104">
        <f t="shared" si="148"/>
        <v>5.4699999999999999E-2</v>
      </c>
      <c r="F9543" s="5"/>
    </row>
    <row r="9544" spans="2:6" ht="13.8" hidden="1" outlineLevel="1">
      <c r="B9544" s="187">
        <v>35968</v>
      </c>
      <c r="C9544" s="188">
        <v>5.46</v>
      </c>
      <c r="D9544" s="104">
        <f t="shared" si="148"/>
        <v>5.4600000000000003E-2</v>
      </c>
      <c r="F9544" s="5"/>
    </row>
    <row r="9545" spans="2:6" ht="13.8" hidden="1" outlineLevel="1">
      <c r="B9545" s="187">
        <v>35969</v>
      </c>
      <c r="C9545" s="188">
        <v>5.45</v>
      </c>
      <c r="D9545" s="104">
        <f t="shared" si="148"/>
        <v>5.45E-2</v>
      </c>
      <c r="F9545" s="5"/>
    </row>
    <row r="9546" spans="2:6" ht="13.8" hidden="1" outlineLevel="1">
      <c r="B9546" s="187">
        <v>35970</v>
      </c>
      <c r="C9546" s="188">
        <v>5.46</v>
      </c>
      <c r="D9546" s="104">
        <f t="shared" si="148"/>
        <v>5.4600000000000003E-2</v>
      </c>
      <c r="F9546" s="5"/>
    </row>
    <row r="9547" spans="2:6" ht="13.8" hidden="1" outlineLevel="1">
      <c r="B9547" s="187">
        <v>35971</v>
      </c>
      <c r="C9547" s="188">
        <v>5.46</v>
      </c>
      <c r="D9547" s="104">
        <f t="shared" si="148"/>
        <v>5.4600000000000003E-2</v>
      </c>
      <c r="F9547" s="5"/>
    </row>
    <row r="9548" spans="2:6" ht="13.8" hidden="1" outlineLevel="1">
      <c r="B9548" s="187">
        <v>35972</v>
      </c>
      <c r="C9548" s="188">
        <v>5.46</v>
      </c>
      <c r="D9548" s="104">
        <f t="shared" si="148"/>
        <v>5.4600000000000003E-2</v>
      </c>
      <c r="F9548" s="5"/>
    </row>
    <row r="9549" spans="2:6" ht="13.8" hidden="1" outlineLevel="1">
      <c r="B9549" s="187">
        <v>35975</v>
      </c>
      <c r="C9549" s="188">
        <v>5.47</v>
      </c>
      <c r="D9549" s="104">
        <f t="shared" si="148"/>
        <v>5.4699999999999999E-2</v>
      </c>
      <c r="F9549" s="5"/>
    </row>
    <row r="9550" spans="2:6" ht="13.8" hidden="1" outlineLevel="1">
      <c r="B9550" s="187">
        <v>35976</v>
      </c>
      <c r="C9550" s="188">
        <v>5.44</v>
      </c>
      <c r="D9550" s="104">
        <f t="shared" si="148"/>
        <v>5.4400000000000004E-2</v>
      </c>
      <c r="F9550" s="5"/>
    </row>
    <row r="9551" spans="2:6" ht="13.8" hidden="1" outlineLevel="1">
      <c r="B9551" s="187">
        <v>35977</v>
      </c>
      <c r="C9551" s="188">
        <v>5.44</v>
      </c>
      <c r="D9551" s="104">
        <f t="shared" si="148"/>
        <v>5.4400000000000004E-2</v>
      </c>
      <c r="F9551" s="5"/>
    </row>
    <row r="9552" spans="2:6" ht="13.8" hidden="1" outlineLevel="1">
      <c r="B9552" s="187">
        <v>35978</v>
      </c>
      <c r="C9552" s="188">
        <v>5.42</v>
      </c>
      <c r="D9552" s="104">
        <f t="shared" si="148"/>
        <v>5.4199999999999998E-2</v>
      </c>
      <c r="F9552" s="5"/>
    </row>
    <row r="9553" spans="2:6" ht="13.8" hidden="1" outlineLevel="1">
      <c r="B9553" s="187">
        <v>35979</v>
      </c>
      <c r="C9553" s="188" t="s">
        <v>380</v>
      </c>
      <c r="D9553" s="104">
        <f t="shared" si="148"/>
        <v>5.4199999999999998E-2</v>
      </c>
      <c r="F9553" s="5"/>
    </row>
    <row r="9554" spans="2:6" ht="13.8" hidden="1" outlineLevel="1">
      <c r="B9554" s="187">
        <v>35982</v>
      </c>
      <c r="C9554" s="188">
        <v>5.39</v>
      </c>
      <c r="D9554" s="104">
        <f t="shared" si="148"/>
        <v>5.3899999999999997E-2</v>
      </c>
      <c r="F9554" s="5"/>
    </row>
    <row r="9555" spans="2:6" ht="13.8" hidden="1" outlineLevel="1">
      <c r="B9555" s="187">
        <v>35983</v>
      </c>
      <c r="C9555" s="188">
        <v>5.42</v>
      </c>
      <c r="D9555" s="104">
        <f t="shared" si="148"/>
        <v>5.4199999999999998E-2</v>
      </c>
      <c r="F9555" s="5"/>
    </row>
    <row r="9556" spans="2:6" ht="13.8" hidden="1" outlineLevel="1">
      <c r="B9556" s="187">
        <v>35984</v>
      </c>
      <c r="C9556" s="188">
        <v>5.43</v>
      </c>
      <c r="D9556" s="104">
        <f t="shared" si="148"/>
        <v>5.4299999999999994E-2</v>
      </c>
      <c r="F9556" s="5"/>
    </row>
    <row r="9557" spans="2:6" ht="13.8" hidden="1" outlineLevel="1">
      <c r="B9557" s="187">
        <v>35985</v>
      </c>
      <c r="C9557" s="188">
        <v>5.41</v>
      </c>
      <c r="D9557" s="104">
        <f t="shared" si="148"/>
        <v>5.4100000000000002E-2</v>
      </c>
      <c r="F9557" s="5"/>
    </row>
    <row r="9558" spans="2:6" ht="13.8" hidden="1" outlineLevel="1">
      <c r="B9558" s="187">
        <v>35986</v>
      </c>
      <c r="C9558" s="188">
        <v>5.42</v>
      </c>
      <c r="D9558" s="104">
        <f t="shared" si="148"/>
        <v>5.4199999999999998E-2</v>
      </c>
      <c r="F9558" s="5"/>
    </row>
    <row r="9559" spans="2:6" ht="13.8" hidden="1" outlineLevel="1">
      <c r="B9559" s="187">
        <v>35989</v>
      </c>
      <c r="C9559" s="188">
        <v>5.46</v>
      </c>
      <c r="D9559" s="104">
        <f t="shared" si="148"/>
        <v>5.4600000000000003E-2</v>
      </c>
      <c r="F9559" s="5"/>
    </row>
    <row r="9560" spans="2:6" ht="13.8" hidden="1" outlineLevel="1">
      <c r="B9560" s="187">
        <v>35990</v>
      </c>
      <c r="C9560" s="188">
        <v>5.49</v>
      </c>
      <c r="D9560" s="104">
        <f t="shared" si="148"/>
        <v>5.4900000000000004E-2</v>
      </c>
      <c r="F9560" s="5"/>
    </row>
    <row r="9561" spans="2:6" ht="13.8" hidden="1" outlineLevel="1">
      <c r="B9561" s="187">
        <v>35991</v>
      </c>
      <c r="C9561" s="188">
        <v>5.48</v>
      </c>
      <c r="D9561" s="104">
        <f t="shared" si="148"/>
        <v>5.4800000000000001E-2</v>
      </c>
      <c r="F9561" s="5"/>
    </row>
    <row r="9562" spans="2:6" ht="13.8" hidden="1" outlineLevel="1">
      <c r="B9562" s="187">
        <v>35992</v>
      </c>
      <c r="C9562" s="188">
        <v>5.5</v>
      </c>
      <c r="D9562" s="104">
        <f t="shared" si="148"/>
        <v>5.5E-2</v>
      </c>
      <c r="F9562" s="5"/>
    </row>
    <row r="9563" spans="2:6" ht="13.8" hidden="1" outlineLevel="1">
      <c r="B9563" s="187">
        <v>35993</v>
      </c>
      <c r="C9563" s="188">
        <v>5.51</v>
      </c>
      <c r="D9563" s="104">
        <f t="shared" si="148"/>
        <v>5.5099999999999996E-2</v>
      </c>
      <c r="F9563" s="5"/>
    </row>
    <row r="9564" spans="2:6" ht="13.8" hidden="1" outlineLevel="1">
      <c r="B9564" s="187">
        <v>35996</v>
      </c>
      <c r="C9564" s="188">
        <v>5.48</v>
      </c>
      <c r="D9564" s="104">
        <f t="shared" si="148"/>
        <v>5.4800000000000001E-2</v>
      </c>
      <c r="F9564" s="5"/>
    </row>
    <row r="9565" spans="2:6" ht="13.8" hidden="1" outlineLevel="1">
      <c r="B9565" s="187">
        <v>35997</v>
      </c>
      <c r="C9565" s="188">
        <v>5.45</v>
      </c>
      <c r="D9565" s="104">
        <f t="shared" si="148"/>
        <v>5.45E-2</v>
      </c>
      <c r="F9565" s="5"/>
    </row>
    <row r="9566" spans="2:6" ht="13.8" hidden="1" outlineLevel="1">
      <c r="B9566" s="187">
        <v>35998</v>
      </c>
      <c r="C9566" s="188">
        <v>5.46</v>
      </c>
      <c r="D9566" s="104">
        <f t="shared" ref="D9566:D9629" si="149">IF( LEN( C9566 ) = 0, #N/A, IF( C9566 = "ND", D9565, C9566 / 100 ) )</f>
        <v>5.4600000000000003E-2</v>
      </c>
      <c r="F9566" s="5"/>
    </row>
    <row r="9567" spans="2:6" ht="13.8" hidden="1" outlineLevel="1">
      <c r="B9567" s="187">
        <v>35999</v>
      </c>
      <c r="C9567" s="188">
        <v>5.45</v>
      </c>
      <c r="D9567" s="104">
        <f t="shared" si="149"/>
        <v>5.45E-2</v>
      </c>
      <c r="F9567" s="5"/>
    </row>
    <row r="9568" spans="2:6" ht="13.8" hidden="1" outlineLevel="1">
      <c r="B9568" s="187">
        <v>36000</v>
      </c>
      <c r="C9568" s="188">
        <v>5.45</v>
      </c>
      <c r="D9568" s="104">
        <f t="shared" si="149"/>
        <v>5.45E-2</v>
      </c>
      <c r="F9568" s="5"/>
    </row>
    <row r="9569" spans="2:6" ht="13.8" hidden="1" outlineLevel="1">
      <c r="B9569" s="187">
        <v>36003</v>
      </c>
      <c r="C9569" s="188">
        <v>5.47</v>
      </c>
      <c r="D9569" s="104">
        <f t="shared" si="149"/>
        <v>5.4699999999999999E-2</v>
      </c>
      <c r="F9569" s="5"/>
    </row>
    <row r="9570" spans="2:6" ht="13.8" hidden="1" outlineLevel="1">
      <c r="B9570" s="187">
        <v>36004</v>
      </c>
      <c r="C9570" s="188">
        <v>5.5</v>
      </c>
      <c r="D9570" s="104">
        <f t="shared" si="149"/>
        <v>5.5E-2</v>
      </c>
      <c r="F9570" s="5"/>
    </row>
    <row r="9571" spans="2:6" ht="13.8" hidden="1" outlineLevel="1">
      <c r="B9571" s="187">
        <v>36005</v>
      </c>
      <c r="C9571" s="188">
        <v>5.52</v>
      </c>
      <c r="D9571" s="104">
        <f t="shared" si="149"/>
        <v>5.5199999999999999E-2</v>
      </c>
      <c r="F9571" s="5"/>
    </row>
    <row r="9572" spans="2:6" ht="13.8" hidden="1" outlineLevel="1">
      <c r="B9572" s="187">
        <v>36006</v>
      </c>
      <c r="C9572" s="188">
        <v>5.5</v>
      </c>
      <c r="D9572" s="104">
        <f t="shared" si="149"/>
        <v>5.5E-2</v>
      </c>
      <c r="F9572" s="5"/>
    </row>
    <row r="9573" spans="2:6" ht="13.8" hidden="1" outlineLevel="1">
      <c r="B9573" s="187">
        <v>36007</v>
      </c>
      <c r="C9573" s="188">
        <v>5.5</v>
      </c>
      <c r="D9573" s="104">
        <f t="shared" si="149"/>
        <v>5.5E-2</v>
      </c>
      <c r="F9573" s="5"/>
    </row>
    <row r="9574" spans="2:6" ht="13.8" hidden="1" outlineLevel="1">
      <c r="B9574" s="187">
        <v>36010</v>
      </c>
      <c r="C9574" s="188">
        <v>5.46</v>
      </c>
      <c r="D9574" s="104">
        <f t="shared" si="149"/>
        <v>5.4600000000000003E-2</v>
      </c>
      <c r="F9574" s="5"/>
    </row>
    <row r="9575" spans="2:6" ht="13.8" hidden="1" outlineLevel="1">
      <c r="B9575" s="187">
        <v>36011</v>
      </c>
      <c r="C9575" s="188">
        <v>5.43</v>
      </c>
      <c r="D9575" s="104">
        <f t="shared" si="149"/>
        <v>5.4299999999999994E-2</v>
      </c>
      <c r="F9575" s="5"/>
    </row>
    <row r="9576" spans="2:6" ht="13.8" hidden="1" outlineLevel="1">
      <c r="B9576" s="187">
        <v>36012</v>
      </c>
      <c r="C9576" s="188">
        <v>5.43</v>
      </c>
      <c r="D9576" s="104">
        <f t="shared" si="149"/>
        <v>5.4299999999999994E-2</v>
      </c>
      <c r="F9576" s="5"/>
    </row>
    <row r="9577" spans="2:6" ht="13.8" hidden="1" outlineLevel="1">
      <c r="B9577" s="187">
        <v>36013</v>
      </c>
      <c r="C9577" s="188">
        <v>5.44</v>
      </c>
      <c r="D9577" s="104">
        <f t="shared" si="149"/>
        <v>5.4400000000000004E-2</v>
      </c>
      <c r="F9577" s="5"/>
    </row>
    <row r="9578" spans="2:6" ht="13.8" hidden="1" outlineLevel="1">
      <c r="B9578" s="187">
        <v>36014</v>
      </c>
      <c r="C9578" s="188">
        <v>5.4</v>
      </c>
      <c r="D9578" s="104">
        <f t="shared" si="149"/>
        <v>5.4000000000000006E-2</v>
      </c>
      <c r="F9578" s="5"/>
    </row>
    <row r="9579" spans="2:6" ht="13.8" hidden="1" outlineLevel="1">
      <c r="B9579" s="187">
        <v>36017</v>
      </c>
      <c r="C9579" s="188">
        <v>5.41</v>
      </c>
      <c r="D9579" s="104">
        <f t="shared" si="149"/>
        <v>5.4100000000000002E-2</v>
      </c>
      <c r="F9579" s="5"/>
    </row>
    <row r="9580" spans="2:6" ht="13.8" hidden="1" outlineLevel="1">
      <c r="B9580" s="187">
        <v>36018</v>
      </c>
      <c r="C9580" s="188">
        <v>5.37</v>
      </c>
      <c r="D9580" s="104">
        <f t="shared" si="149"/>
        <v>5.3699999999999998E-2</v>
      </c>
      <c r="F9580" s="5"/>
    </row>
    <row r="9581" spans="2:6" ht="13.8" hidden="1" outlineLevel="1">
      <c r="B9581" s="187">
        <v>36019</v>
      </c>
      <c r="C9581" s="188">
        <v>5.4</v>
      </c>
      <c r="D9581" s="104">
        <f t="shared" si="149"/>
        <v>5.4000000000000006E-2</v>
      </c>
      <c r="F9581" s="5"/>
    </row>
    <row r="9582" spans="2:6" ht="13.8" hidden="1" outlineLevel="1">
      <c r="B9582" s="187">
        <v>36020</v>
      </c>
      <c r="C9582" s="188">
        <v>5.44</v>
      </c>
      <c r="D9582" s="104">
        <f t="shared" si="149"/>
        <v>5.4400000000000004E-2</v>
      </c>
      <c r="F9582" s="5"/>
    </row>
    <row r="9583" spans="2:6" ht="13.8" hidden="1" outlineLevel="1">
      <c r="B9583" s="187">
        <v>36021</v>
      </c>
      <c r="C9583" s="188">
        <v>5.4</v>
      </c>
      <c r="D9583" s="104">
        <f t="shared" si="149"/>
        <v>5.4000000000000006E-2</v>
      </c>
      <c r="F9583" s="5"/>
    </row>
    <row r="9584" spans="2:6" ht="13.8" hidden="1" outlineLevel="1">
      <c r="B9584" s="187">
        <v>36024</v>
      </c>
      <c r="C9584" s="188">
        <v>5.4</v>
      </c>
      <c r="D9584" s="104">
        <f t="shared" si="149"/>
        <v>5.4000000000000006E-2</v>
      </c>
      <c r="F9584" s="5"/>
    </row>
    <row r="9585" spans="2:6" ht="13.8" hidden="1" outlineLevel="1">
      <c r="B9585" s="187">
        <v>36025</v>
      </c>
      <c r="C9585" s="188">
        <v>5.41</v>
      </c>
      <c r="D9585" s="104">
        <f t="shared" si="149"/>
        <v>5.4100000000000002E-2</v>
      </c>
      <c r="F9585" s="5"/>
    </row>
    <row r="9586" spans="2:6" ht="13.8" hidden="1" outlineLevel="1">
      <c r="B9586" s="187">
        <v>36026</v>
      </c>
      <c r="C9586" s="188">
        <v>5.42</v>
      </c>
      <c r="D9586" s="104">
        <f t="shared" si="149"/>
        <v>5.4199999999999998E-2</v>
      </c>
      <c r="F9586" s="5"/>
    </row>
    <row r="9587" spans="2:6" ht="13.8" hidden="1" outlineLevel="1">
      <c r="B9587" s="187">
        <v>36027</v>
      </c>
      <c r="C9587" s="188">
        <v>5.38</v>
      </c>
      <c r="D9587" s="104">
        <f t="shared" si="149"/>
        <v>5.3800000000000001E-2</v>
      </c>
      <c r="F9587" s="5"/>
    </row>
    <row r="9588" spans="2:6" ht="13.8" hidden="1" outlineLevel="1">
      <c r="B9588" s="187">
        <v>36028</v>
      </c>
      <c r="C9588" s="188">
        <v>5.32</v>
      </c>
      <c r="D9588" s="104">
        <f t="shared" si="149"/>
        <v>5.3200000000000004E-2</v>
      </c>
      <c r="F9588" s="5"/>
    </row>
    <row r="9589" spans="2:6" ht="13.8" hidden="1" outlineLevel="1">
      <c r="B9589" s="187">
        <v>36031</v>
      </c>
      <c r="C9589" s="188">
        <v>5.3</v>
      </c>
      <c r="D9589" s="104">
        <f t="shared" si="149"/>
        <v>5.2999999999999999E-2</v>
      </c>
      <c r="F9589" s="5"/>
    </row>
    <row r="9590" spans="2:6" ht="13.8" hidden="1" outlineLevel="1">
      <c r="B9590" s="187">
        <v>36032</v>
      </c>
      <c r="C9590" s="188">
        <v>5.25</v>
      </c>
      <c r="D9590" s="104">
        <f t="shared" si="149"/>
        <v>5.2499999999999998E-2</v>
      </c>
      <c r="F9590" s="5"/>
    </row>
    <row r="9591" spans="2:6" ht="13.8" hidden="1" outlineLevel="1">
      <c r="B9591" s="187">
        <v>36033</v>
      </c>
      <c r="C9591" s="188">
        <v>5.26</v>
      </c>
      <c r="D9591" s="104">
        <f t="shared" si="149"/>
        <v>5.2600000000000001E-2</v>
      </c>
      <c r="F9591" s="5"/>
    </row>
    <row r="9592" spans="2:6" ht="13.8" hidden="1" outlineLevel="1">
      <c r="B9592" s="187">
        <v>36034</v>
      </c>
      <c r="C9592" s="188">
        <v>5.12</v>
      </c>
      <c r="D9592" s="104">
        <f t="shared" si="149"/>
        <v>5.1200000000000002E-2</v>
      </c>
      <c r="F9592" s="5"/>
    </row>
    <row r="9593" spans="2:6" ht="13.8" hidden="1" outlineLevel="1">
      <c r="B9593" s="187">
        <v>36035</v>
      </c>
      <c r="C9593" s="188">
        <v>5.09</v>
      </c>
      <c r="D9593" s="104">
        <f t="shared" si="149"/>
        <v>5.0900000000000001E-2</v>
      </c>
      <c r="F9593" s="5"/>
    </row>
    <row r="9594" spans="2:6" ht="13.8" hidden="1" outlineLevel="1">
      <c r="B9594" s="187">
        <v>36038</v>
      </c>
      <c r="C9594" s="188">
        <v>5.05</v>
      </c>
      <c r="D9594" s="104">
        <f t="shared" si="149"/>
        <v>5.0499999999999996E-2</v>
      </c>
      <c r="F9594" s="5"/>
    </row>
    <row r="9595" spans="2:6" ht="13.8" hidden="1" outlineLevel="1">
      <c r="B9595" s="187">
        <v>36039</v>
      </c>
      <c r="C9595" s="188">
        <v>5.05</v>
      </c>
      <c r="D9595" s="104">
        <f t="shared" si="149"/>
        <v>5.0499999999999996E-2</v>
      </c>
      <c r="F9595" s="5"/>
    </row>
    <row r="9596" spans="2:6" ht="13.8" hidden="1" outlineLevel="1">
      <c r="B9596" s="187">
        <v>36040</v>
      </c>
      <c r="C9596" s="188">
        <v>5.0999999999999996</v>
      </c>
      <c r="D9596" s="104">
        <f t="shared" si="149"/>
        <v>5.0999999999999997E-2</v>
      </c>
      <c r="F9596" s="5"/>
    </row>
    <row r="9597" spans="2:6" ht="13.8" hidden="1" outlineLevel="1">
      <c r="B9597" s="187">
        <v>36041</v>
      </c>
      <c r="C9597" s="188">
        <v>5.03</v>
      </c>
      <c r="D9597" s="104">
        <f t="shared" si="149"/>
        <v>5.0300000000000004E-2</v>
      </c>
      <c r="F9597" s="5"/>
    </row>
    <row r="9598" spans="2:6" ht="13.8" hidden="1" outlineLevel="1">
      <c r="B9598" s="187">
        <v>36042</v>
      </c>
      <c r="C9598" s="188">
        <v>5.0199999999999996</v>
      </c>
      <c r="D9598" s="104">
        <f t="shared" si="149"/>
        <v>5.0199999999999995E-2</v>
      </c>
      <c r="F9598" s="5"/>
    </row>
    <row r="9599" spans="2:6" ht="13.8" hidden="1" outlineLevel="1">
      <c r="B9599" s="187">
        <v>36045</v>
      </c>
      <c r="C9599" s="188" t="s">
        <v>380</v>
      </c>
      <c r="D9599" s="104">
        <f t="shared" si="149"/>
        <v>5.0199999999999995E-2</v>
      </c>
      <c r="F9599" s="5"/>
    </row>
    <row r="9600" spans="2:6" ht="13.8" hidden="1" outlineLevel="1">
      <c r="B9600" s="187">
        <v>36046</v>
      </c>
      <c r="C9600" s="188">
        <v>5.04</v>
      </c>
      <c r="D9600" s="104">
        <f t="shared" si="149"/>
        <v>5.04E-2</v>
      </c>
      <c r="F9600" s="5"/>
    </row>
    <row r="9601" spans="2:6" ht="13.8" hidden="1" outlineLevel="1">
      <c r="B9601" s="187">
        <v>36047</v>
      </c>
      <c r="C9601" s="188">
        <v>4.95</v>
      </c>
      <c r="D9601" s="104">
        <f t="shared" si="149"/>
        <v>4.9500000000000002E-2</v>
      </c>
      <c r="F9601" s="5"/>
    </row>
    <row r="9602" spans="2:6" ht="13.8" hidden="1" outlineLevel="1">
      <c r="B9602" s="187">
        <v>36048</v>
      </c>
      <c r="C9602" s="188">
        <v>4.76</v>
      </c>
      <c r="D9602" s="104">
        <f t="shared" si="149"/>
        <v>4.7599999999999996E-2</v>
      </c>
      <c r="F9602" s="5"/>
    </row>
    <row r="9603" spans="2:6" ht="13.8" hidden="1" outlineLevel="1">
      <c r="B9603" s="187">
        <v>36049</v>
      </c>
      <c r="C9603" s="188">
        <v>4.8499999999999996</v>
      </c>
      <c r="D9603" s="104">
        <f t="shared" si="149"/>
        <v>4.8499999999999995E-2</v>
      </c>
      <c r="F9603" s="5"/>
    </row>
    <row r="9604" spans="2:6" ht="13.8" hidden="1" outlineLevel="1">
      <c r="B9604" s="187">
        <v>36052</v>
      </c>
      <c r="C9604" s="188">
        <v>4.87</v>
      </c>
      <c r="D9604" s="104">
        <f t="shared" si="149"/>
        <v>4.87E-2</v>
      </c>
      <c r="F9604" s="5"/>
    </row>
    <row r="9605" spans="2:6" ht="13.8" hidden="1" outlineLevel="1">
      <c r="B9605" s="187">
        <v>36053</v>
      </c>
      <c r="C9605" s="188">
        <v>4.9000000000000004</v>
      </c>
      <c r="D9605" s="104">
        <f t="shared" si="149"/>
        <v>4.9000000000000002E-2</v>
      </c>
      <c r="F9605" s="5"/>
    </row>
    <row r="9606" spans="2:6" ht="13.8" hidden="1" outlineLevel="1">
      <c r="B9606" s="187">
        <v>36054</v>
      </c>
      <c r="C9606" s="188">
        <v>4.88</v>
      </c>
      <c r="D9606" s="104">
        <f t="shared" si="149"/>
        <v>4.8799999999999996E-2</v>
      </c>
      <c r="F9606" s="5"/>
    </row>
    <row r="9607" spans="2:6" ht="13.8" hidden="1" outlineLevel="1">
      <c r="B9607" s="187">
        <v>36055</v>
      </c>
      <c r="C9607" s="188">
        <v>4.8</v>
      </c>
      <c r="D9607" s="104">
        <f t="shared" si="149"/>
        <v>4.8000000000000001E-2</v>
      </c>
      <c r="F9607" s="5"/>
    </row>
    <row r="9608" spans="2:6" ht="13.8" hidden="1" outlineLevel="1">
      <c r="B9608" s="187">
        <v>36056</v>
      </c>
      <c r="C9608" s="188">
        <v>4.7</v>
      </c>
      <c r="D9608" s="104">
        <f t="shared" si="149"/>
        <v>4.7E-2</v>
      </c>
      <c r="F9608" s="5"/>
    </row>
    <row r="9609" spans="2:6" ht="13.8" hidden="1" outlineLevel="1">
      <c r="B9609" s="187">
        <v>36059</v>
      </c>
      <c r="C9609" s="188">
        <v>4.6900000000000004</v>
      </c>
      <c r="D9609" s="104">
        <f t="shared" si="149"/>
        <v>4.6900000000000004E-2</v>
      </c>
      <c r="F9609" s="5"/>
    </row>
    <row r="9610" spans="2:6" ht="13.8" hidden="1" outlineLevel="1">
      <c r="B9610" s="187">
        <v>36060</v>
      </c>
      <c r="C9610" s="188">
        <v>4.7300000000000004</v>
      </c>
      <c r="D9610" s="104">
        <f t="shared" si="149"/>
        <v>4.7300000000000002E-2</v>
      </c>
      <c r="F9610" s="5"/>
    </row>
    <row r="9611" spans="2:6" ht="13.8" hidden="1" outlineLevel="1">
      <c r="B9611" s="187">
        <v>36061</v>
      </c>
      <c r="C9611" s="188">
        <v>4.6900000000000004</v>
      </c>
      <c r="D9611" s="104">
        <f t="shared" si="149"/>
        <v>4.6900000000000004E-2</v>
      </c>
      <c r="F9611" s="5"/>
    </row>
    <row r="9612" spans="2:6" ht="13.8" hidden="1" outlineLevel="1">
      <c r="B9612" s="187">
        <v>36062</v>
      </c>
      <c r="C9612" s="188">
        <v>4.6399999999999997</v>
      </c>
      <c r="D9612" s="104">
        <f t="shared" si="149"/>
        <v>4.6399999999999997E-2</v>
      </c>
      <c r="F9612" s="5"/>
    </row>
    <row r="9613" spans="2:6" ht="13.8" hidden="1" outlineLevel="1">
      <c r="B9613" s="187">
        <v>36063</v>
      </c>
      <c r="C9613" s="188">
        <v>4.5999999999999996</v>
      </c>
      <c r="D9613" s="104">
        <f t="shared" si="149"/>
        <v>4.5999999999999999E-2</v>
      </c>
      <c r="F9613" s="5"/>
    </row>
    <row r="9614" spans="2:6" ht="13.8" hidden="1" outlineLevel="1">
      <c r="B9614" s="187">
        <v>36066</v>
      </c>
      <c r="C9614" s="188">
        <v>4.6100000000000003</v>
      </c>
      <c r="D9614" s="104">
        <f t="shared" si="149"/>
        <v>4.6100000000000002E-2</v>
      </c>
      <c r="F9614" s="5"/>
    </row>
    <row r="9615" spans="2:6" ht="13.8" hidden="1" outlineLevel="1">
      <c r="B9615" s="187">
        <v>36067</v>
      </c>
      <c r="C9615" s="188">
        <v>4.59</v>
      </c>
      <c r="D9615" s="104">
        <f t="shared" si="149"/>
        <v>4.5899999999999996E-2</v>
      </c>
      <c r="F9615" s="5"/>
    </row>
    <row r="9616" spans="2:6" ht="13.8" hidden="1" outlineLevel="1">
      <c r="B9616" s="187">
        <v>36068</v>
      </c>
      <c r="C9616" s="188">
        <v>4.4400000000000004</v>
      </c>
      <c r="D9616" s="104">
        <f t="shared" si="149"/>
        <v>4.4400000000000002E-2</v>
      </c>
      <c r="F9616" s="5"/>
    </row>
    <row r="9617" spans="2:6" ht="13.8" hidden="1" outlineLevel="1">
      <c r="B9617" s="187">
        <v>36069</v>
      </c>
      <c r="C9617" s="188">
        <v>4.33</v>
      </c>
      <c r="D9617" s="104">
        <f t="shared" si="149"/>
        <v>4.3299999999999998E-2</v>
      </c>
      <c r="F9617" s="5"/>
    </row>
    <row r="9618" spans="2:6" ht="13.8" hidden="1" outlineLevel="1">
      <c r="B9618" s="187">
        <v>36070</v>
      </c>
      <c r="C9618" s="188">
        <v>4.3099999999999996</v>
      </c>
      <c r="D9618" s="104">
        <f t="shared" si="149"/>
        <v>4.3099999999999999E-2</v>
      </c>
      <c r="F9618" s="5"/>
    </row>
    <row r="9619" spans="2:6" ht="13.8" hidden="1" outlineLevel="1">
      <c r="B9619" s="187">
        <v>36073</v>
      </c>
      <c r="C9619" s="188">
        <v>4.16</v>
      </c>
      <c r="D9619" s="104">
        <f t="shared" si="149"/>
        <v>4.1599999999999998E-2</v>
      </c>
      <c r="F9619" s="5"/>
    </row>
    <row r="9620" spans="2:6" ht="13.8" hidden="1" outlineLevel="1">
      <c r="B9620" s="187">
        <v>36074</v>
      </c>
      <c r="C9620" s="188">
        <v>4.24</v>
      </c>
      <c r="D9620" s="104">
        <f t="shared" si="149"/>
        <v>4.24E-2</v>
      </c>
      <c r="F9620" s="5"/>
    </row>
    <row r="9621" spans="2:6" ht="13.8" hidden="1" outlineLevel="1">
      <c r="B9621" s="187">
        <v>36075</v>
      </c>
      <c r="C9621" s="188">
        <v>4.34</v>
      </c>
      <c r="D9621" s="104">
        <f t="shared" si="149"/>
        <v>4.3400000000000001E-2</v>
      </c>
      <c r="F9621" s="5"/>
    </row>
    <row r="9622" spans="2:6" ht="13.8" hidden="1" outlineLevel="1">
      <c r="B9622" s="187">
        <v>36076</v>
      </c>
      <c r="C9622" s="188">
        <v>4.5599999999999996</v>
      </c>
      <c r="D9622" s="104">
        <f t="shared" si="149"/>
        <v>4.5599999999999995E-2</v>
      </c>
      <c r="F9622" s="5"/>
    </row>
    <row r="9623" spans="2:6" ht="13.8" hidden="1" outlineLevel="1">
      <c r="B9623" s="187">
        <v>36077</v>
      </c>
      <c r="C9623" s="188">
        <v>4.7699999999999996</v>
      </c>
      <c r="D9623" s="104">
        <f t="shared" si="149"/>
        <v>4.7699999999999992E-2</v>
      </c>
      <c r="F9623" s="5"/>
    </row>
    <row r="9624" spans="2:6" ht="13.8" hidden="1" outlineLevel="1">
      <c r="B9624" s="187">
        <v>36080</v>
      </c>
      <c r="C9624" s="188" t="s">
        <v>380</v>
      </c>
      <c r="D9624" s="104">
        <f t="shared" si="149"/>
        <v>4.7699999999999992E-2</v>
      </c>
      <c r="F9624" s="5"/>
    </row>
    <row r="9625" spans="2:6" ht="13.8" hidden="1" outlineLevel="1">
      <c r="B9625" s="187">
        <v>36081</v>
      </c>
      <c r="C9625" s="188">
        <v>4.7300000000000004</v>
      </c>
      <c r="D9625" s="104">
        <f t="shared" si="149"/>
        <v>4.7300000000000002E-2</v>
      </c>
      <c r="F9625" s="5"/>
    </row>
    <row r="9626" spans="2:6" ht="13.8" hidden="1" outlineLevel="1">
      <c r="B9626" s="187">
        <v>36082</v>
      </c>
      <c r="C9626" s="188">
        <v>4.58</v>
      </c>
      <c r="D9626" s="104">
        <f t="shared" si="149"/>
        <v>4.58E-2</v>
      </c>
      <c r="F9626" s="5"/>
    </row>
    <row r="9627" spans="2:6" ht="13.8" hidden="1" outlineLevel="1">
      <c r="B9627" s="187">
        <v>36083</v>
      </c>
      <c r="C9627" s="188">
        <v>4.58</v>
      </c>
      <c r="D9627" s="104">
        <f t="shared" si="149"/>
        <v>4.58E-2</v>
      </c>
      <c r="F9627" s="5"/>
    </row>
    <row r="9628" spans="2:6" ht="13.8" hidden="1" outlineLevel="1">
      <c r="B9628" s="187">
        <v>36084</v>
      </c>
      <c r="C9628" s="188">
        <v>4.4400000000000004</v>
      </c>
      <c r="D9628" s="104">
        <f t="shared" si="149"/>
        <v>4.4400000000000002E-2</v>
      </c>
      <c r="F9628" s="5"/>
    </row>
    <row r="9629" spans="2:6" ht="13.8" hidden="1" outlineLevel="1">
      <c r="B9629" s="187">
        <v>36087</v>
      </c>
      <c r="C9629" s="188">
        <v>4.47</v>
      </c>
      <c r="D9629" s="104">
        <f t="shared" si="149"/>
        <v>4.4699999999999997E-2</v>
      </c>
      <c r="F9629" s="5"/>
    </row>
    <row r="9630" spans="2:6" ht="13.8" hidden="1" outlineLevel="1">
      <c r="B9630" s="187">
        <v>36088</v>
      </c>
      <c r="C9630" s="188">
        <v>4.57</v>
      </c>
      <c r="D9630" s="104">
        <f t="shared" ref="D9630:D9693" si="150">IF( LEN( C9630 ) = 0, #N/A, IF( C9630 = "ND", D9629, C9630 / 100 ) )</f>
        <v>4.5700000000000005E-2</v>
      </c>
      <c r="F9630" s="5"/>
    </row>
    <row r="9631" spans="2:6" ht="13.8" hidden="1" outlineLevel="1">
      <c r="B9631" s="187">
        <v>36089</v>
      </c>
      <c r="C9631" s="188">
        <v>4.59</v>
      </c>
      <c r="D9631" s="104">
        <f t="shared" si="150"/>
        <v>4.5899999999999996E-2</v>
      </c>
      <c r="F9631" s="5"/>
    </row>
    <row r="9632" spans="2:6" ht="13.8" hidden="1" outlineLevel="1">
      <c r="B9632" s="187">
        <v>36090</v>
      </c>
      <c r="C9632" s="188">
        <v>4.62</v>
      </c>
      <c r="D9632" s="104">
        <f t="shared" si="150"/>
        <v>4.6199999999999998E-2</v>
      </c>
      <c r="F9632" s="5"/>
    </row>
    <row r="9633" spans="2:6" ht="13.8" hidden="1" outlineLevel="1">
      <c r="B9633" s="187">
        <v>36091</v>
      </c>
      <c r="C9633" s="188">
        <v>4.7</v>
      </c>
      <c r="D9633" s="104">
        <f t="shared" si="150"/>
        <v>4.7E-2</v>
      </c>
      <c r="F9633" s="5"/>
    </row>
    <row r="9634" spans="2:6" ht="13.8" hidden="1" outlineLevel="1">
      <c r="B9634" s="187">
        <v>36094</v>
      </c>
      <c r="C9634" s="188">
        <v>4.7300000000000004</v>
      </c>
      <c r="D9634" s="104">
        <f t="shared" si="150"/>
        <v>4.7300000000000002E-2</v>
      </c>
      <c r="F9634" s="5"/>
    </row>
    <row r="9635" spans="2:6" ht="13.8" hidden="1" outlineLevel="1">
      <c r="B9635" s="187">
        <v>36095</v>
      </c>
      <c r="C9635" s="188">
        <v>4.63</v>
      </c>
      <c r="D9635" s="104">
        <f t="shared" si="150"/>
        <v>4.6300000000000001E-2</v>
      </c>
      <c r="F9635" s="5"/>
    </row>
    <row r="9636" spans="2:6" ht="13.8" hidden="1" outlineLevel="1">
      <c r="B9636" s="187">
        <v>36096</v>
      </c>
      <c r="C9636" s="188">
        <v>4.5999999999999996</v>
      </c>
      <c r="D9636" s="104">
        <f t="shared" si="150"/>
        <v>4.5999999999999999E-2</v>
      </c>
      <c r="F9636" s="5"/>
    </row>
    <row r="9637" spans="2:6" ht="13.8" hidden="1" outlineLevel="1">
      <c r="B9637" s="187">
        <v>36097</v>
      </c>
      <c r="C9637" s="188">
        <v>4.54</v>
      </c>
      <c r="D9637" s="104">
        <f t="shared" si="150"/>
        <v>4.5400000000000003E-2</v>
      </c>
      <c r="F9637" s="5"/>
    </row>
    <row r="9638" spans="2:6" ht="13.8" hidden="1" outlineLevel="1">
      <c r="B9638" s="187">
        <v>36098</v>
      </c>
      <c r="C9638" s="188">
        <v>4.6399999999999997</v>
      </c>
      <c r="D9638" s="104">
        <f t="shared" si="150"/>
        <v>4.6399999999999997E-2</v>
      </c>
      <c r="F9638" s="5"/>
    </row>
    <row r="9639" spans="2:6" ht="13.8" hidden="1" outlineLevel="1">
      <c r="B9639" s="187">
        <v>36101</v>
      </c>
      <c r="C9639" s="188">
        <v>4.7699999999999996</v>
      </c>
      <c r="D9639" s="104">
        <f t="shared" si="150"/>
        <v>4.7699999999999992E-2</v>
      </c>
      <c r="F9639" s="5"/>
    </row>
    <row r="9640" spans="2:6" ht="13.8" hidden="1" outlineLevel="1">
      <c r="B9640" s="187">
        <v>36102</v>
      </c>
      <c r="C9640" s="188">
        <v>4.78</v>
      </c>
      <c r="D9640" s="104">
        <f t="shared" si="150"/>
        <v>4.7800000000000002E-2</v>
      </c>
      <c r="F9640" s="5"/>
    </row>
    <row r="9641" spans="2:6" ht="13.8" hidden="1" outlineLevel="1">
      <c r="B9641" s="187">
        <v>36103</v>
      </c>
      <c r="C9641" s="188">
        <v>4.83</v>
      </c>
      <c r="D9641" s="104">
        <f t="shared" si="150"/>
        <v>4.8300000000000003E-2</v>
      </c>
      <c r="F9641" s="5"/>
    </row>
    <row r="9642" spans="2:6" ht="13.8" hidden="1" outlineLevel="1">
      <c r="B9642" s="187">
        <v>36104</v>
      </c>
      <c r="C9642" s="188">
        <v>4.82</v>
      </c>
      <c r="D9642" s="104">
        <f t="shared" si="150"/>
        <v>4.82E-2</v>
      </c>
      <c r="F9642" s="5"/>
    </row>
    <row r="9643" spans="2:6" ht="13.8" hidden="1" outlineLevel="1">
      <c r="B9643" s="187">
        <v>36105</v>
      </c>
      <c r="C9643" s="188">
        <v>4.93</v>
      </c>
      <c r="D9643" s="104">
        <f t="shared" si="150"/>
        <v>4.9299999999999997E-2</v>
      </c>
      <c r="F9643" s="5"/>
    </row>
    <row r="9644" spans="2:6" ht="13.8" hidden="1" outlineLevel="1">
      <c r="B9644" s="187">
        <v>36108</v>
      </c>
      <c r="C9644" s="188">
        <v>4.88</v>
      </c>
      <c r="D9644" s="104">
        <f t="shared" si="150"/>
        <v>4.8799999999999996E-2</v>
      </c>
      <c r="F9644" s="5"/>
    </row>
    <row r="9645" spans="2:6" ht="13.8" hidden="1" outlineLevel="1">
      <c r="B9645" s="187">
        <v>36109</v>
      </c>
      <c r="C9645" s="188">
        <v>4.8099999999999996</v>
      </c>
      <c r="D9645" s="104">
        <f t="shared" si="150"/>
        <v>4.8099999999999997E-2</v>
      </c>
      <c r="F9645" s="5"/>
    </row>
    <row r="9646" spans="2:6" ht="13.8" hidden="1" outlineLevel="1">
      <c r="B9646" s="187">
        <v>36110</v>
      </c>
      <c r="C9646" s="188" t="s">
        <v>380</v>
      </c>
      <c r="D9646" s="104">
        <f t="shared" si="150"/>
        <v>4.8099999999999997E-2</v>
      </c>
      <c r="F9646" s="5"/>
    </row>
    <row r="9647" spans="2:6" ht="13.8" hidden="1" outlineLevel="1">
      <c r="B9647" s="187">
        <v>36111</v>
      </c>
      <c r="C9647" s="188">
        <v>4.7699999999999996</v>
      </c>
      <c r="D9647" s="104">
        <f t="shared" si="150"/>
        <v>4.7699999999999992E-2</v>
      </c>
      <c r="F9647" s="5"/>
    </row>
    <row r="9648" spans="2:6" ht="13.8" hidden="1" outlineLevel="1">
      <c r="B9648" s="187">
        <v>36112</v>
      </c>
      <c r="C9648" s="188">
        <v>4.82</v>
      </c>
      <c r="D9648" s="104">
        <f t="shared" si="150"/>
        <v>4.82E-2</v>
      </c>
      <c r="F9648" s="5"/>
    </row>
    <row r="9649" spans="2:6" ht="13.8" hidden="1" outlineLevel="1">
      <c r="B9649" s="187">
        <v>36115</v>
      </c>
      <c r="C9649" s="188">
        <v>4.8499999999999996</v>
      </c>
      <c r="D9649" s="104">
        <f t="shared" si="150"/>
        <v>4.8499999999999995E-2</v>
      </c>
      <c r="F9649" s="5"/>
    </row>
    <row r="9650" spans="2:6" ht="13.8" hidden="1" outlineLevel="1">
      <c r="B9650" s="187">
        <v>36116</v>
      </c>
      <c r="C9650" s="188">
        <v>4.87</v>
      </c>
      <c r="D9650" s="104">
        <f t="shared" si="150"/>
        <v>4.87E-2</v>
      </c>
      <c r="F9650" s="5"/>
    </row>
    <row r="9651" spans="2:6" ht="13.8" hidden="1" outlineLevel="1">
      <c r="B9651" s="187">
        <v>36117</v>
      </c>
      <c r="C9651" s="188">
        <v>4.8499999999999996</v>
      </c>
      <c r="D9651" s="104">
        <f t="shared" si="150"/>
        <v>4.8499999999999995E-2</v>
      </c>
      <c r="F9651" s="5"/>
    </row>
    <row r="9652" spans="2:6" ht="13.8" hidden="1" outlineLevel="1">
      <c r="B9652" s="187">
        <v>36118</v>
      </c>
      <c r="C9652" s="188">
        <v>4.8499999999999996</v>
      </c>
      <c r="D9652" s="104">
        <f t="shared" si="150"/>
        <v>4.8499999999999995E-2</v>
      </c>
      <c r="F9652" s="5"/>
    </row>
    <row r="9653" spans="2:6" ht="13.8" hidden="1" outlineLevel="1">
      <c r="B9653" s="187">
        <v>36119</v>
      </c>
      <c r="C9653" s="188">
        <v>4.82</v>
      </c>
      <c r="D9653" s="104">
        <f t="shared" si="150"/>
        <v>4.82E-2</v>
      </c>
      <c r="F9653" s="5"/>
    </row>
    <row r="9654" spans="2:6" ht="13.8" hidden="1" outlineLevel="1">
      <c r="B9654" s="187">
        <v>36122</v>
      </c>
      <c r="C9654" s="188">
        <v>4.84</v>
      </c>
      <c r="D9654" s="104">
        <f t="shared" si="150"/>
        <v>4.8399999999999999E-2</v>
      </c>
      <c r="F9654" s="5"/>
    </row>
    <row r="9655" spans="2:6" ht="13.8" hidden="1" outlineLevel="1">
      <c r="B9655" s="187">
        <v>36123</v>
      </c>
      <c r="C9655" s="188">
        <v>4.8499999999999996</v>
      </c>
      <c r="D9655" s="104">
        <f t="shared" si="150"/>
        <v>4.8499999999999995E-2</v>
      </c>
      <c r="F9655" s="5"/>
    </row>
    <row r="9656" spans="2:6" ht="13.8" hidden="1" outlineLevel="1">
      <c r="B9656" s="187">
        <v>36124</v>
      </c>
      <c r="C9656" s="188">
        <v>4.83</v>
      </c>
      <c r="D9656" s="104">
        <f t="shared" si="150"/>
        <v>4.8300000000000003E-2</v>
      </c>
      <c r="F9656" s="5"/>
    </row>
    <row r="9657" spans="2:6" ht="13.8" hidden="1" outlineLevel="1">
      <c r="B9657" s="187">
        <v>36125</v>
      </c>
      <c r="C9657" s="188" t="s">
        <v>380</v>
      </c>
      <c r="D9657" s="104">
        <f t="shared" si="150"/>
        <v>4.8300000000000003E-2</v>
      </c>
      <c r="F9657" s="5"/>
    </row>
    <row r="9658" spans="2:6" ht="13.8" hidden="1" outlineLevel="1">
      <c r="B9658" s="187">
        <v>36126</v>
      </c>
      <c r="C9658" s="188">
        <v>4.8099999999999996</v>
      </c>
      <c r="D9658" s="104">
        <f t="shared" si="150"/>
        <v>4.8099999999999997E-2</v>
      </c>
      <c r="F9658" s="5"/>
    </row>
    <row r="9659" spans="2:6" ht="13.8" hidden="1" outlineLevel="1">
      <c r="B9659" s="187">
        <v>36129</v>
      </c>
      <c r="C9659" s="188">
        <v>4.74</v>
      </c>
      <c r="D9659" s="104">
        <f t="shared" si="150"/>
        <v>4.7400000000000005E-2</v>
      </c>
      <c r="F9659" s="5"/>
    </row>
    <row r="9660" spans="2:6" ht="13.8" hidden="1" outlineLevel="1">
      <c r="B9660" s="187">
        <v>36130</v>
      </c>
      <c r="C9660" s="188">
        <v>4.67</v>
      </c>
      <c r="D9660" s="104">
        <f t="shared" si="150"/>
        <v>4.6699999999999998E-2</v>
      </c>
      <c r="F9660" s="5"/>
    </row>
    <row r="9661" spans="2:6" ht="13.8" hidden="1" outlineLevel="1">
      <c r="B9661" s="187">
        <v>36131</v>
      </c>
      <c r="C9661" s="188">
        <v>4.59</v>
      </c>
      <c r="D9661" s="104">
        <f t="shared" si="150"/>
        <v>4.5899999999999996E-2</v>
      </c>
      <c r="F9661" s="5"/>
    </row>
    <row r="9662" spans="2:6" ht="13.8" hidden="1" outlineLevel="1">
      <c r="B9662" s="187">
        <v>36132</v>
      </c>
      <c r="C9662" s="188">
        <v>4.58</v>
      </c>
      <c r="D9662" s="104">
        <f t="shared" si="150"/>
        <v>4.58E-2</v>
      </c>
      <c r="F9662" s="5"/>
    </row>
    <row r="9663" spans="2:6" ht="13.8" hidden="1" outlineLevel="1">
      <c r="B9663" s="187">
        <v>36133</v>
      </c>
      <c r="C9663" s="188">
        <v>4.62</v>
      </c>
      <c r="D9663" s="104">
        <f t="shared" si="150"/>
        <v>4.6199999999999998E-2</v>
      </c>
      <c r="F9663" s="5"/>
    </row>
    <row r="9664" spans="2:6" ht="13.8" hidden="1" outlineLevel="1">
      <c r="B9664" s="187">
        <v>36136</v>
      </c>
      <c r="C9664" s="188">
        <v>4.6900000000000004</v>
      </c>
      <c r="D9664" s="104">
        <f t="shared" si="150"/>
        <v>4.6900000000000004E-2</v>
      </c>
      <c r="F9664" s="5"/>
    </row>
    <row r="9665" spans="2:6" ht="13.8" hidden="1" outlineLevel="1">
      <c r="B9665" s="187">
        <v>36137</v>
      </c>
      <c r="C9665" s="188">
        <v>4.5999999999999996</v>
      </c>
      <c r="D9665" s="104">
        <f t="shared" si="150"/>
        <v>4.5999999999999999E-2</v>
      </c>
      <c r="F9665" s="5"/>
    </row>
    <row r="9666" spans="2:6" ht="13.8" hidden="1" outlineLevel="1">
      <c r="B9666" s="187">
        <v>36138</v>
      </c>
      <c r="C9666" s="188">
        <v>4.5599999999999996</v>
      </c>
      <c r="D9666" s="104">
        <f t="shared" si="150"/>
        <v>4.5599999999999995E-2</v>
      </c>
      <c r="F9666" s="5"/>
    </row>
    <row r="9667" spans="2:6" ht="13.8" hidden="1" outlineLevel="1">
      <c r="B9667" s="187">
        <v>36139</v>
      </c>
      <c r="C9667" s="188">
        <v>4.53</v>
      </c>
      <c r="D9667" s="104">
        <f t="shared" si="150"/>
        <v>4.53E-2</v>
      </c>
      <c r="F9667" s="5"/>
    </row>
    <row r="9668" spans="2:6" ht="13.8" hidden="1" outlineLevel="1">
      <c r="B9668" s="187">
        <v>36140</v>
      </c>
      <c r="C9668" s="188">
        <v>4.6100000000000003</v>
      </c>
      <c r="D9668" s="104">
        <f t="shared" si="150"/>
        <v>4.6100000000000002E-2</v>
      </c>
      <c r="F9668" s="5"/>
    </row>
    <row r="9669" spans="2:6" ht="13.8" hidden="1" outlineLevel="1">
      <c r="B9669" s="187">
        <v>36143</v>
      </c>
      <c r="C9669" s="188">
        <v>4.58</v>
      </c>
      <c r="D9669" s="104">
        <f t="shared" si="150"/>
        <v>4.58E-2</v>
      </c>
      <c r="F9669" s="5"/>
    </row>
    <row r="9670" spans="2:6" ht="13.8" hidden="1" outlineLevel="1">
      <c r="B9670" s="187">
        <v>36144</v>
      </c>
      <c r="C9670" s="188">
        <v>4.62</v>
      </c>
      <c r="D9670" s="104">
        <f t="shared" si="150"/>
        <v>4.6199999999999998E-2</v>
      </c>
      <c r="F9670" s="5"/>
    </row>
    <row r="9671" spans="2:6" ht="13.8" hidden="1" outlineLevel="1">
      <c r="B9671" s="187">
        <v>36145</v>
      </c>
      <c r="C9671" s="188">
        <v>4.58</v>
      </c>
      <c r="D9671" s="104">
        <f t="shared" si="150"/>
        <v>4.58E-2</v>
      </c>
      <c r="F9671" s="5"/>
    </row>
    <row r="9672" spans="2:6" ht="13.8" hidden="1" outlineLevel="1">
      <c r="B9672" s="187">
        <v>36146</v>
      </c>
      <c r="C9672" s="188">
        <v>4.58</v>
      </c>
      <c r="D9672" s="104">
        <f t="shared" si="150"/>
        <v>4.58E-2</v>
      </c>
      <c r="F9672" s="5"/>
    </row>
    <row r="9673" spans="2:6" ht="13.8" hidden="1" outlineLevel="1">
      <c r="B9673" s="187">
        <v>36147</v>
      </c>
      <c r="C9673" s="188">
        <v>4.58</v>
      </c>
      <c r="D9673" s="104">
        <f t="shared" si="150"/>
        <v>4.58E-2</v>
      </c>
      <c r="F9673" s="5"/>
    </row>
    <row r="9674" spans="2:6" ht="13.8" hidden="1" outlineLevel="1">
      <c r="B9674" s="187">
        <v>36150</v>
      </c>
      <c r="C9674" s="188">
        <v>4.6399999999999997</v>
      </c>
      <c r="D9674" s="104">
        <f t="shared" si="150"/>
        <v>4.6399999999999997E-2</v>
      </c>
      <c r="F9674" s="5"/>
    </row>
    <row r="9675" spans="2:6" ht="13.8" hidden="1" outlineLevel="1">
      <c r="B9675" s="187">
        <v>36151</v>
      </c>
      <c r="C9675" s="188">
        <v>4.7</v>
      </c>
      <c r="D9675" s="104">
        <f t="shared" si="150"/>
        <v>4.7E-2</v>
      </c>
      <c r="F9675" s="5"/>
    </row>
    <row r="9676" spans="2:6" ht="13.8" hidden="1" outlineLevel="1">
      <c r="B9676" s="187">
        <v>36152</v>
      </c>
      <c r="C9676" s="188">
        <v>4.8099999999999996</v>
      </c>
      <c r="D9676" s="104">
        <f t="shared" si="150"/>
        <v>4.8099999999999997E-2</v>
      </c>
      <c r="F9676" s="5"/>
    </row>
    <row r="9677" spans="2:6" ht="13.8" hidden="1" outlineLevel="1">
      <c r="B9677" s="187">
        <v>36153</v>
      </c>
      <c r="C9677" s="188">
        <v>4.8600000000000003</v>
      </c>
      <c r="D9677" s="104">
        <f t="shared" si="150"/>
        <v>4.8600000000000004E-2</v>
      </c>
      <c r="F9677" s="5"/>
    </row>
    <row r="9678" spans="2:6" ht="13.8" hidden="1" outlineLevel="1">
      <c r="B9678" s="187">
        <v>36154</v>
      </c>
      <c r="C9678" s="188" t="s">
        <v>380</v>
      </c>
      <c r="D9678" s="104">
        <f t="shared" si="150"/>
        <v>4.8600000000000004E-2</v>
      </c>
      <c r="F9678" s="5"/>
    </row>
    <row r="9679" spans="2:6" ht="13.8" hidden="1" outlineLevel="1">
      <c r="B9679" s="187">
        <v>36157</v>
      </c>
      <c r="C9679" s="188">
        <v>4.78</v>
      </c>
      <c r="D9679" s="104">
        <f t="shared" si="150"/>
        <v>4.7800000000000002E-2</v>
      </c>
      <c r="F9679" s="5"/>
    </row>
    <row r="9680" spans="2:6" ht="13.8" hidden="1" outlineLevel="1">
      <c r="B9680" s="187">
        <v>36158</v>
      </c>
      <c r="C9680" s="188">
        <v>4.71</v>
      </c>
      <c r="D9680" s="104">
        <f t="shared" si="150"/>
        <v>4.7100000000000003E-2</v>
      </c>
      <c r="F9680" s="5"/>
    </row>
    <row r="9681" spans="2:6" ht="13.8" hidden="1" outlineLevel="1">
      <c r="B9681" s="187">
        <v>36159</v>
      </c>
      <c r="C9681" s="188">
        <v>4.6500000000000004</v>
      </c>
      <c r="D9681" s="104">
        <f t="shared" si="150"/>
        <v>4.6500000000000007E-2</v>
      </c>
      <c r="F9681" s="5"/>
    </row>
    <row r="9682" spans="2:6" ht="13.8" hidden="1" outlineLevel="1">
      <c r="B9682" s="187">
        <v>36160</v>
      </c>
      <c r="C9682" s="188">
        <v>4.6500000000000004</v>
      </c>
      <c r="D9682" s="104">
        <f t="shared" si="150"/>
        <v>4.6500000000000007E-2</v>
      </c>
      <c r="F9682" s="5"/>
    </row>
    <row r="9683" spans="2:6" ht="13.8" hidden="1" outlineLevel="1">
      <c r="B9683" s="187">
        <v>36161</v>
      </c>
      <c r="C9683" s="188" t="s">
        <v>380</v>
      </c>
      <c r="D9683" s="104">
        <f t="shared" si="150"/>
        <v>4.6500000000000007E-2</v>
      </c>
      <c r="F9683" s="5"/>
    </row>
    <row r="9684" spans="2:6" ht="13.8" hidden="1" outlineLevel="1">
      <c r="B9684" s="187">
        <v>36164</v>
      </c>
      <c r="C9684" s="188">
        <v>4.6900000000000004</v>
      </c>
      <c r="D9684" s="104">
        <f t="shared" si="150"/>
        <v>4.6900000000000004E-2</v>
      </c>
      <c r="F9684" s="5"/>
    </row>
    <row r="9685" spans="2:6" ht="13.8" hidden="1" outlineLevel="1">
      <c r="B9685" s="187">
        <v>36165</v>
      </c>
      <c r="C9685" s="188">
        <v>4.74</v>
      </c>
      <c r="D9685" s="104">
        <f t="shared" si="150"/>
        <v>4.7400000000000005E-2</v>
      </c>
      <c r="F9685" s="5"/>
    </row>
    <row r="9686" spans="2:6" ht="13.8" hidden="1" outlineLevel="1">
      <c r="B9686" s="187">
        <v>36166</v>
      </c>
      <c r="C9686" s="188">
        <v>4.7300000000000004</v>
      </c>
      <c r="D9686" s="104">
        <f t="shared" si="150"/>
        <v>4.7300000000000002E-2</v>
      </c>
      <c r="F9686" s="5"/>
    </row>
    <row r="9687" spans="2:6" ht="13.8" hidden="1" outlineLevel="1">
      <c r="B9687" s="187">
        <v>36167</v>
      </c>
      <c r="C9687" s="188">
        <v>4.7699999999999996</v>
      </c>
      <c r="D9687" s="104">
        <f t="shared" si="150"/>
        <v>4.7699999999999992E-2</v>
      </c>
      <c r="F9687" s="5"/>
    </row>
    <row r="9688" spans="2:6" ht="13.8" hidden="1" outlineLevel="1">
      <c r="B9688" s="187">
        <v>36168</v>
      </c>
      <c r="C9688" s="188">
        <v>4.8600000000000003</v>
      </c>
      <c r="D9688" s="104">
        <f t="shared" si="150"/>
        <v>4.8600000000000004E-2</v>
      </c>
      <c r="F9688" s="5"/>
    </row>
    <row r="9689" spans="2:6" ht="13.8" hidden="1" outlineLevel="1">
      <c r="B9689" s="187">
        <v>36171</v>
      </c>
      <c r="C9689" s="188">
        <v>4.9000000000000004</v>
      </c>
      <c r="D9689" s="104">
        <f t="shared" si="150"/>
        <v>4.9000000000000002E-2</v>
      </c>
      <c r="F9689" s="5"/>
    </row>
    <row r="9690" spans="2:6" ht="13.8" hidden="1" outlineLevel="1">
      <c r="B9690" s="187">
        <v>36172</v>
      </c>
      <c r="C9690" s="188">
        <v>4.82</v>
      </c>
      <c r="D9690" s="104">
        <f t="shared" si="150"/>
        <v>4.82E-2</v>
      </c>
      <c r="F9690" s="5"/>
    </row>
    <row r="9691" spans="2:6" ht="13.8" hidden="1" outlineLevel="1">
      <c r="B9691" s="187">
        <v>36173</v>
      </c>
      <c r="C9691" s="188">
        <v>4.74</v>
      </c>
      <c r="D9691" s="104">
        <f t="shared" si="150"/>
        <v>4.7400000000000005E-2</v>
      </c>
      <c r="F9691" s="5"/>
    </row>
    <row r="9692" spans="2:6" ht="13.8" hidden="1" outlineLevel="1">
      <c r="B9692" s="187">
        <v>36174</v>
      </c>
      <c r="C9692" s="188">
        <v>4.63</v>
      </c>
      <c r="D9692" s="104">
        <f t="shared" si="150"/>
        <v>4.6300000000000001E-2</v>
      </c>
      <c r="F9692" s="5"/>
    </row>
    <row r="9693" spans="2:6" ht="13.8" hidden="1" outlineLevel="1">
      <c r="B9693" s="187">
        <v>36175</v>
      </c>
      <c r="C9693" s="188">
        <v>4.66</v>
      </c>
      <c r="D9693" s="104">
        <f t="shared" si="150"/>
        <v>4.6600000000000003E-2</v>
      </c>
      <c r="F9693" s="5"/>
    </row>
    <row r="9694" spans="2:6" ht="13.8" hidden="1" outlineLevel="1">
      <c r="B9694" s="187">
        <v>36178</v>
      </c>
      <c r="C9694" s="188" t="s">
        <v>380</v>
      </c>
      <c r="D9694" s="104">
        <f t="shared" ref="D9694:D9757" si="151">IF( LEN( C9694 ) = 0, #N/A, IF( C9694 = "ND", D9693, C9694 / 100 ) )</f>
        <v>4.6600000000000003E-2</v>
      </c>
      <c r="F9694" s="5"/>
    </row>
    <row r="9695" spans="2:6" ht="13.8" hidden="1" outlineLevel="1">
      <c r="B9695" s="187">
        <v>36179</v>
      </c>
      <c r="C9695" s="188">
        <v>4.71</v>
      </c>
      <c r="D9695" s="104">
        <f t="shared" si="151"/>
        <v>4.7100000000000003E-2</v>
      </c>
      <c r="F9695" s="5"/>
    </row>
    <row r="9696" spans="2:6" ht="13.8" hidden="1" outlineLevel="1">
      <c r="B9696" s="187">
        <v>36180</v>
      </c>
      <c r="C9696" s="188">
        <v>4.76</v>
      </c>
      <c r="D9696" s="104">
        <f t="shared" si="151"/>
        <v>4.7599999999999996E-2</v>
      </c>
      <c r="F9696" s="5"/>
    </row>
    <row r="9697" spans="2:6" ht="13.8" hidden="1" outlineLevel="1">
      <c r="B9697" s="187">
        <v>36181</v>
      </c>
      <c r="C9697" s="188">
        <v>4.7</v>
      </c>
      <c r="D9697" s="104">
        <f t="shared" si="151"/>
        <v>4.7E-2</v>
      </c>
      <c r="F9697" s="5"/>
    </row>
    <row r="9698" spans="2:6" ht="13.8" hidden="1" outlineLevel="1">
      <c r="B9698" s="187">
        <v>36182</v>
      </c>
      <c r="C9698" s="188">
        <v>4.6399999999999997</v>
      </c>
      <c r="D9698" s="104">
        <f t="shared" si="151"/>
        <v>4.6399999999999997E-2</v>
      </c>
      <c r="F9698" s="5"/>
    </row>
    <row r="9699" spans="2:6" ht="13.8" hidden="1" outlineLevel="1">
      <c r="B9699" s="187">
        <v>36185</v>
      </c>
      <c r="C9699" s="188">
        <v>4.67</v>
      </c>
      <c r="D9699" s="104">
        <f t="shared" si="151"/>
        <v>4.6699999999999998E-2</v>
      </c>
      <c r="F9699" s="5"/>
    </row>
    <row r="9700" spans="2:6" ht="13.8" hidden="1" outlineLevel="1">
      <c r="B9700" s="187">
        <v>36186</v>
      </c>
      <c r="C9700" s="188">
        <v>4.6900000000000004</v>
      </c>
      <c r="D9700" s="104">
        <f t="shared" si="151"/>
        <v>4.6900000000000004E-2</v>
      </c>
      <c r="F9700" s="5"/>
    </row>
    <row r="9701" spans="2:6" ht="13.8" hidden="1" outlineLevel="1">
      <c r="B9701" s="187">
        <v>36187</v>
      </c>
      <c r="C9701" s="188">
        <v>4.68</v>
      </c>
      <c r="D9701" s="104">
        <f t="shared" si="151"/>
        <v>4.6799999999999994E-2</v>
      </c>
      <c r="F9701" s="5"/>
    </row>
    <row r="9702" spans="2:6" ht="13.8" hidden="1" outlineLevel="1">
      <c r="B9702" s="187">
        <v>36188</v>
      </c>
      <c r="C9702" s="188">
        <v>4.67</v>
      </c>
      <c r="D9702" s="104">
        <f t="shared" si="151"/>
        <v>4.6699999999999998E-2</v>
      </c>
      <c r="F9702" s="5"/>
    </row>
    <row r="9703" spans="2:6" ht="13.8" hidden="1" outlineLevel="1">
      <c r="B9703" s="187">
        <v>36189</v>
      </c>
      <c r="C9703" s="188">
        <v>4.66</v>
      </c>
      <c r="D9703" s="104">
        <f t="shared" si="151"/>
        <v>4.6600000000000003E-2</v>
      </c>
      <c r="F9703" s="5"/>
    </row>
    <row r="9704" spans="2:6" ht="13.8" hidden="1" outlineLevel="1">
      <c r="B9704" s="187">
        <v>36192</v>
      </c>
      <c r="C9704" s="188">
        <v>4.75</v>
      </c>
      <c r="D9704" s="104">
        <f t="shared" si="151"/>
        <v>4.7500000000000001E-2</v>
      </c>
      <c r="F9704" s="5"/>
    </row>
    <row r="9705" spans="2:6" ht="13.8" hidden="1" outlineLevel="1">
      <c r="B9705" s="187">
        <v>36193</v>
      </c>
      <c r="C9705" s="188">
        <v>4.79</v>
      </c>
      <c r="D9705" s="104">
        <f t="shared" si="151"/>
        <v>4.7899999999999998E-2</v>
      </c>
      <c r="F9705" s="5"/>
    </row>
    <row r="9706" spans="2:6" ht="13.8" hidden="1" outlineLevel="1">
      <c r="B9706" s="187">
        <v>36194</v>
      </c>
      <c r="C9706" s="188">
        <v>4.83</v>
      </c>
      <c r="D9706" s="104">
        <f t="shared" si="151"/>
        <v>4.8300000000000003E-2</v>
      </c>
      <c r="F9706" s="5"/>
    </row>
    <row r="9707" spans="2:6" ht="13.8" hidden="1" outlineLevel="1">
      <c r="B9707" s="187">
        <v>36195</v>
      </c>
      <c r="C9707" s="188">
        <v>4.8899999999999997</v>
      </c>
      <c r="D9707" s="104">
        <f t="shared" si="151"/>
        <v>4.8899999999999999E-2</v>
      </c>
      <c r="F9707" s="5"/>
    </row>
    <row r="9708" spans="2:6" ht="13.8" hidden="1" outlineLevel="1">
      <c r="B9708" s="187">
        <v>36196</v>
      </c>
      <c r="C9708" s="188">
        <v>4.9400000000000004</v>
      </c>
      <c r="D9708" s="104">
        <f t="shared" si="151"/>
        <v>4.9400000000000006E-2</v>
      </c>
      <c r="F9708" s="5"/>
    </row>
    <row r="9709" spans="2:6" ht="13.8" hidden="1" outlineLevel="1">
      <c r="B9709" s="187">
        <v>36199</v>
      </c>
      <c r="C9709" s="188">
        <v>4.9400000000000004</v>
      </c>
      <c r="D9709" s="104">
        <f t="shared" si="151"/>
        <v>4.9400000000000006E-2</v>
      </c>
      <c r="F9709" s="5"/>
    </row>
    <row r="9710" spans="2:6" ht="13.8" hidden="1" outlineLevel="1">
      <c r="B9710" s="187">
        <v>36200</v>
      </c>
      <c r="C9710" s="188">
        <v>4.91</v>
      </c>
      <c r="D9710" s="104">
        <f t="shared" si="151"/>
        <v>4.9100000000000005E-2</v>
      </c>
      <c r="F9710" s="5"/>
    </row>
    <row r="9711" spans="2:6" ht="13.8" hidden="1" outlineLevel="1">
      <c r="B9711" s="187">
        <v>36201</v>
      </c>
      <c r="C9711" s="188">
        <v>4.9000000000000004</v>
      </c>
      <c r="D9711" s="104">
        <f t="shared" si="151"/>
        <v>4.9000000000000002E-2</v>
      </c>
      <c r="F9711" s="5"/>
    </row>
    <row r="9712" spans="2:6" ht="13.8" hidden="1" outlineLevel="1">
      <c r="B9712" s="187">
        <v>36202</v>
      </c>
      <c r="C9712" s="188">
        <v>4.93</v>
      </c>
      <c r="D9712" s="104">
        <f t="shared" si="151"/>
        <v>4.9299999999999997E-2</v>
      </c>
      <c r="F9712" s="5"/>
    </row>
    <row r="9713" spans="2:6" ht="13.8" hidden="1" outlineLevel="1">
      <c r="B9713" s="187">
        <v>36203</v>
      </c>
      <c r="C9713" s="188">
        <v>5.0599999999999996</v>
      </c>
      <c r="D9713" s="104">
        <f t="shared" si="151"/>
        <v>5.0599999999999999E-2</v>
      </c>
      <c r="F9713" s="5"/>
    </row>
    <row r="9714" spans="2:6" ht="13.8" hidden="1" outlineLevel="1">
      <c r="B9714" s="187">
        <v>36206</v>
      </c>
      <c r="C9714" s="188" t="s">
        <v>380</v>
      </c>
      <c r="D9714" s="104">
        <f t="shared" si="151"/>
        <v>5.0599999999999999E-2</v>
      </c>
      <c r="F9714" s="5"/>
    </row>
    <row r="9715" spans="2:6" ht="13.8" hidden="1" outlineLevel="1">
      <c r="B9715" s="187">
        <v>36207</v>
      </c>
      <c r="C9715" s="188">
        <v>5.03</v>
      </c>
      <c r="D9715" s="104">
        <f t="shared" si="151"/>
        <v>5.0300000000000004E-2</v>
      </c>
      <c r="F9715" s="5"/>
    </row>
    <row r="9716" spans="2:6" ht="13.8" hidden="1" outlineLevel="1">
      <c r="B9716" s="187">
        <v>36208</v>
      </c>
      <c r="C9716" s="188">
        <v>4.9800000000000004</v>
      </c>
      <c r="D9716" s="104">
        <f t="shared" si="151"/>
        <v>4.9800000000000004E-2</v>
      </c>
      <c r="F9716" s="5"/>
    </row>
    <row r="9717" spans="2:6" ht="13.8" hidden="1" outlineLevel="1">
      <c r="B9717" s="187">
        <v>36209</v>
      </c>
      <c r="C9717" s="188">
        <v>5.04</v>
      </c>
      <c r="D9717" s="104">
        <f t="shared" si="151"/>
        <v>5.04E-2</v>
      </c>
      <c r="F9717" s="5"/>
    </row>
    <row r="9718" spans="2:6" ht="13.8" hidden="1" outlineLevel="1">
      <c r="B9718" s="187">
        <v>36210</v>
      </c>
      <c r="C9718" s="188">
        <v>5.07</v>
      </c>
      <c r="D9718" s="104">
        <f t="shared" si="151"/>
        <v>5.0700000000000002E-2</v>
      </c>
      <c r="F9718" s="5"/>
    </row>
    <row r="9719" spans="2:6" ht="13.8" hidden="1" outlineLevel="1">
      <c r="B9719" s="187">
        <v>36213</v>
      </c>
      <c r="C9719" s="188">
        <v>5.03</v>
      </c>
      <c r="D9719" s="104">
        <f t="shared" si="151"/>
        <v>5.0300000000000004E-2</v>
      </c>
      <c r="F9719" s="5"/>
    </row>
    <row r="9720" spans="2:6" ht="13.8" hidden="1" outlineLevel="1">
      <c r="B9720" s="187">
        <v>36214</v>
      </c>
      <c r="C9720" s="188">
        <v>5.0999999999999996</v>
      </c>
      <c r="D9720" s="104">
        <f t="shared" si="151"/>
        <v>5.0999999999999997E-2</v>
      </c>
      <c r="F9720" s="5"/>
    </row>
    <row r="9721" spans="2:6" ht="13.8" hidden="1" outlineLevel="1">
      <c r="B9721" s="187">
        <v>36215</v>
      </c>
      <c r="C9721" s="188">
        <v>5.18</v>
      </c>
      <c r="D9721" s="104">
        <f t="shared" si="151"/>
        <v>5.1799999999999999E-2</v>
      </c>
      <c r="F9721" s="5"/>
    </row>
    <row r="9722" spans="2:6" ht="13.8" hidden="1" outlineLevel="1">
      <c r="B9722" s="187">
        <v>36216</v>
      </c>
      <c r="C9722" s="188">
        <v>5.32</v>
      </c>
      <c r="D9722" s="104">
        <f t="shared" si="151"/>
        <v>5.3200000000000004E-2</v>
      </c>
      <c r="F9722" s="5"/>
    </row>
    <row r="9723" spans="2:6" ht="13.8" hidden="1" outlineLevel="1">
      <c r="B9723" s="187">
        <v>36217</v>
      </c>
      <c r="C9723" s="188">
        <v>5.29</v>
      </c>
      <c r="D9723" s="104">
        <f t="shared" si="151"/>
        <v>5.2900000000000003E-2</v>
      </c>
      <c r="F9723" s="5"/>
    </row>
    <row r="9724" spans="2:6" ht="13.8" hidden="1" outlineLevel="1">
      <c r="B9724" s="187">
        <v>36220</v>
      </c>
      <c r="C9724" s="188">
        <v>5.4</v>
      </c>
      <c r="D9724" s="104">
        <f t="shared" si="151"/>
        <v>5.4000000000000006E-2</v>
      </c>
      <c r="F9724" s="5"/>
    </row>
    <row r="9725" spans="2:6" ht="13.8" hidden="1" outlineLevel="1">
      <c r="B9725" s="187">
        <v>36221</v>
      </c>
      <c r="C9725" s="188">
        <v>5.35</v>
      </c>
      <c r="D9725" s="104">
        <f t="shared" si="151"/>
        <v>5.3499999999999999E-2</v>
      </c>
      <c r="F9725" s="5"/>
    </row>
    <row r="9726" spans="2:6" ht="13.8" hidden="1" outlineLevel="1">
      <c r="B9726" s="187">
        <v>36222</v>
      </c>
      <c r="C9726" s="188">
        <v>5.39</v>
      </c>
      <c r="D9726" s="104">
        <f t="shared" si="151"/>
        <v>5.3899999999999997E-2</v>
      </c>
      <c r="F9726" s="5"/>
    </row>
    <row r="9727" spans="2:6" ht="13.8" hidden="1" outlineLevel="1">
      <c r="B9727" s="187">
        <v>36223</v>
      </c>
      <c r="C9727" s="188">
        <v>5.41</v>
      </c>
      <c r="D9727" s="104">
        <f t="shared" si="151"/>
        <v>5.4100000000000002E-2</v>
      </c>
      <c r="F9727" s="5"/>
    </row>
    <row r="9728" spans="2:6" ht="13.8" hidden="1" outlineLevel="1">
      <c r="B9728" s="187">
        <v>36224</v>
      </c>
      <c r="C9728" s="188">
        <v>5.34</v>
      </c>
      <c r="D9728" s="104">
        <f t="shared" si="151"/>
        <v>5.3399999999999996E-2</v>
      </c>
      <c r="F9728" s="5"/>
    </row>
    <row r="9729" spans="2:6" ht="13.8" hidden="1" outlineLevel="1">
      <c r="B9729" s="187">
        <v>36227</v>
      </c>
      <c r="C9729" s="188">
        <v>5.29</v>
      </c>
      <c r="D9729" s="104">
        <f t="shared" si="151"/>
        <v>5.2900000000000003E-2</v>
      </c>
      <c r="F9729" s="5"/>
    </row>
    <row r="9730" spans="2:6" ht="13.8" hidden="1" outlineLevel="1">
      <c r="B9730" s="187">
        <v>36228</v>
      </c>
      <c r="C9730" s="188">
        <v>5.18</v>
      </c>
      <c r="D9730" s="104">
        <f t="shared" si="151"/>
        <v>5.1799999999999999E-2</v>
      </c>
      <c r="F9730" s="5"/>
    </row>
    <row r="9731" spans="2:6" ht="13.8" hidden="1" outlineLevel="1">
      <c r="B9731" s="187">
        <v>36229</v>
      </c>
      <c r="C9731" s="188">
        <v>5.2</v>
      </c>
      <c r="D9731" s="104">
        <f t="shared" si="151"/>
        <v>5.2000000000000005E-2</v>
      </c>
      <c r="F9731" s="5"/>
    </row>
    <row r="9732" spans="2:6" ht="13.8" hidden="1" outlineLevel="1">
      <c r="B9732" s="187">
        <v>36230</v>
      </c>
      <c r="C9732" s="188">
        <v>5.21</v>
      </c>
      <c r="D9732" s="104">
        <f t="shared" si="151"/>
        <v>5.21E-2</v>
      </c>
      <c r="F9732" s="5"/>
    </row>
    <row r="9733" spans="2:6" ht="13.8" hidden="1" outlineLevel="1">
      <c r="B9733" s="187">
        <v>36231</v>
      </c>
      <c r="C9733" s="188">
        <v>5.16</v>
      </c>
      <c r="D9733" s="104">
        <f t="shared" si="151"/>
        <v>5.16E-2</v>
      </c>
      <c r="F9733" s="5"/>
    </row>
    <row r="9734" spans="2:6" ht="13.8" hidden="1" outlineLevel="1">
      <c r="B9734" s="187">
        <v>36234</v>
      </c>
      <c r="C9734" s="188">
        <v>5.15</v>
      </c>
      <c r="D9734" s="104">
        <f t="shared" si="151"/>
        <v>5.1500000000000004E-2</v>
      </c>
      <c r="F9734" s="5"/>
    </row>
    <row r="9735" spans="2:6" ht="13.8" hidden="1" outlineLevel="1">
      <c r="B9735" s="187">
        <v>36235</v>
      </c>
      <c r="C9735" s="188">
        <v>5.1100000000000003</v>
      </c>
      <c r="D9735" s="104">
        <f t="shared" si="151"/>
        <v>5.1100000000000007E-2</v>
      </c>
      <c r="F9735" s="5"/>
    </row>
    <row r="9736" spans="2:6" ht="13.8" hidden="1" outlineLevel="1">
      <c r="B9736" s="187">
        <v>36236</v>
      </c>
      <c r="C9736" s="188">
        <v>5.14</v>
      </c>
      <c r="D9736" s="104">
        <f t="shared" si="151"/>
        <v>5.1399999999999994E-2</v>
      </c>
      <c r="F9736" s="5"/>
    </row>
    <row r="9737" spans="2:6" ht="13.8" hidden="1" outlineLevel="1">
      <c r="B9737" s="187">
        <v>36237</v>
      </c>
      <c r="C9737" s="188">
        <v>5.1100000000000003</v>
      </c>
      <c r="D9737" s="104">
        <f t="shared" si="151"/>
        <v>5.1100000000000007E-2</v>
      </c>
      <c r="F9737" s="5"/>
    </row>
    <row r="9738" spans="2:6" ht="13.8" hidden="1" outlineLevel="1">
      <c r="B9738" s="187">
        <v>36238</v>
      </c>
      <c r="C9738" s="188">
        <v>5.17</v>
      </c>
      <c r="D9738" s="104">
        <f t="shared" si="151"/>
        <v>5.1699999999999996E-2</v>
      </c>
      <c r="F9738" s="5"/>
    </row>
    <row r="9739" spans="2:6" ht="13.8" hidden="1" outlineLevel="1">
      <c r="B9739" s="187">
        <v>36241</v>
      </c>
      <c r="C9739" s="188">
        <v>5.21</v>
      </c>
      <c r="D9739" s="104">
        <f t="shared" si="151"/>
        <v>5.21E-2</v>
      </c>
      <c r="F9739" s="5"/>
    </row>
    <row r="9740" spans="2:6" ht="13.8" hidden="1" outlineLevel="1">
      <c r="B9740" s="187">
        <v>36242</v>
      </c>
      <c r="C9740" s="188">
        <v>5.2</v>
      </c>
      <c r="D9740" s="104">
        <f t="shared" si="151"/>
        <v>5.2000000000000005E-2</v>
      </c>
      <c r="F9740" s="5"/>
    </row>
    <row r="9741" spans="2:6" ht="13.8" hidden="1" outlineLevel="1">
      <c r="B9741" s="187">
        <v>36243</v>
      </c>
      <c r="C9741" s="188">
        <v>5.17</v>
      </c>
      <c r="D9741" s="104">
        <f t="shared" si="151"/>
        <v>5.1699999999999996E-2</v>
      </c>
      <c r="F9741" s="5"/>
    </row>
    <row r="9742" spans="2:6" ht="13.8" hidden="1" outlineLevel="1">
      <c r="B9742" s="187">
        <v>36244</v>
      </c>
      <c r="C9742" s="188">
        <v>5.21</v>
      </c>
      <c r="D9742" s="104">
        <f t="shared" si="151"/>
        <v>5.21E-2</v>
      </c>
      <c r="F9742" s="5"/>
    </row>
    <row r="9743" spans="2:6" ht="13.8" hidden="1" outlineLevel="1">
      <c r="B9743" s="187">
        <v>36245</v>
      </c>
      <c r="C9743" s="188">
        <v>5.21</v>
      </c>
      <c r="D9743" s="104">
        <f t="shared" si="151"/>
        <v>5.21E-2</v>
      </c>
      <c r="F9743" s="5"/>
    </row>
    <row r="9744" spans="2:6" ht="13.8" hidden="1" outlineLevel="1">
      <c r="B9744" s="187">
        <v>36248</v>
      </c>
      <c r="C9744" s="188">
        <v>5.28</v>
      </c>
      <c r="D9744" s="104">
        <f t="shared" si="151"/>
        <v>5.28E-2</v>
      </c>
      <c r="F9744" s="5"/>
    </row>
    <row r="9745" spans="2:6" ht="13.8" hidden="1" outlineLevel="1">
      <c r="B9745" s="187">
        <v>36249</v>
      </c>
      <c r="C9745" s="188">
        <v>5.21</v>
      </c>
      <c r="D9745" s="104">
        <f t="shared" si="151"/>
        <v>5.21E-2</v>
      </c>
      <c r="F9745" s="5"/>
    </row>
    <row r="9746" spans="2:6" ht="13.8" hidden="1" outlineLevel="1">
      <c r="B9746" s="187">
        <v>36250</v>
      </c>
      <c r="C9746" s="188">
        <v>5.25</v>
      </c>
      <c r="D9746" s="104">
        <f t="shared" si="151"/>
        <v>5.2499999999999998E-2</v>
      </c>
      <c r="F9746" s="5"/>
    </row>
    <row r="9747" spans="2:6" ht="13.8" hidden="1" outlineLevel="1">
      <c r="B9747" s="187">
        <v>36251</v>
      </c>
      <c r="C9747" s="188">
        <v>5.27</v>
      </c>
      <c r="D9747" s="104">
        <f t="shared" si="151"/>
        <v>5.2699999999999997E-2</v>
      </c>
      <c r="F9747" s="5"/>
    </row>
    <row r="9748" spans="2:6" ht="13.8" hidden="1" outlineLevel="1">
      <c r="B9748" s="187">
        <v>36252</v>
      </c>
      <c r="C9748" s="188">
        <v>5.2</v>
      </c>
      <c r="D9748" s="104">
        <f t="shared" si="151"/>
        <v>5.2000000000000005E-2</v>
      </c>
      <c r="F9748" s="5"/>
    </row>
    <row r="9749" spans="2:6" ht="13.8" hidden="1" outlineLevel="1">
      <c r="B9749" s="187">
        <v>36255</v>
      </c>
      <c r="C9749" s="188">
        <v>5.2</v>
      </c>
      <c r="D9749" s="104">
        <f t="shared" si="151"/>
        <v>5.2000000000000005E-2</v>
      </c>
      <c r="F9749" s="5"/>
    </row>
    <row r="9750" spans="2:6" ht="13.8" hidden="1" outlineLevel="1">
      <c r="B9750" s="187">
        <v>36256</v>
      </c>
      <c r="C9750" s="188">
        <v>5.13</v>
      </c>
      <c r="D9750" s="104">
        <f t="shared" si="151"/>
        <v>5.1299999999999998E-2</v>
      </c>
      <c r="F9750" s="5"/>
    </row>
    <row r="9751" spans="2:6" ht="13.8" hidden="1" outlineLevel="1">
      <c r="B9751" s="187">
        <v>36257</v>
      </c>
      <c r="C9751" s="188">
        <v>5.14</v>
      </c>
      <c r="D9751" s="104">
        <f t="shared" si="151"/>
        <v>5.1399999999999994E-2</v>
      </c>
      <c r="F9751" s="5"/>
    </row>
    <row r="9752" spans="2:6" ht="13.8" hidden="1" outlineLevel="1">
      <c r="B9752" s="187">
        <v>36258</v>
      </c>
      <c r="C9752" s="188">
        <v>5.03</v>
      </c>
      <c r="D9752" s="104">
        <f t="shared" si="151"/>
        <v>5.0300000000000004E-2</v>
      </c>
      <c r="F9752" s="5"/>
    </row>
    <row r="9753" spans="2:6" ht="13.8" hidden="1" outlineLevel="1">
      <c r="B9753" s="187">
        <v>36259</v>
      </c>
      <c r="C9753" s="188">
        <v>5.05</v>
      </c>
      <c r="D9753" s="104">
        <f t="shared" si="151"/>
        <v>5.0499999999999996E-2</v>
      </c>
      <c r="F9753" s="5"/>
    </row>
    <row r="9754" spans="2:6" ht="13.8" hidden="1" outlineLevel="1">
      <c r="B9754" s="187">
        <v>36262</v>
      </c>
      <c r="C9754" s="188">
        <v>5.0599999999999996</v>
      </c>
      <c r="D9754" s="104">
        <f t="shared" si="151"/>
        <v>5.0599999999999999E-2</v>
      </c>
      <c r="F9754" s="5"/>
    </row>
    <row r="9755" spans="2:6" ht="13.8" hidden="1" outlineLevel="1">
      <c r="B9755" s="187">
        <v>36263</v>
      </c>
      <c r="C9755" s="188">
        <v>5.12</v>
      </c>
      <c r="D9755" s="104">
        <f t="shared" si="151"/>
        <v>5.1200000000000002E-2</v>
      </c>
      <c r="F9755" s="5"/>
    </row>
    <row r="9756" spans="2:6" ht="13.8" hidden="1" outlineLevel="1">
      <c r="B9756" s="187">
        <v>36264</v>
      </c>
      <c r="C9756" s="188">
        <v>5.13</v>
      </c>
      <c r="D9756" s="104">
        <f t="shared" si="151"/>
        <v>5.1299999999999998E-2</v>
      </c>
      <c r="F9756" s="5"/>
    </row>
    <row r="9757" spans="2:6" ht="13.8" hidden="1" outlineLevel="1">
      <c r="B9757" s="187">
        <v>36265</v>
      </c>
      <c r="C9757" s="188">
        <v>5.18</v>
      </c>
      <c r="D9757" s="104">
        <f t="shared" si="151"/>
        <v>5.1799999999999999E-2</v>
      </c>
      <c r="F9757" s="5"/>
    </row>
    <row r="9758" spans="2:6" ht="13.8" hidden="1" outlineLevel="1">
      <c r="B9758" s="187">
        <v>36266</v>
      </c>
      <c r="C9758" s="188">
        <v>5.23</v>
      </c>
      <c r="D9758" s="104">
        <f t="shared" ref="D9758:D9821" si="152">IF( LEN( C9758 ) = 0, #N/A, IF( C9758 = "ND", D9757, C9758 / 100 ) )</f>
        <v>5.2300000000000006E-2</v>
      </c>
      <c r="F9758" s="5"/>
    </row>
    <row r="9759" spans="2:6" ht="13.8" hidden="1" outlineLevel="1">
      <c r="B9759" s="187">
        <v>36269</v>
      </c>
      <c r="C9759" s="188">
        <v>5.18</v>
      </c>
      <c r="D9759" s="104">
        <f t="shared" si="152"/>
        <v>5.1799999999999999E-2</v>
      </c>
      <c r="F9759" s="5"/>
    </row>
    <row r="9760" spans="2:6" ht="13.8" hidden="1" outlineLevel="1">
      <c r="B9760" s="187">
        <v>36270</v>
      </c>
      <c r="C9760" s="188">
        <v>5.16</v>
      </c>
      <c r="D9760" s="104">
        <f t="shared" si="152"/>
        <v>5.16E-2</v>
      </c>
      <c r="F9760" s="5"/>
    </row>
    <row r="9761" spans="2:6" ht="13.8" hidden="1" outlineLevel="1">
      <c r="B9761" s="187">
        <v>36271</v>
      </c>
      <c r="C9761" s="188">
        <v>5.17</v>
      </c>
      <c r="D9761" s="104">
        <f t="shared" si="152"/>
        <v>5.1699999999999996E-2</v>
      </c>
      <c r="F9761" s="5"/>
    </row>
    <row r="9762" spans="2:6" ht="13.8" hidden="1" outlineLevel="1">
      <c r="B9762" s="187">
        <v>36272</v>
      </c>
      <c r="C9762" s="188">
        <v>5.25</v>
      </c>
      <c r="D9762" s="104">
        <f t="shared" si="152"/>
        <v>5.2499999999999998E-2</v>
      </c>
      <c r="F9762" s="5"/>
    </row>
    <row r="9763" spans="2:6" ht="13.8" hidden="1" outlineLevel="1">
      <c r="B9763" s="187">
        <v>36273</v>
      </c>
      <c r="C9763" s="188">
        <v>5.26</v>
      </c>
      <c r="D9763" s="104">
        <f t="shared" si="152"/>
        <v>5.2600000000000001E-2</v>
      </c>
      <c r="F9763" s="5"/>
    </row>
    <row r="9764" spans="2:6" ht="13.8" hidden="1" outlineLevel="1">
      <c r="B9764" s="187">
        <v>36276</v>
      </c>
      <c r="C9764" s="188">
        <v>5.23</v>
      </c>
      <c r="D9764" s="104">
        <f t="shared" si="152"/>
        <v>5.2300000000000006E-2</v>
      </c>
      <c r="F9764" s="5"/>
    </row>
    <row r="9765" spans="2:6" ht="13.8" hidden="1" outlineLevel="1">
      <c r="B9765" s="187">
        <v>36277</v>
      </c>
      <c r="C9765" s="188">
        <v>5.22</v>
      </c>
      <c r="D9765" s="104">
        <f t="shared" si="152"/>
        <v>5.2199999999999996E-2</v>
      </c>
      <c r="F9765" s="5"/>
    </row>
    <row r="9766" spans="2:6" ht="13.8" hidden="1" outlineLevel="1">
      <c r="B9766" s="187">
        <v>36278</v>
      </c>
      <c r="C9766" s="188">
        <v>5.27</v>
      </c>
      <c r="D9766" s="104">
        <f t="shared" si="152"/>
        <v>5.2699999999999997E-2</v>
      </c>
      <c r="F9766" s="5"/>
    </row>
    <row r="9767" spans="2:6" ht="13.8" hidden="1" outlineLevel="1">
      <c r="B9767" s="187">
        <v>36279</v>
      </c>
      <c r="C9767" s="188">
        <v>5.22</v>
      </c>
      <c r="D9767" s="104">
        <f t="shared" si="152"/>
        <v>5.2199999999999996E-2</v>
      </c>
      <c r="F9767" s="5"/>
    </row>
    <row r="9768" spans="2:6" ht="13.8" hidden="1" outlineLevel="1">
      <c r="B9768" s="187">
        <v>36280</v>
      </c>
      <c r="C9768" s="188">
        <v>5.36</v>
      </c>
      <c r="D9768" s="104">
        <f t="shared" si="152"/>
        <v>5.3600000000000002E-2</v>
      </c>
      <c r="F9768" s="5"/>
    </row>
    <row r="9769" spans="2:6" ht="13.8" hidden="1" outlineLevel="1">
      <c r="B9769" s="187">
        <v>36283</v>
      </c>
      <c r="C9769" s="188">
        <v>5.38</v>
      </c>
      <c r="D9769" s="104">
        <f t="shared" si="152"/>
        <v>5.3800000000000001E-2</v>
      </c>
      <c r="F9769" s="5"/>
    </row>
    <row r="9770" spans="2:6" ht="13.8" hidden="1" outlineLevel="1">
      <c r="B9770" s="187">
        <v>36284</v>
      </c>
      <c r="C9770" s="188">
        <v>5.42</v>
      </c>
      <c r="D9770" s="104">
        <f t="shared" si="152"/>
        <v>5.4199999999999998E-2</v>
      </c>
      <c r="F9770" s="5"/>
    </row>
    <row r="9771" spans="2:6" ht="13.8" hidden="1" outlineLevel="1">
      <c r="B9771" s="187">
        <v>36285</v>
      </c>
      <c r="C9771" s="188">
        <v>5.4</v>
      </c>
      <c r="D9771" s="104">
        <f t="shared" si="152"/>
        <v>5.4000000000000006E-2</v>
      </c>
      <c r="F9771" s="5"/>
    </row>
    <row r="9772" spans="2:6" ht="13.8" hidden="1" outlineLevel="1">
      <c r="B9772" s="187">
        <v>36286</v>
      </c>
      <c r="C9772" s="188">
        <v>5.52</v>
      </c>
      <c r="D9772" s="104">
        <f t="shared" si="152"/>
        <v>5.5199999999999999E-2</v>
      </c>
      <c r="F9772" s="5"/>
    </row>
    <row r="9773" spans="2:6" ht="13.8" hidden="1" outlineLevel="1">
      <c r="B9773" s="187">
        <v>36287</v>
      </c>
      <c r="C9773" s="188">
        <v>5.54</v>
      </c>
      <c r="D9773" s="104">
        <f t="shared" si="152"/>
        <v>5.5399999999999998E-2</v>
      </c>
      <c r="F9773" s="5"/>
    </row>
    <row r="9774" spans="2:6" ht="13.8" hidden="1" outlineLevel="1">
      <c r="B9774" s="187">
        <v>36290</v>
      </c>
      <c r="C9774" s="188">
        <v>5.54</v>
      </c>
      <c r="D9774" s="104">
        <f t="shared" si="152"/>
        <v>5.5399999999999998E-2</v>
      </c>
      <c r="F9774" s="5"/>
    </row>
    <row r="9775" spans="2:6" ht="13.8" hidden="1" outlineLevel="1">
      <c r="B9775" s="187">
        <v>36291</v>
      </c>
      <c r="C9775" s="188">
        <v>5.59</v>
      </c>
      <c r="D9775" s="104">
        <f t="shared" si="152"/>
        <v>5.5899999999999998E-2</v>
      </c>
      <c r="F9775" s="5"/>
    </row>
    <row r="9776" spans="2:6" ht="13.8" hidden="1" outlineLevel="1">
      <c r="B9776" s="187">
        <v>36292</v>
      </c>
      <c r="C9776" s="188">
        <v>5.51</v>
      </c>
      <c r="D9776" s="104">
        <f t="shared" si="152"/>
        <v>5.5099999999999996E-2</v>
      </c>
      <c r="F9776" s="5"/>
    </row>
    <row r="9777" spans="2:6" ht="13.8" hidden="1" outlineLevel="1">
      <c r="B9777" s="187">
        <v>36293</v>
      </c>
      <c r="C9777" s="188">
        <v>5.41</v>
      </c>
      <c r="D9777" s="104">
        <f t="shared" si="152"/>
        <v>5.4100000000000002E-2</v>
      </c>
      <c r="F9777" s="5"/>
    </row>
    <row r="9778" spans="2:6" ht="13.8" hidden="1" outlineLevel="1">
      <c r="B9778" s="187">
        <v>36294</v>
      </c>
      <c r="C9778" s="188">
        <v>5.62</v>
      </c>
      <c r="D9778" s="104">
        <f t="shared" si="152"/>
        <v>5.62E-2</v>
      </c>
      <c r="F9778" s="5"/>
    </row>
    <row r="9779" spans="2:6" ht="13.8" hidden="1" outlineLevel="1">
      <c r="B9779" s="187">
        <v>36297</v>
      </c>
      <c r="C9779" s="188">
        <v>5.66</v>
      </c>
      <c r="D9779" s="104">
        <f t="shared" si="152"/>
        <v>5.6600000000000004E-2</v>
      </c>
      <c r="F9779" s="5"/>
    </row>
    <row r="9780" spans="2:6" ht="13.8" hidden="1" outlineLevel="1">
      <c r="B9780" s="187">
        <v>36298</v>
      </c>
      <c r="C9780" s="188">
        <v>5.68</v>
      </c>
      <c r="D9780" s="104">
        <f t="shared" si="152"/>
        <v>5.6799999999999996E-2</v>
      </c>
      <c r="F9780" s="5"/>
    </row>
    <row r="9781" spans="2:6" ht="13.8" hidden="1" outlineLevel="1">
      <c r="B9781" s="187">
        <v>36299</v>
      </c>
      <c r="C9781" s="188">
        <v>5.6</v>
      </c>
      <c r="D9781" s="104">
        <f t="shared" si="152"/>
        <v>5.5999999999999994E-2</v>
      </c>
      <c r="F9781" s="5"/>
    </row>
    <row r="9782" spans="2:6" ht="13.8" hidden="1" outlineLevel="1">
      <c r="B9782" s="187">
        <v>36300</v>
      </c>
      <c r="C9782" s="188">
        <v>5.6</v>
      </c>
      <c r="D9782" s="104">
        <f t="shared" si="152"/>
        <v>5.5999999999999994E-2</v>
      </c>
      <c r="F9782" s="5"/>
    </row>
    <row r="9783" spans="2:6" ht="13.8" hidden="1" outlineLevel="1">
      <c r="B9783" s="187">
        <v>36301</v>
      </c>
      <c r="C9783" s="188">
        <v>5.52</v>
      </c>
      <c r="D9783" s="104">
        <f t="shared" si="152"/>
        <v>5.5199999999999999E-2</v>
      </c>
      <c r="F9783" s="5"/>
    </row>
    <row r="9784" spans="2:6" ht="13.8" hidden="1" outlineLevel="1">
      <c r="B9784" s="187">
        <v>36304</v>
      </c>
      <c r="C9784" s="188">
        <v>5.5</v>
      </c>
      <c r="D9784" s="104">
        <f t="shared" si="152"/>
        <v>5.5E-2</v>
      </c>
      <c r="F9784" s="5"/>
    </row>
    <row r="9785" spans="2:6" ht="13.8" hidden="1" outlineLevel="1">
      <c r="B9785" s="187">
        <v>36305</v>
      </c>
      <c r="C9785" s="188">
        <v>5.49</v>
      </c>
      <c r="D9785" s="104">
        <f t="shared" si="152"/>
        <v>5.4900000000000004E-2</v>
      </c>
      <c r="F9785" s="5"/>
    </row>
    <row r="9786" spans="2:6" ht="13.8" hidden="1" outlineLevel="1">
      <c r="B9786" s="187">
        <v>36306</v>
      </c>
      <c r="C9786" s="188">
        <v>5.55</v>
      </c>
      <c r="D9786" s="104">
        <f t="shared" si="152"/>
        <v>5.5500000000000001E-2</v>
      </c>
      <c r="F9786" s="5"/>
    </row>
    <row r="9787" spans="2:6" ht="13.8" hidden="1" outlineLevel="1">
      <c r="B9787" s="187">
        <v>36307</v>
      </c>
      <c r="C9787" s="188">
        <v>5.62</v>
      </c>
      <c r="D9787" s="104">
        <f t="shared" si="152"/>
        <v>5.62E-2</v>
      </c>
      <c r="F9787" s="5"/>
    </row>
    <row r="9788" spans="2:6" ht="13.8" hidden="1" outlineLevel="1">
      <c r="B9788" s="187">
        <v>36308</v>
      </c>
      <c r="C9788" s="188">
        <v>5.64</v>
      </c>
      <c r="D9788" s="104">
        <f t="shared" si="152"/>
        <v>5.6399999999999999E-2</v>
      </c>
      <c r="F9788" s="5"/>
    </row>
    <row r="9789" spans="2:6" ht="13.8" hidden="1" outlineLevel="1">
      <c r="B9789" s="187">
        <v>36311</v>
      </c>
      <c r="C9789" s="188" t="s">
        <v>380</v>
      </c>
      <c r="D9789" s="104">
        <f t="shared" si="152"/>
        <v>5.6399999999999999E-2</v>
      </c>
      <c r="F9789" s="5"/>
    </row>
    <row r="9790" spans="2:6" ht="13.8" hidden="1" outlineLevel="1">
      <c r="B9790" s="187">
        <v>36312</v>
      </c>
      <c r="C9790" s="188">
        <v>5.78</v>
      </c>
      <c r="D9790" s="104">
        <f t="shared" si="152"/>
        <v>5.7800000000000004E-2</v>
      </c>
      <c r="F9790" s="5"/>
    </row>
    <row r="9791" spans="2:6" ht="13.8" hidden="1" outlineLevel="1">
      <c r="B9791" s="187">
        <v>36313</v>
      </c>
      <c r="C9791" s="188">
        <v>5.8</v>
      </c>
      <c r="D9791" s="104">
        <f t="shared" si="152"/>
        <v>5.7999999999999996E-2</v>
      </c>
      <c r="F9791" s="5"/>
    </row>
    <row r="9792" spans="2:6" ht="13.8" hidden="1" outlineLevel="1">
      <c r="B9792" s="187">
        <v>36314</v>
      </c>
      <c r="C9792" s="188">
        <v>5.8</v>
      </c>
      <c r="D9792" s="104">
        <f t="shared" si="152"/>
        <v>5.7999999999999996E-2</v>
      </c>
      <c r="F9792" s="5"/>
    </row>
    <row r="9793" spans="2:6" ht="13.8" hidden="1" outlineLevel="1">
      <c r="B9793" s="187">
        <v>36315</v>
      </c>
      <c r="C9793" s="188">
        <v>5.82</v>
      </c>
      <c r="D9793" s="104">
        <f t="shared" si="152"/>
        <v>5.8200000000000002E-2</v>
      </c>
      <c r="F9793" s="5"/>
    </row>
    <row r="9794" spans="2:6" ht="13.8" hidden="1" outlineLevel="1">
      <c r="B9794" s="187">
        <v>36318</v>
      </c>
      <c r="C9794" s="188">
        <v>5.81</v>
      </c>
      <c r="D9794" s="104">
        <f t="shared" si="152"/>
        <v>5.8099999999999999E-2</v>
      </c>
      <c r="F9794" s="5"/>
    </row>
    <row r="9795" spans="2:6" ht="13.8" hidden="1" outlineLevel="1">
      <c r="B9795" s="187">
        <v>36319</v>
      </c>
      <c r="C9795" s="188">
        <v>5.83</v>
      </c>
      <c r="D9795" s="104">
        <f t="shared" si="152"/>
        <v>5.8299999999999998E-2</v>
      </c>
      <c r="F9795" s="5"/>
    </row>
    <row r="9796" spans="2:6" ht="13.8" hidden="1" outlineLevel="1">
      <c r="B9796" s="187">
        <v>36320</v>
      </c>
      <c r="C9796" s="188">
        <v>5.87</v>
      </c>
      <c r="D9796" s="104">
        <f t="shared" si="152"/>
        <v>5.8700000000000002E-2</v>
      </c>
      <c r="F9796" s="5"/>
    </row>
    <row r="9797" spans="2:6" ht="13.8" hidden="1" outlineLevel="1">
      <c r="B9797" s="187">
        <v>36321</v>
      </c>
      <c r="C9797" s="188">
        <v>5.92</v>
      </c>
      <c r="D9797" s="104">
        <f t="shared" si="152"/>
        <v>5.9200000000000003E-2</v>
      </c>
      <c r="F9797" s="5"/>
    </row>
    <row r="9798" spans="2:6" ht="13.8" hidden="1" outlineLevel="1">
      <c r="B9798" s="187">
        <v>36322</v>
      </c>
      <c r="C9798" s="188">
        <v>6.02</v>
      </c>
      <c r="D9798" s="104">
        <f t="shared" si="152"/>
        <v>6.0199999999999997E-2</v>
      </c>
      <c r="F9798" s="5"/>
    </row>
    <row r="9799" spans="2:6" ht="13.8" hidden="1" outlineLevel="1">
      <c r="B9799" s="187">
        <v>36325</v>
      </c>
      <c r="C9799" s="188">
        <v>5.98</v>
      </c>
      <c r="D9799" s="104">
        <f t="shared" si="152"/>
        <v>5.9800000000000006E-2</v>
      </c>
      <c r="F9799" s="5"/>
    </row>
    <row r="9800" spans="2:6" ht="13.8" hidden="1" outlineLevel="1">
      <c r="B9800" s="187">
        <v>36326</v>
      </c>
      <c r="C9800" s="188">
        <v>5.98</v>
      </c>
      <c r="D9800" s="104">
        <f t="shared" si="152"/>
        <v>5.9800000000000006E-2</v>
      </c>
      <c r="F9800" s="5"/>
    </row>
    <row r="9801" spans="2:6" ht="13.8" hidden="1" outlineLevel="1">
      <c r="B9801" s="187">
        <v>36327</v>
      </c>
      <c r="C9801" s="188">
        <v>5.94</v>
      </c>
      <c r="D9801" s="104">
        <f t="shared" si="152"/>
        <v>5.9400000000000001E-2</v>
      </c>
      <c r="F9801" s="5"/>
    </row>
    <row r="9802" spans="2:6" ht="13.8" hidden="1" outlineLevel="1">
      <c r="B9802" s="187">
        <v>36328</v>
      </c>
      <c r="C9802" s="188">
        <v>5.79</v>
      </c>
      <c r="D9802" s="104">
        <f t="shared" si="152"/>
        <v>5.79E-2</v>
      </c>
      <c r="F9802" s="5"/>
    </row>
    <row r="9803" spans="2:6" ht="13.8" hidden="1" outlineLevel="1">
      <c r="B9803" s="187">
        <v>36329</v>
      </c>
      <c r="C9803" s="188">
        <v>5.84</v>
      </c>
      <c r="D9803" s="104">
        <f t="shared" si="152"/>
        <v>5.8400000000000001E-2</v>
      </c>
      <c r="F9803" s="5"/>
    </row>
    <row r="9804" spans="2:6" ht="13.8" hidden="1" outlineLevel="1">
      <c r="B9804" s="187">
        <v>36332</v>
      </c>
      <c r="C9804" s="188">
        <v>5.9</v>
      </c>
      <c r="D9804" s="104">
        <f t="shared" si="152"/>
        <v>5.9000000000000004E-2</v>
      </c>
      <c r="F9804" s="5"/>
    </row>
    <row r="9805" spans="2:6" ht="13.8" hidden="1" outlineLevel="1">
      <c r="B9805" s="187">
        <v>36333</v>
      </c>
      <c r="C9805" s="188">
        <v>5.94</v>
      </c>
      <c r="D9805" s="104">
        <f t="shared" si="152"/>
        <v>5.9400000000000001E-2</v>
      </c>
      <c r="F9805" s="5"/>
    </row>
    <row r="9806" spans="2:6" ht="13.8" hidden="1" outlineLevel="1">
      <c r="B9806" s="187">
        <v>36334</v>
      </c>
      <c r="C9806" s="188">
        <v>6</v>
      </c>
      <c r="D9806" s="104">
        <f t="shared" si="152"/>
        <v>0.06</v>
      </c>
      <c r="F9806" s="5"/>
    </row>
    <row r="9807" spans="2:6" ht="13.8" hidden="1" outlineLevel="1">
      <c r="B9807" s="187">
        <v>36335</v>
      </c>
      <c r="C9807" s="188">
        <v>6.05</v>
      </c>
      <c r="D9807" s="104">
        <f t="shared" si="152"/>
        <v>6.0499999999999998E-2</v>
      </c>
      <c r="F9807" s="5"/>
    </row>
    <row r="9808" spans="2:6" ht="13.8" hidden="1" outlineLevel="1">
      <c r="B9808" s="187">
        <v>36336</v>
      </c>
      <c r="C9808" s="188">
        <v>6.02</v>
      </c>
      <c r="D9808" s="104">
        <f t="shared" si="152"/>
        <v>6.0199999999999997E-2</v>
      </c>
      <c r="F9808" s="5"/>
    </row>
    <row r="9809" spans="2:6" ht="13.8" hidden="1" outlineLevel="1">
      <c r="B9809" s="187">
        <v>36339</v>
      </c>
      <c r="C9809" s="188">
        <v>5.96</v>
      </c>
      <c r="D9809" s="104">
        <f t="shared" si="152"/>
        <v>5.96E-2</v>
      </c>
      <c r="F9809" s="5"/>
    </row>
    <row r="9810" spans="2:6" ht="13.8" hidden="1" outlineLevel="1">
      <c r="B9810" s="187">
        <v>36340</v>
      </c>
      <c r="C9810" s="188">
        <v>5.93</v>
      </c>
      <c r="D9810" s="104">
        <f t="shared" si="152"/>
        <v>5.9299999999999999E-2</v>
      </c>
      <c r="F9810" s="5"/>
    </row>
    <row r="9811" spans="2:6" ht="13.8" hidden="1" outlineLevel="1">
      <c r="B9811" s="187">
        <v>36341</v>
      </c>
      <c r="C9811" s="188">
        <v>5.81</v>
      </c>
      <c r="D9811" s="104">
        <f t="shared" si="152"/>
        <v>5.8099999999999999E-2</v>
      </c>
      <c r="F9811" s="5"/>
    </row>
    <row r="9812" spans="2:6" ht="13.8" hidden="1" outlineLevel="1">
      <c r="B9812" s="187">
        <v>36342</v>
      </c>
      <c r="C9812" s="188">
        <v>5.85</v>
      </c>
      <c r="D9812" s="104">
        <f t="shared" si="152"/>
        <v>5.8499999999999996E-2</v>
      </c>
      <c r="F9812" s="5"/>
    </row>
    <row r="9813" spans="2:6" ht="13.8" hidden="1" outlineLevel="1">
      <c r="B9813" s="187">
        <v>36343</v>
      </c>
      <c r="C9813" s="188">
        <v>5.82</v>
      </c>
      <c r="D9813" s="104">
        <f t="shared" si="152"/>
        <v>5.8200000000000002E-2</v>
      </c>
      <c r="F9813" s="5"/>
    </row>
    <row r="9814" spans="2:6" ht="13.8" hidden="1" outlineLevel="1">
      <c r="B9814" s="187">
        <v>36346</v>
      </c>
      <c r="C9814" s="188" t="s">
        <v>380</v>
      </c>
      <c r="D9814" s="104">
        <f t="shared" si="152"/>
        <v>5.8200000000000002E-2</v>
      </c>
      <c r="F9814" s="5"/>
    </row>
    <row r="9815" spans="2:6" ht="13.8" hidden="1" outlineLevel="1">
      <c r="B9815" s="187">
        <v>36347</v>
      </c>
      <c r="C9815" s="188">
        <v>5.88</v>
      </c>
      <c r="D9815" s="104">
        <f t="shared" si="152"/>
        <v>5.8799999999999998E-2</v>
      </c>
      <c r="F9815" s="5"/>
    </row>
    <row r="9816" spans="2:6" ht="13.8" hidden="1" outlineLevel="1">
      <c r="B9816" s="187">
        <v>36348</v>
      </c>
      <c r="C9816" s="188">
        <v>5.92</v>
      </c>
      <c r="D9816" s="104">
        <f t="shared" si="152"/>
        <v>5.9200000000000003E-2</v>
      </c>
      <c r="F9816" s="5"/>
    </row>
    <row r="9817" spans="2:6" ht="13.8" hidden="1" outlineLevel="1">
      <c r="B9817" s="187">
        <v>36349</v>
      </c>
      <c r="C9817" s="188">
        <v>5.85</v>
      </c>
      <c r="D9817" s="104">
        <f t="shared" si="152"/>
        <v>5.8499999999999996E-2</v>
      </c>
      <c r="F9817" s="5"/>
    </row>
    <row r="9818" spans="2:6" ht="13.8" hidden="1" outlineLevel="1">
      <c r="B9818" s="187">
        <v>36350</v>
      </c>
      <c r="C9818" s="188">
        <v>5.84</v>
      </c>
      <c r="D9818" s="104">
        <f t="shared" si="152"/>
        <v>5.8400000000000001E-2</v>
      </c>
      <c r="F9818" s="5"/>
    </row>
    <row r="9819" spans="2:6" ht="13.8" hidden="1" outlineLevel="1">
      <c r="B9819" s="187">
        <v>36353</v>
      </c>
      <c r="C9819" s="188">
        <v>5.74</v>
      </c>
      <c r="D9819" s="104">
        <f t="shared" si="152"/>
        <v>5.74E-2</v>
      </c>
      <c r="F9819" s="5"/>
    </row>
    <row r="9820" spans="2:6" ht="13.8" hidden="1" outlineLevel="1">
      <c r="B9820" s="187">
        <v>36354</v>
      </c>
      <c r="C9820" s="188">
        <v>5.71</v>
      </c>
      <c r="D9820" s="104">
        <f t="shared" si="152"/>
        <v>5.7099999999999998E-2</v>
      </c>
      <c r="F9820" s="5"/>
    </row>
    <row r="9821" spans="2:6" ht="13.8" hidden="1" outlineLevel="1">
      <c r="B9821" s="187">
        <v>36355</v>
      </c>
      <c r="C9821" s="188">
        <v>5.74</v>
      </c>
      <c r="D9821" s="104">
        <f t="shared" si="152"/>
        <v>5.74E-2</v>
      </c>
      <c r="F9821" s="5"/>
    </row>
    <row r="9822" spans="2:6" ht="13.8" hidden="1" outlineLevel="1">
      <c r="B9822" s="187">
        <v>36356</v>
      </c>
      <c r="C9822" s="188">
        <v>5.72</v>
      </c>
      <c r="D9822" s="104">
        <f t="shared" ref="D9822:D9885" si="153">IF( LEN( C9822 ) = 0, #N/A, IF( C9822 = "ND", D9821, C9822 / 100 ) )</f>
        <v>5.7200000000000001E-2</v>
      </c>
      <c r="F9822" s="5"/>
    </row>
    <row r="9823" spans="2:6" ht="13.8" hidden="1" outlineLevel="1">
      <c r="B9823" s="187">
        <v>36357</v>
      </c>
      <c r="C9823" s="188">
        <v>5.68</v>
      </c>
      <c r="D9823" s="104">
        <f t="shared" si="153"/>
        <v>5.6799999999999996E-2</v>
      </c>
      <c r="F9823" s="5"/>
    </row>
    <row r="9824" spans="2:6" ht="13.8" hidden="1" outlineLevel="1">
      <c r="B9824" s="187">
        <v>36360</v>
      </c>
      <c r="C9824" s="188">
        <v>5.66</v>
      </c>
      <c r="D9824" s="104">
        <f t="shared" si="153"/>
        <v>5.6600000000000004E-2</v>
      </c>
      <c r="F9824" s="5"/>
    </row>
    <row r="9825" spans="2:6" ht="13.8" hidden="1" outlineLevel="1">
      <c r="B9825" s="187">
        <v>36361</v>
      </c>
      <c r="C9825" s="188">
        <v>5.65</v>
      </c>
      <c r="D9825" s="104">
        <f t="shared" si="153"/>
        <v>5.6500000000000002E-2</v>
      </c>
      <c r="F9825" s="5"/>
    </row>
    <row r="9826" spans="2:6" ht="13.8" hidden="1" outlineLevel="1">
      <c r="B9826" s="187">
        <v>36362</v>
      </c>
      <c r="C9826" s="188">
        <v>5.66</v>
      </c>
      <c r="D9826" s="104">
        <f t="shared" si="153"/>
        <v>5.6600000000000004E-2</v>
      </c>
      <c r="F9826" s="5"/>
    </row>
    <row r="9827" spans="2:6" ht="13.8" hidden="1" outlineLevel="1">
      <c r="B9827" s="187">
        <v>36363</v>
      </c>
      <c r="C9827" s="188">
        <v>5.78</v>
      </c>
      <c r="D9827" s="104">
        <f t="shared" si="153"/>
        <v>5.7800000000000004E-2</v>
      </c>
      <c r="F9827" s="5"/>
    </row>
    <row r="9828" spans="2:6" ht="13.8" hidden="1" outlineLevel="1">
      <c r="B9828" s="187">
        <v>36364</v>
      </c>
      <c r="C9828" s="188">
        <v>5.84</v>
      </c>
      <c r="D9828" s="104">
        <f t="shared" si="153"/>
        <v>5.8400000000000001E-2</v>
      </c>
      <c r="F9828" s="5"/>
    </row>
    <row r="9829" spans="2:6" ht="13.8" hidden="1" outlineLevel="1">
      <c r="B9829" s="187">
        <v>36367</v>
      </c>
      <c r="C9829" s="188">
        <v>5.86</v>
      </c>
      <c r="D9829" s="104">
        <f t="shared" si="153"/>
        <v>5.8600000000000006E-2</v>
      </c>
      <c r="F9829" s="5"/>
    </row>
    <row r="9830" spans="2:6" ht="13.8" hidden="1" outlineLevel="1">
      <c r="B9830" s="187">
        <v>36368</v>
      </c>
      <c r="C9830" s="188">
        <v>5.82</v>
      </c>
      <c r="D9830" s="104">
        <f t="shared" si="153"/>
        <v>5.8200000000000002E-2</v>
      </c>
      <c r="F9830" s="5"/>
    </row>
    <row r="9831" spans="2:6" ht="13.8" hidden="1" outlineLevel="1">
      <c r="B9831" s="187">
        <v>36369</v>
      </c>
      <c r="C9831" s="188">
        <v>5.81</v>
      </c>
      <c r="D9831" s="104">
        <f t="shared" si="153"/>
        <v>5.8099999999999999E-2</v>
      </c>
      <c r="F9831" s="5"/>
    </row>
    <row r="9832" spans="2:6" ht="13.8" hidden="1" outlineLevel="1">
      <c r="B9832" s="187">
        <v>36370</v>
      </c>
      <c r="C9832" s="188">
        <v>5.88</v>
      </c>
      <c r="D9832" s="104">
        <f t="shared" si="153"/>
        <v>5.8799999999999998E-2</v>
      </c>
      <c r="F9832" s="5"/>
    </row>
    <row r="9833" spans="2:6" ht="13.8" hidden="1" outlineLevel="1">
      <c r="B9833" s="187">
        <v>36371</v>
      </c>
      <c r="C9833" s="188">
        <v>5.92</v>
      </c>
      <c r="D9833" s="104">
        <f t="shared" si="153"/>
        <v>5.9200000000000003E-2</v>
      </c>
      <c r="F9833" s="5"/>
    </row>
    <row r="9834" spans="2:6" ht="13.8" hidden="1" outlineLevel="1">
      <c r="B9834" s="187">
        <v>36374</v>
      </c>
      <c r="C9834" s="188">
        <v>5.92</v>
      </c>
      <c r="D9834" s="104">
        <f t="shared" si="153"/>
        <v>5.9200000000000003E-2</v>
      </c>
      <c r="F9834" s="5"/>
    </row>
    <row r="9835" spans="2:6" ht="13.8" hidden="1" outlineLevel="1">
      <c r="B9835" s="187">
        <v>36375</v>
      </c>
      <c r="C9835" s="188">
        <v>5.95</v>
      </c>
      <c r="D9835" s="104">
        <f t="shared" si="153"/>
        <v>5.9500000000000004E-2</v>
      </c>
      <c r="F9835" s="5"/>
    </row>
    <row r="9836" spans="2:6" ht="13.8" hidden="1" outlineLevel="1">
      <c r="B9836" s="187">
        <v>36376</v>
      </c>
      <c r="C9836" s="188">
        <v>5.96</v>
      </c>
      <c r="D9836" s="104">
        <f t="shared" si="153"/>
        <v>5.96E-2</v>
      </c>
      <c r="F9836" s="5"/>
    </row>
    <row r="9837" spans="2:6" ht="13.8" hidden="1" outlineLevel="1">
      <c r="B9837" s="187">
        <v>36377</v>
      </c>
      <c r="C9837" s="188">
        <v>5.88</v>
      </c>
      <c r="D9837" s="104">
        <f t="shared" si="153"/>
        <v>5.8799999999999998E-2</v>
      </c>
      <c r="F9837" s="5"/>
    </row>
    <row r="9838" spans="2:6" ht="13.8" hidden="1" outlineLevel="1">
      <c r="B9838" s="187">
        <v>36378</v>
      </c>
      <c r="C9838" s="188">
        <v>6.02</v>
      </c>
      <c r="D9838" s="104">
        <f t="shared" si="153"/>
        <v>6.0199999999999997E-2</v>
      </c>
      <c r="F9838" s="5"/>
    </row>
    <row r="9839" spans="2:6" ht="13.8" hidden="1" outlineLevel="1">
      <c r="B9839" s="187">
        <v>36381</v>
      </c>
      <c r="C9839" s="188">
        <v>6.13</v>
      </c>
      <c r="D9839" s="104">
        <f t="shared" si="153"/>
        <v>6.13E-2</v>
      </c>
      <c r="F9839" s="5"/>
    </row>
    <row r="9840" spans="2:6" ht="13.8" hidden="1" outlineLevel="1">
      <c r="B9840" s="187">
        <v>36382</v>
      </c>
      <c r="C9840" s="188">
        <v>6.16</v>
      </c>
      <c r="D9840" s="104">
        <f t="shared" si="153"/>
        <v>6.1600000000000002E-2</v>
      </c>
      <c r="F9840" s="5"/>
    </row>
    <row r="9841" spans="2:6" ht="13.8" hidden="1" outlineLevel="1">
      <c r="B9841" s="187">
        <v>36383</v>
      </c>
      <c r="C9841" s="188">
        <v>6.05</v>
      </c>
      <c r="D9841" s="104">
        <f t="shared" si="153"/>
        <v>6.0499999999999998E-2</v>
      </c>
      <c r="F9841" s="5"/>
    </row>
    <row r="9842" spans="2:6" ht="13.8" hidden="1" outlineLevel="1">
      <c r="B9842" s="187">
        <v>36384</v>
      </c>
      <c r="C9842" s="188">
        <v>6.08</v>
      </c>
      <c r="D9842" s="104">
        <f t="shared" si="153"/>
        <v>6.08E-2</v>
      </c>
      <c r="F9842" s="5"/>
    </row>
    <row r="9843" spans="2:6" ht="13.8" hidden="1" outlineLevel="1">
      <c r="B9843" s="187">
        <v>36385</v>
      </c>
      <c r="C9843" s="188">
        <v>5.98</v>
      </c>
      <c r="D9843" s="104">
        <f t="shared" si="153"/>
        <v>5.9800000000000006E-2</v>
      </c>
      <c r="F9843" s="5"/>
    </row>
    <row r="9844" spans="2:6" ht="13.8" hidden="1" outlineLevel="1">
      <c r="B9844" s="187">
        <v>36388</v>
      </c>
      <c r="C9844" s="188">
        <v>5.98</v>
      </c>
      <c r="D9844" s="104">
        <f t="shared" si="153"/>
        <v>5.9800000000000006E-2</v>
      </c>
      <c r="F9844" s="5"/>
    </row>
    <row r="9845" spans="2:6" ht="13.8" hidden="1" outlineLevel="1">
      <c r="B9845" s="187">
        <v>36389</v>
      </c>
      <c r="C9845" s="188">
        <v>5.89</v>
      </c>
      <c r="D9845" s="104">
        <f t="shared" si="153"/>
        <v>5.8899999999999994E-2</v>
      </c>
      <c r="F9845" s="5"/>
    </row>
    <row r="9846" spans="2:6" ht="13.8" hidden="1" outlineLevel="1">
      <c r="B9846" s="187">
        <v>36390</v>
      </c>
      <c r="C9846" s="188">
        <v>5.88</v>
      </c>
      <c r="D9846" s="104">
        <f t="shared" si="153"/>
        <v>5.8799999999999998E-2</v>
      </c>
      <c r="F9846" s="5"/>
    </row>
    <row r="9847" spans="2:6" ht="13.8" hidden="1" outlineLevel="1">
      <c r="B9847" s="187">
        <v>36391</v>
      </c>
      <c r="C9847" s="188">
        <v>5.9</v>
      </c>
      <c r="D9847" s="104">
        <f t="shared" si="153"/>
        <v>5.9000000000000004E-2</v>
      </c>
      <c r="F9847" s="5"/>
    </row>
    <row r="9848" spans="2:6" ht="13.8" hidden="1" outlineLevel="1">
      <c r="B9848" s="187">
        <v>36392</v>
      </c>
      <c r="C9848" s="188">
        <v>5.88</v>
      </c>
      <c r="D9848" s="104">
        <f t="shared" si="153"/>
        <v>5.8799999999999998E-2</v>
      </c>
      <c r="F9848" s="5"/>
    </row>
    <row r="9849" spans="2:6" ht="13.8" hidden="1" outlineLevel="1">
      <c r="B9849" s="187">
        <v>36395</v>
      </c>
      <c r="C9849" s="188">
        <v>5.89</v>
      </c>
      <c r="D9849" s="104">
        <f t="shared" si="153"/>
        <v>5.8899999999999994E-2</v>
      </c>
      <c r="F9849" s="5"/>
    </row>
    <row r="9850" spans="2:6" ht="13.8" hidden="1" outlineLevel="1">
      <c r="B9850" s="187">
        <v>36396</v>
      </c>
      <c r="C9850" s="188">
        <v>5.85</v>
      </c>
      <c r="D9850" s="104">
        <f t="shared" si="153"/>
        <v>5.8499999999999996E-2</v>
      </c>
      <c r="F9850" s="5"/>
    </row>
    <row r="9851" spans="2:6" ht="13.8" hidden="1" outlineLevel="1">
      <c r="B9851" s="187">
        <v>36397</v>
      </c>
      <c r="C9851" s="188">
        <v>5.73</v>
      </c>
      <c r="D9851" s="104">
        <f t="shared" si="153"/>
        <v>5.7300000000000004E-2</v>
      </c>
      <c r="F9851" s="5"/>
    </row>
    <row r="9852" spans="2:6" ht="13.8" hidden="1" outlineLevel="1">
      <c r="B9852" s="187">
        <v>36398</v>
      </c>
      <c r="C9852" s="188">
        <v>5.75</v>
      </c>
      <c r="D9852" s="104">
        <f t="shared" si="153"/>
        <v>5.7500000000000002E-2</v>
      </c>
      <c r="F9852" s="5"/>
    </row>
    <row r="9853" spans="2:6" ht="13.8" hidden="1" outlineLevel="1">
      <c r="B9853" s="187">
        <v>36399</v>
      </c>
      <c r="C9853" s="188">
        <v>5.85</v>
      </c>
      <c r="D9853" s="104">
        <f t="shared" si="153"/>
        <v>5.8499999999999996E-2</v>
      </c>
      <c r="F9853" s="5"/>
    </row>
    <row r="9854" spans="2:6" ht="13.8" hidden="1" outlineLevel="1">
      <c r="B9854" s="187">
        <v>36402</v>
      </c>
      <c r="C9854" s="188">
        <v>5.95</v>
      </c>
      <c r="D9854" s="104">
        <f t="shared" si="153"/>
        <v>5.9500000000000004E-2</v>
      </c>
      <c r="F9854" s="5"/>
    </row>
    <row r="9855" spans="2:6" ht="13.8" hidden="1" outlineLevel="1">
      <c r="B9855" s="187">
        <v>36403</v>
      </c>
      <c r="C9855" s="188">
        <v>5.98</v>
      </c>
      <c r="D9855" s="104">
        <f t="shared" si="153"/>
        <v>5.9800000000000006E-2</v>
      </c>
      <c r="F9855" s="5"/>
    </row>
    <row r="9856" spans="2:6" ht="13.8" hidden="1" outlineLevel="1">
      <c r="B9856" s="187">
        <v>36404</v>
      </c>
      <c r="C9856" s="188">
        <v>5.99</v>
      </c>
      <c r="D9856" s="104">
        <f t="shared" si="153"/>
        <v>5.9900000000000002E-2</v>
      </c>
      <c r="F9856" s="5"/>
    </row>
    <row r="9857" spans="2:6" ht="13.8" hidden="1" outlineLevel="1">
      <c r="B9857" s="187">
        <v>36405</v>
      </c>
      <c r="C9857" s="188">
        <v>6.03</v>
      </c>
      <c r="D9857" s="104">
        <f t="shared" si="153"/>
        <v>6.0299999999999999E-2</v>
      </c>
      <c r="F9857" s="5"/>
    </row>
    <row r="9858" spans="2:6" ht="13.8" hidden="1" outlineLevel="1">
      <c r="B9858" s="187">
        <v>36406</v>
      </c>
      <c r="C9858" s="188">
        <v>5.89</v>
      </c>
      <c r="D9858" s="104">
        <f t="shared" si="153"/>
        <v>5.8899999999999994E-2</v>
      </c>
      <c r="F9858" s="5"/>
    </row>
    <row r="9859" spans="2:6" ht="13.8" hidden="1" outlineLevel="1">
      <c r="B9859" s="187">
        <v>36409</v>
      </c>
      <c r="C9859" s="188" t="s">
        <v>380</v>
      </c>
      <c r="D9859" s="104">
        <f t="shared" si="153"/>
        <v>5.8899999999999994E-2</v>
      </c>
      <c r="F9859" s="5"/>
    </row>
    <row r="9860" spans="2:6" ht="13.8" hidden="1" outlineLevel="1">
      <c r="B9860" s="187">
        <v>36410</v>
      </c>
      <c r="C9860" s="188">
        <v>5.95</v>
      </c>
      <c r="D9860" s="104">
        <f t="shared" si="153"/>
        <v>5.9500000000000004E-2</v>
      </c>
      <c r="F9860" s="5"/>
    </row>
    <row r="9861" spans="2:6" ht="13.8" hidden="1" outlineLevel="1">
      <c r="B9861" s="187">
        <v>36411</v>
      </c>
      <c r="C9861" s="188">
        <v>5.93</v>
      </c>
      <c r="D9861" s="104">
        <f t="shared" si="153"/>
        <v>5.9299999999999999E-2</v>
      </c>
      <c r="F9861" s="5"/>
    </row>
    <row r="9862" spans="2:6" ht="13.8" hidden="1" outlineLevel="1">
      <c r="B9862" s="187">
        <v>36412</v>
      </c>
      <c r="C9862" s="188">
        <v>5.97</v>
      </c>
      <c r="D9862" s="104">
        <f t="shared" si="153"/>
        <v>5.9699999999999996E-2</v>
      </c>
      <c r="F9862" s="5"/>
    </row>
    <row r="9863" spans="2:6" ht="13.8" hidden="1" outlineLevel="1">
      <c r="B9863" s="187">
        <v>36413</v>
      </c>
      <c r="C9863" s="188">
        <v>5.89</v>
      </c>
      <c r="D9863" s="104">
        <f t="shared" si="153"/>
        <v>5.8899999999999994E-2</v>
      </c>
      <c r="F9863" s="5"/>
    </row>
    <row r="9864" spans="2:6" ht="13.8" hidden="1" outlineLevel="1">
      <c r="B9864" s="187">
        <v>36416</v>
      </c>
      <c r="C9864" s="188">
        <v>5.92</v>
      </c>
      <c r="D9864" s="104">
        <f t="shared" si="153"/>
        <v>5.9200000000000003E-2</v>
      </c>
      <c r="F9864" s="5"/>
    </row>
    <row r="9865" spans="2:6" ht="13.8" hidden="1" outlineLevel="1">
      <c r="B9865" s="187">
        <v>36417</v>
      </c>
      <c r="C9865" s="188">
        <v>5.96</v>
      </c>
      <c r="D9865" s="104">
        <f t="shared" si="153"/>
        <v>5.96E-2</v>
      </c>
      <c r="F9865" s="5"/>
    </row>
    <row r="9866" spans="2:6" ht="13.8" hidden="1" outlineLevel="1">
      <c r="B9866" s="187">
        <v>36418</v>
      </c>
      <c r="C9866" s="188">
        <v>5.94</v>
      </c>
      <c r="D9866" s="104">
        <f t="shared" si="153"/>
        <v>5.9400000000000001E-2</v>
      </c>
      <c r="F9866" s="5"/>
    </row>
    <row r="9867" spans="2:6" ht="13.8" hidden="1" outlineLevel="1">
      <c r="B9867" s="187">
        <v>36419</v>
      </c>
      <c r="C9867" s="188">
        <v>5.9</v>
      </c>
      <c r="D9867" s="104">
        <f t="shared" si="153"/>
        <v>5.9000000000000004E-2</v>
      </c>
      <c r="F9867" s="5"/>
    </row>
    <row r="9868" spans="2:6" ht="13.8" hidden="1" outlineLevel="1">
      <c r="B9868" s="187">
        <v>36420</v>
      </c>
      <c r="C9868" s="188">
        <v>5.87</v>
      </c>
      <c r="D9868" s="104">
        <f t="shared" si="153"/>
        <v>5.8700000000000002E-2</v>
      </c>
      <c r="F9868" s="5"/>
    </row>
    <row r="9869" spans="2:6" ht="13.8" hidden="1" outlineLevel="1">
      <c r="B9869" s="187">
        <v>36423</v>
      </c>
      <c r="C9869" s="188">
        <v>5.91</v>
      </c>
      <c r="D9869" s="104">
        <f t="shared" si="153"/>
        <v>5.91E-2</v>
      </c>
      <c r="F9869" s="5"/>
    </row>
    <row r="9870" spans="2:6" ht="13.8" hidden="1" outlineLevel="1">
      <c r="B9870" s="187">
        <v>36424</v>
      </c>
      <c r="C9870" s="188">
        <v>5.94</v>
      </c>
      <c r="D9870" s="104">
        <f t="shared" si="153"/>
        <v>5.9400000000000001E-2</v>
      </c>
      <c r="F9870" s="5"/>
    </row>
    <row r="9871" spans="2:6" ht="13.8" hidden="1" outlineLevel="1">
      <c r="B9871" s="187">
        <v>36425</v>
      </c>
      <c r="C9871" s="188">
        <v>5.92</v>
      </c>
      <c r="D9871" s="104">
        <f t="shared" si="153"/>
        <v>5.9200000000000003E-2</v>
      </c>
      <c r="F9871" s="5"/>
    </row>
    <row r="9872" spans="2:6" ht="13.8" hidden="1" outlineLevel="1">
      <c r="B9872" s="187">
        <v>36426</v>
      </c>
      <c r="C9872" s="188">
        <v>5.87</v>
      </c>
      <c r="D9872" s="104">
        <f t="shared" si="153"/>
        <v>5.8700000000000002E-2</v>
      </c>
      <c r="F9872" s="5"/>
    </row>
    <row r="9873" spans="2:6" ht="13.8" hidden="1" outlineLevel="1">
      <c r="B9873" s="187">
        <v>36427</v>
      </c>
      <c r="C9873" s="188">
        <v>5.75</v>
      </c>
      <c r="D9873" s="104">
        <f t="shared" si="153"/>
        <v>5.7500000000000002E-2</v>
      </c>
      <c r="F9873" s="5"/>
    </row>
    <row r="9874" spans="2:6" ht="13.8" hidden="1" outlineLevel="1">
      <c r="B9874" s="187">
        <v>36430</v>
      </c>
      <c r="C9874" s="188">
        <v>5.83</v>
      </c>
      <c r="D9874" s="104">
        <f t="shared" si="153"/>
        <v>5.8299999999999998E-2</v>
      </c>
      <c r="F9874" s="5"/>
    </row>
    <row r="9875" spans="2:6" ht="13.8" hidden="1" outlineLevel="1">
      <c r="B9875" s="187">
        <v>36431</v>
      </c>
      <c r="C9875" s="188">
        <v>5.89</v>
      </c>
      <c r="D9875" s="104">
        <f t="shared" si="153"/>
        <v>5.8899999999999994E-2</v>
      </c>
      <c r="F9875" s="5"/>
    </row>
    <row r="9876" spans="2:6" ht="13.8" hidden="1" outlineLevel="1">
      <c r="B9876" s="187">
        <v>36432</v>
      </c>
      <c r="C9876" s="188">
        <v>5.97</v>
      </c>
      <c r="D9876" s="104">
        <f t="shared" si="153"/>
        <v>5.9699999999999996E-2</v>
      </c>
      <c r="F9876" s="5"/>
    </row>
    <row r="9877" spans="2:6" ht="13.8" hidden="1" outlineLevel="1">
      <c r="B9877" s="187">
        <v>36433</v>
      </c>
      <c r="C9877" s="188">
        <v>5.9</v>
      </c>
      <c r="D9877" s="104">
        <f t="shared" si="153"/>
        <v>5.9000000000000004E-2</v>
      </c>
      <c r="F9877" s="5"/>
    </row>
    <row r="9878" spans="2:6" ht="13.8" hidden="1" outlineLevel="1">
      <c r="B9878" s="187">
        <v>36434</v>
      </c>
      <c r="C9878" s="188">
        <v>6</v>
      </c>
      <c r="D9878" s="104">
        <f t="shared" si="153"/>
        <v>0.06</v>
      </c>
      <c r="F9878" s="5"/>
    </row>
    <row r="9879" spans="2:6" ht="13.8" hidden="1" outlineLevel="1">
      <c r="B9879" s="187">
        <v>36437</v>
      </c>
      <c r="C9879" s="188">
        <v>5.95</v>
      </c>
      <c r="D9879" s="104">
        <f t="shared" si="153"/>
        <v>5.9500000000000004E-2</v>
      </c>
      <c r="F9879" s="5"/>
    </row>
    <row r="9880" spans="2:6" ht="13.8" hidden="1" outlineLevel="1">
      <c r="B9880" s="187">
        <v>36438</v>
      </c>
      <c r="C9880" s="188">
        <v>6.02</v>
      </c>
      <c r="D9880" s="104">
        <f t="shared" si="153"/>
        <v>6.0199999999999997E-2</v>
      </c>
      <c r="F9880" s="5"/>
    </row>
    <row r="9881" spans="2:6" ht="13.8" hidden="1" outlineLevel="1">
      <c r="B9881" s="187">
        <v>36439</v>
      </c>
      <c r="C9881" s="188">
        <v>6.04</v>
      </c>
      <c r="D9881" s="104">
        <f t="shared" si="153"/>
        <v>6.0400000000000002E-2</v>
      </c>
      <c r="F9881" s="5"/>
    </row>
    <row r="9882" spans="2:6" ht="13.8" hidden="1" outlineLevel="1">
      <c r="B9882" s="187">
        <v>36440</v>
      </c>
      <c r="C9882" s="188">
        <v>6.05</v>
      </c>
      <c r="D9882" s="104">
        <f t="shared" si="153"/>
        <v>6.0499999999999998E-2</v>
      </c>
      <c r="F9882" s="5"/>
    </row>
    <row r="9883" spans="2:6" ht="13.8" hidden="1" outlineLevel="1">
      <c r="B9883" s="187">
        <v>36441</v>
      </c>
      <c r="C9883" s="188">
        <v>6.04</v>
      </c>
      <c r="D9883" s="104">
        <f t="shared" si="153"/>
        <v>6.0400000000000002E-2</v>
      </c>
      <c r="F9883" s="5"/>
    </row>
    <row r="9884" spans="2:6" ht="13.8" hidden="1" outlineLevel="1">
      <c r="B9884" s="187">
        <v>36444</v>
      </c>
      <c r="C9884" s="188" t="s">
        <v>380</v>
      </c>
      <c r="D9884" s="104">
        <f t="shared" si="153"/>
        <v>6.0400000000000002E-2</v>
      </c>
      <c r="F9884" s="5"/>
    </row>
    <row r="9885" spans="2:6" ht="13.8" hidden="1" outlineLevel="1">
      <c r="B9885" s="187">
        <v>36445</v>
      </c>
      <c r="C9885" s="188">
        <v>6.07</v>
      </c>
      <c r="D9885" s="104">
        <f t="shared" si="153"/>
        <v>6.0700000000000004E-2</v>
      </c>
      <c r="F9885" s="5"/>
    </row>
    <row r="9886" spans="2:6" ht="13.8" hidden="1" outlineLevel="1">
      <c r="B9886" s="187">
        <v>36446</v>
      </c>
      <c r="C9886" s="188">
        <v>6.12</v>
      </c>
      <c r="D9886" s="104">
        <f t="shared" ref="D9886:D9949" si="154">IF( LEN( C9886 ) = 0, #N/A, IF( C9886 = "ND", D9885, C9886 / 100 ) )</f>
        <v>6.1200000000000004E-2</v>
      </c>
      <c r="F9886" s="5"/>
    </row>
    <row r="9887" spans="2:6" ht="13.8" hidden="1" outlineLevel="1">
      <c r="B9887" s="187">
        <v>36447</v>
      </c>
      <c r="C9887" s="188">
        <v>6.17</v>
      </c>
      <c r="D9887" s="104">
        <f t="shared" si="154"/>
        <v>6.1699999999999998E-2</v>
      </c>
      <c r="F9887" s="5"/>
    </row>
    <row r="9888" spans="2:6" ht="13.8" hidden="1" outlineLevel="1">
      <c r="B9888" s="187">
        <v>36448</v>
      </c>
      <c r="C9888" s="188">
        <v>6.09</v>
      </c>
      <c r="D9888" s="104">
        <f t="shared" si="154"/>
        <v>6.0899999999999996E-2</v>
      </c>
      <c r="F9888" s="5"/>
    </row>
    <row r="9889" spans="2:6" ht="13.8" hidden="1" outlineLevel="1">
      <c r="B9889" s="187">
        <v>36451</v>
      </c>
      <c r="C9889" s="188">
        <v>6.12</v>
      </c>
      <c r="D9889" s="104">
        <f t="shared" si="154"/>
        <v>6.1200000000000004E-2</v>
      </c>
      <c r="F9889" s="5"/>
    </row>
    <row r="9890" spans="2:6" ht="13.8" hidden="1" outlineLevel="1">
      <c r="B9890" s="187">
        <v>36452</v>
      </c>
      <c r="C9890" s="188">
        <v>6.18</v>
      </c>
      <c r="D9890" s="104">
        <f t="shared" si="154"/>
        <v>6.1799999999999994E-2</v>
      </c>
      <c r="F9890" s="5"/>
    </row>
    <row r="9891" spans="2:6" ht="13.8" hidden="1" outlineLevel="1">
      <c r="B9891" s="187">
        <v>36453</v>
      </c>
      <c r="C9891" s="188">
        <v>6.19</v>
      </c>
      <c r="D9891" s="104">
        <f t="shared" si="154"/>
        <v>6.1900000000000004E-2</v>
      </c>
      <c r="F9891" s="5"/>
    </row>
    <row r="9892" spans="2:6" ht="13.8" hidden="1" outlineLevel="1">
      <c r="B9892" s="187">
        <v>36454</v>
      </c>
      <c r="C9892" s="188">
        <v>6.2</v>
      </c>
      <c r="D9892" s="104">
        <f t="shared" si="154"/>
        <v>6.2E-2</v>
      </c>
      <c r="F9892" s="5"/>
    </row>
    <row r="9893" spans="2:6" ht="13.8" hidden="1" outlineLevel="1">
      <c r="B9893" s="187">
        <v>36455</v>
      </c>
      <c r="C9893" s="188">
        <v>6.21</v>
      </c>
      <c r="D9893" s="104">
        <f t="shared" si="154"/>
        <v>6.2100000000000002E-2</v>
      </c>
      <c r="F9893" s="5"/>
    </row>
    <row r="9894" spans="2:6" ht="13.8" hidden="1" outlineLevel="1">
      <c r="B9894" s="187">
        <v>36458</v>
      </c>
      <c r="C9894" s="188">
        <v>6.22</v>
      </c>
      <c r="D9894" s="104">
        <f t="shared" si="154"/>
        <v>6.2199999999999998E-2</v>
      </c>
      <c r="F9894" s="5"/>
    </row>
    <row r="9895" spans="2:6" ht="13.8" hidden="1" outlineLevel="1">
      <c r="B9895" s="187">
        <v>36459</v>
      </c>
      <c r="C9895" s="188">
        <v>6.24</v>
      </c>
      <c r="D9895" s="104">
        <f t="shared" si="154"/>
        <v>6.2400000000000004E-2</v>
      </c>
      <c r="F9895" s="5"/>
    </row>
    <row r="9896" spans="2:6" ht="13.8" hidden="1" outlineLevel="1">
      <c r="B9896" s="187">
        <v>36460</v>
      </c>
      <c r="C9896" s="188">
        <v>6.19</v>
      </c>
      <c r="D9896" s="104">
        <f t="shared" si="154"/>
        <v>6.1900000000000004E-2</v>
      </c>
      <c r="F9896" s="5"/>
    </row>
    <row r="9897" spans="2:6" ht="13.8" hidden="1" outlineLevel="1">
      <c r="B9897" s="187">
        <v>36461</v>
      </c>
      <c r="C9897" s="188">
        <v>6.12</v>
      </c>
      <c r="D9897" s="104">
        <f t="shared" si="154"/>
        <v>6.1200000000000004E-2</v>
      </c>
      <c r="F9897" s="5"/>
    </row>
    <row r="9898" spans="2:6" ht="13.8" hidden="1" outlineLevel="1">
      <c r="B9898" s="187">
        <v>36462</v>
      </c>
      <c r="C9898" s="188">
        <v>6.02</v>
      </c>
      <c r="D9898" s="104">
        <f t="shared" si="154"/>
        <v>6.0199999999999997E-2</v>
      </c>
      <c r="F9898" s="5"/>
    </row>
    <row r="9899" spans="2:6" ht="13.8" hidden="1" outlineLevel="1">
      <c r="B9899" s="187">
        <v>36465</v>
      </c>
      <c r="C9899" s="188">
        <v>6.06</v>
      </c>
      <c r="D9899" s="104">
        <f t="shared" si="154"/>
        <v>6.0599999999999994E-2</v>
      </c>
      <c r="F9899" s="5"/>
    </row>
    <row r="9900" spans="2:6" ht="13.8" hidden="1" outlineLevel="1">
      <c r="B9900" s="187">
        <v>36466</v>
      </c>
      <c r="C9900" s="188">
        <v>6.04</v>
      </c>
      <c r="D9900" s="104">
        <f t="shared" si="154"/>
        <v>6.0400000000000002E-2</v>
      </c>
      <c r="F9900" s="5"/>
    </row>
    <row r="9901" spans="2:6" ht="13.8" hidden="1" outlineLevel="1">
      <c r="B9901" s="187">
        <v>36467</v>
      </c>
      <c r="C9901" s="188">
        <v>6.01</v>
      </c>
      <c r="D9901" s="104">
        <f t="shared" si="154"/>
        <v>6.0100000000000001E-2</v>
      </c>
      <c r="F9901" s="5"/>
    </row>
    <row r="9902" spans="2:6" ht="13.8" hidden="1" outlineLevel="1">
      <c r="B9902" s="187">
        <v>36468</v>
      </c>
      <c r="C9902" s="188">
        <v>5.95</v>
      </c>
      <c r="D9902" s="104">
        <f t="shared" si="154"/>
        <v>5.9500000000000004E-2</v>
      </c>
      <c r="F9902" s="5"/>
    </row>
    <row r="9903" spans="2:6" ht="13.8" hidden="1" outlineLevel="1">
      <c r="B9903" s="187">
        <v>36469</v>
      </c>
      <c r="C9903" s="188">
        <v>5.92</v>
      </c>
      <c r="D9903" s="104">
        <f t="shared" si="154"/>
        <v>5.9200000000000003E-2</v>
      </c>
      <c r="F9903" s="5"/>
    </row>
    <row r="9904" spans="2:6" ht="13.8" hidden="1" outlineLevel="1">
      <c r="B9904" s="187">
        <v>36472</v>
      </c>
      <c r="C9904" s="188">
        <v>5.95</v>
      </c>
      <c r="D9904" s="104">
        <f t="shared" si="154"/>
        <v>5.9500000000000004E-2</v>
      </c>
      <c r="F9904" s="5"/>
    </row>
    <row r="9905" spans="2:6" ht="13.8" hidden="1" outlineLevel="1">
      <c r="B9905" s="187">
        <v>36473</v>
      </c>
      <c r="C9905" s="188">
        <v>5.97</v>
      </c>
      <c r="D9905" s="104">
        <f t="shared" si="154"/>
        <v>5.9699999999999996E-2</v>
      </c>
      <c r="F9905" s="5"/>
    </row>
    <row r="9906" spans="2:6" ht="13.8" hidden="1" outlineLevel="1">
      <c r="B9906" s="187">
        <v>36474</v>
      </c>
      <c r="C9906" s="188">
        <v>6</v>
      </c>
      <c r="D9906" s="104">
        <f t="shared" si="154"/>
        <v>0.06</v>
      </c>
      <c r="F9906" s="5"/>
    </row>
    <row r="9907" spans="2:6" ht="13.8" hidden="1" outlineLevel="1">
      <c r="B9907" s="187">
        <v>36475</v>
      </c>
      <c r="C9907" s="188" t="s">
        <v>380</v>
      </c>
      <c r="D9907" s="104">
        <f t="shared" si="154"/>
        <v>0.06</v>
      </c>
      <c r="F9907" s="5"/>
    </row>
    <row r="9908" spans="2:6" ht="13.8" hidden="1" outlineLevel="1">
      <c r="B9908" s="187">
        <v>36476</v>
      </c>
      <c r="C9908" s="188">
        <v>5.93</v>
      </c>
      <c r="D9908" s="104">
        <f t="shared" si="154"/>
        <v>5.9299999999999999E-2</v>
      </c>
      <c r="F9908" s="5"/>
    </row>
    <row r="9909" spans="2:6" ht="13.8" hidden="1" outlineLevel="1">
      <c r="B9909" s="187">
        <v>36479</v>
      </c>
      <c r="C9909" s="188">
        <v>5.94</v>
      </c>
      <c r="D9909" s="104">
        <f t="shared" si="154"/>
        <v>5.9400000000000001E-2</v>
      </c>
      <c r="F9909" s="5"/>
    </row>
    <row r="9910" spans="2:6" ht="13.8" hidden="1" outlineLevel="1">
      <c r="B9910" s="187">
        <v>36480</v>
      </c>
      <c r="C9910" s="188">
        <v>5.97</v>
      </c>
      <c r="D9910" s="104">
        <f t="shared" si="154"/>
        <v>5.9699999999999996E-2</v>
      </c>
      <c r="F9910" s="5"/>
    </row>
    <row r="9911" spans="2:6" ht="13.8" hidden="1" outlineLevel="1">
      <c r="B9911" s="187">
        <v>36481</v>
      </c>
      <c r="C9911" s="188">
        <v>6.04</v>
      </c>
      <c r="D9911" s="104">
        <f t="shared" si="154"/>
        <v>6.0400000000000002E-2</v>
      </c>
      <c r="F9911" s="5"/>
    </row>
    <row r="9912" spans="2:6" ht="13.8" hidden="1" outlineLevel="1">
      <c r="B9912" s="187">
        <v>36482</v>
      </c>
      <c r="C9912" s="188">
        <v>6.06</v>
      </c>
      <c r="D9912" s="104">
        <f t="shared" si="154"/>
        <v>6.0599999999999994E-2</v>
      </c>
      <c r="F9912" s="5"/>
    </row>
    <row r="9913" spans="2:6" ht="13.8" hidden="1" outlineLevel="1">
      <c r="B9913" s="187">
        <v>36483</v>
      </c>
      <c r="C9913" s="188">
        <v>6.07</v>
      </c>
      <c r="D9913" s="104">
        <f t="shared" si="154"/>
        <v>6.0700000000000004E-2</v>
      </c>
      <c r="F9913" s="5"/>
    </row>
    <row r="9914" spans="2:6" ht="13.8" hidden="1" outlineLevel="1">
      <c r="B9914" s="187">
        <v>36486</v>
      </c>
      <c r="C9914" s="188">
        <v>6.09</v>
      </c>
      <c r="D9914" s="104">
        <f t="shared" si="154"/>
        <v>6.0899999999999996E-2</v>
      </c>
      <c r="F9914" s="5"/>
    </row>
    <row r="9915" spans="2:6" ht="13.8" hidden="1" outlineLevel="1">
      <c r="B9915" s="187">
        <v>36487</v>
      </c>
      <c r="C9915" s="188">
        <v>6.08</v>
      </c>
      <c r="D9915" s="104">
        <f t="shared" si="154"/>
        <v>6.08E-2</v>
      </c>
      <c r="F9915" s="5"/>
    </row>
    <row r="9916" spans="2:6" ht="13.8" hidden="1" outlineLevel="1">
      <c r="B9916" s="187">
        <v>36488</v>
      </c>
      <c r="C9916" s="188">
        <v>6.09</v>
      </c>
      <c r="D9916" s="104">
        <f t="shared" si="154"/>
        <v>6.0899999999999996E-2</v>
      </c>
      <c r="F9916" s="5"/>
    </row>
    <row r="9917" spans="2:6" ht="13.8" hidden="1" outlineLevel="1">
      <c r="B9917" s="187">
        <v>36489</v>
      </c>
      <c r="C9917" s="188" t="s">
        <v>380</v>
      </c>
      <c r="D9917" s="104">
        <f t="shared" si="154"/>
        <v>6.0899999999999996E-2</v>
      </c>
      <c r="F9917" s="5"/>
    </row>
    <row r="9918" spans="2:6" ht="13.8" hidden="1" outlineLevel="1">
      <c r="B9918" s="187">
        <v>36490</v>
      </c>
      <c r="C9918" s="188">
        <v>6.12</v>
      </c>
      <c r="D9918" s="104">
        <f t="shared" si="154"/>
        <v>6.1200000000000004E-2</v>
      </c>
      <c r="F9918" s="5"/>
    </row>
    <row r="9919" spans="2:6" ht="13.8" hidden="1" outlineLevel="1">
      <c r="B9919" s="187">
        <v>36493</v>
      </c>
      <c r="C9919" s="188">
        <v>6.21</v>
      </c>
      <c r="D9919" s="104">
        <f t="shared" si="154"/>
        <v>6.2100000000000002E-2</v>
      </c>
      <c r="F9919" s="5"/>
    </row>
    <row r="9920" spans="2:6" ht="13.8" hidden="1" outlineLevel="1">
      <c r="B9920" s="187">
        <v>36494</v>
      </c>
      <c r="C9920" s="188">
        <v>6.18</v>
      </c>
      <c r="D9920" s="104">
        <f t="shared" si="154"/>
        <v>6.1799999999999994E-2</v>
      </c>
      <c r="F9920" s="5"/>
    </row>
    <row r="9921" spans="2:6" ht="13.8" hidden="1" outlineLevel="1">
      <c r="B9921" s="187">
        <v>36495</v>
      </c>
      <c r="C9921" s="188">
        <v>6.21</v>
      </c>
      <c r="D9921" s="104">
        <f t="shared" si="154"/>
        <v>6.2100000000000002E-2</v>
      </c>
      <c r="F9921" s="5"/>
    </row>
    <row r="9922" spans="2:6" ht="13.8" hidden="1" outlineLevel="1">
      <c r="B9922" s="187">
        <v>36496</v>
      </c>
      <c r="C9922" s="188">
        <v>6.24</v>
      </c>
      <c r="D9922" s="104">
        <f t="shared" si="154"/>
        <v>6.2400000000000004E-2</v>
      </c>
      <c r="F9922" s="5"/>
    </row>
    <row r="9923" spans="2:6" ht="13.8" hidden="1" outlineLevel="1">
      <c r="B9923" s="187">
        <v>36497</v>
      </c>
      <c r="C9923" s="188">
        <v>6.17</v>
      </c>
      <c r="D9923" s="104">
        <f t="shared" si="154"/>
        <v>6.1699999999999998E-2</v>
      </c>
      <c r="F9923" s="5"/>
    </row>
    <row r="9924" spans="2:6" ht="13.8" hidden="1" outlineLevel="1">
      <c r="B9924" s="187">
        <v>36500</v>
      </c>
      <c r="C9924" s="188">
        <v>6.16</v>
      </c>
      <c r="D9924" s="104">
        <f t="shared" si="154"/>
        <v>6.1600000000000002E-2</v>
      </c>
      <c r="F9924" s="5"/>
    </row>
    <row r="9925" spans="2:6" ht="13.8" hidden="1" outlineLevel="1">
      <c r="B9925" s="187">
        <v>36501</v>
      </c>
      <c r="C9925" s="188">
        <v>6.11</v>
      </c>
      <c r="D9925" s="104">
        <f t="shared" si="154"/>
        <v>6.1100000000000002E-2</v>
      </c>
      <c r="F9925" s="5"/>
    </row>
    <row r="9926" spans="2:6" ht="13.8" hidden="1" outlineLevel="1">
      <c r="B9926" s="187">
        <v>36502</v>
      </c>
      <c r="C9926" s="188">
        <v>6.15</v>
      </c>
      <c r="D9926" s="104">
        <f t="shared" si="154"/>
        <v>6.1500000000000006E-2</v>
      </c>
      <c r="F9926" s="5"/>
    </row>
    <row r="9927" spans="2:6" ht="13.8" hidden="1" outlineLevel="1">
      <c r="B9927" s="187">
        <v>36503</v>
      </c>
      <c r="C9927" s="188">
        <v>6.14</v>
      </c>
      <c r="D9927" s="104">
        <f t="shared" si="154"/>
        <v>6.1399999999999996E-2</v>
      </c>
      <c r="F9927" s="5"/>
    </row>
    <row r="9928" spans="2:6" ht="13.8" hidden="1" outlineLevel="1">
      <c r="B9928" s="187">
        <v>36504</v>
      </c>
      <c r="C9928" s="188">
        <v>6.08</v>
      </c>
      <c r="D9928" s="104">
        <f t="shared" si="154"/>
        <v>6.08E-2</v>
      </c>
      <c r="F9928" s="5"/>
    </row>
    <row r="9929" spans="2:6" ht="13.8" hidden="1" outlineLevel="1">
      <c r="B9929" s="187">
        <v>36507</v>
      </c>
      <c r="C9929" s="188">
        <v>6.11</v>
      </c>
      <c r="D9929" s="104">
        <f t="shared" si="154"/>
        <v>6.1100000000000002E-2</v>
      </c>
      <c r="F9929" s="5"/>
    </row>
    <row r="9930" spans="2:6" ht="13.8" hidden="1" outlineLevel="1">
      <c r="B9930" s="187">
        <v>36508</v>
      </c>
      <c r="C9930" s="188">
        <v>6.22</v>
      </c>
      <c r="D9930" s="104">
        <f t="shared" si="154"/>
        <v>6.2199999999999998E-2</v>
      </c>
      <c r="F9930" s="5"/>
    </row>
    <row r="9931" spans="2:6" ht="13.8" hidden="1" outlineLevel="1">
      <c r="B9931" s="187">
        <v>36509</v>
      </c>
      <c r="C9931" s="188">
        <v>6.25</v>
      </c>
      <c r="D9931" s="104">
        <f t="shared" si="154"/>
        <v>6.25E-2</v>
      </c>
      <c r="F9931" s="5"/>
    </row>
    <row r="9932" spans="2:6" ht="13.8" hidden="1" outlineLevel="1">
      <c r="B9932" s="187">
        <v>36510</v>
      </c>
      <c r="C9932" s="188">
        <v>6.31</v>
      </c>
      <c r="D9932" s="104">
        <f t="shared" si="154"/>
        <v>6.3099999999999989E-2</v>
      </c>
      <c r="F9932" s="5"/>
    </row>
    <row r="9933" spans="2:6" ht="13.8" hidden="1" outlineLevel="1">
      <c r="B9933" s="187">
        <v>36511</v>
      </c>
      <c r="C9933" s="188">
        <v>6.3</v>
      </c>
      <c r="D9933" s="104">
        <f t="shared" si="154"/>
        <v>6.3E-2</v>
      </c>
      <c r="F9933" s="5"/>
    </row>
    <row r="9934" spans="2:6" ht="13.8" hidden="1" outlineLevel="1">
      <c r="B9934" s="187">
        <v>36514</v>
      </c>
      <c r="C9934" s="188">
        <v>6.36</v>
      </c>
      <c r="D9934" s="104">
        <f t="shared" si="154"/>
        <v>6.3600000000000004E-2</v>
      </c>
      <c r="F9934" s="5"/>
    </row>
    <row r="9935" spans="2:6" ht="13.8" hidden="1" outlineLevel="1">
      <c r="B9935" s="187">
        <v>36515</v>
      </c>
      <c r="C9935" s="188">
        <v>6.38</v>
      </c>
      <c r="D9935" s="104">
        <f t="shared" si="154"/>
        <v>6.3799999999999996E-2</v>
      </c>
      <c r="F9935" s="5"/>
    </row>
    <row r="9936" spans="2:6" ht="13.8" hidden="1" outlineLevel="1">
      <c r="B9936" s="187">
        <v>36516</v>
      </c>
      <c r="C9936" s="188">
        <v>6.39</v>
      </c>
      <c r="D9936" s="104">
        <f t="shared" si="154"/>
        <v>6.3899999999999998E-2</v>
      </c>
      <c r="F9936" s="5"/>
    </row>
    <row r="9937" spans="2:6" ht="13.8" hidden="1" outlineLevel="1">
      <c r="B9937" s="187">
        <v>36517</v>
      </c>
      <c r="C9937" s="188">
        <v>6.41</v>
      </c>
      <c r="D9937" s="104">
        <f t="shared" si="154"/>
        <v>6.4100000000000004E-2</v>
      </c>
      <c r="F9937" s="5"/>
    </row>
    <row r="9938" spans="2:6" ht="13.8" hidden="1" outlineLevel="1">
      <c r="B9938" s="187">
        <v>36518</v>
      </c>
      <c r="C9938" s="188" t="s">
        <v>380</v>
      </c>
      <c r="D9938" s="104">
        <f t="shared" si="154"/>
        <v>6.4100000000000004E-2</v>
      </c>
      <c r="F9938" s="5"/>
    </row>
    <row r="9939" spans="2:6" ht="13.8" hidden="1" outlineLevel="1">
      <c r="B9939" s="187">
        <v>36521</v>
      </c>
      <c r="C9939" s="188">
        <v>6.4</v>
      </c>
      <c r="D9939" s="104">
        <f t="shared" si="154"/>
        <v>6.4000000000000001E-2</v>
      </c>
      <c r="F9939" s="5"/>
    </row>
    <row r="9940" spans="2:6" ht="13.8" hidden="1" outlineLevel="1">
      <c r="B9940" s="187">
        <v>36522</v>
      </c>
      <c r="C9940" s="188">
        <v>6.43</v>
      </c>
      <c r="D9940" s="104">
        <f t="shared" si="154"/>
        <v>6.4299999999999996E-2</v>
      </c>
      <c r="F9940" s="5"/>
    </row>
    <row r="9941" spans="2:6" ht="13.8" hidden="1" outlineLevel="1">
      <c r="B9941" s="187">
        <v>36523</v>
      </c>
      <c r="C9941" s="188">
        <v>6.4</v>
      </c>
      <c r="D9941" s="104">
        <f t="shared" si="154"/>
        <v>6.4000000000000001E-2</v>
      </c>
      <c r="F9941" s="5"/>
    </row>
    <row r="9942" spans="2:6" ht="13.8" hidden="1" outlineLevel="1">
      <c r="B9942" s="187">
        <v>36524</v>
      </c>
      <c r="C9942" s="188">
        <v>6.39</v>
      </c>
      <c r="D9942" s="104">
        <f t="shared" si="154"/>
        <v>6.3899999999999998E-2</v>
      </c>
      <c r="F9942" s="5"/>
    </row>
    <row r="9943" spans="2:6" ht="13.8" hidden="1" outlineLevel="1">
      <c r="B9943" s="187">
        <v>36525</v>
      </c>
      <c r="C9943" s="188">
        <v>6.45</v>
      </c>
      <c r="D9943" s="104">
        <f t="shared" si="154"/>
        <v>6.4500000000000002E-2</v>
      </c>
      <c r="F9943" s="5"/>
    </row>
    <row r="9944" spans="2:6" ht="13.8" hidden="1" outlineLevel="1">
      <c r="B9944" s="187">
        <v>36528</v>
      </c>
      <c r="C9944" s="188">
        <v>6.58</v>
      </c>
      <c r="D9944" s="104">
        <f t="shared" si="154"/>
        <v>6.5799999999999997E-2</v>
      </c>
      <c r="F9944" s="5"/>
    </row>
    <row r="9945" spans="2:6" ht="13.8" hidden="1" outlineLevel="1">
      <c r="B9945" s="187">
        <v>36529</v>
      </c>
      <c r="C9945" s="188">
        <v>6.49</v>
      </c>
      <c r="D9945" s="104">
        <f t="shared" si="154"/>
        <v>6.4899999999999999E-2</v>
      </c>
      <c r="F9945" s="5"/>
    </row>
    <row r="9946" spans="2:6" ht="13.8" hidden="1" outlineLevel="1">
      <c r="B9946" s="187">
        <v>36530</v>
      </c>
      <c r="C9946" s="188">
        <v>6.62</v>
      </c>
      <c r="D9946" s="104">
        <f t="shared" si="154"/>
        <v>6.6199999999999995E-2</v>
      </c>
      <c r="F9946" s="5"/>
    </row>
    <row r="9947" spans="2:6" ht="13.8" hidden="1" outlineLevel="1">
      <c r="B9947" s="187">
        <v>36531</v>
      </c>
      <c r="C9947" s="188">
        <v>6.57</v>
      </c>
      <c r="D9947" s="104">
        <f t="shared" si="154"/>
        <v>6.5700000000000008E-2</v>
      </c>
      <c r="F9947" s="5"/>
    </row>
    <row r="9948" spans="2:6" ht="13.8" hidden="1" outlineLevel="1">
      <c r="B9948" s="187">
        <v>36532</v>
      </c>
      <c r="C9948" s="188">
        <v>6.52</v>
      </c>
      <c r="D9948" s="104">
        <f t="shared" si="154"/>
        <v>6.5199999999999994E-2</v>
      </c>
      <c r="F9948" s="5"/>
    </row>
    <row r="9949" spans="2:6" ht="13.8" hidden="1" outlineLevel="1">
      <c r="B9949" s="187">
        <v>36535</v>
      </c>
      <c r="C9949" s="188">
        <v>6.57</v>
      </c>
      <c r="D9949" s="104">
        <f t="shared" si="154"/>
        <v>6.5700000000000008E-2</v>
      </c>
      <c r="F9949" s="5"/>
    </row>
    <row r="9950" spans="2:6" ht="13.8" hidden="1" outlineLevel="1">
      <c r="B9950" s="187">
        <v>36536</v>
      </c>
      <c r="C9950" s="188">
        <v>6.67</v>
      </c>
      <c r="D9950" s="104">
        <f t="shared" ref="D9950:D10013" si="155">IF( LEN( C9950 ) = 0, #N/A, IF( C9950 = "ND", D9949, C9950 / 100 ) )</f>
        <v>6.6699999999999995E-2</v>
      </c>
      <c r="F9950" s="5"/>
    </row>
    <row r="9951" spans="2:6" ht="13.8" hidden="1" outlineLevel="1">
      <c r="B9951" s="187">
        <v>36537</v>
      </c>
      <c r="C9951" s="188">
        <v>6.72</v>
      </c>
      <c r="D9951" s="104">
        <f t="shared" si="155"/>
        <v>6.7199999999999996E-2</v>
      </c>
      <c r="F9951" s="5"/>
    </row>
    <row r="9952" spans="2:6" ht="13.8" hidden="1" outlineLevel="1">
      <c r="B9952" s="187">
        <v>36538</v>
      </c>
      <c r="C9952" s="188">
        <v>6.63</v>
      </c>
      <c r="D9952" s="104">
        <f t="shared" si="155"/>
        <v>6.6299999999999998E-2</v>
      </c>
      <c r="F9952" s="5"/>
    </row>
    <row r="9953" spans="2:6" ht="13.8" hidden="1" outlineLevel="1">
      <c r="B9953" s="187">
        <v>36539</v>
      </c>
      <c r="C9953" s="188">
        <v>6.69</v>
      </c>
      <c r="D9953" s="104">
        <f t="shared" si="155"/>
        <v>6.6900000000000001E-2</v>
      </c>
      <c r="F9953" s="5"/>
    </row>
    <row r="9954" spans="2:6" ht="13.8" hidden="1" outlineLevel="1">
      <c r="B9954" s="187">
        <v>36542</v>
      </c>
      <c r="C9954" s="188" t="s">
        <v>380</v>
      </c>
      <c r="D9954" s="104">
        <f t="shared" si="155"/>
        <v>6.6900000000000001E-2</v>
      </c>
      <c r="F9954" s="5"/>
    </row>
    <row r="9955" spans="2:6" ht="13.8" hidden="1" outlineLevel="1">
      <c r="B9955" s="187">
        <v>36543</v>
      </c>
      <c r="C9955" s="188">
        <v>6.75</v>
      </c>
      <c r="D9955" s="104">
        <f t="shared" si="155"/>
        <v>6.7500000000000004E-2</v>
      </c>
      <c r="F9955" s="5"/>
    </row>
    <row r="9956" spans="2:6" ht="13.8" hidden="1" outlineLevel="1">
      <c r="B9956" s="187">
        <v>36544</v>
      </c>
      <c r="C9956" s="188">
        <v>6.73</v>
      </c>
      <c r="D9956" s="104">
        <f t="shared" si="155"/>
        <v>6.7299999999999999E-2</v>
      </c>
      <c r="F9956" s="5"/>
    </row>
    <row r="9957" spans="2:6" ht="13.8" hidden="1" outlineLevel="1">
      <c r="B9957" s="187">
        <v>36545</v>
      </c>
      <c r="C9957" s="188">
        <v>6.79</v>
      </c>
      <c r="D9957" s="104">
        <f t="shared" si="155"/>
        <v>6.7900000000000002E-2</v>
      </c>
      <c r="F9957" s="5"/>
    </row>
    <row r="9958" spans="2:6" ht="13.8" hidden="1" outlineLevel="1">
      <c r="B9958" s="187">
        <v>36546</v>
      </c>
      <c r="C9958" s="188">
        <v>6.79</v>
      </c>
      <c r="D9958" s="104">
        <f t="shared" si="155"/>
        <v>6.7900000000000002E-2</v>
      </c>
      <c r="F9958" s="5"/>
    </row>
    <row r="9959" spans="2:6" ht="13.8" hidden="1" outlineLevel="1">
      <c r="B9959" s="187">
        <v>36549</v>
      </c>
      <c r="C9959" s="188">
        <v>6.69</v>
      </c>
      <c r="D9959" s="104">
        <f t="shared" si="155"/>
        <v>6.6900000000000001E-2</v>
      </c>
      <c r="F9959" s="5"/>
    </row>
    <row r="9960" spans="2:6" ht="13.8" hidden="1" outlineLevel="1">
      <c r="B9960" s="187">
        <v>36550</v>
      </c>
      <c r="C9960" s="188">
        <v>6.7</v>
      </c>
      <c r="D9960" s="104">
        <f t="shared" si="155"/>
        <v>6.7000000000000004E-2</v>
      </c>
      <c r="F9960" s="5"/>
    </row>
    <row r="9961" spans="2:6" ht="13.8" hidden="1" outlineLevel="1">
      <c r="B9961" s="187">
        <v>36551</v>
      </c>
      <c r="C9961" s="188">
        <v>6.69</v>
      </c>
      <c r="D9961" s="104">
        <f t="shared" si="155"/>
        <v>6.6900000000000001E-2</v>
      </c>
      <c r="F9961" s="5"/>
    </row>
    <row r="9962" spans="2:6" ht="13.8" hidden="1" outlineLevel="1">
      <c r="B9962" s="187">
        <v>36552</v>
      </c>
      <c r="C9962" s="188">
        <v>6.68</v>
      </c>
      <c r="D9962" s="104">
        <f t="shared" si="155"/>
        <v>6.6799999999999998E-2</v>
      </c>
      <c r="F9962" s="5"/>
    </row>
    <row r="9963" spans="2:6" ht="13.8" hidden="1" outlineLevel="1">
      <c r="B9963" s="187">
        <v>36553</v>
      </c>
      <c r="C9963" s="188">
        <v>6.66</v>
      </c>
      <c r="D9963" s="104">
        <f t="shared" si="155"/>
        <v>6.6600000000000006E-2</v>
      </c>
      <c r="F9963" s="5"/>
    </row>
    <row r="9964" spans="2:6" ht="13.8" hidden="1" outlineLevel="1">
      <c r="B9964" s="187">
        <v>36556</v>
      </c>
      <c r="C9964" s="188">
        <v>6.68</v>
      </c>
      <c r="D9964" s="104">
        <f t="shared" si="155"/>
        <v>6.6799999999999998E-2</v>
      </c>
      <c r="F9964" s="5"/>
    </row>
    <row r="9965" spans="2:6" ht="13.8" hidden="1" outlineLevel="1">
      <c r="B9965" s="187">
        <v>36557</v>
      </c>
      <c r="C9965" s="188">
        <v>6.62</v>
      </c>
      <c r="D9965" s="104">
        <f t="shared" si="155"/>
        <v>6.6199999999999995E-2</v>
      </c>
      <c r="F9965" s="5"/>
    </row>
    <row r="9966" spans="2:6" ht="13.8" hidden="1" outlineLevel="1">
      <c r="B9966" s="187">
        <v>36558</v>
      </c>
      <c r="C9966" s="188">
        <v>6.6</v>
      </c>
      <c r="D9966" s="104">
        <f t="shared" si="155"/>
        <v>6.6000000000000003E-2</v>
      </c>
      <c r="F9966" s="5"/>
    </row>
    <row r="9967" spans="2:6" ht="13.8" hidden="1" outlineLevel="1">
      <c r="B9967" s="187">
        <v>36559</v>
      </c>
      <c r="C9967" s="188">
        <v>6.49</v>
      </c>
      <c r="D9967" s="104">
        <f t="shared" si="155"/>
        <v>6.4899999999999999E-2</v>
      </c>
      <c r="F9967" s="5"/>
    </row>
    <row r="9968" spans="2:6" ht="13.8" hidden="1" outlineLevel="1">
      <c r="B9968" s="187">
        <v>36560</v>
      </c>
      <c r="C9968" s="188">
        <v>6.53</v>
      </c>
      <c r="D9968" s="104">
        <f t="shared" si="155"/>
        <v>6.5299999999999997E-2</v>
      </c>
      <c r="F9968" s="5"/>
    </row>
    <row r="9969" spans="2:6" ht="13.8" hidden="1" outlineLevel="1">
      <c r="B9969" s="187">
        <v>36563</v>
      </c>
      <c r="C9969" s="188">
        <v>6.64</v>
      </c>
      <c r="D9969" s="104">
        <f t="shared" si="155"/>
        <v>6.6400000000000001E-2</v>
      </c>
      <c r="F9969" s="5"/>
    </row>
    <row r="9970" spans="2:6" ht="13.8" hidden="1" outlineLevel="1">
      <c r="B9970" s="187">
        <v>36564</v>
      </c>
      <c r="C9970" s="188">
        <v>6.59</v>
      </c>
      <c r="D9970" s="104">
        <f t="shared" si="155"/>
        <v>6.59E-2</v>
      </c>
      <c r="F9970" s="5"/>
    </row>
    <row r="9971" spans="2:6" ht="13.8" hidden="1" outlineLevel="1">
      <c r="B9971" s="187">
        <v>36565</v>
      </c>
      <c r="C9971" s="188">
        <v>6.56</v>
      </c>
      <c r="D9971" s="104">
        <f t="shared" si="155"/>
        <v>6.5599999999999992E-2</v>
      </c>
      <c r="F9971" s="5"/>
    </row>
    <row r="9972" spans="2:6" ht="13.8" hidden="1" outlineLevel="1">
      <c r="B9972" s="187">
        <v>36566</v>
      </c>
      <c r="C9972" s="188">
        <v>6.67</v>
      </c>
      <c r="D9972" s="104">
        <f t="shared" si="155"/>
        <v>6.6699999999999995E-2</v>
      </c>
      <c r="F9972" s="5"/>
    </row>
    <row r="9973" spans="2:6" ht="13.8" hidden="1" outlineLevel="1">
      <c r="B9973" s="187">
        <v>36567</v>
      </c>
      <c r="C9973" s="188">
        <v>6.63</v>
      </c>
      <c r="D9973" s="104">
        <f t="shared" si="155"/>
        <v>6.6299999999999998E-2</v>
      </c>
      <c r="F9973" s="5"/>
    </row>
    <row r="9974" spans="2:6" ht="13.8" hidden="1" outlineLevel="1">
      <c r="B9974" s="187">
        <v>36570</v>
      </c>
      <c r="C9974" s="188">
        <v>6.56</v>
      </c>
      <c r="D9974" s="104">
        <f t="shared" si="155"/>
        <v>6.5599999999999992E-2</v>
      </c>
      <c r="F9974" s="5"/>
    </row>
    <row r="9975" spans="2:6" ht="13.8" hidden="1" outlineLevel="1">
      <c r="B9975" s="187">
        <v>36571</v>
      </c>
      <c r="C9975" s="188">
        <v>6.56</v>
      </c>
      <c r="D9975" s="104">
        <f t="shared" si="155"/>
        <v>6.5599999999999992E-2</v>
      </c>
      <c r="F9975" s="5"/>
    </row>
    <row r="9976" spans="2:6" ht="13.8" hidden="1" outlineLevel="1">
      <c r="B9976" s="187">
        <v>36572</v>
      </c>
      <c r="C9976" s="188">
        <v>6.56</v>
      </c>
      <c r="D9976" s="104">
        <f t="shared" si="155"/>
        <v>6.5599999999999992E-2</v>
      </c>
      <c r="F9976" s="5"/>
    </row>
    <row r="9977" spans="2:6" ht="13.8" hidden="1" outlineLevel="1">
      <c r="B9977" s="187">
        <v>36573</v>
      </c>
      <c r="C9977" s="188">
        <v>6.58</v>
      </c>
      <c r="D9977" s="104">
        <f t="shared" si="155"/>
        <v>6.5799999999999997E-2</v>
      </c>
      <c r="F9977" s="5"/>
    </row>
    <row r="9978" spans="2:6" ht="13.8" hidden="1" outlineLevel="1">
      <c r="B9978" s="187">
        <v>36574</v>
      </c>
      <c r="C9978" s="188">
        <v>6.49</v>
      </c>
      <c r="D9978" s="104">
        <f t="shared" si="155"/>
        <v>6.4899999999999999E-2</v>
      </c>
      <c r="F9978" s="5"/>
    </row>
    <row r="9979" spans="2:6" ht="13.8" hidden="1" outlineLevel="1">
      <c r="B9979" s="187">
        <v>36577</v>
      </c>
      <c r="C9979" s="188" t="s">
        <v>380</v>
      </c>
      <c r="D9979" s="104">
        <f t="shared" si="155"/>
        <v>6.4899999999999999E-2</v>
      </c>
      <c r="F9979" s="5"/>
    </row>
    <row r="9980" spans="2:6" ht="13.8" hidden="1" outlineLevel="1">
      <c r="B9980" s="187">
        <v>36578</v>
      </c>
      <c r="C9980" s="188">
        <v>6.36</v>
      </c>
      <c r="D9980" s="104">
        <f t="shared" si="155"/>
        <v>6.3600000000000004E-2</v>
      </c>
      <c r="F9980" s="5"/>
    </row>
    <row r="9981" spans="2:6" ht="13.8" hidden="1" outlineLevel="1">
      <c r="B9981" s="187">
        <v>36579</v>
      </c>
      <c r="C9981" s="188">
        <v>6.44</v>
      </c>
      <c r="D9981" s="104">
        <f t="shared" si="155"/>
        <v>6.4399999999999999E-2</v>
      </c>
      <c r="F9981" s="5"/>
    </row>
    <row r="9982" spans="2:6" ht="13.8" hidden="1" outlineLevel="1">
      <c r="B9982" s="187">
        <v>36580</v>
      </c>
      <c r="C9982" s="188">
        <v>6.36</v>
      </c>
      <c r="D9982" s="104">
        <f t="shared" si="155"/>
        <v>6.3600000000000004E-2</v>
      </c>
      <c r="F9982" s="5"/>
    </row>
    <row r="9983" spans="2:6" ht="13.8" hidden="1" outlineLevel="1">
      <c r="B9983" s="187">
        <v>36581</v>
      </c>
      <c r="C9983" s="188">
        <v>6.36</v>
      </c>
      <c r="D9983" s="104">
        <f t="shared" si="155"/>
        <v>6.3600000000000004E-2</v>
      </c>
      <c r="F9983" s="5"/>
    </row>
    <row r="9984" spans="2:6" ht="13.8" hidden="1" outlineLevel="1">
      <c r="B9984" s="187">
        <v>36584</v>
      </c>
      <c r="C9984" s="188">
        <v>6.37</v>
      </c>
      <c r="D9984" s="104">
        <f t="shared" si="155"/>
        <v>6.3700000000000007E-2</v>
      </c>
      <c r="F9984" s="5"/>
    </row>
    <row r="9985" spans="2:6" ht="13.8" hidden="1" outlineLevel="1">
      <c r="B9985" s="187">
        <v>36585</v>
      </c>
      <c r="C9985" s="188">
        <v>6.42</v>
      </c>
      <c r="D9985" s="104">
        <f t="shared" si="155"/>
        <v>6.4199999999999993E-2</v>
      </c>
      <c r="F9985" s="5"/>
    </row>
    <row r="9986" spans="2:6" ht="13.8" hidden="1" outlineLevel="1">
      <c r="B9986" s="187">
        <v>36586</v>
      </c>
      <c r="C9986" s="188">
        <v>6.39</v>
      </c>
      <c r="D9986" s="104">
        <f t="shared" si="155"/>
        <v>6.3899999999999998E-2</v>
      </c>
      <c r="F9986" s="5"/>
    </row>
    <row r="9987" spans="2:6" ht="13.8" hidden="1" outlineLevel="1">
      <c r="B9987" s="187">
        <v>36587</v>
      </c>
      <c r="C9987" s="188">
        <v>6.4</v>
      </c>
      <c r="D9987" s="104">
        <f t="shared" si="155"/>
        <v>6.4000000000000001E-2</v>
      </c>
      <c r="F9987" s="5"/>
    </row>
    <row r="9988" spans="2:6" ht="13.8" hidden="1" outlineLevel="1">
      <c r="B9988" s="187">
        <v>36588</v>
      </c>
      <c r="C9988" s="188">
        <v>6.39</v>
      </c>
      <c r="D9988" s="104">
        <f t="shared" si="155"/>
        <v>6.3899999999999998E-2</v>
      </c>
      <c r="F9988" s="5"/>
    </row>
    <row r="9989" spans="2:6" ht="13.8" hidden="1" outlineLevel="1">
      <c r="B9989" s="187">
        <v>36591</v>
      </c>
      <c r="C9989" s="188">
        <v>6.42</v>
      </c>
      <c r="D9989" s="104">
        <f t="shared" si="155"/>
        <v>6.4199999999999993E-2</v>
      </c>
      <c r="F9989" s="5"/>
    </row>
    <row r="9990" spans="2:6" ht="13.8" hidden="1" outlineLevel="1">
      <c r="B9990" s="187">
        <v>36592</v>
      </c>
      <c r="C9990" s="188">
        <v>6.39</v>
      </c>
      <c r="D9990" s="104">
        <f t="shared" si="155"/>
        <v>6.3899999999999998E-2</v>
      </c>
      <c r="F9990" s="5"/>
    </row>
    <row r="9991" spans="2:6" ht="13.8" hidden="1" outlineLevel="1">
      <c r="B9991" s="187">
        <v>36593</v>
      </c>
      <c r="C9991" s="188">
        <v>6.38</v>
      </c>
      <c r="D9991" s="104">
        <f t="shared" si="155"/>
        <v>6.3799999999999996E-2</v>
      </c>
      <c r="F9991" s="5"/>
    </row>
    <row r="9992" spans="2:6" ht="13.8" hidden="1" outlineLevel="1">
      <c r="B9992" s="187">
        <v>36594</v>
      </c>
      <c r="C9992" s="188">
        <v>6.35</v>
      </c>
      <c r="D9992" s="104">
        <f t="shared" si="155"/>
        <v>6.3500000000000001E-2</v>
      </c>
      <c r="F9992" s="5"/>
    </row>
    <row r="9993" spans="2:6" ht="13.8" hidden="1" outlineLevel="1">
      <c r="B9993" s="187">
        <v>36595</v>
      </c>
      <c r="C9993" s="188">
        <v>6.39</v>
      </c>
      <c r="D9993" s="104">
        <f t="shared" si="155"/>
        <v>6.3899999999999998E-2</v>
      </c>
      <c r="F9993" s="5"/>
    </row>
    <row r="9994" spans="2:6" ht="13.8" hidden="1" outlineLevel="1">
      <c r="B9994" s="187">
        <v>36598</v>
      </c>
      <c r="C9994" s="188">
        <v>6.36</v>
      </c>
      <c r="D9994" s="104">
        <f t="shared" si="155"/>
        <v>6.3600000000000004E-2</v>
      </c>
      <c r="F9994" s="5"/>
    </row>
    <row r="9995" spans="2:6" ht="13.8" hidden="1" outlineLevel="1">
      <c r="B9995" s="187">
        <v>36599</v>
      </c>
      <c r="C9995" s="188">
        <v>6.31</v>
      </c>
      <c r="D9995" s="104">
        <f t="shared" si="155"/>
        <v>6.3099999999999989E-2</v>
      </c>
      <c r="F9995" s="5"/>
    </row>
    <row r="9996" spans="2:6" ht="13.8" hidden="1" outlineLevel="1">
      <c r="B9996" s="187">
        <v>36600</v>
      </c>
      <c r="C9996" s="188">
        <v>6.29</v>
      </c>
      <c r="D9996" s="104">
        <f t="shared" si="155"/>
        <v>6.2899999999999998E-2</v>
      </c>
      <c r="F9996" s="5"/>
    </row>
    <row r="9997" spans="2:6" ht="13.8" hidden="1" outlineLevel="1">
      <c r="B9997" s="187">
        <v>36601</v>
      </c>
      <c r="C9997" s="188">
        <v>6.26</v>
      </c>
      <c r="D9997" s="104">
        <f t="shared" si="155"/>
        <v>6.2600000000000003E-2</v>
      </c>
      <c r="F9997" s="5"/>
    </row>
    <row r="9998" spans="2:6" ht="13.8" hidden="1" outlineLevel="1">
      <c r="B9998" s="187">
        <v>36602</v>
      </c>
      <c r="C9998" s="188">
        <v>6.2</v>
      </c>
      <c r="D9998" s="104">
        <f t="shared" si="155"/>
        <v>6.2E-2</v>
      </c>
      <c r="F9998" s="5"/>
    </row>
    <row r="9999" spans="2:6" ht="13.8" hidden="1" outlineLevel="1">
      <c r="B9999" s="187">
        <v>36605</v>
      </c>
      <c r="C9999" s="188">
        <v>6.18</v>
      </c>
      <c r="D9999" s="104">
        <f t="shared" si="155"/>
        <v>6.1799999999999994E-2</v>
      </c>
      <c r="F9999" s="5"/>
    </row>
    <row r="10000" spans="2:6" ht="13.8" hidden="1" outlineLevel="1">
      <c r="B10000" s="187">
        <v>36606</v>
      </c>
      <c r="C10000" s="188">
        <v>6.13</v>
      </c>
      <c r="D10000" s="104">
        <f t="shared" si="155"/>
        <v>6.13E-2</v>
      </c>
      <c r="F10000" s="5"/>
    </row>
    <row r="10001" spans="2:6" ht="13.8" hidden="1" outlineLevel="1">
      <c r="B10001" s="187">
        <v>36607</v>
      </c>
      <c r="C10001" s="188">
        <v>6.13</v>
      </c>
      <c r="D10001" s="104">
        <f t="shared" si="155"/>
        <v>6.13E-2</v>
      </c>
      <c r="F10001" s="5"/>
    </row>
    <row r="10002" spans="2:6" ht="13.8" hidden="1" outlineLevel="1">
      <c r="B10002" s="187">
        <v>36608</v>
      </c>
      <c r="C10002" s="188">
        <v>6.08</v>
      </c>
      <c r="D10002" s="104">
        <f t="shared" si="155"/>
        <v>6.08E-2</v>
      </c>
      <c r="F10002" s="5"/>
    </row>
    <row r="10003" spans="2:6" ht="13.8" hidden="1" outlineLevel="1">
      <c r="B10003" s="187">
        <v>36609</v>
      </c>
      <c r="C10003" s="188">
        <v>6.2</v>
      </c>
      <c r="D10003" s="104">
        <f t="shared" si="155"/>
        <v>6.2E-2</v>
      </c>
      <c r="F10003" s="5"/>
    </row>
    <row r="10004" spans="2:6" ht="13.8" hidden="1" outlineLevel="1">
      <c r="B10004" s="187">
        <v>36612</v>
      </c>
      <c r="C10004" s="188">
        <v>6.21</v>
      </c>
      <c r="D10004" s="104">
        <f t="shared" si="155"/>
        <v>6.2100000000000002E-2</v>
      </c>
      <c r="F10004" s="5"/>
    </row>
    <row r="10005" spans="2:6" ht="13.8" hidden="1" outlineLevel="1">
      <c r="B10005" s="187">
        <v>36613</v>
      </c>
      <c r="C10005" s="188">
        <v>6.17</v>
      </c>
      <c r="D10005" s="104">
        <f t="shared" si="155"/>
        <v>6.1699999999999998E-2</v>
      </c>
      <c r="F10005" s="5"/>
    </row>
    <row r="10006" spans="2:6" ht="13.8" hidden="1" outlineLevel="1">
      <c r="B10006" s="187">
        <v>36614</v>
      </c>
      <c r="C10006" s="188">
        <v>6.18</v>
      </c>
      <c r="D10006" s="104">
        <f t="shared" si="155"/>
        <v>6.1799999999999994E-2</v>
      </c>
      <c r="F10006" s="5"/>
    </row>
    <row r="10007" spans="2:6" ht="13.8" hidden="1" outlineLevel="1">
      <c r="B10007" s="187">
        <v>36615</v>
      </c>
      <c r="C10007" s="188">
        <v>6.06</v>
      </c>
      <c r="D10007" s="104">
        <f t="shared" si="155"/>
        <v>6.0599999999999994E-2</v>
      </c>
      <c r="F10007" s="5"/>
    </row>
    <row r="10008" spans="2:6" ht="13.8" hidden="1" outlineLevel="1">
      <c r="B10008" s="187">
        <v>36616</v>
      </c>
      <c r="C10008" s="188">
        <v>6.03</v>
      </c>
      <c r="D10008" s="104">
        <f t="shared" si="155"/>
        <v>6.0299999999999999E-2</v>
      </c>
      <c r="F10008" s="5"/>
    </row>
    <row r="10009" spans="2:6" ht="13.8" hidden="1" outlineLevel="1">
      <c r="B10009" s="187">
        <v>36619</v>
      </c>
      <c r="C10009" s="188">
        <v>6</v>
      </c>
      <c r="D10009" s="104">
        <f t="shared" si="155"/>
        <v>0.06</v>
      </c>
      <c r="F10009" s="5"/>
    </row>
    <row r="10010" spans="2:6" ht="13.8" hidden="1" outlineLevel="1">
      <c r="B10010" s="187">
        <v>36620</v>
      </c>
      <c r="C10010" s="188">
        <v>5.9</v>
      </c>
      <c r="D10010" s="104">
        <f t="shared" si="155"/>
        <v>5.9000000000000004E-2</v>
      </c>
      <c r="F10010" s="5"/>
    </row>
    <row r="10011" spans="2:6" ht="13.8" hidden="1" outlineLevel="1">
      <c r="B10011" s="187">
        <v>36621</v>
      </c>
      <c r="C10011" s="188">
        <v>5.9</v>
      </c>
      <c r="D10011" s="104">
        <f t="shared" si="155"/>
        <v>5.9000000000000004E-2</v>
      </c>
      <c r="F10011" s="5"/>
    </row>
    <row r="10012" spans="2:6" ht="13.8" hidden="1" outlineLevel="1">
      <c r="B10012" s="187">
        <v>36622</v>
      </c>
      <c r="C10012" s="188">
        <v>5.93</v>
      </c>
      <c r="D10012" s="104">
        <f t="shared" si="155"/>
        <v>5.9299999999999999E-2</v>
      </c>
      <c r="F10012" s="5"/>
    </row>
    <row r="10013" spans="2:6" ht="13.8" hidden="1" outlineLevel="1">
      <c r="B10013" s="187">
        <v>36623</v>
      </c>
      <c r="C10013" s="188">
        <v>5.86</v>
      </c>
      <c r="D10013" s="104">
        <f t="shared" si="155"/>
        <v>5.8600000000000006E-2</v>
      </c>
      <c r="F10013" s="5"/>
    </row>
    <row r="10014" spans="2:6" ht="13.8" hidden="1" outlineLevel="1">
      <c r="B10014" s="187">
        <v>36626</v>
      </c>
      <c r="C10014" s="188">
        <v>5.8</v>
      </c>
      <c r="D10014" s="104">
        <f t="shared" ref="D10014:D10077" si="156">IF( LEN( C10014 ) = 0, #N/A, IF( C10014 = "ND", D10013, C10014 / 100 ) )</f>
        <v>5.7999999999999996E-2</v>
      </c>
      <c r="F10014" s="5"/>
    </row>
    <row r="10015" spans="2:6" ht="13.8" hidden="1" outlineLevel="1">
      <c r="B10015" s="187">
        <v>36627</v>
      </c>
      <c r="C10015" s="188">
        <v>5.89</v>
      </c>
      <c r="D10015" s="104">
        <f t="shared" si="156"/>
        <v>5.8899999999999994E-2</v>
      </c>
      <c r="F10015" s="5"/>
    </row>
    <row r="10016" spans="2:6" ht="13.8" hidden="1" outlineLevel="1">
      <c r="B10016" s="187">
        <v>36628</v>
      </c>
      <c r="C10016" s="188">
        <v>5.97</v>
      </c>
      <c r="D10016" s="104">
        <f t="shared" si="156"/>
        <v>5.9699999999999996E-2</v>
      </c>
      <c r="F10016" s="5"/>
    </row>
    <row r="10017" spans="2:6" ht="13.8" hidden="1" outlineLevel="1">
      <c r="B10017" s="187">
        <v>36629</v>
      </c>
      <c r="C10017" s="188">
        <v>5.94</v>
      </c>
      <c r="D10017" s="104">
        <f t="shared" si="156"/>
        <v>5.9400000000000001E-2</v>
      </c>
      <c r="F10017" s="5"/>
    </row>
    <row r="10018" spans="2:6" ht="13.8" hidden="1" outlineLevel="1">
      <c r="B10018" s="187">
        <v>36630</v>
      </c>
      <c r="C10018" s="188">
        <v>5.85</v>
      </c>
      <c r="D10018" s="104">
        <f t="shared" si="156"/>
        <v>5.8499999999999996E-2</v>
      </c>
      <c r="F10018" s="5"/>
    </row>
    <row r="10019" spans="2:6" ht="13.8" hidden="1" outlineLevel="1">
      <c r="B10019" s="187">
        <v>36633</v>
      </c>
      <c r="C10019" s="188">
        <v>6.01</v>
      </c>
      <c r="D10019" s="104">
        <f t="shared" si="156"/>
        <v>6.0100000000000001E-2</v>
      </c>
      <c r="F10019" s="5"/>
    </row>
    <row r="10020" spans="2:6" ht="13.8" hidden="1" outlineLevel="1">
      <c r="B10020" s="187">
        <v>36634</v>
      </c>
      <c r="C10020" s="188">
        <v>6.05</v>
      </c>
      <c r="D10020" s="104">
        <f t="shared" si="156"/>
        <v>6.0499999999999998E-2</v>
      </c>
      <c r="F10020" s="5"/>
    </row>
    <row r="10021" spans="2:6" ht="13.8" hidden="1" outlineLevel="1">
      <c r="B10021" s="187">
        <v>36635</v>
      </c>
      <c r="C10021" s="188">
        <v>5.99</v>
      </c>
      <c r="D10021" s="104">
        <f t="shared" si="156"/>
        <v>5.9900000000000002E-2</v>
      </c>
      <c r="F10021" s="5"/>
    </row>
    <row r="10022" spans="2:6" ht="13.8" hidden="1" outlineLevel="1">
      <c r="B10022" s="187">
        <v>36636</v>
      </c>
      <c r="C10022" s="188">
        <v>5.99</v>
      </c>
      <c r="D10022" s="104">
        <f t="shared" si="156"/>
        <v>5.9900000000000002E-2</v>
      </c>
      <c r="F10022" s="5"/>
    </row>
    <row r="10023" spans="2:6" ht="13.8" hidden="1" outlineLevel="1">
      <c r="B10023" s="187">
        <v>36637</v>
      </c>
      <c r="C10023" s="188" t="s">
        <v>380</v>
      </c>
      <c r="D10023" s="104">
        <f t="shared" si="156"/>
        <v>5.9900000000000002E-2</v>
      </c>
      <c r="F10023" s="5"/>
    </row>
    <row r="10024" spans="2:6" ht="13.8" hidden="1" outlineLevel="1">
      <c r="B10024" s="187">
        <v>36640</v>
      </c>
      <c r="C10024" s="188">
        <v>6</v>
      </c>
      <c r="D10024" s="104">
        <f t="shared" si="156"/>
        <v>0.06</v>
      </c>
      <c r="F10024" s="5"/>
    </row>
    <row r="10025" spans="2:6" ht="13.8" hidden="1" outlineLevel="1">
      <c r="B10025" s="187">
        <v>36641</v>
      </c>
      <c r="C10025" s="188">
        <v>6.14</v>
      </c>
      <c r="D10025" s="104">
        <f t="shared" si="156"/>
        <v>6.1399999999999996E-2</v>
      </c>
      <c r="F10025" s="5"/>
    </row>
    <row r="10026" spans="2:6" ht="13.8" hidden="1" outlineLevel="1">
      <c r="B10026" s="187">
        <v>36642</v>
      </c>
      <c r="C10026" s="188">
        <v>6.14</v>
      </c>
      <c r="D10026" s="104">
        <f t="shared" si="156"/>
        <v>6.1399999999999996E-2</v>
      </c>
      <c r="F10026" s="5"/>
    </row>
    <row r="10027" spans="2:6" ht="13.8" hidden="1" outlineLevel="1">
      <c r="B10027" s="187">
        <v>36643</v>
      </c>
      <c r="C10027" s="188">
        <v>6.23</v>
      </c>
      <c r="D10027" s="104">
        <f t="shared" si="156"/>
        <v>6.2300000000000001E-2</v>
      </c>
      <c r="F10027" s="5"/>
    </row>
    <row r="10028" spans="2:6" ht="13.8" hidden="1" outlineLevel="1">
      <c r="B10028" s="187">
        <v>36644</v>
      </c>
      <c r="C10028" s="188">
        <v>6.23</v>
      </c>
      <c r="D10028" s="104">
        <f t="shared" si="156"/>
        <v>6.2300000000000001E-2</v>
      </c>
      <c r="F10028" s="5"/>
    </row>
    <row r="10029" spans="2:6" ht="13.8" hidden="1" outlineLevel="1">
      <c r="B10029" s="187">
        <v>36647</v>
      </c>
      <c r="C10029" s="188">
        <v>6.29</v>
      </c>
      <c r="D10029" s="104">
        <f t="shared" si="156"/>
        <v>6.2899999999999998E-2</v>
      </c>
      <c r="F10029" s="5"/>
    </row>
    <row r="10030" spans="2:6" ht="13.8" hidden="1" outlineLevel="1">
      <c r="B10030" s="187">
        <v>36648</v>
      </c>
      <c r="C10030" s="188">
        <v>6.32</v>
      </c>
      <c r="D10030" s="104">
        <f t="shared" si="156"/>
        <v>6.3200000000000006E-2</v>
      </c>
      <c r="F10030" s="5"/>
    </row>
    <row r="10031" spans="2:6" ht="13.8" hidden="1" outlineLevel="1">
      <c r="B10031" s="187">
        <v>36649</v>
      </c>
      <c r="C10031" s="188">
        <v>6.4</v>
      </c>
      <c r="D10031" s="104">
        <f t="shared" si="156"/>
        <v>6.4000000000000001E-2</v>
      </c>
      <c r="F10031" s="5"/>
    </row>
    <row r="10032" spans="2:6" ht="13.8" hidden="1" outlineLevel="1">
      <c r="B10032" s="187">
        <v>36650</v>
      </c>
      <c r="C10032" s="188">
        <v>6.46</v>
      </c>
      <c r="D10032" s="104">
        <f t="shared" si="156"/>
        <v>6.4600000000000005E-2</v>
      </c>
      <c r="F10032" s="5"/>
    </row>
    <row r="10033" spans="2:6" ht="13.8" hidden="1" outlineLevel="1">
      <c r="B10033" s="187">
        <v>36651</v>
      </c>
      <c r="C10033" s="188">
        <v>6.51</v>
      </c>
      <c r="D10033" s="104">
        <f t="shared" si="156"/>
        <v>6.5099999999999991E-2</v>
      </c>
      <c r="F10033" s="5"/>
    </row>
    <row r="10034" spans="2:6" ht="13.8" hidden="1" outlineLevel="1">
      <c r="B10034" s="187">
        <v>36654</v>
      </c>
      <c r="C10034" s="188">
        <v>6.57</v>
      </c>
      <c r="D10034" s="104">
        <f t="shared" si="156"/>
        <v>6.5700000000000008E-2</v>
      </c>
      <c r="F10034" s="5"/>
    </row>
    <row r="10035" spans="2:6" ht="13.8" hidden="1" outlineLevel="1">
      <c r="B10035" s="187">
        <v>36655</v>
      </c>
      <c r="C10035" s="188">
        <v>6.53</v>
      </c>
      <c r="D10035" s="104">
        <f t="shared" si="156"/>
        <v>6.5299999999999997E-2</v>
      </c>
      <c r="F10035" s="5"/>
    </row>
    <row r="10036" spans="2:6" ht="13.8" hidden="1" outlineLevel="1">
      <c r="B10036" s="187">
        <v>36656</v>
      </c>
      <c r="C10036" s="188">
        <v>6.47</v>
      </c>
      <c r="D10036" s="104">
        <f t="shared" si="156"/>
        <v>6.4699999999999994E-2</v>
      </c>
      <c r="F10036" s="5"/>
    </row>
    <row r="10037" spans="2:6" ht="13.8" hidden="1" outlineLevel="1">
      <c r="B10037" s="187">
        <v>36657</v>
      </c>
      <c r="C10037" s="188">
        <v>6.43</v>
      </c>
      <c r="D10037" s="104">
        <f t="shared" si="156"/>
        <v>6.4299999999999996E-2</v>
      </c>
      <c r="F10037" s="5"/>
    </row>
    <row r="10038" spans="2:6" ht="13.8" hidden="1" outlineLevel="1">
      <c r="B10038" s="187">
        <v>36658</v>
      </c>
      <c r="C10038" s="188">
        <v>6.51</v>
      </c>
      <c r="D10038" s="104">
        <f t="shared" si="156"/>
        <v>6.5099999999999991E-2</v>
      </c>
      <c r="F10038" s="5"/>
    </row>
    <row r="10039" spans="2:6" ht="13.8" hidden="1" outlineLevel="1">
      <c r="B10039" s="187">
        <v>36661</v>
      </c>
      <c r="C10039" s="188">
        <v>6.47</v>
      </c>
      <c r="D10039" s="104">
        <f t="shared" si="156"/>
        <v>6.4699999999999994E-2</v>
      </c>
      <c r="F10039" s="5"/>
    </row>
    <row r="10040" spans="2:6" ht="13.8" hidden="1" outlineLevel="1">
      <c r="B10040" s="187">
        <v>36662</v>
      </c>
      <c r="C10040" s="188">
        <v>6.43</v>
      </c>
      <c r="D10040" s="104">
        <f t="shared" si="156"/>
        <v>6.4299999999999996E-2</v>
      </c>
      <c r="F10040" s="5"/>
    </row>
    <row r="10041" spans="2:6" ht="13.8" hidden="1" outlineLevel="1">
      <c r="B10041" s="187">
        <v>36663</v>
      </c>
      <c r="C10041" s="188">
        <v>6.48</v>
      </c>
      <c r="D10041" s="104">
        <f t="shared" si="156"/>
        <v>6.480000000000001E-2</v>
      </c>
      <c r="F10041" s="5"/>
    </row>
    <row r="10042" spans="2:6" ht="13.8" hidden="1" outlineLevel="1">
      <c r="B10042" s="187">
        <v>36664</v>
      </c>
      <c r="C10042" s="188">
        <v>6.56</v>
      </c>
      <c r="D10042" s="104">
        <f t="shared" si="156"/>
        <v>6.5599999999999992E-2</v>
      </c>
      <c r="F10042" s="5"/>
    </row>
    <row r="10043" spans="2:6" ht="13.8" hidden="1" outlineLevel="1">
      <c r="B10043" s="187">
        <v>36665</v>
      </c>
      <c r="C10043" s="188">
        <v>6.51</v>
      </c>
      <c r="D10043" s="104">
        <f t="shared" si="156"/>
        <v>6.5099999999999991E-2</v>
      </c>
      <c r="F10043" s="5"/>
    </row>
    <row r="10044" spans="2:6" ht="13.8" hidden="1" outlineLevel="1">
      <c r="B10044" s="187">
        <v>36668</v>
      </c>
      <c r="C10044" s="188">
        <v>6.44</v>
      </c>
      <c r="D10044" s="104">
        <f t="shared" si="156"/>
        <v>6.4399999999999999E-2</v>
      </c>
      <c r="F10044" s="5"/>
    </row>
    <row r="10045" spans="2:6" ht="13.8" hidden="1" outlineLevel="1">
      <c r="B10045" s="187">
        <v>36669</v>
      </c>
      <c r="C10045" s="188">
        <v>6.45</v>
      </c>
      <c r="D10045" s="104">
        <f t="shared" si="156"/>
        <v>6.4500000000000002E-2</v>
      </c>
      <c r="F10045" s="5"/>
    </row>
    <row r="10046" spans="2:6" ht="13.8" hidden="1" outlineLevel="1">
      <c r="B10046" s="187">
        <v>36670</v>
      </c>
      <c r="C10046" s="188">
        <v>6.47</v>
      </c>
      <c r="D10046" s="104">
        <f t="shared" si="156"/>
        <v>6.4699999999999994E-2</v>
      </c>
      <c r="F10046" s="5"/>
    </row>
    <row r="10047" spans="2:6" ht="13.8" hidden="1" outlineLevel="1">
      <c r="B10047" s="187">
        <v>36671</v>
      </c>
      <c r="C10047" s="188">
        <v>6.39</v>
      </c>
      <c r="D10047" s="104">
        <f t="shared" si="156"/>
        <v>6.3899999999999998E-2</v>
      </c>
      <c r="F10047" s="5"/>
    </row>
    <row r="10048" spans="2:6" ht="13.8" hidden="1" outlineLevel="1">
      <c r="B10048" s="187">
        <v>36672</v>
      </c>
      <c r="C10048" s="188">
        <v>6.33</v>
      </c>
      <c r="D10048" s="104">
        <f t="shared" si="156"/>
        <v>6.3299999999999995E-2</v>
      </c>
      <c r="F10048" s="5"/>
    </row>
    <row r="10049" spans="2:6" ht="13.8" hidden="1" outlineLevel="1">
      <c r="B10049" s="187">
        <v>36675</v>
      </c>
      <c r="C10049" s="188" t="s">
        <v>380</v>
      </c>
      <c r="D10049" s="104">
        <f t="shared" si="156"/>
        <v>6.3299999999999995E-2</v>
      </c>
      <c r="F10049" s="5"/>
    </row>
    <row r="10050" spans="2:6" ht="13.8" hidden="1" outlineLevel="1">
      <c r="B10050" s="187">
        <v>36676</v>
      </c>
      <c r="C10050" s="188">
        <v>6.38</v>
      </c>
      <c r="D10050" s="104">
        <f t="shared" si="156"/>
        <v>6.3799999999999996E-2</v>
      </c>
      <c r="F10050" s="5"/>
    </row>
    <row r="10051" spans="2:6" ht="13.8" hidden="1" outlineLevel="1">
      <c r="B10051" s="187">
        <v>36677</v>
      </c>
      <c r="C10051" s="188">
        <v>6.29</v>
      </c>
      <c r="D10051" s="104">
        <f t="shared" si="156"/>
        <v>6.2899999999999998E-2</v>
      </c>
      <c r="F10051" s="5"/>
    </row>
    <row r="10052" spans="2:6" ht="13.8" hidden="1" outlineLevel="1">
      <c r="B10052" s="187">
        <v>36678</v>
      </c>
      <c r="C10052" s="188">
        <v>6.2</v>
      </c>
      <c r="D10052" s="104">
        <f t="shared" si="156"/>
        <v>6.2E-2</v>
      </c>
      <c r="F10052" s="5"/>
    </row>
    <row r="10053" spans="2:6" ht="13.8" hidden="1" outlineLevel="1">
      <c r="B10053" s="187">
        <v>36679</v>
      </c>
      <c r="C10053" s="188">
        <v>6.15</v>
      </c>
      <c r="D10053" s="104">
        <f t="shared" si="156"/>
        <v>6.1500000000000006E-2</v>
      </c>
      <c r="F10053" s="5"/>
    </row>
    <row r="10054" spans="2:6" ht="13.8" hidden="1" outlineLevel="1">
      <c r="B10054" s="187">
        <v>36682</v>
      </c>
      <c r="C10054" s="188">
        <v>6.12</v>
      </c>
      <c r="D10054" s="104">
        <f t="shared" si="156"/>
        <v>6.1200000000000004E-2</v>
      </c>
      <c r="F10054" s="5"/>
    </row>
    <row r="10055" spans="2:6" ht="13.8" hidden="1" outlineLevel="1">
      <c r="B10055" s="187">
        <v>36683</v>
      </c>
      <c r="C10055" s="188">
        <v>6.14</v>
      </c>
      <c r="D10055" s="104">
        <f t="shared" si="156"/>
        <v>6.1399999999999996E-2</v>
      </c>
      <c r="F10055" s="5"/>
    </row>
    <row r="10056" spans="2:6" ht="13.8" hidden="1" outlineLevel="1">
      <c r="B10056" s="187">
        <v>36684</v>
      </c>
      <c r="C10056" s="188">
        <v>6.13</v>
      </c>
      <c r="D10056" s="104">
        <f t="shared" si="156"/>
        <v>6.13E-2</v>
      </c>
      <c r="F10056" s="5"/>
    </row>
    <row r="10057" spans="2:6" ht="13.8" hidden="1" outlineLevel="1">
      <c r="B10057" s="187">
        <v>36685</v>
      </c>
      <c r="C10057" s="188">
        <v>6.13</v>
      </c>
      <c r="D10057" s="104">
        <f t="shared" si="156"/>
        <v>6.13E-2</v>
      </c>
      <c r="F10057" s="5"/>
    </row>
    <row r="10058" spans="2:6" ht="13.8" hidden="1" outlineLevel="1">
      <c r="B10058" s="187">
        <v>36686</v>
      </c>
      <c r="C10058" s="188">
        <v>6.13</v>
      </c>
      <c r="D10058" s="104">
        <f t="shared" si="156"/>
        <v>6.13E-2</v>
      </c>
      <c r="F10058" s="5"/>
    </row>
    <row r="10059" spans="2:6" ht="13.8" hidden="1" outlineLevel="1">
      <c r="B10059" s="187">
        <v>36689</v>
      </c>
      <c r="C10059" s="188">
        <v>6.09</v>
      </c>
      <c r="D10059" s="104">
        <f t="shared" si="156"/>
        <v>6.0899999999999996E-2</v>
      </c>
      <c r="F10059" s="5"/>
    </row>
    <row r="10060" spans="2:6" ht="13.8" hidden="1" outlineLevel="1">
      <c r="B10060" s="187">
        <v>36690</v>
      </c>
      <c r="C10060" s="188">
        <v>6.11</v>
      </c>
      <c r="D10060" s="104">
        <f t="shared" si="156"/>
        <v>6.1100000000000002E-2</v>
      </c>
      <c r="F10060" s="5"/>
    </row>
    <row r="10061" spans="2:6" ht="13.8" hidden="1" outlineLevel="1">
      <c r="B10061" s="187">
        <v>36691</v>
      </c>
      <c r="C10061" s="188">
        <v>6.06</v>
      </c>
      <c r="D10061" s="104">
        <f t="shared" si="156"/>
        <v>6.0599999999999994E-2</v>
      </c>
      <c r="F10061" s="5"/>
    </row>
    <row r="10062" spans="2:6" ht="13.8" hidden="1" outlineLevel="1">
      <c r="B10062" s="187">
        <v>36692</v>
      </c>
      <c r="C10062" s="188">
        <v>6.05</v>
      </c>
      <c r="D10062" s="104">
        <f t="shared" si="156"/>
        <v>6.0499999999999998E-2</v>
      </c>
      <c r="F10062" s="5"/>
    </row>
    <row r="10063" spans="2:6" ht="13.8" hidden="1" outlineLevel="1">
      <c r="B10063" s="187">
        <v>36693</v>
      </c>
      <c r="C10063" s="188">
        <v>5.99</v>
      </c>
      <c r="D10063" s="104">
        <f t="shared" si="156"/>
        <v>5.9900000000000002E-2</v>
      </c>
      <c r="F10063" s="5"/>
    </row>
    <row r="10064" spans="2:6" ht="13.8" hidden="1" outlineLevel="1">
      <c r="B10064" s="187">
        <v>36696</v>
      </c>
      <c r="C10064" s="188">
        <v>6</v>
      </c>
      <c r="D10064" s="104">
        <f t="shared" si="156"/>
        <v>0.06</v>
      </c>
      <c r="F10064" s="5"/>
    </row>
    <row r="10065" spans="2:6" ht="13.8" hidden="1" outlineLevel="1">
      <c r="B10065" s="187">
        <v>36697</v>
      </c>
      <c r="C10065" s="188">
        <v>6.03</v>
      </c>
      <c r="D10065" s="104">
        <f t="shared" si="156"/>
        <v>6.0299999999999999E-2</v>
      </c>
      <c r="F10065" s="5"/>
    </row>
    <row r="10066" spans="2:6" ht="13.8" hidden="1" outlineLevel="1">
      <c r="B10066" s="187">
        <v>36698</v>
      </c>
      <c r="C10066" s="188">
        <v>6.11</v>
      </c>
      <c r="D10066" s="104">
        <f t="shared" si="156"/>
        <v>6.1100000000000002E-2</v>
      </c>
      <c r="F10066" s="5"/>
    </row>
    <row r="10067" spans="2:6" ht="13.8" hidden="1" outlineLevel="1">
      <c r="B10067" s="187">
        <v>36699</v>
      </c>
      <c r="C10067" s="188">
        <v>6.12</v>
      </c>
      <c r="D10067" s="104">
        <f t="shared" si="156"/>
        <v>6.1200000000000004E-2</v>
      </c>
      <c r="F10067" s="5"/>
    </row>
    <row r="10068" spans="2:6" ht="13.8" hidden="1" outlineLevel="1">
      <c r="B10068" s="187">
        <v>36700</v>
      </c>
      <c r="C10068" s="188">
        <v>6.19</v>
      </c>
      <c r="D10068" s="104">
        <f t="shared" si="156"/>
        <v>6.1900000000000004E-2</v>
      </c>
      <c r="F10068" s="5"/>
    </row>
    <row r="10069" spans="2:6" ht="13.8" hidden="1" outlineLevel="1">
      <c r="B10069" s="187">
        <v>36703</v>
      </c>
      <c r="C10069" s="188">
        <v>6.11</v>
      </c>
      <c r="D10069" s="104">
        <f t="shared" si="156"/>
        <v>6.1100000000000002E-2</v>
      </c>
      <c r="F10069" s="5"/>
    </row>
    <row r="10070" spans="2:6" ht="13.8" hidden="1" outlineLevel="1">
      <c r="B10070" s="187">
        <v>36704</v>
      </c>
      <c r="C10070" s="188">
        <v>6.1</v>
      </c>
      <c r="D10070" s="104">
        <f t="shared" si="156"/>
        <v>6.0999999999999999E-2</v>
      </c>
      <c r="F10070" s="5"/>
    </row>
    <row r="10071" spans="2:6" ht="13.8" hidden="1" outlineLevel="1">
      <c r="B10071" s="187">
        <v>36705</v>
      </c>
      <c r="C10071" s="188">
        <v>6.11</v>
      </c>
      <c r="D10071" s="104">
        <f t="shared" si="156"/>
        <v>6.1100000000000002E-2</v>
      </c>
      <c r="F10071" s="5"/>
    </row>
    <row r="10072" spans="2:6" ht="13.8" hidden="1" outlineLevel="1">
      <c r="B10072" s="187">
        <v>36706</v>
      </c>
      <c r="C10072" s="188">
        <v>6.04</v>
      </c>
      <c r="D10072" s="104">
        <f t="shared" si="156"/>
        <v>6.0400000000000002E-2</v>
      </c>
      <c r="F10072" s="5"/>
    </row>
    <row r="10073" spans="2:6" ht="13.8" hidden="1" outlineLevel="1">
      <c r="B10073" s="187">
        <v>36707</v>
      </c>
      <c r="C10073" s="188">
        <v>6.03</v>
      </c>
      <c r="D10073" s="104">
        <f t="shared" si="156"/>
        <v>6.0299999999999999E-2</v>
      </c>
      <c r="F10073" s="5"/>
    </row>
    <row r="10074" spans="2:6" ht="13.8" hidden="1" outlineLevel="1">
      <c r="B10074" s="187">
        <v>36710</v>
      </c>
      <c r="C10074" s="188">
        <v>6</v>
      </c>
      <c r="D10074" s="104">
        <f t="shared" si="156"/>
        <v>0.06</v>
      </c>
      <c r="F10074" s="5"/>
    </row>
    <row r="10075" spans="2:6" ht="13.8" hidden="1" outlineLevel="1">
      <c r="B10075" s="187">
        <v>36711</v>
      </c>
      <c r="C10075" s="188" t="s">
        <v>380</v>
      </c>
      <c r="D10075" s="104">
        <f t="shared" si="156"/>
        <v>0.06</v>
      </c>
      <c r="F10075" s="5"/>
    </row>
    <row r="10076" spans="2:6" ht="13.8" hidden="1" outlineLevel="1">
      <c r="B10076" s="187">
        <v>36712</v>
      </c>
      <c r="C10076" s="188">
        <v>5.99</v>
      </c>
      <c r="D10076" s="104">
        <f t="shared" si="156"/>
        <v>5.9900000000000002E-2</v>
      </c>
      <c r="F10076" s="5"/>
    </row>
    <row r="10077" spans="2:6" ht="13.8" hidden="1" outlineLevel="1">
      <c r="B10077" s="187">
        <v>36713</v>
      </c>
      <c r="C10077" s="188">
        <v>6.05</v>
      </c>
      <c r="D10077" s="104">
        <f t="shared" si="156"/>
        <v>6.0499999999999998E-2</v>
      </c>
      <c r="F10077" s="5"/>
    </row>
    <row r="10078" spans="2:6" ht="13.8" hidden="1" outlineLevel="1">
      <c r="B10078" s="187">
        <v>36714</v>
      </c>
      <c r="C10078" s="188">
        <v>6.01</v>
      </c>
      <c r="D10078" s="104">
        <f t="shared" ref="D10078:D10141" si="157">IF( LEN( C10078 ) = 0, #N/A, IF( C10078 = "ND", D10077, C10078 / 100 ) )</f>
        <v>6.0100000000000001E-2</v>
      </c>
      <c r="F10078" s="5"/>
    </row>
    <row r="10079" spans="2:6" ht="13.8" hidden="1" outlineLevel="1">
      <c r="B10079" s="187">
        <v>36717</v>
      </c>
      <c r="C10079" s="188">
        <v>6.04</v>
      </c>
      <c r="D10079" s="104">
        <f t="shared" si="157"/>
        <v>6.0400000000000002E-2</v>
      </c>
      <c r="F10079" s="5"/>
    </row>
    <row r="10080" spans="2:6" ht="13.8" hidden="1" outlineLevel="1">
      <c r="B10080" s="187">
        <v>36718</v>
      </c>
      <c r="C10080" s="188">
        <v>6.06</v>
      </c>
      <c r="D10080" s="104">
        <f t="shared" si="157"/>
        <v>6.0599999999999994E-2</v>
      </c>
      <c r="F10080" s="5"/>
    </row>
    <row r="10081" spans="2:6" ht="13.8" hidden="1" outlineLevel="1">
      <c r="B10081" s="187">
        <v>36719</v>
      </c>
      <c r="C10081" s="188">
        <v>6.09</v>
      </c>
      <c r="D10081" s="104">
        <f t="shared" si="157"/>
        <v>6.0899999999999996E-2</v>
      </c>
      <c r="F10081" s="5"/>
    </row>
    <row r="10082" spans="2:6" ht="13.8" hidden="1" outlineLevel="1">
      <c r="B10082" s="187">
        <v>36720</v>
      </c>
      <c r="C10082" s="188">
        <v>6.01</v>
      </c>
      <c r="D10082" s="104">
        <f t="shared" si="157"/>
        <v>6.0100000000000001E-2</v>
      </c>
      <c r="F10082" s="5"/>
    </row>
    <row r="10083" spans="2:6" ht="13.8" hidden="1" outlineLevel="1">
      <c r="B10083" s="187">
        <v>36721</v>
      </c>
      <c r="C10083" s="188">
        <v>6.1</v>
      </c>
      <c r="D10083" s="104">
        <f t="shared" si="157"/>
        <v>6.0999999999999999E-2</v>
      </c>
      <c r="F10083" s="5"/>
    </row>
    <row r="10084" spans="2:6" ht="13.8" hidden="1" outlineLevel="1">
      <c r="B10084" s="187">
        <v>36724</v>
      </c>
      <c r="C10084" s="188">
        <v>6.17</v>
      </c>
      <c r="D10084" s="104">
        <f t="shared" si="157"/>
        <v>6.1699999999999998E-2</v>
      </c>
      <c r="F10084" s="5"/>
    </row>
    <row r="10085" spans="2:6" ht="13.8" hidden="1" outlineLevel="1">
      <c r="B10085" s="187">
        <v>36725</v>
      </c>
      <c r="C10085" s="188">
        <v>6.16</v>
      </c>
      <c r="D10085" s="104">
        <f t="shared" si="157"/>
        <v>6.1600000000000002E-2</v>
      </c>
      <c r="F10085" s="5"/>
    </row>
    <row r="10086" spans="2:6" ht="13.8" hidden="1" outlineLevel="1">
      <c r="B10086" s="187">
        <v>36726</v>
      </c>
      <c r="C10086" s="188">
        <v>6.16</v>
      </c>
      <c r="D10086" s="104">
        <f t="shared" si="157"/>
        <v>6.1600000000000002E-2</v>
      </c>
      <c r="F10086" s="5"/>
    </row>
    <row r="10087" spans="2:6" ht="13.8" hidden="1" outlineLevel="1">
      <c r="B10087" s="187">
        <v>36727</v>
      </c>
      <c r="C10087" s="188">
        <v>6.01</v>
      </c>
      <c r="D10087" s="104">
        <f t="shared" si="157"/>
        <v>6.0100000000000001E-2</v>
      </c>
      <c r="F10087" s="5"/>
    </row>
    <row r="10088" spans="2:6" ht="13.8" hidden="1" outlineLevel="1">
      <c r="B10088" s="187">
        <v>36728</v>
      </c>
      <c r="C10088" s="188">
        <v>6.01</v>
      </c>
      <c r="D10088" s="104">
        <f t="shared" si="157"/>
        <v>6.0100000000000001E-2</v>
      </c>
      <c r="F10088" s="5"/>
    </row>
    <row r="10089" spans="2:6" ht="13.8" hidden="1" outlineLevel="1">
      <c r="B10089" s="187">
        <v>36731</v>
      </c>
      <c r="C10089" s="188">
        <v>6.04</v>
      </c>
      <c r="D10089" s="104">
        <f t="shared" si="157"/>
        <v>6.0400000000000002E-2</v>
      </c>
      <c r="F10089" s="5"/>
    </row>
    <row r="10090" spans="2:6" ht="13.8" hidden="1" outlineLevel="1">
      <c r="B10090" s="187">
        <v>36732</v>
      </c>
      <c r="C10090" s="188">
        <v>6.04</v>
      </c>
      <c r="D10090" s="104">
        <f t="shared" si="157"/>
        <v>6.0400000000000002E-2</v>
      </c>
      <c r="F10090" s="5"/>
    </row>
    <row r="10091" spans="2:6" ht="13.8" hidden="1" outlineLevel="1">
      <c r="B10091" s="187">
        <v>36733</v>
      </c>
      <c r="C10091" s="188">
        <v>6.04</v>
      </c>
      <c r="D10091" s="104">
        <f t="shared" si="157"/>
        <v>6.0400000000000002E-2</v>
      </c>
      <c r="F10091" s="5"/>
    </row>
    <row r="10092" spans="2:6" ht="13.8" hidden="1" outlineLevel="1">
      <c r="B10092" s="187">
        <v>36734</v>
      </c>
      <c r="C10092" s="188">
        <v>6.02</v>
      </c>
      <c r="D10092" s="104">
        <f t="shared" si="157"/>
        <v>6.0199999999999997E-2</v>
      </c>
      <c r="F10092" s="5"/>
    </row>
    <row r="10093" spans="2:6" ht="13.8" hidden="1" outlineLevel="1">
      <c r="B10093" s="187">
        <v>36735</v>
      </c>
      <c r="C10093" s="188">
        <v>6.04</v>
      </c>
      <c r="D10093" s="104">
        <f t="shared" si="157"/>
        <v>6.0400000000000002E-2</v>
      </c>
      <c r="F10093" s="5"/>
    </row>
    <row r="10094" spans="2:6" ht="13.8" hidden="1" outlineLevel="1">
      <c r="B10094" s="187">
        <v>36738</v>
      </c>
      <c r="C10094" s="188">
        <v>6.04</v>
      </c>
      <c r="D10094" s="104">
        <f t="shared" si="157"/>
        <v>6.0400000000000002E-2</v>
      </c>
      <c r="F10094" s="5"/>
    </row>
    <row r="10095" spans="2:6" ht="13.8" hidden="1" outlineLevel="1">
      <c r="B10095" s="187">
        <v>36739</v>
      </c>
      <c r="C10095" s="188">
        <v>6</v>
      </c>
      <c r="D10095" s="104">
        <f t="shared" si="157"/>
        <v>0.06</v>
      </c>
      <c r="F10095" s="5"/>
    </row>
    <row r="10096" spans="2:6" ht="13.8" hidden="1" outlineLevel="1">
      <c r="B10096" s="187">
        <v>36740</v>
      </c>
      <c r="C10096" s="188">
        <v>5.98</v>
      </c>
      <c r="D10096" s="104">
        <f t="shared" si="157"/>
        <v>5.9800000000000006E-2</v>
      </c>
      <c r="F10096" s="5"/>
    </row>
    <row r="10097" spans="2:6" ht="13.8" hidden="1" outlineLevel="1">
      <c r="B10097" s="187">
        <v>36741</v>
      </c>
      <c r="C10097" s="188">
        <v>5.95</v>
      </c>
      <c r="D10097" s="104">
        <f t="shared" si="157"/>
        <v>5.9500000000000004E-2</v>
      </c>
      <c r="F10097" s="5"/>
    </row>
    <row r="10098" spans="2:6" ht="13.8" hidden="1" outlineLevel="1">
      <c r="B10098" s="187">
        <v>36742</v>
      </c>
      <c r="C10098" s="188">
        <v>5.91</v>
      </c>
      <c r="D10098" s="104">
        <f t="shared" si="157"/>
        <v>5.91E-2</v>
      </c>
      <c r="F10098" s="5"/>
    </row>
    <row r="10099" spans="2:6" ht="13.8" hidden="1" outlineLevel="1">
      <c r="B10099" s="187">
        <v>36745</v>
      </c>
      <c r="C10099" s="188">
        <v>5.97</v>
      </c>
      <c r="D10099" s="104">
        <f t="shared" si="157"/>
        <v>5.9699999999999996E-2</v>
      </c>
      <c r="F10099" s="5"/>
    </row>
    <row r="10100" spans="2:6" ht="13.8" hidden="1" outlineLevel="1">
      <c r="B10100" s="187">
        <v>36746</v>
      </c>
      <c r="C10100" s="188">
        <v>5.93</v>
      </c>
      <c r="D10100" s="104">
        <f t="shared" si="157"/>
        <v>5.9299999999999999E-2</v>
      </c>
      <c r="F10100" s="5"/>
    </row>
    <row r="10101" spans="2:6" ht="13.8" hidden="1" outlineLevel="1">
      <c r="B10101" s="187">
        <v>36747</v>
      </c>
      <c r="C10101" s="188">
        <v>5.81</v>
      </c>
      <c r="D10101" s="104">
        <f t="shared" si="157"/>
        <v>5.8099999999999999E-2</v>
      </c>
      <c r="F10101" s="5"/>
    </row>
    <row r="10102" spans="2:6" ht="13.8" hidden="1" outlineLevel="1">
      <c r="B10102" s="187">
        <v>36748</v>
      </c>
      <c r="C10102" s="188">
        <v>5.76</v>
      </c>
      <c r="D10102" s="104">
        <f t="shared" si="157"/>
        <v>5.7599999999999998E-2</v>
      </c>
      <c r="F10102" s="5"/>
    </row>
    <row r="10103" spans="2:6" ht="13.8" hidden="1" outlineLevel="1">
      <c r="B10103" s="187">
        <v>36749</v>
      </c>
      <c r="C10103" s="188">
        <v>5.79</v>
      </c>
      <c r="D10103" s="104">
        <f t="shared" si="157"/>
        <v>5.79E-2</v>
      </c>
      <c r="F10103" s="5"/>
    </row>
    <row r="10104" spans="2:6" ht="13.8" hidden="1" outlineLevel="1">
      <c r="B10104" s="187">
        <v>36752</v>
      </c>
      <c r="C10104" s="188">
        <v>5.78</v>
      </c>
      <c r="D10104" s="104">
        <f t="shared" si="157"/>
        <v>5.7800000000000004E-2</v>
      </c>
      <c r="F10104" s="5"/>
    </row>
    <row r="10105" spans="2:6" ht="13.8" hidden="1" outlineLevel="1">
      <c r="B10105" s="187">
        <v>36753</v>
      </c>
      <c r="C10105" s="188">
        <v>5.81</v>
      </c>
      <c r="D10105" s="104">
        <f t="shared" si="157"/>
        <v>5.8099999999999999E-2</v>
      </c>
      <c r="F10105" s="5"/>
    </row>
    <row r="10106" spans="2:6" ht="13.8" hidden="1" outlineLevel="1">
      <c r="B10106" s="187">
        <v>36754</v>
      </c>
      <c r="C10106" s="188">
        <v>5.83</v>
      </c>
      <c r="D10106" s="104">
        <f t="shared" si="157"/>
        <v>5.8299999999999998E-2</v>
      </c>
      <c r="F10106" s="5"/>
    </row>
    <row r="10107" spans="2:6" ht="13.8" hidden="1" outlineLevel="1">
      <c r="B10107" s="187">
        <v>36755</v>
      </c>
      <c r="C10107" s="188">
        <v>5.81</v>
      </c>
      <c r="D10107" s="104">
        <f t="shared" si="157"/>
        <v>5.8099999999999999E-2</v>
      </c>
      <c r="F10107" s="5"/>
    </row>
    <row r="10108" spans="2:6" ht="13.8" hidden="1" outlineLevel="1">
      <c r="B10108" s="187">
        <v>36756</v>
      </c>
      <c r="C10108" s="188">
        <v>5.78</v>
      </c>
      <c r="D10108" s="104">
        <f t="shared" si="157"/>
        <v>5.7800000000000004E-2</v>
      </c>
      <c r="F10108" s="5"/>
    </row>
    <row r="10109" spans="2:6" ht="13.8" hidden="1" outlineLevel="1">
      <c r="B10109" s="187">
        <v>36759</v>
      </c>
      <c r="C10109" s="188">
        <v>5.79</v>
      </c>
      <c r="D10109" s="104">
        <f t="shared" si="157"/>
        <v>5.79E-2</v>
      </c>
      <c r="F10109" s="5"/>
    </row>
    <row r="10110" spans="2:6" ht="13.8" hidden="1" outlineLevel="1">
      <c r="B10110" s="187">
        <v>36760</v>
      </c>
      <c r="C10110" s="188">
        <v>5.78</v>
      </c>
      <c r="D10110" s="104">
        <f t="shared" si="157"/>
        <v>5.7800000000000004E-2</v>
      </c>
      <c r="F10110" s="5"/>
    </row>
    <row r="10111" spans="2:6" ht="13.8" hidden="1" outlineLevel="1">
      <c r="B10111" s="187">
        <v>36761</v>
      </c>
      <c r="C10111" s="188">
        <v>5.73</v>
      </c>
      <c r="D10111" s="104">
        <f t="shared" si="157"/>
        <v>5.7300000000000004E-2</v>
      </c>
      <c r="F10111" s="5"/>
    </row>
    <row r="10112" spans="2:6" ht="13.8" hidden="1" outlineLevel="1">
      <c r="B10112" s="187">
        <v>36762</v>
      </c>
      <c r="C10112" s="188">
        <v>5.73</v>
      </c>
      <c r="D10112" s="104">
        <f t="shared" si="157"/>
        <v>5.7300000000000004E-2</v>
      </c>
      <c r="F10112" s="5"/>
    </row>
    <row r="10113" spans="2:6" ht="13.8" hidden="1" outlineLevel="1">
      <c r="B10113" s="187">
        <v>36763</v>
      </c>
      <c r="C10113" s="188">
        <v>5.73</v>
      </c>
      <c r="D10113" s="104">
        <f t="shared" si="157"/>
        <v>5.7300000000000004E-2</v>
      </c>
      <c r="F10113" s="5"/>
    </row>
    <row r="10114" spans="2:6" ht="13.8" hidden="1" outlineLevel="1">
      <c r="B10114" s="187">
        <v>36766</v>
      </c>
      <c r="C10114" s="188">
        <v>5.78</v>
      </c>
      <c r="D10114" s="104">
        <f t="shared" si="157"/>
        <v>5.7800000000000004E-2</v>
      </c>
      <c r="F10114" s="5"/>
    </row>
    <row r="10115" spans="2:6" ht="13.8" hidden="1" outlineLevel="1">
      <c r="B10115" s="187">
        <v>36767</v>
      </c>
      <c r="C10115" s="188">
        <v>5.81</v>
      </c>
      <c r="D10115" s="104">
        <f t="shared" si="157"/>
        <v>5.8099999999999999E-2</v>
      </c>
      <c r="F10115" s="5"/>
    </row>
    <row r="10116" spans="2:6" ht="13.8" hidden="1" outlineLevel="1">
      <c r="B10116" s="187">
        <v>36768</v>
      </c>
      <c r="C10116" s="188">
        <v>5.81</v>
      </c>
      <c r="D10116" s="104">
        <f t="shared" si="157"/>
        <v>5.8099999999999999E-2</v>
      </c>
      <c r="F10116" s="5"/>
    </row>
    <row r="10117" spans="2:6" ht="13.8" hidden="1" outlineLevel="1">
      <c r="B10117" s="187">
        <v>36769</v>
      </c>
      <c r="C10117" s="188">
        <v>5.73</v>
      </c>
      <c r="D10117" s="104">
        <f t="shared" si="157"/>
        <v>5.7300000000000004E-2</v>
      </c>
      <c r="F10117" s="5"/>
    </row>
    <row r="10118" spans="2:6" ht="13.8" hidden="1" outlineLevel="1">
      <c r="B10118" s="187">
        <v>36770</v>
      </c>
      <c r="C10118" s="188">
        <v>5.68</v>
      </c>
      <c r="D10118" s="104">
        <f t="shared" si="157"/>
        <v>5.6799999999999996E-2</v>
      </c>
      <c r="F10118" s="5"/>
    </row>
    <row r="10119" spans="2:6" ht="13.8" hidden="1" outlineLevel="1">
      <c r="B10119" s="187">
        <v>36773</v>
      </c>
      <c r="C10119" s="188" t="s">
        <v>380</v>
      </c>
      <c r="D10119" s="104">
        <f t="shared" si="157"/>
        <v>5.6799999999999996E-2</v>
      </c>
      <c r="F10119" s="5"/>
    </row>
    <row r="10120" spans="2:6" ht="13.8" hidden="1" outlineLevel="1">
      <c r="B10120" s="187">
        <v>36774</v>
      </c>
      <c r="C10120" s="188">
        <v>5.69</v>
      </c>
      <c r="D10120" s="104">
        <f t="shared" si="157"/>
        <v>5.6900000000000006E-2</v>
      </c>
      <c r="F10120" s="5"/>
    </row>
    <row r="10121" spans="2:6" ht="13.8" hidden="1" outlineLevel="1">
      <c r="B10121" s="187">
        <v>36775</v>
      </c>
      <c r="C10121" s="188">
        <v>5.72</v>
      </c>
      <c r="D10121" s="104">
        <f t="shared" si="157"/>
        <v>5.7200000000000001E-2</v>
      </c>
      <c r="F10121" s="5"/>
    </row>
    <row r="10122" spans="2:6" ht="13.8" hidden="1" outlineLevel="1">
      <c r="B10122" s="187">
        <v>36776</v>
      </c>
      <c r="C10122" s="188">
        <v>5.76</v>
      </c>
      <c r="D10122" s="104">
        <f t="shared" si="157"/>
        <v>5.7599999999999998E-2</v>
      </c>
      <c r="F10122" s="5"/>
    </row>
    <row r="10123" spans="2:6" ht="13.8" hidden="1" outlineLevel="1">
      <c r="B10123" s="187">
        <v>36777</v>
      </c>
      <c r="C10123" s="188">
        <v>5.73</v>
      </c>
      <c r="D10123" s="104">
        <f t="shared" si="157"/>
        <v>5.7300000000000004E-2</v>
      </c>
      <c r="F10123" s="5"/>
    </row>
    <row r="10124" spans="2:6" ht="13.8" hidden="1" outlineLevel="1">
      <c r="B10124" s="187">
        <v>36780</v>
      </c>
      <c r="C10124" s="188">
        <v>5.77</v>
      </c>
      <c r="D10124" s="104">
        <f t="shared" si="157"/>
        <v>5.7699999999999994E-2</v>
      </c>
      <c r="F10124" s="5"/>
    </row>
    <row r="10125" spans="2:6" ht="13.8" hidden="1" outlineLevel="1">
      <c r="B10125" s="187">
        <v>36781</v>
      </c>
      <c r="C10125" s="188">
        <v>5.78</v>
      </c>
      <c r="D10125" s="104">
        <f t="shared" si="157"/>
        <v>5.7800000000000004E-2</v>
      </c>
      <c r="F10125" s="5"/>
    </row>
    <row r="10126" spans="2:6" ht="13.8" hidden="1" outlineLevel="1">
      <c r="B10126" s="187">
        <v>36782</v>
      </c>
      <c r="C10126" s="188">
        <v>5.74</v>
      </c>
      <c r="D10126" s="104">
        <f t="shared" si="157"/>
        <v>5.74E-2</v>
      </c>
      <c r="F10126" s="5"/>
    </row>
    <row r="10127" spans="2:6" ht="13.8" hidden="1" outlineLevel="1">
      <c r="B10127" s="187">
        <v>36783</v>
      </c>
      <c r="C10127" s="188">
        <v>5.79</v>
      </c>
      <c r="D10127" s="104">
        <f t="shared" si="157"/>
        <v>5.79E-2</v>
      </c>
      <c r="F10127" s="5"/>
    </row>
    <row r="10128" spans="2:6" ht="13.8" hidden="1" outlineLevel="1">
      <c r="B10128" s="187">
        <v>36784</v>
      </c>
      <c r="C10128" s="188">
        <v>5.84</v>
      </c>
      <c r="D10128" s="104">
        <f t="shared" si="157"/>
        <v>5.8400000000000001E-2</v>
      </c>
      <c r="F10128" s="5"/>
    </row>
    <row r="10129" spans="2:6" ht="13.8" hidden="1" outlineLevel="1">
      <c r="B10129" s="187">
        <v>36787</v>
      </c>
      <c r="C10129" s="188">
        <v>5.88</v>
      </c>
      <c r="D10129" s="104">
        <f t="shared" si="157"/>
        <v>5.8799999999999998E-2</v>
      </c>
      <c r="F10129" s="5"/>
    </row>
    <row r="10130" spans="2:6" ht="13.8" hidden="1" outlineLevel="1">
      <c r="B10130" s="187">
        <v>36788</v>
      </c>
      <c r="C10130" s="188">
        <v>5.86</v>
      </c>
      <c r="D10130" s="104">
        <f t="shared" si="157"/>
        <v>5.8600000000000006E-2</v>
      </c>
      <c r="F10130" s="5"/>
    </row>
    <row r="10131" spans="2:6" ht="13.8" hidden="1" outlineLevel="1">
      <c r="B10131" s="187">
        <v>36789</v>
      </c>
      <c r="C10131" s="188">
        <v>5.91</v>
      </c>
      <c r="D10131" s="104">
        <f t="shared" si="157"/>
        <v>5.91E-2</v>
      </c>
      <c r="F10131" s="5"/>
    </row>
    <row r="10132" spans="2:6" ht="13.8" hidden="1" outlineLevel="1">
      <c r="B10132" s="187">
        <v>36790</v>
      </c>
      <c r="C10132" s="188">
        <v>5.88</v>
      </c>
      <c r="D10132" s="104">
        <f t="shared" si="157"/>
        <v>5.8799999999999998E-2</v>
      </c>
      <c r="F10132" s="5"/>
    </row>
    <row r="10133" spans="2:6" ht="13.8" hidden="1" outlineLevel="1">
      <c r="B10133" s="187">
        <v>36791</v>
      </c>
      <c r="C10133" s="188">
        <v>5.85</v>
      </c>
      <c r="D10133" s="104">
        <f t="shared" si="157"/>
        <v>5.8499999999999996E-2</v>
      </c>
      <c r="F10133" s="5"/>
    </row>
    <row r="10134" spans="2:6" ht="13.8" hidden="1" outlineLevel="1">
      <c r="B10134" s="187">
        <v>36794</v>
      </c>
      <c r="C10134" s="188">
        <v>5.84</v>
      </c>
      <c r="D10134" s="104">
        <f t="shared" si="157"/>
        <v>5.8400000000000001E-2</v>
      </c>
      <c r="F10134" s="5"/>
    </row>
    <row r="10135" spans="2:6" ht="13.8" hidden="1" outlineLevel="1">
      <c r="B10135" s="187">
        <v>36795</v>
      </c>
      <c r="C10135" s="188">
        <v>5.81</v>
      </c>
      <c r="D10135" s="104">
        <f t="shared" si="157"/>
        <v>5.8099999999999999E-2</v>
      </c>
      <c r="F10135" s="5"/>
    </row>
    <row r="10136" spans="2:6" ht="13.8" hidden="1" outlineLevel="1">
      <c r="B10136" s="187">
        <v>36796</v>
      </c>
      <c r="C10136" s="188">
        <v>5.83</v>
      </c>
      <c r="D10136" s="104">
        <f t="shared" si="157"/>
        <v>5.8299999999999998E-2</v>
      </c>
      <c r="F10136" s="5"/>
    </row>
    <row r="10137" spans="2:6" ht="13.8" hidden="1" outlineLevel="1">
      <c r="B10137" s="187">
        <v>36797</v>
      </c>
      <c r="C10137" s="188">
        <v>5.82</v>
      </c>
      <c r="D10137" s="104">
        <f t="shared" si="157"/>
        <v>5.8200000000000002E-2</v>
      </c>
      <c r="F10137" s="5"/>
    </row>
    <row r="10138" spans="2:6" ht="13.8" hidden="1" outlineLevel="1">
      <c r="B10138" s="187">
        <v>36798</v>
      </c>
      <c r="C10138" s="188">
        <v>5.8</v>
      </c>
      <c r="D10138" s="104">
        <f t="shared" si="157"/>
        <v>5.7999999999999996E-2</v>
      </c>
      <c r="F10138" s="5"/>
    </row>
    <row r="10139" spans="2:6" ht="13.8" hidden="1" outlineLevel="1">
      <c r="B10139" s="187">
        <v>36801</v>
      </c>
      <c r="C10139" s="188">
        <v>5.83</v>
      </c>
      <c r="D10139" s="104">
        <f t="shared" si="157"/>
        <v>5.8299999999999998E-2</v>
      </c>
      <c r="F10139" s="5"/>
    </row>
    <row r="10140" spans="2:6" ht="13.8" hidden="1" outlineLevel="1">
      <c r="B10140" s="187">
        <v>36802</v>
      </c>
      <c r="C10140" s="188">
        <v>5.87</v>
      </c>
      <c r="D10140" s="104">
        <f t="shared" si="157"/>
        <v>5.8700000000000002E-2</v>
      </c>
      <c r="F10140" s="5"/>
    </row>
    <row r="10141" spans="2:6" ht="13.8" hidden="1" outlineLevel="1">
      <c r="B10141" s="187">
        <v>36803</v>
      </c>
      <c r="C10141" s="188">
        <v>5.9</v>
      </c>
      <c r="D10141" s="104">
        <f t="shared" si="157"/>
        <v>5.9000000000000004E-2</v>
      </c>
      <c r="F10141" s="5"/>
    </row>
    <row r="10142" spans="2:6" ht="13.8" hidden="1" outlineLevel="1">
      <c r="B10142" s="187">
        <v>36804</v>
      </c>
      <c r="C10142" s="188">
        <v>5.87</v>
      </c>
      <c r="D10142" s="104">
        <f t="shared" ref="D10142:D10205" si="158">IF( LEN( C10142 ) = 0, #N/A, IF( C10142 = "ND", D10141, C10142 / 100 ) )</f>
        <v>5.8700000000000002E-2</v>
      </c>
      <c r="F10142" s="5"/>
    </row>
    <row r="10143" spans="2:6" ht="13.8" hidden="1" outlineLevel="1">
      <c r="B10143" s="187">
        <v>36805</v>
      </c>
      <c r="C10143" s="188">
        <v>5.82</v>
      </c>
      <c r="D10143" s="104">
        <f t="shared" si="158"/>
        <v>5.8200000000000002E-2</v>
      </c>
      <c r="F10143" s="5"/>
    </row>
    <row r="10144" spans="2:6" ht="13.8" hidden="1" outlineLevel="1">
      <c r="B10144" s="187">
        <v>36808</v>
      </c>
      <c r="C10144" s="188" t="s">
        <v>380</v>
      </c>
      <c r="D10144" s="104">
        <f t="shared" si="158"/>
        <v>5.8200000000000002E-2</v>
      </c>
      <c r="F10144" s="5"/>
    </row>
    <row r="10145" spans="2:6" ht="13.8" hidden="1" outlineLevel="1">
      <c r="B10145" s="187">
        <v>36809</v>
      </c>
      <c r="C10145" s="188">
        <v>5.8</v>
      </c>
      <c r="D10145" s="104">
        <f t="shared" si="158"/>
        <v>5.7999999999999996E-2</v>
      </c>
      <c r="F10145" s="5"/>
    </row>
    <row r="10146" spans="2:6" ht="13.8" hidden="1" outlineLevel="1">
      <c r="B10146" s="187">
        <v>36810</v>
      </c>
      <c r="C10146" s="188">
        <v>5.77</v>
      </c>
      <c r="D10146" s="104">
        <f t="shared" si="158"/>
        <v>5.7699999999999994E-2</v>
      </c>
      <c r="F10146" s="5"/>
    </row>
    <row r="10147" spans="2:6" ht="13.8" hidden="1" outlineLevel="1">
      <c r="B10147" s="187">
        <v>36811</v>
      </c>
      <c r="C10147" s="188">
        <v>5.73</v>
      </c>
      <c r="D10147" s="104">
        <f t="shared" si="158"/>
        <v>5.7300000000000004E-2</v>
      </c>
      <c r="F10147" s="5"/>
    </row>
    <row r="10148" spans="2:6" ht="13.8" hidden="1" outlineLevel="1">
      <c r="B10148" s="187">
        <v>36812</v>
      </c>
      <c r="C10148" s="188">
        <v>5.73</v>
      </c>
      <c r="D10148" s="104">
        <f t="shared" si="158"/>
        <v>5.7300000000000004E-2</v>
      </c>
      <c r="F10148" s="5"/>
    </row>
    <row r="10149" spans="2:6" ht="13.8" hidden="1" outlineLevel="1">
      <c r="B10149" s="187">
        <v>36815</v>
      </c>
      <c r="C10149" s="188">
        <v>5.74</v>
      </c>
      <c r="D10149" s="104">
        <f t="shared" si="158"/>
        <v>5.74E-2</v>
      </c>
      <c r="F10149" s="5"/>
    </row>
    <row r="10150" spans="2:6" ht="13.8" hidden="1" outlineLevel="1">
      <c r="B10150" s="187">
        <v>36816</v>
      </c>
      <c r="C10150" s="188">
        <v>5.68</v>
      </c>
      <c r="D10150" s="104">
        <f t="shared" si="158"/>
        <v>5.6799999999999996E-2</v>
      </c>
      <c r="F10150" s="5"/>
    </row>
    <row r="10151" spans="2:6" ht="13.8" hidden="1" outlineLevel="1">
      <c r="B10151" s="187">
        <v>36817</v>
      </c>
      <c r="C10151" s="188">
        <v>5.66</v>
      </c>
      <c r="D10151" s="104">
        <f t="shared" si="158"/>
        <v>5.6600000000000004E-2</v>
      </c>
      <c r="F10151" s="5"/>
    </row>
    <row r="10152" spans="2:6" ht="13.8" hidden="1" outlineLevel="1">
      <c r="B10152" s="187">
        <v>36818</v>
      </c>
      <c r="C10152" s="188">
        <v>5.66</v>
      </c>
      <c r="D10152" s="104">
        <f t="shared" si="158"/>
        <v>5.6600000000000004E-2</v>
      </c>
      <c r="F10152" s="5"/>
    </row>
    <row r="10153" spans="2:6" ht="13.8" hidden="1" outlineLevel="1">
      <c r="B10153" s="187">
        <v>36819</v>
      </c>
      <c r="C10153" s="188">
        <v>5.64</v>
      </c>
      <c r="D10153" s="104">
        <f t="shared" si="158"/>
        <v>5.6399999999999999E-2</v>
      </c>
      <c r="F10153" s="5"/>
    </row>
    <row r="10154" spans="2:6" ht="13.8" hidden="1" outlineLevel="1">
      <c r="B10154" s="187">
        <v>36822</v>
      </c>
      <c r="C10154" s="188">
        <v>5.59</v>
      </c>
      <c r="D10154" s="104">
        <f t="shared" si="158"/>
        <v>5.5899999999999998E-2</v>
      </c>
      <c r="F10154" s="5"/>
    </row>
    <row r="10155" spans="2:6" ht="13.8" hidden="1" outlineLevel="1">
      <c r="B10155" s="187">
        <v>36823</v>
      </c>
      <c r="C10155" s="188">
        <v>5.63</v>
      </c>
      <c r="D10155" s="104">
        <f t="shared" si="158"/>
        <v>5.6299999999999996E-2</v>
      </c>
      <c r="F10155" s="5"/>
    </row>
    <row r="10156" spans="2:6" ht="13.8" hidden="1" outlineLevel="1">
      <c r="B10156" s="187">
        <v>36824</v>
      </c>
      <c r="C10156" s="188">
        <v>5.67</v>
      </c>
      <c r="D10156" s="104">
        <f t="shared" si="158"/>
        <v>5.67E-2</v>
      </c>
      <c r="F10156" s="5"/>
    </row>
    <row r="10157" spans="2:6" ht="13.8" hidden="1" outlineLevel="1">
      <c r="B10157" s="187">
        <v>36825</v>
      </c>
      <c r="C10157" s="188">
        <v>5.69</v>
      </c>
      <c r="D10157" s="104">
        <f t="shared" si="158"/>
        <v>5.6900000000000006E-2</v>
      </c>
      <c r="F10157" s="5"/>
    </row>
    <row r="10158" spans="2:6" ht="13.8" hidden="1" outlineLevel="1">
      <c r="B10158" s="187">
        <v>36826</v>
      </c>
      <c r="C10158" s="188">
        <v>5.72</v>
      </c>
      <c r="D10158" s="104">
        <f t="shared" si="158"/>
        <v>5.7200000000000001E-2</v>
      </c>
      <c r="F10158" s="5"/>
    </row>
    <row r="10159" spans="2:6" ht="13.8" hidden="1" outlineLevel="1">
      <c r="B10159" s="187">
        <v>36829</v>
      </c>
      <c r="C10159" s="188">
        <v>5.74</v>
      </c>
      <c r="D10159" s="104">
        <f t="shared" si="158"/>
        <v>5.74E-2</v>
      </c>
      <c r="F10159" s="5"/>
    </row>
    <row r="10160" spans="2:6" ht="13.8" hidden="1" outlineLevel="1">
      <c r="B10160" s="187">
        <v>36830</v>
      </c>
      <c r="C10160" s="188">
        <v>5.77</v>
      </c>
      <c r="D10160" s="104">
        <f t="shared" si="158"/>
        <v>5.7699999999999994E-2</v>
      </c>
      <c r="F10160" s="5"/>
    </row>
    <row r="10161" spans="2:6" ht="13.8" hidden="1" outlineLevel="1">
      <c r="B10161" s="187">
        <v>36831</v>
      </c>
      <c r="C10161" s="188">
        <v>5.74</v>
      </c>
      <c r="D10161" s="104">
        <f t="shared" si="158"/>
        <v>5.74E-2</v>
      </c>
      <c r="F10161" s="5"/>
    </row>
    <row r="10162" spans="2:6" ht="13.8" hidden="1" outlineLevel="1">
      <c r="B10162" s="187">
        <v>36832</v>
      </c>
      <c r="C10162" s="188">
        <v>5.74</v>
      </c>
      <c r="D10162" s="104">
        <f t="shared" si="158"/>
        <v>5.74E-2</v>
      </c>
      <c r="F10162" s="5"/>
    </row>
    <row r="10163" spans="2:6" ht="13.8" hidden="1" outlineLevel="1">
      <c r="B10163" s="187">
        <v>36833</v>
      </c>
      <c r="C10163" s="188">
        <v>5.83</v>
      </c>
      <c r="D10163" s="104">
        <f t="shared" si="158"/>
        <v>5.8299999999999998E-2</v>
      </c>
      <c r="F10163" s="5"/>
    </row>
    <row r="10164" spans="2:6" ht="13.8" hidden="1" outlineLevel="1">
      <c r="B10164" s="187">
        <v>36836</v>
      </c>
      <c r="C10164" s="188">
        <v>5.87</v>
      </c>
      <c r="D10164" s="104">
        <f t="shared" si="158"/>
        <v>5.8700000000000002E-2</v>
      </c>
      <c r="F10164" s="5"/>
    </row>
    <row r="10165" spans="2:6" ht="13.8" hidden="1" outlineLevel="1">
      <c r="B10165" s="187">
        <v>36837</v>
      </c>
      <c r="C10165" s="188">
        <v>5.87</v>
      </c>
      <c r="D10165" s="104">
        <f t="shared" si="158"/>
        <v>5.8700000000000002E-2</v>
      </c>
      <c r="F10165" s="5"/>
    </row>
    <row r="10166" spans="2:6" ht="13.8" hidden="1" outlineLevel="1">
      <c r="B10166" s="187">
        <v>36838</v>
      </c>
      <c r="C10166" s="188">
        <v>5.87</v>
      </c>
      <c r="D10166" s="104">
        <f t="shared" si="158"/>
        <v>5.8700000000000002E-2</v>
      </c>
      <c r="F10166" s="5"/>
    </row>
    <row r="10167" spans="2:6" ht="13.8" hidden="1" outlineLevel="1">
      <c r="B10167" s="187">
        <v>36839</v>
      </c>
      <c r="C10167" s="188">
        <v>5.82</v>
      </c>
      <c r="D10167" s="104">
        <f t="shared" si="158"/>
        <v>5.8200000000000002E-2</v>
      </c>
      <c r="F10167" s="5"/>
    </row>
    <row r="10168" spans="2:6" ht="13.8" hidden="1" outlineLevel="1">
      <c r="B10168" s="187">
        <v>36840</v>
      </c>
      <c r="C10168" s="188">
        <v>5.82</v>
      </c>
      <c r="D10168" s="104">
        <f t="shared" si="158"/>
        <v>5.8200000000000002E-2</v>
      </c>
      <c r="F10168" s="5"/>
    </row>
    <row r="10169" spans="2:6" ht="13.8" hidden="1" outlineLevel="1">
      <c r="B10169" s="187">
        <v>36843</v>
      </c>
      <c r="C10169" s="188">
        <v>5.77</v>
      </c>
      <c r="D10169" s="104">
        <f t="shared" si="158"/>
        <v>5.7699999999999994E-2</v>
      </c>
      <c r="F10169" s="5"/>
    </row>
    <row r="10170" spans="2:6" ht="13.8" hidden="1" outlineLevel="1">
      <c r="B10170" s="187">
        <v>36844</v>
      </c>
      <c r="C10170" s="188">
        <v>5.76</v>
      </c>
      <c r="D10170" s="104">
        <f t="shared" si="158"/>
        <v>5.7599999999999998E-2</v>
      </c>
      <c r="F10170" s="5"/>
    </row>
    <row r="10171" spans="2:6" ht="13.8" hidden="1" outlineLevel="1">
      <c r="B10171" s="187">
        <v>36845</v>
      </c>
      <c r="C10171" s="188">
        <v>5.72</v>
      </c>
      <c r="D10171" s="104">
        <f t="shared" si="158"/>
        <v>5.7200000000000001E-2</v>
      </c>
      <c r="F10171" s="5"/>
    </row>
    <row r="10172" spans="2:6" ht="13.8" hidden="1" outlineLevel="1">
      <c r="B10172" s="187">
        <v>36846</v>
      </c>
      <c r="C10172" s="188">
        <v>5.68</v>
      </c>
      <c r="D10172" s="104">
        <f t="shared" si="158"/>
        <v>5.6799999999999996E-2</v>
      </c>
      <c r="F10172" s="5"/>
    </row>
    <row r="10173" spans="2:6" ht="13.8" hidden="1" outlineLevel="1">
      <c r="B10173" s="187">
        <v>36847</v>
      </c>
      <c r="C10173" s="188">
        <v>5.71</v>
      </c>
      <c r="D10173" s="104">
        <f t="shared" si="158"/>
        <v>5.7099999999999998E-2</v>
      </c>
      <c r="F10173" s="5"/>
    </row>
    <row r="10174" spans="2:6" ht="13.8" hidden="1" outlineLevel="1">
      <c r="B10174" s="187">
        <v>36850</v>
      </c>
      <c r="C10174" s="188">
        <v>5.68</v>
      </c>
      <c r="D10174" s="104">
        <f t="shared" si="158"/>
        <v>5.6799999999999996E-2</v>
      </c>
      <c r="F10174" s="5"/>
    </row>
    <row r="10175" spans="2:6" ht="13.8" hidden="1" outlineLevel="1">
      <c r="B10175" s="187">
        <v>36851</v>
      </c>
      <c r="C10175" s="188">
        <v>5.67</v>
      </c>
      <c r="D10175" s="104">
        <f t="shared" si="158"/>
        <v>5.67E-2</v>
      </c>
      <c r="F10175" s="5"/>
    </row>
    <row r="10176" spans="2:6" ht="13.8" hidden="1" outlineLevel="1">
      <c r="B10176" s="187">
        <v>36852</v>
      </c>
      <c r="C10176" s="188">
        <v>5.62</v>
      </c>
      <c r="D10176" s="104">
        <f t="shared" si="158"/>
        <v>5.62E-2</v>
      </c>
      <c r="F10176" s="5"/>
    </row>
    <row r="10177" spans="2:6" ht="13.8" hidden="1" outlineLevel="1">
      <c r="B10177" s="187">
        <v>36853</v>
      </c>
      <c r="C10177" s="188" t="s">
        <v>380</v>
      </c>
      <c r="D10177" s="104">
        <f t="shared" si="158"/>
        <v>5.62E-2</v>
      </c>
      <c r="F10177" s="5"/>
    </row>
    <row r="10178" spans="2:6" ht="13.8" hidden="1" outlineLevel="1">
      <c r="B10178" s="187">
        <v>36854</v>
      </c>
      <c r="C10178" s="188">
        <v>5.63</v>
      </c>
      <c r="D10178" s="104">
        <f t="shared" si="158"/>
        <v>5.6299999999999996E-2</v>
      </c>
      <c r="F10178" s="5"/>
    </row>
    <row r="10179" spans="2:6" ht="13.8" hidden="1" outlineLevel="1">
      <c r="B10179" s="187">
        <v>36857</v>
      </c>
      <c r="C10179" s="188">
        <v>5.64</v>
      </c>
      <c r="D10179" s="104">
        <f t="shared" si="158"/>
        <v>5.6399999999999999E-2</v>
      </c>
      <c r="F10179" s="5"/>
    </row>
    <row r="10180" spans="2:6" ht="13.8" hidden="1" outlineLevel="1">
      <c r="B10180" s="187">
        <v>36858</v>
      </c>
      <c r="C10180" s="188">
        <v>5.59</v>
      </c>
      <c r="D10180" s="104">
        <f t="shared" si="158"/>
        <v>5.5899999999999998E-2</v>
      </c>
      <c r="F10180" s="5"/>
    </row>
    <row r="10181" spans="2:6" ht="13.8" hidden="1" outlineLevel="1">
      <c r="B10181" s="187">
        <v>36859</v>
      </c>
      <c r="C10181" s="188">
        <v>5.55</v>
      </c>
      <c r="D10181" s="104">
        <f t="shared" si="158"/>
        <v>5.5500000000000001E-2</v>
      </c>
      <c r="F10181" s="5"/>
    </row>
    <row r="10182" spans="2:6" ht="13.8" hidden="1" outlineLevel="1">
      <c r="B10182" s="187">
        <v>36860</v>
      </c>
      <c r="C10182" s="188">
        <v>5.48</v>
      </c>
      <c r="D10182" s="104">
        <f t="shared" si="158"/>
        <v>5.4800000000000001E-2</v>
      </c>
      <c r="F10182" s="5"/>
    </row>
    <row r="10183" spans="2:6" ht="13.8" hidden="1" outlineLevel="1">
      <c r="B10183" s="187">
        <v>36861</v>
      </c>
      <c r="C10183" s="188">
        <v>5.52</v>
      </c>
      <c r="D10183" s="104">
        <f t="shared" si="158"/>
        <v>5.5199999999999999E-2</v>
      </c>
      <c r="F10183" s="5"/>
    </row>
    <row r="10184" spans="2:6" ht="13.8" hidden="1" outlineLevel="1">
      <c r="B10184" s="187">
        <v>36864</v>
      </c>
      <c r="C10184" s="188">
        <v>5.53</v>
      </c>
      <c r="D10184" s="104">
        <f t="shared" si="158"/>
        <v>5.5300000000000002E-2</v>
      </c>
      <c r="F10184" s="5"/>
    </row>
    <row r="10185" spans="2:6" ht="13.8" hidden="1" outlineLevel="1">
      <c r="B10185" s="187">
        <v>36865</v>
      </c>
      <c r="C10185" s="188">
        <v>5.43</v>
      </c>
      <c r="D10185" s="104">
        <f t="shared" si="158"/>
        <v>5.4299999999999994E-2</v>
      </c>
      <c r="F10185" s="5"/>
    </row>
    <row r="10186" spans="2:6" ht="13.8" hidden="1" outlineLevel="1">
      <c r="B10186" s="187">
        <v>36866</v>
      </c>
      <c r="C10186" s="188">
        <v>5.32</v>
      </c>
      <c r="D10186" s="104">
        <f t="shared" si="158"/>
        <v>5.3200000000000004E-2</v>
      </c>
      <c r="F10186" s="5"/>
    </row>
    <row r="10187" spans="2:6" ht="13.8" hidden="1" outlineLevel="1">
      <c r="B10187" s="187">
        <v>36867</v>
      </c>
      <c r="C10187" s="188">
        <v>5.32</v>
      </c>
      <c r="D10187" s="104">
        <f t="shared" si="158"/>
        <v>5.3200000000000004E-2</v>
      </c>
      <c r="F10187" s="5"/>
    </row>
    <row r="10188" spans="2:6" ht="13.8" hidden="1" outlineLevel="1">
      <c r="B10188" s="187">
        <v>36868</v>
      </c>
      <c r="C10188" s="188">
        <v>5.35</v>
      </c>
      <c r="D10188" s="104">
        <f t="shared" si="158"/>
        <v>5.3499999999999999E-2</v>
      </c>
      <c r="F10188" s="5"/>
    </row>
    <row r="10189" spans="2:6" ht="13.8" hidden="1" outlineLevel="1">
      <c r="B10189" s="187">
        <v>36871</v>
      </c>
      <c r="C10189" s="188">
        <v>5.37</v>
      </c>
      <c r="D10189" s="104">
        <f t="shared" si="158"/>
        <v>5.3699999999999998E-2</v>
      </c>
      <c r="F10189" s="5"/>
    </row>
    <row r="10190" spans="2:6" ht="13.8" hidden="1" outlineLevel="1">
      <c r="B10190" s="187">
        <v>36872</v>
      </c>
      <c r="C10190" s="188">
        <v>5.36</v>
      </c>
      <c r="D10190" s="104">
        <f t="shared" si="158"/>
        <v>5.3600000000000002E-2</v>
      </c>
      <c r="F10190" s="5"/>
    </row>
    <row r="10191" spans="2:6" ht="13.8" hidden="1" outlineLevel="1">
      <c r="B10191" s="187">
        <v>36873</v>
      </c>
      <c r="C10191" s="188">
        <v>5.29</v>
      </c>
      <c r="D10191" s="104">
        <f t="shared" si="158"/>
        <v>5.2900000000000003E-2</v>
      </c>
      <c r="F10191" s="5"/>
    </row>
    <row r="10192" spans="2:6" ht="13.8" hidden="1" outlineLevel="1">
      <c r="B10192" s="187">
        <v>36874</v>
      </c>
      <c r="C10192" s="188">
        <v>5.23</v>
      </c>
      <c r="D10192" s="104">
        <f t="shared" si="158"/>
        <v>5.2300000000000006E-2</v>
      </c>
      <c r="F10192" s="5"/>
    </row>
    <row r="10193" spans="2:6" ht="13.8" hidden="1" outlineLevel="1">
      <c r="B10193" s="187">
        <v>36875</v>
      </c>
      <c r="C10193" s="188">
        <v>5.2</v>
      </c>
      <c r="D10193" s="104">
        <f t="shared" si="158"/>
        <v>5.2000000000000005E-2</v>
      </c>
      <c r="F10193" s="5"/>
    </row>
    <row r="10194" spans="2:6" ht="13.8" hidden="1" outlineLevel="1">
      <c r="B10194" s="187">
        <v>36878</v>
      </c>
      <c r="C10194" s="188">
        <v>5.17</v>
      </c>
      <c r="D10194" s="104">
        <f t="shared" si="158"/>
        <v>5.1699999999999996E-2</v>
      </c>
      <c r="F10194" s="5"/>
    </row>
    <row r="10195" spans="2:6" ht="13.8" hidden="1" outlineLevel="1">
      <c r="B10195" s="187">
        <v>36879</v>
      </c>
      <c r="C10195" s="188">
        <v>5.19</v>
      </c>
      <c r="D10195" s="104">
        <f t="shared" si="158"/>
        <v>5.1900000000000002E-2</v>
      </c>
      <c r="F10195" s="5"/>
    </row>
    <row r="10196" spans="2:6" ht="13.8" hidden="1" outlineLevel="1">
      <c r="B10196" s="187">
        <v>36880</v>
      </c>
      <c r="C10196" s="188">
        <v>5.08</v>
      </c>
      <c r="D10196" s="104">
        <f t="shared" si="158"/>
        <v>5.0799999999999998E-2</v>
      </c>
      <c r="F10196" s="5"/>
    </row>
    <row r="10197" spans="2:6" ht="13.8" hidden="1" outlineLevel="1">
      <c r="B10197" s="187">
        <v>36881</v>
      </c>
      <c r="C10197" s="188">
        <v>5.03</v>
      </c>
      <c r="D10197" s="104">
        <f t="shared" si="158"/>
        <v>5.0300000000000004E-2</v>
      </c>
      <c r="F10197" s="5"/>
    </row>
    <row r="10198" spans="2:6" ht="13.8" hidden="1" outlineLevel="1">
      <c r="B10198" s="187">
        <v>36882</v>
      </c>
      <c r="C10198" s="188">
        <v>5.0199999999999996</v>
      </c>
      <c r="D10198" s="104">
        <f t="shared" si="158"/>
        <v>5.0199999999999995E-2</v>
      </c>
      <c r="F10198" s="5"/>
    </row>
    <row r="10199" spans="2:6" ht="13.8" hidden="1" outlineLevel="1">
      <c r="B10199" s="187">
        <v>36885</v>
      </c>
      <c r="C10199" s="188" t="s">
        <v>380</v>
      </c>
      <c r="D10199" s="104">
        <f t="shared" si="158"/>
        <v>5.0199999999999995E-2</v>
      </c>
      <c r="F10199" s="5"/>
    </row>
    <row r="10200" spans="2:6" ht="13.8" hidden="1" outlineLevel="1">
      <c r="B10200" s="187">
        <v>36886</v>
      </c>
      <c r="C10200" s="188">
        <v>5.04</v>
      </c>
      <c r="D10200" s="104">
        <f t="shared" si="158"/>
        <v>5.04E-2</v>
      </c>
      <c r="F10200" s="5"/>
    </row>
    <row r="10201" spans="2:6" ht="13.8" hidden="1" outlineLevel="1">
      <c r="B10201" s="187">
        <v>36887</v>
      </c>
      <c r="C10201" s="188">
        <v>5.1100000000000003</v>
      </c>
      <c r="D10201" s="104">
        <f t="shared" si="158"/>
        <v>5.1100000000000007E-2</v>
      </c>
      <c r="F10201" s="5"/>
    </row>
    <row r="10202" spans="2:6" ht="13.8" hidden="1" outlineLevel="1">
      <c r="B10202" s="187">
        <v>36888</v>
      </c>
      <c r="C10202" s="188">
        <v>5.13</v>
      </c>
      <c r="D10202" s="104">
        <f t="shared" si="158"/>
        <v>5.1299999999999998E-2</v>
      </c>
      <c r="F10202" s="5"/>
    </row>
    <row r="10203" spans="2:6" ht="13.8" hidden="1" outlineLevel="1">
      <c r="B10203" s="187">
        <v>36889</v>
      </c>
      <c r="C10203" s="188">
        <v>5.12</v>
      </c>
      <c r="D10203" s="104">
        <f t="shared" si="158"/>
        <v>5.1200000000000002E-2</v>
      </c>
      <c r="F10203" s="5"/>
    </row>
    <row r="10204" spans="2:6" ht="13.8" hidden="1" outlineLevel="1">
      <c r="B10204" s="187">
        <v>36892</v>
      </c>
      <c r="C10204" s="188" t="s">
        <v>380</v>
      </c>
      <c r="D10204" s="104">
        <f t="shared" si="158"/>
        <v>5.1200000000000002E-2</v>
      </c>
      <c r="F10204" s="5"/>
    </row>
    <row r="10205" spans="2:6" ht="13.8" hidden="1" outlineLevel="1">
      <c r="B10205" s="187">
        <v>36893</v>
      </c>
      <c r="C10205" s="188">
        <v>4.92</v>
      </c>
      <c r="D10205" s="104">
        <f t="shared" si="158"/>
        <v>4.9200000000000001E-2</v>
      </c>
      <c r="F10205" s="5"/>
    </row>
    <row r="10206" spans="2:6" ht="13.8" hidden="1" outlineLevel="1">
      <c r="B10206" s="187">
        <v>36894</v>
      </c>
      <c r="C10206" s="188">
        <v>5.14</v>
      </c>
      <c r="D10206" s="104">
        <f t="shared" ref="D10206:D10269" si="159">IF( LEN( C10206 ) = 0, #N/A, IF( C10206 = "ND", D10205, C10206 / 100 ) )</f>
        <v>5.1399999999999994E-2</v>
      </c>
      <c r="F10206" s="5"/>
    </row>
    <row r="10207" spans="2:6" ht="13.8" hidden="1" outlineLevel="1">
      <c r="B10207" s="187">
        <v>36895</v>
      </c>
      <c r="C10207" s="188">
        <v>5.03</v>
      </c>
      <c r="D10207" s="104">
        <f t="shared" si="159"/>
        <v>5.0300000000000004E-2</v>
      </c>
      <c r="F10207" s="5"/>
    </row>
    <row r="10208" spans="2:6" ht="13.8" hidden="1" outlineLevel="1">
      <c r="B10208" s="187">
        <v>36896</v>
      </c>
      <c r="C10208" s="188">
        <v>4.93</v>
      </c>
      <c r="D10208" s="104">
        <f t="shared" si="159"/>
        <v>4.9299999999999997E-2</v>
      </c>
      <c r="F10208" s="5"/>
    </row>
    <row r="10209" spans="2:6" ht="13.8" hidden="1" outlineLevel="1">
      <c r="B10209" s="187">
        <v>36899</v>
      </c>
      <c r="C10209" s="188">
        <v>4.9400000000000004</v>
      </c>
      <c r="D10209" s="104">
        <f t="shared" si="159"/>
        <v>4.9400000000000006E-2</v>
      </c>
      <c r="F10209" s="5"/>
    </row>
    <row r="10210" spans="2:6" ht="13.8" hidden="1" outlineLevel="1">
      <c r="B10210" s="187">
        <v>36900</v>
      </c>
      <c r="C10210" s="188">
        <v>4.9800000000000004</v>
      </c>
      <c r="D10210" s="104">
        <f t="shared" si="159"/>
        <v>4.9800000000000004E-2</v>
      </c>
      <c r="F10210" s="5"/>
    </row>
    <row r="10211" spans="2:6" ht="13.8" hidden="1" outlineLevel="1">
      <c r="B10211" s="187">
        <v>36901</v>
      </c>
      <c r="C10211" s="188">
        <v>5.0999999999999996</v>
      </c>
      <c r="D10211" s="104">
        <f t="shared" si="159"/>
        <v>5.0999999999999997E-2</v>
      </c>
      <c r="F10211" s="5"/>
    </row>
    <row r="10212" spans="2:6" ht="13.8" hidden="1" outlineLevel="1">
      <c r="B10212" s="187">
        <v>36902</v>
      </c>
      <c r="C10212" s="188">
        <v>5.14</v>
      </c>
      <c r="D10212" s="104">
        <f t="shared" si="159"/>
        <v>5.1399999999999994E-2</v>
      </c>
      <c r="F10212" s="5"/>
    </row>
    <row r="10213" spans="2:6" ht="13.8" hidden="1" outlineLevel="1">
      <c r="B10213" s="187">
        <v>36903</v>
      </c>
      <c r="C10213" s="188">
        <v>5.25</v>
      </c>
      <c r="D10213" s="104">
        <f t="shared" si="159"/>
        <v>5.2499999999999998E-2</v>
      </c>
      <c r="F10213" s="5"/>
    </row>
    <row r="10214" spans="2:6" ht="13.8" hidden="1" outlineLevel="1">
      <c r="B10214" s="187">
        <v>36906</v>
      </c>
      <c r="C10214" s="188" t="s">
        <v>380</v>
      </c>
      <c r="D10214" s="104">
        <f t="shared" si="159"/>
        <v>5.2499999999999998E-2</v>
      </c>
      <c r="F10214" s="5"/>
    </row>
    <row r="10215" spans="2:6" ht="13.8" hidden="1" outlineLevel="1">
      <c r="B10215" s="187">
        <v>36907</v>
      </c>
      <c r="C10215" s="188">
        <v>5.24</v>
      </c>
      <c r="D10215" s="104">
        <f t="shared" si="159"/>
        <v>5.2400000000000002E-2</v>
      </c>
      <c r="F10215" s="5"/>
    </row>
    <row r="10216" spans="2:6" ht="13.8" hidden="1" outlineLevel="1">
      <c r="B10216" s="187">
        <v>36908</v>
      </c>
      <c r="C10216" s="188">
        <v>5.19</v>
      </c>
      <c r="D10216" s="104">
        <f t="shared" si="159"/>
        <v>5.1900000000000002E-2</v>
      </c>
      <c r="F10216" s="5"/>
    </row>
    <row r="10217" spans="2:6" ht="13.8" hidden="1" outlineLevel="1">
      <c r="B10217" s="187">
        <v>36909</v>
      </c>
      <c r="C10217" s="188">
        <v>5.12</v>
      </c>
      <c r="D10217" s="104">
        <f t="shared" si="159"/>
        <v>5.1200000000000002E-2</v>
      </c>
      <c r="F10217" s="5"/>
    </row>
    <row r="10218" spans="2:6" ht="13.8" hidden="1" outlineLevel="1">
      <c r="B10218" s="187">
        <v>36910</v>
      </c>
      <c r="C10218" s="188">
        <v>5.19</v>
      </c>
      <c r="D10218" s="104">
        <f t="shared" si="159"/>
        <v>5.1900000000000002E-2</v>
      </c>
      <c r="F10218" s="5"/>
    </row>
    <row r="10219" spans="2:6" ht="13.8" hidden="1" outlineLevel="1">
      <c r="B10219" s="187">
        <v>36913</v>
      </c>
      <c r="C10219" s="188">
        <v>5.25</v>
      </c>
      <c r="D10219" s="104">
        <f t="shared" si="159"/>
        <v>5.2499999999999998E-2</v>
      </c>
      <c r="F10219" s="5"/>
    </row>
    <row r="10220" spans="2:6" ht="13.8" hidden="1" outlineLevel="1">
      <c r="B10220" s="187">
        <v>36914</v>
      </c>
      <c r="C10220" s="188">
        <v>5.3</v>
      </c>
      <c r="D10220" s="104">
        <f t="shared" si="159"/>
        <v>5.2999999999999999E-2</v>
      </c>
      <c r="F10220" s="5"/>
    </row>
    <row r="10221" spans="2:6" ht="13.8" hidden="1" outlineLevel="1">
      <c r="B10221" s="187">
        <v>36915</v>
      </c>
      <c r="C10221" s="188">
        <v>5.33</v>
      </c>
      <c r="D10221" s="104">
        <f t="shared" si="159"/>
        <v>5.33E-2</v>
      </c>
      <c r="F10221" s="5"/>
    </row>
    <row r="10222" spans="2:6" ht="13.8" hidden="1" outlineLevel="1">
      <c r="B10222" s="187">
        <v>36916</v>
      </c>
      <c r="C10222" s="188">
        <v>5.29</v>
      </c>
      <c r="D10222" s="104">
        <f t="shared" si="159"/>
        <v>5.2900000000000003E-2</v>
      </c>
      <c r="F10222" s="5"/>
    </row>
    <row r="10223" spans="2:6" ht="13.8" hidden="1" outlineLevel="1">
      <c r="B10223" s="187">
        <v>36917</v>
      </c>
      <c r="C10223" s="188">
        <v>5.29</v>
      </c>
      <c r="D10223" s="104">
        <f t="shared" si="159"/>
        <v>5.2900000000000003E-2</v>
      </c>
      <c r="F10223" s="5"/>
    </row>
    <row r="10224" spans="2:6" ht="13.8" hidden="1" outlineLevel="1">
      <c r="B10224" s="187">
        <v>36920</v>
      </c>
      <c r="C10224" s="188">
        <v>5.32</v>
      </c>
      <c r="D10224" s="104">
        <f t="shared" si="159"/>
        <v>5.3200000000000004E-2</v>
      </c>
      <c r="F10224" s="5"/>
    </row>
    <row r="10225" spans="2:6" ht="13.8" hidden="1" outlineLevel="1">
      <c r="B10225" s="187">
        <v>36921</v>
      </c>
      <c r="C10225" s="188">
        <v>5.24</v>
      </c>
      <c r="D10225" s="104">
        <f t="shared" si="159"/>
        <v>5.2400000000000002E-2</v>
      </c>
      <c r="F10225" s="5"/>
    </row>
    <row r="10226" spans="2:6" ht="13.8" hidden="1" outlineLevel="1">
      <c r="B10226" s="187">
        <v>36922</v>
      </c>
      <c r="C10226" s="188">
        <v>5.19</v>
      </c>
      <c r="D10226" s="104">
        <f t="shared" si="159"/>
        <v>5.1900000000000002E-2</v>
      </c>
      <c r="F10226" s="5"/>
    </row>
    <row r="10227" spans="2:6" ht="13.8" hidden="1" outlineLevel="1">
      <c r="B10227" s="187">
        <v>36923</v>
      </c>
      <c r="C10227" s="188">
        <v>5.0999999999999996</v>
      </c>
      <c r="D10227" s="104">
        <f t="shared" si="159"/>
        <v>5.0999999999999997E-2</v>
      </c>
      <c r="F10227" s="5"/>
    </row>
    <row r="10228" spans="2:6" ht="13.8" hidden="1" outlineLevel="1">
      <c r="B10228" s="187">
        <v>36924</v>
      </c>
      <c r="C10228" s="188">
        <v>5.17</v>
      </c>
      <c r="D10228" s="104">
        <f t="shared" si="159"/>
        <v>5.1699999999999996E-2</v>
      </c>
      <c r="F10228" s="5"/>
    </row>
    <row r="10229" spans="2:6" ht="13.8" hidden="1" outlineLevel="1">
      <c r="B10229" s="187">
        <v>36927</v>
      </c>
      <c r="C10229" s="188">
        <v>5.18</v>
      </c>
      <c r="D10229" s="104">
        <f t="shared" si="159"/>
        <v>5.1799999999999999E-2</v>
      </c>
      <c r="F10229" s="5"/>
    </row>
    <row r="10230" spans="2:6" ht="13.8" hidden="1" outlineLevel="1">
      <c r="B10230" s="187">
        <v>36928</v>
      </c>
      <c r="C10230" s="188">
        <v>5.22</v>
      </c>
      <c r="D10230" s="104">
        <f t="shared" si="159"/>
        <v>5.2199999999999996E-2</v>
      </c>
      <c r="F10230" s="5"/>
    </row>
    <row r="10231" spans="2:6" ht="13.8" hidden="1" outlineLevel="1">
      <c r="B10231" s="187">
        <v>36929</v>
      </c>
      <c r="C10231" s="188">
        <v>5.0999999999999996</v>
      </c>
      <c r="D10231" s="104">
        <f t="shared" si="159"/>
        <v>5.0999999999999997E-2</v>
      </c>
      <c r="F10231" s="5"/>
    </row>
    <row r="10232" spans="2:6" ht="13.8" hidden="1" outlineLevel="1">
      <c r="B10232" s="187">
        <v>36930</v>
      </c>
      <c r="C10232" s="188">
        <v>5.0999999999999996</v>
      </c>
      <c r="D10232" s="104">
        <f t="shared" si="159"/>
        <v>5.0999999999999997E-2</v>
      </c>
      <c r="F10232" s="5"/>
    </row>
    <row r="10233" spans="2:6" ht="13.8" hidden="1" outlineLevel="1">
      <c r="B10233" s="187">
        <v>36931</v>
      </c>
      <c r="C10233" s="188">
        <v>5.03</v>
      </c>
      <c r="D10233" s="104">
        <f t="shared" si="159"/>
        <v>5.0300000000000004E-2</v>
      </c>
      <c r="F10233" s="5"/>
    </row>
    <row r="10234" spans="2:6" ht="13.8" hidden="1" outlineLevel="1">
      <c r="B10234" s="187">
        <v>36934</v>
      </c>
      <c r="C10234" s="188">
        <v>5.05</v>
      </c>
      <c r="D10234" s="104">
        <f t="shared" si="159"/>
        <v>5.0499999999999996E-2</v>
      </c>
      <c r="F10234" s="5"/>
    </row>
    <row r="10235" spans="2:6" ht="13.8" hidden="1" outlineLevel="1">
      <c r="B10235" s="187">
        <v>36935</v>
      </c>
      <c r="C10235" s="188">
        <v>5.07</v>
      </c>
      <c r="D10235" s="104">
        <f t="shared" si="159"/>
        <v>5.0700000000000002E-2</v>
      </c>
      <c r="F10235" s="5"/>
    </row>
    <row r="10236" spans="2:6" ht="13.8" hidden="1" outlineLevel="1">
      <c r="B10236" s="187">
        <v>36936</v>
      </c>
      <c r="C10236" s="188">
        <v>5.13</v>
      </c>
      <c r="D10236" s="104">
        <f t="shared" si="159"/>
        <v>5.1299999999999998E-2</v>
      </c>
      <c r="F10236" s="5"/>
    </row>
    <row r="10237" spans="2:6" ht="13.8" hidden="1" outlineLevel="1">
      <c r="B10237" s="187">
        <v>36937</v>
      </c>
      <c r="C10237" s="188">
        <v>5.19</v>
      </c>
      <c r="D10237" s="104">
        <f t="shared" si="159"/>
        <v>5.1900000000000002E-2</v>
      </c>
      <c r="F10237" s="5"/>
    </row>
    <row r="10238" spans="2:6" ht="13.8" hidden="1" outlineLevel="1">
      <c r="B10238" s="187">
        <v>36938</v>
      </c>
      <c r="C10238" s="188">
        <v>5.1100000000000003</v>
      </c>
      <c r="D10238" s="104">
        <f t="shared" si="159"/>
        <v>5.1100000000000007E-2</v>
      </c>
      <c r="F10238" s="5"/>
    </row>
    <row r="10239" spans="2:6" ht="13.8" hidden="1" outlineLevel="1">
      <c r="B10239" s="187">
        <v>36941</v>
      </c>
      <c r="C10239" s="188" t="s">
        <v>380</v>
      </c>
      <c r="D10239" s="104">
        <f t="shared" si="159"/>
        <v>5.1100000000000007E-2</v>
      </c>
      <c r="F10239" s="5"/>
    </row>
    <row r="10240" spans="2:6" ht="13.8" hidden="1" outlineLevel="1">
      <c r="B10240" s="187">
        <v>36942</v>
      </c>
      <c r="C10240" s="188">
        <v>5.1100000000000003</v>
      </c>
      <c r="D10240" s="104">
        <f t="shared" si="159"/>
        <v>5.1100000000000007E-2</v>
      </c>
      <c r="F10240" s="5"/>
    </row>
    <row r="10241" spans="2:6" ht="13.8" hidden="1" outlineLevel="1">
      <c r="B10241" s="187">
        <v>36943</v>
      </c>
      <c r="C10241" s="188">
        <v>5.14</v>
      </c>
      <c r="D10241" s="104">
        <f t="shared" si="159"/>
        <v>5.1399999999999994E-2</v>
      </c>
      <c r="F10241" s="5"/>
    </row>
    <row r="10242" spans="2:6" ht="13.8" hidden="1" outlineLevel="1">
      <c r="B10242" s="187">
        <v>36944</v>
      </c>
      <c r="C10242" s="188">
        <v>5.15</v>
      </c>
      <c r="D10242" s="104">
        <f t="shared" si="159"/>
        <v>5.1500000000000004E-2</v>
      </c>
      <c r="F10242" s="5"/>
    </row>
    <row r="10243" spans="2:6" ht="13.8" hidden="1" outlineLevel="1">
      <c r="B10243" s="187">
        <v>36945</v>
      </c>
      <c r="C10243" s="188">
        <v>5.0999999999999996</v>
      </c>
      <c r="D10243" s="104">
        <f t="shared" si="159"/>
        <v>5.0999999999999997E-2</v>
      </c>
      <c r="F10243" s="5"/>
    </row>
    <row r="10244" spans="2:6" ht="13.8" hidden="1" outlineLevel="1">
      <c r="B10244" s="187">
        <v>36948</v>
      </c>
      <c r="C10244" s="188">
        <v>5.05</v>
      </c>
      <c r="D10244" s="104">
        <f t="shared" si="159"/>
        <v>5.0499999999999996E-2</v>
      </c>
      <c r="F10244" s="5"/>
    </row>
    <row r="10245" spans="2:6" ht="13.8" hidden="1" outlineLevel="1">
      <c r="B10245" s="187">
        <v>36949</v>
      </c>
      <c r="C10245" s="188">
        <v>4.96</v>
      </c>
      <c r="D10245" s="104">
        <f t="shared" si="159"/>
        <v>4.9599999999999998E-2</v>
      </c>
      <c r="F10245" s="5"/>
    </row>
    <row r="10246" spans="2:6" ht="13.8" hidden="1" outlineLevel="1">
      <c r="B10246" s="187">
        <v>36950</v>
      </c>
      <c r="C10246" s="188">
        <v>4.92</v>
      </c>
      <c r="D10246" s="104">
        <f t="shared" si="159"/>
        <v>4.9200000000000001E-2</v>
      </c>
      <c r="F10246" s="5"/>
    </row>
    <row r="10247" spans="2:6" ht="13.8" hidden="1" outlineLevel="1">
      <c r="B10247" s="187">
        <v>36951</v>
      </c>
      <c r="C10247" s="188">
        <v>4.87</v>
      </c>
      <c r="D10247" s="104">
        <f t="shared" si="159"/>
        <v>4.87E-2</v>
      </c>
      <c r="F10247" s="5"/>
    </row>
    <row r="10248" spans="2:6" ht="13.8" hidden="1" outlineLevel="1">
      <c r="B10248" s="187">
        <v>36952</v>
      </c>
      <c r="C10248" s="188">
        <v>4.95</v>
      </c>
      <c r="D10248" s="104">
        <f t="shared" si="159"/>
        <v>4.9500000000000002E-2</v>
      </c>
      <c r="F10248" s="5"/>
    </row>
    <row r="10249" spans="2:6" ht="13.8" hidden="1" outlineLevel="1">
      <c r="B10249" s="187">
        <v>36955</v>
      </c>
      <c r="C10249" s="188">
        <v>4.9800000000000004</v>
      </c>
      <c r="D10249" s="104">
        <f t="shared" si="159"/>
        <v>4.9800000000000004E-2</v>
      </c>
      <c r="F10249" s="5"/>
    </row>
    <row r="10250" spans="2:6" ht="13.8" hidden="1" outlineLevel="1">
      <c r="B10250" s="187">
        <v>36956</v>
      </c>
      <c r="C10250" s="188">
        <v>4.99</v>
      </c>
      <c r="D10250" s="104">
        <f t="shared" si="159"/>
        <v>4.99E-2</v>
      </c>
      <c r="F10250" s="5"/>
    </row>
    <row r="10251" spans="2:6" ht="13.8" hidden="1" outlineLevel="1">
      <c r="B10251" s="187">
        <v>36957</v>
      </c>
      <c r="C10251" s="188">
        <v>4.92</v>
      </c>
      <c r="D10251" s="104">
        <f t="shared" si="159"/>
        <v>4.9200000000000001E-2</v>
      </c>
      <c r="F10251" s="5"/>
    </row>
    <row r="10252" spans="2:6" ht="13.8" hidden="1" outlineLevel="1">
      <c r="B10252" s="187">
        <v>36958</v>
      </c>
      <c r="C10252" s="188">
        <v>4.8899999999999997</v>
      </c>
      <c r="D10252" s="104">
        <f t="shared" si="159"/>
        <v>4.8899999999999999E-2</v>
      </c>
      <c r="F10252" s="5"/>
    </row>
    <row r="10253" spans="2:6" ht="13.8" hidden="1" outlineLevel="1">
      <c r="B10253" s="187">
        <v>36959</v>
      </c>
      <c r="C10253" s="188">
        <v>4.95</v>
      </c>
      <c r="D10253" s="104">
        <f t="shared" si="159"/>
        <v>4.9500000000000002E-2</v>
      </c>
      <c r="F10253" s="5"/>
    </row>
    <row r="10254" spans="2:6" ht="13.8" hidden="1" outlineLevel="1">
      <c r="B10254" s="187">
        <v>36962</v>
      </c>
      <c r="C10254" s="188">
        <v>4.92</v>
      </c>
      <c r="D10254" s="104">
        <f t="shared" si="159"/>
        <v>4.9200000000000001E-2</v>
      </c>
      <c r="F10254" s="5"/>
    </row>
    <row r="10255" spans="2:6" ht="13.8" hidden="1" outlineLevel="1">
      <c r="B10255" s="187">
        <v>36963</v>
      </c>
      <c r="C10255" s="188">
        <v>4.95</v>
      </c>
      <c r="D10255" s="104">
        <f t="shared" si="159"/>
        <v>4.9500000000000002E-2</v>
      </c>
      <c r="F10255" s="5"/>
    </row>
    <row r="10256" spans="2:6" ht="13.8" hidden="1" outlineLevel="1">
      <c r="B10256" s="187">
        <v>36964</v>
      </c>
      <c r="C10256" s="188">
        <v>4.84</v>
      </c>
      <c r="D10256" s="104">
        <f t="shared" si="159"/>
        <v>4.8399999999999999E-2</v>
      </c>
      <c r="F10256" s="5"/>
    </row>
    <row r="10257" spans="2:6" ht="13.8" hidden="1" outlineLevel="1">
      <c r="B10257" s="187">
        <v>36965</v>
      </c>
      <c r="C10257" s="188">
        <v>4.8099999999999996</v>
      </c>
      <c r="D10257" s="104">
        <f t="shared" si="159"/>
        <v>4.8099999999999997E-2</v>
      </c>
      <c r="F10257" s="5"/>
    </row>
    <row r="10258" spans="2:6" ht="13.8" hidden="1" outlineLevel="1">
      <c r="B10258" s="187">
        <v>36966</v>
      </c>
      <c r="C10258" s="188">
        <v>4.78</v>
      </c>
      <c r="D10258" s="104">
        <f t="shared" si="159"/>
        <v>4.7800000000000002E-2</v>
      </c>
      <c r="F10258" s="5"/>
    </row>
    <row r="10259" spans="2:6" ht="13.8" hidden="1" outlineLevel="1">
      <c r="B10259" s="187">
        <v>36969</v>
      </c>
      <c r="C10259" s="188">
        <v>4.82</v>
      </c>
      <c r="D10259" s="104">
        <f t="shared" si="159"/>
        <v>4.82E-2</v>
      </c>
      <c r="F10259" s="5"/>
    </row>
    <row r="10260" spans="2:6" ht="13.8" hidden="1" outlineLevel="1">
      <c r="B10260" s="187">
        <v>36970</v>
      </c>
      <c r="C10260" s="188">
        <v>4.78</v>
      </c>
      <c r="D10260" s="104">
        <f t="shared" si="159"/>
        <v>4.7800000000000002E-2</v>
      </c>
      <c r="F10260" s="5"/>
    </row>
    <row r="10261" spans="2:6" ht="13.8" hidden="1" outlineLevel="1">
      <c r="B10261" s="187">
        <v>36971</v>
      </c>
      <c r="C10261" s="188">
        <v>4.7699999999999996</v>
      </c>
      <c r="D10261" s="104">
        <f t="shared" si="159"/>
        <v>4.7699999999999992E-2</v>
      </c>
      <c r="F10261" s="5"/>
    </row>
    <row r="10262" spans="2:6" ht="13.8" hidden="1" outlineLevel="1">
      <c r="B10262" s="187">
        <v>36972</v>
      </c>
      <c r="C10262" s="188">
        <v>4.7300000000000004</v>
      </c>
      <c r="D10262" s="104">
        <f t="shared" si="159"/>
        <v>4.7300000000000002E-2</v>
      </c>
      <c r="F10262" s="5"/>
    </row>
    <row r="10263" spans="2:6" ht="13.8" hidden="1" outlineLevel="1">
      <c r="B10263" s="187">
        <v>36973</v>
      </c>
      <c r="C10263" s="188">
        <v>4.8</v>
      </c>
      <c r="D10263" s="104">
        <f t="shared" si="159"/>
        <v>4.8000000000000001E-2</v>
      </c>
      <c r="F10263" s="5"/>
    </row>
    <row r="10264" spans="2:6" ht="13.8" hidden="1" outlineLevel="1">
      <c r="B10264" s="187">
        <v>36976</v>
      </c>
      <c r="C10264" s="188">
        <v>4.8499999999999996</v>
      </c>
      <c r="D10264" s="104">
        <f t="shared" si="159"/>
        <v>4.8499999999999995E-2</v>
      </c>
      <c r="F10264" s="5"/>
    </row>
    <row r="10265" spans="2:6" ht="13.8" hidden="1" outlineLevel="1">
      <c r="B10265" s="187">
        <v>36977</v>
      </c>
      <c r="C10265" s="188">
        <v>5</v>
      </c>
      <c r="D10265" s="104">
        <f t="shared" si="159"/>
        <v>0.05</v>
      </c>
      <c r="F10265" s="5"/>
    </row>
    <row r="10266" spans="2:6" ht="13.8" hidden="1" outlineLevel="1">
      <c r="B10266" s="187">
        <v>36978</v>
      </c>
      <c r="C10266" s="188">
        <v>4.97</v>
      </c>
      <c r="D10266" s="104">
        <f t="shared" si="159"/>
        <v>4.9699999999999994E-2</v>
      </c>
      <c r="F10266" s="5"/>
    </row>
    <row r="10267" spans="2:6" ht="13.8" hidden="1" outlineLevel="1">
      <c r="B10267" s="187">
        <v>36979</v>
      </c>
      <c r="C10267" s="188">
        <v>4.9800000000000004</v>
      </c>
      <c r="D10267" s="104">
        <f t="shared" si="159"/>
        <v>4.9800000000000004E-2</v>
      </c>
      <c r="F10267" s="5"/>
    </row>
    <row r="10268" spans="2:6" ht="13.8" hidden="1" outlineLevel="1">
      <c r="B10268" s="187">
        <v>36980</v>
      </c>
      <c r="C10268" s="188">
        <v>4.93</v>
      </c>
      <c r="D10268" s="104">
        <f t="shared" si="159"/>
        <v>4.9299999999999997E-2</v>
      </c>
      <c r="F10268" s="5"/>
    </row>
    <row r="10269" spans="2:6" ht="13.8" hidden="1" outlineLevel="1">
      <c r="B10269" s="187">
        <v>36983</v>
      </c>
      <c r="C10269" s="188">
        <v>4.9800000000000004</v>
      </c>
      <c r="D10269" s="104">
        <f t="shared" si="159"/>
        <v>4.9800000000000004E-2</v>
      </c>
      <c r="F10269" s="5"/>
    </row>
    <row r="10270" spans="2:6" ht="13.8" hidden="1" outlineLevel="1">
      <c r="B10270" s="187">
        <v>36984</v>
      </c>
      <c r="C10270" s="188">
        <v>4.9400000000000004</v>
      </c>
      <c r="D10270" s="104">
        <f t="shared" ref="D10270:D10333" si="160">IF( LEN( C10270 ) = 0, #N/A, IF( C10270 = "ND", D10269, C10270 / 100 ) )</f>
        <v>4.9400000000000006E-2</v>
      </c>
      <c r="F10270" s="5"/>
    </row>
    <row r="10271" spans="2:6" ht="13.8" hidden="1" outlineLevel="1">
      <c r="B10271" s="187">
        <v>36985</v>
      </c>
      <c r="C10271" s="188">
        <v>4.9400000000000004</v>
      </c>
      <c r="D10271" s="104">
        <f t="shared" si="160"/>
        <v>4.9400000000000006E-2</v>
      </c>
      <c r="F10271" s="5"/>
    </row>
    <row r="10272" spans="2:6" ht="13.8" hidden="1" outlineLevel="1">
      <c r="B10272" s="187">
        <v>36986</v>
      </c>
      <c r="C10272" s="188">
        <v>4.9800000000000004</v>
      </c>
      <c r="D10272" s="104">
        <f t="shared" si="160"/>
        <v>4.9800000000000004E-2</v>
      </c>
      <c r="F10272" s="5"/>
    </row>
    <row r="10273" spans="2:6" ht="13.8" hidden="1" outlineLevel="1">
      <c r="B10273" s="187">
        <v>36987</v>
      </c>
      <c r="C10273" s="188">
        <v>4.8899999999999997</v>
      </c>
      <c r="D10273" s="104">
        <f t="shared" si="160"/>
        <v>4.8899999999999999E-2</v>
      </c>
      <c r="F10273" s="5"/>
    </row>
    <row r="10274" spans="2:6" ht="13.8" hidden="1" outlineLevel="1">
      <c r="B10274" s="187">
        <v>36990</v>
      </c>
      <c r="C10274" s="188">
        <v>4.93</v>
      </c>
      <c r="D10274" s="104">
        <f t="shared" si="160"/>
        <v>4.9299999999999997E-2</v>
      </c>
      <c r="F10274" s="5"/>
    </row>
    <row r="10275" spans="2:6" ht="13.8" hidden="1" outlineLevel="1">
      <c r="B10275" s="187">
        <v>36991</v>
      </c>
      <c r="C10275" s="188">
        <v>5.09</v>
      </c>
      <c r="D10275" s="104">
        <f t="shared" si="160"/>
        <v>5.0900000000000001E-2</v>
      </c>
      <c r="F10275" s="5"/>
    </row>
    <row r="10276" spans="2:6" ht="13.8" hidden="1" outlineLevel="1">
      <c r="B10276" s="187">
        <v>36992</v>
      </c>
      <c r="C10276" s="188">
        <v>5.12</v>
      </c>
      <c r="D10276" s="104">
        <f t="shared" si="160"/>
        <v>5.1200000000000002E-2</v>
      </c>
      <c r="F10276" s="5"/>
    </row>
    <row r="10277" spans="2:6" ht="13.8" hidden="1" outlineLevel="1">
      <c r="B10277" s="187">
        <v>36993</v>
      </c>
      <c r="C10277" s="188">
        <v>5.17</v>
      </c>
      <c r="D10277" s="104">
        <f t="shared" si="160"/>
        <v>5.1699999999999996E-2</v>
      </c>
      <c r="F10277" s="5"/>
    </row>
    <row r="10278" spans="2:6" ht="13.8" hidden="1" outlineLevel="1">
      <c r="B10278" s="187">
        <v>36994</v>
      </c>
      <c r="C10278" s="188" t="s">
        <v>380</v>
      </c>
      <c r="D10278" s="104">
        <f t="shared" si="160"/>
        <v>5.1699999999999996E-2</v>
      </c>
      <c r="F10278" s="5"/>
    </row>
    <row r="10279" spans="2:6" ht="13.8" hidden="1" outlineLevel="1">
      <c r="B10279" s="187">
        <v>36997</v>
      </c>
      <c r="C10279" s="188">
        <v>5.28</v>
      </c>
      <c r="D10279" s="104">
        <f t="shared" si="160"/>
        <v>5.28E-2</v>
      </c>
      <c r="F10279" s="5"/>
    </row>
    <row r="10280" spans="2:6" ht="13.8" hidden="1" outlineLevel="1">
      <c r="B10280" s="187">
        <v>36998</v>
      </c>
      <c r="C10280" s="188">
        <v>5.21</v>
      </c>
      <c r="D10280" s="104">
        <f t="shared" si="160"/>
        <v>5.21E-2</v>
      </c>
      <c r="F10280" s="5"/>
    </row>
    <row r="10281" spans="2:6" ht="13.8" hidden="1" outlineLevel="1">
      <c r="B10281" s="187">
        <v>36999</v>
      </c>
      <c r="C10281" s="188">
        <v>5.14</v>
      </c>
      <c r="D10281" s="104">
        <f t="shared" si="160"/>
        <v>5.1399999999999994E-2</v>
      </c>
      <c r="F10281" s="5"/>
    </row>
    <row r="10282" spans="2:6" ht="13.8" hidden="1" outlineLevel="1">
      <c r="B10282" s="187">
        <v>37000</v>
      </c>
      <c r="C10282" s="188">
        <v>5.27</v>
      </c>
      <c r="D10282" s="104">
        <f t="shared" si="160"/>
        <v>5.2699999999999997E-2</v>
      </c>
      <c r="F10282" s="5"/>
    </row>
    <row r="10283" spans="2:6" ht="13.8" hidden="1" outlineLevel="1">
      <c r="B10283" s="187">
        <v>37001</v>
      </c>
      <c r="C10283" s="188">
        <v>5.29</v>
      </c>
      <c r="D10283" s="104">
        <f t="shared" si="160"/>
        <v>5.2900000000000003E-2</v>
      </c>
      <c r="F10283" s="5"/>
    </row>
    <row r="10284" spans="2:6" ht="13.8" hidden="1" outlineLevel="1">
      <c r="B10284" s="187">
        <v>37004</v>
      </c>
      <c r="C10284" s="188">
        <v>5.2</v>
      </c>
      <c r="D10284" s="104">
        <f t="shared" si="160"/>
        <v>5.2000000000000005E-2</v>
      </c>
      <c r="F10284" s="5"/>
    </row>
    <row r="10285" spans="2:6" ht="13.8" hidden="1" outlineLevel="1">
      <c r="B10285" s="187">
        <v>37005</v>
      </c>
      <c r="C10285" s="188">
        <v>5.22</v>
      </c>
      <c r="D10285" s="104">
        <f t="shared" si="160"/>
        <v>5.2199999999999996E-2</v>
      </c>
      <c r="F10285" s="5"/>
    </row>
    <row r="10286" spans="2:6" ht="13.8" hidden="1" outlineLevel="1">
      <c r="B10286" s="187">
        <v>37006</v>
      </c>
      <c r="C10286" s="188">
        <v>5.28</v>
      </c>
      <c r="D10286" s="104">
        <f t="shared" si="160"/>
        <v>5.28E-2</v>
      </c>
      <c r="F10286" s="5"/>
    </row>
    <row r="10287" spans="2:6" ht="13.8" hidden="1" outlineLevel="1">
      <c r="B10287" s="187">
        <v>37007</v>
      </c>
      <c r="C10287" s="188">
        <v>5.2</v>
      </c>
      <c r="D10287" s="104">
        <f t="shared" si="160"/>
        <v>5.2000000000000005E-2</v>
      </c>
      <c r="F10287" s="5"/>
    </row>
    <row r="10288" spans="2:6" ht="13.8" hidden="1" outlineLevel="1">
      <c r="B10288" s="187">
        <v>37008</v>
      </c>
      <c r="C10288" s="188">
        <v>5.34</v>
      </c>
      <c r="D10288" s="104">
        <f t="shared" si="160"/>
        <v>5.3399999999999996E-2</v>
      </c>
      <c r="F10288" s="5"/>
    </row>
    <row r="10289" spans="2:6" ht="13.8" hidden="1" outlineLevel="1">
      <c r="B10289" s="187">
        <v>37011</v>
      </c>
      <c r="C10289" s="188">
        <v>5.35</v>
      </c>
      <c r="D10289" s="104">
        <f t="shared" si="160"/>
        <v>5.3499999999999999E-2</v>
      </c>
      <c r="F10289" s="5"/>
    </row>
    <row r="10290" spans="2:6" ht="13.8" hidden="1" outlineLevel="1">
      <c r="B10290" s="187">
        <v>37012</v>
      </c>
      <c r="C10290" s="188">
        <v>5.3</v>
      </c>
      <c r="D10290" s="104">
        <f t="shared" si="160"/>
        <v>5.2999999999999999E-2</v>
      </c>
      <c r="F10290" s="5"/>
    </row>
    <row r="10291" spans="2:6" ht="13.8" hidden="1" outlineLevel="1">
      <c r="B10291" s="187">
        <v>37013</v>
      </c>
      <c r="C10291" s="188">
        <v>5.31</v>
      </c>
      <c r="D10291" s="104">
        <f t="shared" si="160"/>
        <v>5.3099999999999994E-2</v>
      </c>
      <c r="F10291" s="5"/>
    </row>
    <row r="10292" spans="2:6" ht="13.8" hidden="1" outlineLevel="1">
      <c r="B10292" s="187">
        <v>37014</v>
      </c>
      <c r="C10292" s="188">
        <v>5.22</v>
      </c>
      <c r="D10292" s="104">
        <f t="shared" si="160"/>
        <v>5.2199999999999996E-2</v>
      </c>
      <c r="F10292" s="5"/>
    </row>
    <row r="10293" spans="2:6" ht="13.8" hidden="1" outlineLevel="1">
      <c r="B10293" s="187">
        <v>37015</v>
      </c>
      <c r="C10293" s="188">
        <v>5.21</v>
      </c>
      <c r="D10293" s="104">
        <f t="shared" si="160"/>
        <v>5.21E-2</v>
      </c>
      <c r="F10293" s="5"/>
    </row>
    <row r="10294" spans="2:6" ht="13.8" hidden="1" outlineLevel="1">
      <c r="B10294" s="187">
        <v>37018</v>
      </c>
      <c r="C10294" s="188">
        <v>5.21</v>
      </c>
      <c r="D10294" s="104">
        <f t="shared" si="160"/>
        <v>5.21E-2</v>
      </c>
      <c r="F10294" s="5"/>
    </row>
    <row r="10295" spans="2:6" ht="13.8" hidden="1" outlineLevel="1">
      <c r="B10295" s="187">
        <v>37019</v>
      </c>
      <c r="C10295" s="188">
        <v>5.24</v>
      </c>
      <c r="D10295" s="104">
        <f t="shared" si="160"/>
        <v>5.2400000000000002E-2</v>
      </c>
      <c r="F10295" s="5"/>
    </row>
    <row r="10296" spans="2:6" ht="13.8" hidden="1" outlineLevel="1">
      <c r="B10296" s="187">
        <v>37020</v>
      </c>
      <c r="C10296" s="188">
        <v>5.2</v>
      </c>
      <c r="D10296" s="104">
        <f t="shared" si="160"/>
        <v>5.2000000000000005E-2</v>
      </c>
      <c r="F10296" s="5"/>
    </row>
    <row r="10297" spans="2:6" ht="13.8" hidden="1" outlineLevel="1">
      <c r="B10297" s="187">
        <v>37021</v>
      </c>
      <c r="C10297" s="188">
        <v>5.31</v>
      </c>
      <c r="D10297" s="104">
        <f t="shared" si="160"/>
        <v>5.3099999999999994E-2</v>
      </c>
      <c r="F10297" s="5"/>
    </row>
    <row r="10298" spans="2:6" ht="13.8" hidden="1" outlineLevel="1">
      <c r="B10298" s="187">
        <v>37022</v>
      </c>
      <c r="C10298" s="188">
        <v>5.51</v>
      </c>
      <c r="D10298" s="104">
        <f t="shared" si="160"/>
        <v>5.5099999999999996E-2</v>
      </c>
      <c r="F10298" s="5"/>
    </row>
    <row r="10299" spans="2:6" ht="13.8" hidden="1" outlineLevel="1">
      <c r="B10299" s="187">
        <v>37025</v>
      </c>
      <c r="C10299" s="188">
        <v>5.46</v>
      </c>
      <c r="D10299" s="104">
        <f t="shared" si="160"/>
        <v>5.4600000000000003E-2</v>
      </c>
      <c r="F10299" s="5"/>
    </row>
    <row r="10300" spans="2:6" ht="13.8" hidden="1" outlineLevel="1">
      <c r="B10300" s="187">
        <v>37026</v>
      </c>
      <c r="C10300" s="188">
        <v>5.5</v>
      </c>
      <c r="D10300" s="104">
        <f t="shared" si="160"/>
        <v>5.5E-2</v>
      </c>
      <c r="F10300" s="5"/>
    </row>
    <row r="10301" spans="2:6" ht="13.8" hidden="1" outlineLevel="1">
      <c r="B10301" s="187">
        <v>37027</v>
      </c>
      <c r="C10301" s="188">
        <v>5.48</v>
      </c>
      <c r="D10301" s="104">
        <f t="shared" si="160"/>
        <v>5.4800000000000001E-2</v>
      </c>
      <c r="F10301" s="5"/>
    </row>
    <row r="10302" spans="2:6" ht="13.8" hidden="1" outlineLevel="1">
      <c r="B10302" s="187">
        <v>37028</v>
      </c>
      <c r="C10302" s="188">
        <v>5.46</v>
      </c>
      <c r="D10302" s="104">
        <f t="shared" si="160"/>
        <v>5.4600000000000003E-2</v>
      </c>
      <c r="F10302" s="5"/>
    </row>
    <row r="10303" spans="2:6" ht="13.8" hidden="1" outlineLevel="1">
      <c r="B10303" s="187">
        <v>37029</v>
      </c>
      <c r="C10303" s="188">
        <v>5.41</v>
      </c>
      <c r="D10303" s="104">
        <f t="shared" si="160"/>
        <v>5.4100000000000002E-2</v>
      </c>
      <c r="F10303" s="5"/>
    </row>
    <row r="10304" spans="2:6" ht="13.8" hidden="1" outlineLevel="1">
      <c r="B10304" s="187">
        <v>37032</v>
      </c>
      <c r="C10304" s="188">
        <v>5.41</v>
      </c>
      <c r="D10304" s="104">
        <f t="shared" si="160"/>
        <v>5.4100000000000002E-2</v>
      </c>
      <c r="F10304" s="5"/>
    </row>
    <row r="10305" spans="2:6" ht="13.8" hidden="1" outlineLevel="1">
      <c r="B10305" s="187">
        <v>37033</v>
      </c>
      <c r="C10305" s="188">
        <v>5.42</v>
      </c>
      <c r="D10305" s="104">
        <f t="shared" si="160"/>
        <v>5.4199999999999998E-2</v>
      </c>
      <c r="F10305" s="5"/>
    </row>
    <row r="10306" spans="2:6" ht="13.8" hidden="1" outlineLevel="1">
      <c r="B10306" s="187">
        <v>37034</v>
      </c>
      <c r="C10306" s="188">
        <v>5.41</v>
      </c>
      <c r="D10306" s="104">
        <f t="shared" si="160"/>
        <v>5.4100000000000002E-2</v>
      </c>
      <c r="F10306" s="5"/>
    </row>
    <row r="10307" spans="2:6" ht="13.8" hidden="1" outlineLevel="1">
      <c r="B10307" s="187">
        <v>37035</v>
      </c>
      <c r="C10307" s="188">
        <v>5.52</v>
      </c>
      <c r="D10307" s="104">
        <f t="shared" si="160"/>
        <v>5.5199999999999999E-2</v>
      </c>
      <c r="F10307" s="5"/>
    </row>
    <row r="10308" spans="2:6" ht="13.8" hidden="1" outlineLevel="1">
      <c r="B10308" s="187">
        <v>37036</v>
      </c>
      <c r="C10308" s="188">
        <v>5.52</v>
      </c>
      <c r="D10308" s="104">
        <f t="shared" si="160"/>
        <v>5.5199999999999999E-2</v>
      </c>
      <c r="F10308" s="5"/>
    </row>
    <row r="10309" spans="2:6" ht="13.8" hidden="1" outlineLevel="1">
      <c r="B10309" s="187">
        <v>37039</v>
      </c>
      <c r="C10309" s="188" t="s">
        <v>380</v>
      </c>
      <c r="D10309" s="104">
        <f t="shared" si="160"/>
        <v>5.5199999999999999E-2</v>
      </c>
      <c r="F10309" s="5"/>
    </row>
    <row r="10310" spans="2:6" ht="13.8" hidden="1" outlineLevel="1">
      <c r="B10310" s="187">
        <v>37040</v>
      </c>
      <c r="C10310" s="188">
        <v>5.54</v>
      </c>
      <c r="D10310" s="104">
        <f t="shared" si="160"/>
        <v>5.5399999999999998E-2</v>
      </c>
      <c r="F10310" s="5"/>
    </row>
    <row r="10311" spans="2:6" ht="13.8" hidden="1" outlineLevel="1">
      <c r="B10311" s="187">
        <v>37041</v>
      </c>
      <c r="C10311" s="188">
        <v>5.54</v>
      </c>
      <c r="D10311" s="104">
        <f t="shared" si="160"/>
        <v>5.5399999999999998E-2</v>
      </c>
      <c r="F10311" s="5"/>
    </row>
    <row r="10312" spans="2:6" ht="13.8" hidden="1" outlineLevel="1">
      <c r="B10312" s="187">
        <v>37042</v>
      </c>
      <c r="C10312" s="188">
        <v>5.43</v>
      </c>
      <c r="D10312" s="104">
        <f t="shared" si="160"/>
        <v>5.4299999999999994E-2</v>
      </c>
      <c r="F10312" s="5"/>
    </row>
    <row r="10313" spans="2:6" ht="13.8" hidden="1" outlineLevel="1">
      <c r="B10313" s="187">
        <v>37043</v>
      </c>
      <c r="C10313" s="188">
        <v>5.39</v>
      </c>
      <c r="D10313" s="104">
        <f t="shared" si="160"/>
        <v>5.3899999999999997E-2</v>
      </c>
      <c r="F10313" s="5"/>
    </row>
    <row r="10314" spans="2:6" ht="13.8" hidden="1" outlineLevel="1">
      <c r="B10314" s="187">
        <v>37046</v>
      </c>
      <c r="C10314" s="188">
        <v>5.35</v>
      </c>
      <c r="D10314" s="104">
        <f t="shared" si="160"/>
        <v>5.3499999999999999E-2</v>
      </c>
      <c r="F10314" s="5"/>
    </row>
    <row r="10315" spans="2:6" ht="13.8" hidden="1" outlineLevel="1">
      <c r="B10315" s="187">
        <v>37047</v>
      </c>
      <c r="C10315" s="188">
        <v>5.29</v>
      </c>
      <c r="D10315" s="104">
        <f t="shared" si="160"/>
        <v>5.2900000000000003E-2</v>
      </c>
      <c r="F10315" s="5"/>
    </row>
    <row r="10316" spans="2:6" ht="13.8" hidden="1" outlineLevel="1">
      <c r="B10316" s="187">
        <v>37048</v>
      </c>
      <c r="C10316" s="188">
        <v>5.27</v>
      </c>
      <c r="D10316" s="104">
        <f t="shared" si="160"/>
        <v>5.2699999999999997E-2</v>
      </c>
      <c r="F10316" s="5"/>
    </row>
    <row r="10317" spans="2:6" ht="13.8" hidden="1" outlineLevel="1">
      <c r="B10317" s="187">
        <v>37049</v>
      </c>
      <c r="C10317" s="188">
        <v>5.33</v>
      </c>
      <c r="D10317" s="104">
        <f t="shared" si="160"/>
        <v>5.33E-2</v>
      </c>
      <c r="F10317" s="5"/>
    </row>
    <row r="10318" spans="2:6" ht="13.8" hidden="1" outlineLevel="1">
      <c r="B10318" s="187">
        <v>37050</v>
      </c>
      <c r="C10318" s="188">
        <v>5.38</v>
      </c>
      <c r="D10318" s="104">
        <f t="shared" si="160"/>
        <v>5.3800000000000001E-2</v>
      </c>
      <c r="F10318" s="5"/>
    </row>
    <row r="10319" spans="2:6" ht="13.8" hidden="1" outlineLevel="1">
      <c r="B10319" s="187">
        <v>37053</v>
      </c>
      <c r="C10319" s="188">
        <v>5.32</v>
      </c>
      <c r="D10319" s="104">
        <f t="shared" si="160"/>
        <v>5.3200000000000004E-2</v>
      </c>
      <c r="F10319" s="5"/>
    </row>
    <row r="10320" spans="2:6" ht="13.8" hidden="1" outlineLevel="1">
      <c r="B10320" s="187">
        <v>37054</v>
      </c>
      <c r="C10320" s="188">
        <v>5.27</v>
      </c>
      <c r="D10320" s="104">
        <f t="shared" si="160"/>
        <v>5.2699999999999997E-2</v>
      </c>
      <c r="F10320" s="5"/>
    </row>
    <row r="10321" spans="2:6" ht="13.8" hidden="1" outlineLevel="1">
      <c r="B10321" s="187">
        <v>37055</v>
      </c>
      <c r="C10321" s="188">
        <v>5.28</v>
      </c>
      <c r="D10321" s="104">
        <f t="shared" si="160"/>
        <v>5.28E-2</v>
      </c>
      <c r="F10321" s="5"/>
    </row>
    <row r="10322" spans="2:6" ht="13.8" hidden="1" outlineLevel="1">
      <c r="B10322" s="187">
        <v>37056</v>
      </c>
      <c r="C10322" s="188">
        <v>5.26</v>
      </c>
      <c r="D10322" s="104">
        <f t="shared" si="160"/>
        <v>5.2600000000000001E-2</v>
      </c>
      <c r="F10322" s="5"/>
    </row>
    <row r="10323" spans="2:6" ht="13.8" hidden="1" outlineLevel="1">
      <c r="B10323" s="187">
        <v>37057</v>
      </c>
      <c r="C10323" s="188">
        <v>5.27</v>
      </c>
      <c r="D10323" s="104">
        <f t="shared" si="160"/>
        <v>5.2699999999999997E-2</v>
      </c>
      <c r="F10323" s="5"/>
    </row>
    <row r="10324" spans="2:6" ht="13.8" hidden="1" outlineLevel="1">
      <c r="B10324" s="187">
        <v>37060</v>
      </c>
      <c r="C10324" s="188">
        <v>5.27</v>
      </c>
      <c r="D10324" s="104">
        <f t="shared" si="160"/>
        <v>5.2699999999999997E-2</v>
      </c>
      <c r="F10324" s="5"/>
    </row>
    <row r="10325" spans="2:6" ht="13.8" hidden="1" outlineLevel="1">
      <c r="B10325" s="187">
        <v>37061</v>
      </c>
      <c r="C10325" s="188">
        <v>5.26</v>
      </c>
      <c r="D10325" s="104">
        <f t="shared" si="160"/>
        <v>5.2600000000000001E-2</v>
      </c>
      <c r="F10325" s="5"/>
    </row>
    <row r="10326" spans="2:6" ht="13.8" hidden="1" outlineLevel="1">
      <c r="B10326" s="187">
        <v>37062</v>
      </c>
      <c r="C10326" s="188">
        <v>5.24</v>
      </c>
      <c r="D10326" s="104">
        <f t="shared" si="160"/>
        <v>5.2400000000000002E-2</v>
      </c>
      <c r="F10326" s="5"/>
    </row>
    <row r="10327" spans="2:6" ht="13.8" hidden="1" outlineLevel="1">
      <c r="B10327" s="187">
        <v>37063</v>
      </c>
      <c r="C10327" s="188">
        <v>5.22</v>
      </c>
      <c r="D10327" s="104">
        <f t="shared" si="160"/>
        <v>5.2199999999999996E-2</v>
      </c>
      <c r="F10327" s="5"/>
    </row>
    <row r="10328" spans="2:6" ht="13.8" hidden="1" outlineLevel="1">
      <c r="B10328" s="187">
        <v>37064</v>
      </c>
      <c r="C10328" s="188">
        <v>5.14</v>
      </c>
      <c r="D10328" s="104">
        <f t="shared" si="160"/>
        <v>5.1399999999999994E-2</v>
      </c>
      <c r="F10328" s="5"/>
    </row>
    <row r="10329" spans="2:6" ht="13.8" hidden="1" outlineLevel="1">
      <c r="B10329" s="187">
        <v>37067</v>
      </c>
      <c r="C10329" s="188">
        <v>5.16</v>
      </c>
      <c r="D10329" s="104">
        <f t="shared" si="160"/>
        <v>5.16E-2</v>
      </c>
      <c r="F10329" s="5"/>
    </row>
    <row r="10330" spans="2:6" ht="13.8" hidden="1" outlineLevel="1">
      <c r="B10330" s="187">
        <v>37068</v>
      </c>
      <c r="C10330" s="188">
        <v>5.24</v>
      </c>
      <c r="D10330" s="104">
        <f t="shared" si="160"/>
        <v>5.2400000000000002E-2</v>
      </c>
      <c r="F10330" s="5"/>
    </row>
    <row r="10331" spans="2:6" ht="13.8" hidden="1" outlineLevel="1">
      <c r="B10331" s="187">
        <v>37069</v>
      </c>
      <c r="C10331" s="188">
        <v>5.26</v>
      </c>
      <c r="D10331" s="104">
        <f t="shared" si="160"/>
        <v>5.2600000000000001E-2</v>
      </c>
      <c r="F10331" s="5"/>
    </row>
    <row r="10332" spans="2:6" ht="13.8" hidden="1" outlineLevel="1">
      <c r="B10332" s="187">
        <v>37070</v>
      </c>
      <c r="C10332" s="188">
        <v>5.35</v>
      </c>
      <c r="D10332" s="104">
        <f t="shared" si="160"/>
        <v>5.3499999999999999E-2</v>
      </c>
      <c r="F10332" s="5"/>
    </row>
    <row r="10333" spans="2:6" ht="13.8" hidden="1" outlineLevel="1">
      <c r="B10333" s="187">
        <v>37071</v>
      </c>
      <c r="C10333" s="188">
        <v>5.42</v>
      </c>
      <c r="D10333" s="104">
        <f t="shared" si="160"/>
        <v>5.4199999999999998E-2</v>
      </c>
      <c r="F10333" s="5"/>
    </row>
    <row r="10334" spans="2:6" ht="13.8" hidden="1" outlineLevel="1">
      <c r="B10334" s="187">
        <v>37074</v>
      </c>
      <c r="C10334" s="188">
        <v>5.37</v>
      </c>
      <c r="D10334" s="104">
        <f t="shared" ref="D10334:D10397" si="161">IF( LEN( C10334 ) = 0, #N/A, IF( C10334 = "ND", D10333, C10334 / 100 ) )</f>
        <v>5.3699999999999998E-2</v>
      </c>
      <c r="F10334" s="5"/>
    </row>
    <row r="10335" spans="2:6" ht="13.8" hidden="1" outlineLevel="1">
      <c r="B10335" s="187">
        <v>37075</v>
      </c>
      <c r="C10335" s="188">
        <v>5.41</v>
      </c>
      <c r="D10335" s="104">
        <f t="shared" si="161"/>
        <v>5.4100000000000002E-2</v>
      </c>
      <c r="F10335" s="5"/>
    </row>
    <row r="10336" spans="2:6" ht="13.8" hidden="1" outlineLevel="1">
      <c r="B10336" s="187">
        <v>37076</v>
      </c>
      <c r="C10336" s="188" t="s">
        <v>380</v>
      </c>
      <c r="D10336" s="104">
        <f t="shared" si="161"/>
        <v>5.4100000000000002E-2</v>
      </c>
      <c r="F10336" s="5"/>
    </row>
    <row r="10337" spans="2:6" ht="13.8" hidden="1" outlineLevel="1">
      <c r="B10337" s="187">
        <v>37077</v>
      </c>
      <c r="C10337" s="188">
        <v>5.44</v>
      </c>
      <c r="D10337" s="104">
        <f t="shared" si="161"/>
        <v>5.4400000000000004E-2</v>
      </c>
      <c r="F10337" s="5"/>
    </row>
    <row r="10338" spans="2:6" ht="13.8" hidden="1" outlineLevel="1">
      <c r="B10338" s="187">
        <v>37078</v>
      </c>
      <c r="C10338" s="188">
        <v>5.41</v>
      </c>
      <c r="D10338" s="104">
        <f t="shared" si="161"/>
        <v>5.4100000000000002E-2</v>
      </c>
      <c r="F10338" s="5"/>
    </row>
    <row r="10339" spans="2:6" ht="13.8" hidden="1" outlineLevel="1">
      <c r="B10339" s="187">
        <v>37081</v>
      </c>
      <c r="C10339" s="188">
        <v>5.37</v>
      </c>
      <c r="D10339" s="104">
        <f t="shared" si="161"/>
        <v>5.3699999999999998E-2</v>
      </c>
      <c r="F10339" s="5"/>
    </row>
    <row r="10340" spans="2:6" ht="13.8" hidden="1" outlineLevel="1">
      <c r="B10340" s="187">
        <v>37082</v>
      </c>
      <c r="C10340" s="188">
        <v>5.32</v>
      </c>
      <c r="D10340" s="104">
        <f t="shared" si="161"/>
        <v>5.3200000000000004E-2</v>
      </c>
      <c r="F10340" s="5"/>
    </row>
    <row r="10341" spans="2:6" ht="13.8" hidden="1" outlineLevel="1">
      <c r="B10341" s="187">
        <v>37083</v>
      </c>
      <c r="C10341" s="188">
        <v>5.31</v>
      </c>
      <c r="D10341" s="104">
        <f t="shared" si="161"/>
        <v>5.3099999999999994E-2</v>
      </c>
      <c r="F10341" s="5"/>
    </row>
    <row r="10342" spans="2:6" ht="13.8" hidden="1" outlineLevel="1">
      <c r="B10342" s="187">
        <v>37084</v>
      </c>
      <c r="C10342" s="188">
        <v>5.27</v>
      </c>
      <c r="D10342" s="104">
        <f t="shared" si="161"/>
        <v>5.2699999999999997E-2</v>
      </c>
      <c r="F10342" s="5"/>
    </row>
    <row r="10343" spans="2:6" ht="13.8" hidden="1" outlineLevel="1">
      <c r="B10343" s="187">
        <v>37085</v>
      </c>
      <c r="C10343" s="188">
        <v>5.27</v>
      </c>
      <c r="D10343" s="104">
        <f t="shared" si="161"/>
        <v>5.2699999999999997E-2</v>
      </c>
      <c r="F10343" s="5"/>
    </row>
    <row r="10344" spans="2:6" ht="13.8" hidden="1" outlineLevel="1">
      <c r="B10344" s="187">
        <v>37088</v>
      </c>
      <c r="C10344" s="188">
        <v>5.21</v>
      </c>
      <c r="D10344" s="104">
        <f t="shared" si="161"/>
        <v>5.21E-2</v>
      </c>
      <c r="F10344" s="5"/>
    </row>
    <row r="10345" spans="2:6" ht="13.8" hidden="1" outlineLevel="1">
      <c r="B10345" s="187">
        <v>37089</v>
      </c>
      <c r="C10345" s="188">
        <v>5.22</v>
      </c>
      <c r="D10345" s="104">
        <f t="shared" si="161"/>
        <v>5.2199999999999996E-2</v>
      </c>
      <c r="F10345" s="5"/>
    </row>
    <row r="10346" spans="2:6" ht="13.8" hidden="1" outlineLevel="1">
      <c r="B10346" s="187">
        <v>37090</v>
      </c>
      <c r="C10346" s="188">
        <v>5.12</v>
      </c>
      <c r="D10346" s="104">
        <f t="shared" si="161"/>
        <v>5.1200000000000002E-2</v>
      </c>
      <c r="F10346" s="5"/>
    </row>
    <row r="10347" spans="2:6" ht="13.8" hidden="1" outlineLevel="1">
      <c r="B10347" s="187">
        <v>37091</v>
      </c>
      <c r="C10347" s="188">
        <v>5.13</v>
      </c>
      <c r="D10347" s="104">
        <f t="shared" si="161"/>
        <v>5.1299999999999998E-2</v>
      </c>
      <c r="F10347" s="5"/>
    </row>
    <row r="10348" spans="2:6" ht="13.8" hidden="1" outlineLevel="1">
      <c r="B10348" s="187">
        <v>37092</v>
      </c>
      <c r="C10348" s="188">
        <v>5.15</v>
      </c>
      <c r="D10348" s="104">
        <f t="shared" si="161"/>
        <v>5.1500000000000004E-2</v>
      </c>
      <c r="F10348" s="5"/>
    </row>
    <row r="10349" spans="2:6" ht="13.8" hidden="1" outlineLevel="1">
      <c r="B10349" s="187">
        <v>37095</v>
      </c>
      <c r="C10349" s="188">
        <v>5.13</v>
      </c>
      <c r="D10349" s="104">
        <f t="shared" si="161"/>
        <v>5.1299999999999998E-2</v>
      </c>
      <c r="F10349" s="5"/>
    </row>
    <row r="10350" spans="2:6" ht="13.8" hidden="1" outlineLevel="1">
      <c r="B10350" s="187">
        <v>37096</v>
      </c>
      <c r="C10350" s="188">
        <v>5.13</v>
      </c>
      <c r="D10350" s="104">
        <f t="shared" si="161"/>
        <v>5.1299999999999998E-2</v>
      </c>
      <c r="F10350" s="5"/>
    </row>
    <row r="10351" spans="2:6" ht="13.8" hidden="1" outlineLevel="1">
      <c r="B10351" s="187">
        <v>37097</v>
      </c>
      <c r="C10351" s="188">
        <v>5.2</v>
      </c>
      <c r="D10351" s="104">
        <f t="shared" si="161"/>
        <v>5.2000000000000005E-2</v>
      </c>
      <c r="F10351" s="5"/>
    </row>
    <row r="10352" spans="2:6" ht="13.8" hidden="1" outlineLevel="1">
      <c r="B10352" s="187">
        <v>37098</v>
      </c>
      <c r="C10352" s="188">
        <v>5.19</v>
      </c>
      <c r="D10352" s="104">
        <f t="shared" si="161"/>
        <v>5.1900000000000002E-2</v>
      </c>
      <c r="F10352" s="5"/>
    </row>
    <row r="10353" spans="2:6" ht="13.8" hidden="1" outlineLevel="1">
      <c r="B10353" s="187">
        <v>37099</v>
      </c>
      <c r="C10353" s="188">
        <v>5.13</v>
      </c>
      <c r="D10353" s="104">
        <f t="shared" si="161"/>
        <v>5.1299999999999998E-2</v>
      </c>
      <c r="F10353" s="5"/>
    </row>
    <row r="10354" spans="2:6" ht="13.8" hidden="1" outlineLevel="1">
      <c r="B10354" s="187">
        <v>37102</v>
      </c>
      <c r="C10354" s="188">
        <v>5.1100000000000003</v>
      </c>
      <c r="D10354" s="104">
        <f t="shared" si="161"/>
        <v>5.1100000000000007E-2</v>
      </c>
      <c r="F10354" s="5"/>
    </row>
    <row r="10355" spans="2:6" ht="13.8" hidden="1" outlineLevel="1">
      <c r="B10355" s="187">
        <v>37103</v>
      </c>
      <c r="C10355" s="188">
        <v>5.07</v>
      </c>
      <c r="D10355" s="104">
        <f t="shared" si="161"/>
        <v>5.0700000000000002E-2</v>
      </c>
      <c r="F10355" s="5"/>
    </row>
    <row r="10356" spans="2:6" ht="13.8" hidden="1" outlineLevel="1">
      <c r="B10356" s="187">
        <v>37104</v>
      </c>
      <c r="C10356" s="188">
        <v>5.1100000000000003</v>
      </c>
      <c r="D10356" s="104">
        <f t="shared" si="161"/>
        <v>5.1100000000000007E-2</v>
      </c>
      <c r="F10356" s="5"/>
    </row>
    <row r="10357" spans="2:6" ht="13.8" hidden="1" outlineLevel="1">
      <c r="B10357" s="187">
        <v>37105</v>
      </c>
      <c r="C10357" s="188">
        <v>5.17</v>
      </c>
      <c r="D10357" s="104">
        <f t="shared" si="161"/>
        <v>5.1699999999999996E-2</v>
      </c>
      <c r="F10357" s="5"/>
    </row>
    <row r="10358" spans="2:6" ht="13.8" hidden="1" outlineLevel="1">
      <c r="B10358" s="187">
        <v>37106</v>
      </c>
      <c r="C10358" s="188">
        <v>5.2</v>
      </c>
      <c r="D10358" s="104">
        <f t="shared" si="161"/>
        <v>5.2000000000000005E-2</v>
      </c>
      <c r="F10358" s="5"/>
    </row>
    <row r="10359" spans="2:6" ht="13.8" hidden="1" outlineLevel="1">
      <c r="B10359" s="187">
        <v>37109</v>
      </c>
      <c r="C10359" s="188">
        <v>5.19</v>
      </c>
      <c r="D10359" s="104">
        <f t="shared" si="161"/>
        <v>5.1900000000000002E-2</v>
      </c>
      <c r="F10359" s="5"/>
    </row>
    <row r="10360" spans="2:6" ht="13.8" hidden="1" outlineLevel="1">
      <c r="B10360" s="187">
        <v>37110</v>
      </c>
      <c r="C10360" s="188">
        <v>5.2</v>
      </c>
      <c r="D10360" s="104">
        <f t="shared" si="161"/>
        <v>5.2000000000000005E-2</v>
      </c>
      <c r="F10360" s="5"/>
    </row>
    <row r="10361" spans="2:6" ht="13.8" hidden="1" outlineLevel="1">
      <c r="B10361" s="187">
        <v>37111</v>
      </c>
      <c r="C10361" s="188">
        <v>4.99</v>
      </c>
      <c r="D10361" s="104">
        <f t="shared" si="161"/>
        <v>4.99E-2</v>
      </c>
      <c r="F10361" s="5"/>
    </row>
    <row r="10362" spans="2:6" ht="13.8" hidden="1" outlineLevel="1">
      <c r="B10362" s="187">
        <v>37112</v>
      </c>
      <c r="C10362" s="188">
        <v>5.04</v>
      </c>
      <c r="D10362" s="104">
        <f t="shared" si="161"/>
        <v>5.04E-2</v>
      </c>
      <c r="F10362" s="5"/>
    </row>
    <row r="10363" spans="2:6" ht="13.8" hidden="1" outlineLevel="1">
      <c r="B10363" s="187">
        <v>37113</v>
      </c>
      <c r="C10363" s="188">
        <v>4.99</v>
      </c>
      <c r="D10363" s="104">
        <f t="shared" si="161"/>
        <v>4.99E-2</v>
      </c>
      <c r="F10363" s="5"/>
    </row>
    <row r="10364" spans="2:6" ht="13.8" hidden="1" outlineLevel="1">
      <c r="B10364" s="187">
        <v>37116</v>
      </c>
      <c r="C10364" s="188">
        <v>4.97</v>
      </c>
      <c r="D10364" s="104">
        <f t="shared" si="161"/>
        <v>4.9699999999999994E-2</v>
      </c>
      <c r="F10364" s="5"/>
    </row>
    <row r="10365" spans="2:6" ht="13.8" hidden="1" outlineLevel="1">
      <c r="B10365" s="187">
        <v>37117</v>
      </c>
      <c r="C10365" s="188">
        <v>4.97</v>
      </c>
      <c r="D10365" s="104">
        <f t="shared" si="161"/>
        <v>4.9699999999999994E-2</v>
      </c>
      <c r="F10365" s="5"/>
    </row>
    <row r="10366" spans="2:6" ht="13.8" hidden="1" outlineLevel="1">
      <c r="B10366" s="187">
        <v>37118</v>
      </c>
      <c r="C10366" s="188">
        <v>5</v>
      </c>
      <c r="D10366" s="104">
        <f t="shared" si="161"/>
        <v>0.05</v>
      </c>
      <c r="F10366" s="5"/>
    </row>
    <row r="10367" spans="2:6" ht="13.8" hidden="1" outlineLevel="1">
      <c r="B10367" s="187">
        <v>37119</v>
      </c>
      <c r="C10367" s="188">
        <v>4.95</v>
      </c>
      <c r="D10367" s="104">
        <f t="shared" si="161"/>
        <v>4.9500000000000002E-2</v>
      </c>
      <c r="F10367" s="5"/>
    </row>
    <row r="10368" spans="2:6" ht="13.8" hidden="1" outlineLevel="1">
      <c r="B10368" s="187">
        <v>37120</v>
      </c>
      <c r="C10368" s="188">
        <v>4.84</v>
      </c>
      <c r="D10368" s="104">
        <f t="shared" si="161"/>
        <v>4.8399999999999999E-2</v>
      </c>
      <c r="F10368" s="5"/>
    </row>
    <row r="10369" spans="2:6" ht="13.8" hidden="1" outlineLevel="1">
      <c r="B10369" s="187">
        <v>37123</v>
      </c>
      <c r="C10369" s="188">
        <v>4.91</v>
      </c>
      <c r="D10369" s="104">
        <f t="shared" si="161"/>
        <v>4.9100000000000005E-2</v>
      </c>
      <c r="F10369" s="5"/>
    </row>
    <row r="10370" spans="2:6" ht="13.8" hidden="1" outlineLevel="1">
      <c r="B10370" s="187">
        <v>37124</v>
      </c>
      <c r="C10370" s="188">
        <v>4.87</v>
      </c>
      <c r="D10370" s="104">
        <f t="shared" si="161"/>
        <v>4.87E-2</v>
      </c>
      <c r="F10370" s="5"/>
    </row>
    <row r="10371" spans="2:6" ht="13.8" hidden="1" outlineLevel="1">
      <c r="B10371" s="187">
        <v>37125</v>
      </c>
      <c r="C10371" s="188">
        <v>4.91</v>
      </c>
      <c r="D10371" s="104">
        <f t="shared" si="161"/>
        <v>4.9100000000000005E-2</v>
      </c>
      <c r="F10371" s="5"/>
    </row>
    <row r="10372" spans="2:6" ht="13.8" hidden="1" outlineLevel="1">
      <c r="B10372" s="187">
        <v>37126</v>
      </c>
      <c r="C10372" s="188">
        <v>4.8899999999999997</v>
      </c>
      <c r="D10372" s="104">
        <f t="shared" si="161"/>
        <v>4.8899999999999999E-2</v>
      </c>
      <c r="F10372" s="5"/>
    </row>
    <row r="10373" spans="2:6" ht="13.8" hidden="1" outlineLevel="1">
      <c r="B10373" s="187">
        <v>37127</v>
      </c>
      <c r="C10373" s="188">
        <v>4.93</v>
      </c>
      <c r="D10373" s="104">
        <f t="shared" si="161"/>
        <v>4.9299999999999997E-2</v>
      </c>
      <c r="F10373" s="5"/>
    </row>
    <row r="10374" spans="2:6" ht="13.8" hidden="1" outlineLevel="1">
      <c r="B10374" s="187">
        <v>37130</v>
      </c>
      <c r="C10374" s="188">
        <v>4.9400000000000004</v>
      </c>
      <c r="D10374" s="104">
        <f t="shared" si="161"/>
        <v>4.9400000000000006E-2</v>
      </c>
      <c r="F10374" s="5"/>
    </row>
    <row r="10375" spans="2:6" ht="13.8" hidden="1" outlineLevel="1">
      <c r="B10375" s="187">
        <v>37131</v>
      </c>
      <c r="C10375" s="188">
        <v>4.8499999999999996</v>
      </c>
      <c r="D10375" s="104">
        <f t="shared" si="161"/>
        <v>4.8499999999999995E-2</v>
      </c>
      <c r="F10375" s="5"/>
    </row>
    <row r="10376" spans="2:6" ht="13.8" hidden="1" outlineLevel="1">
      <c r="B10376" s="187">
        <v>37132</v>
      </c>
      <c r="C10376" s="188">
        <v>4.78</v>
      </c>
      <c r="D10376" s="104">
        <f t="shared" si="161"/>
        <v>4.7800000000000002E-2</v>
      </c>
      <c r="F10376" s="5"/>
    </row>
    <row r="10377" spans="2:6" ht="13.8" hidden="1" outlineLevel="1">
      <c r="B10377" s="187">
        <v>37133</v>
      </c>
      <c r="C10377" s="188">
        <v>4.79</v>
      </c>
      <c r="D10377" s="104">
        <f t="shared" si="161"/>
        <v>4.7899999999999998E-2</v>
      </c>
      <c r="F10377" s="5"/>
    </row>
    <row r="10378" spans="2:6" ht="13.8" hidden="1" outlineLevel="1">
      <c r="B10378" s="187">
        <v>37134</v>
      </c>
      <c r="C10378" s="188">
        <v>4.8499999999999996</v>
      </c>
      <c r="D10378" s="104">
        <f t="shared" si="161"/>
        <v>4.8499999999999995E-2</v>
      </c>
      <c r="F10378" s="5"/>
    </row>
    <row r="10379" spans="2:6" ht="13.8" hidden="1" outlineLevel="1">
      <c r="B10379" s="187">
        <v>37137</v>
      </c>
      <c r="C10379" s="188" t="s">
        <v>380</v>
      </c>
      <c r="D10379" s="104">
        <f t="shared" si="161"/>
        <v>4.8499999999999995E-2</v>
      </c>
      <c r="F10379" s="5"/>
    </row>
    <row r="10380" spans="2:6" ht="13.8" hidden="1" outlineLevel="1">
      <c r="B10380" s="187">
        <v>37138</v>
      </c>
      <c r="C10380" s="188">
        <v>4.99</v>
      </c>
      <c r="D10380" s="104">
        <f t="shared" si="161"/>
        <v>4.99E-2</v>
      </c>
      <c r="F10380" s="5"/>
    </row>
    <row r="10381" spans="2:6" ht="13.8" hidden="1" outlineLevel="1">
      <c r="B10381" s="187">
        <v>37139</v>
      </c>
      <c r="C10381" s="188">
        <v>4.97</v>
      </c>
      <c r="D10381" s="104">
        <f t="shared" si="161"/>
        <v>4.9699999999999994E-2</v>
      </c>
      <c r="F10381" s="5"/>
    </row>
    <row r="10382" spans="2:6" ht="13.8" hidden="1" outlineLevel="1">
      <c r="B10382" s="187">
        <v>37140</v>
      </c>
      <c r="C10382" s="188">
        <v>4.8600000000000003</v>
      </c>
      <c r="D10382" s="104">
        <f t="shared" si="161"/>
        <v>4.8600000000000004E-2</v>
      </c>
      <c r="F10382" s="5"/>
    </row>
    <row r="10383" spans="2:6" ht="13.8" hidden="1" outlineLevel="1">
      <c r="B10383" s="187">
        <v>37141</v>
      </c>
      <c r="C10383" s="188">
        <v>4.8</v>
      </c>
      <c r="D10383" s="104">
        <f t="shared" si="161"/>
        <v>4.8000000000000001E-2</v>
      </c>
      <c r="F10383" s="5"/>
    </row>
    <row r="10384" spans="2:6" ht="13.8" hidden="1" outlineLevel="1">
      <c r="B10384" s="187">
        <v>37144</v>
      </c>
      <c r="C10384" s="188">
        <v>4.84</v>
      </c>
      <c r="D10384" s="104">
        <f t="shared" si="161"/>
        <v>4.8399999999999999E-2</v>
      </c>
      <c r="F10384" s="5"/>
    </row>
    <row r="10385" spans="2:6" ht="13.8" hidden="1" outlineLevel="1">
      <c r="B10385" s="187">
        <v>37145</v>
      </c>
      <c r="C10385" s="188" t="s">
        <v>380</v>
      </c>
      <c r="D10385" s="104">
        <f t="shared" si="161"/>
        <v>4.8399999999999999E-2</v>
      </c>
      <c r="F10385" s="5"/>
    </row>
    <row r="10386" spans="2:6" ht="13.8" hidden="1" outlineLevel="1">
      <c r="B10386" s="187">
        <v>37146</v>
      </c>
      <c r="C10386" s="188" t="s">
        <v>380</v>
      </c>
      <c r="D10386" s="104">
        <f t="shared" si="161"/>
        <v>4.8399999999999999E-2</v>
      </c>
      <c r="F10386" s="5"/>
    </row>
    <row r="10387" spans="2:6" ht="13.8" hidden="1" outlineLevel="1">
      <c r="B10387" s="187">
        <v>37147</v>
      </c>
      <c r="C10387" s="188">
        <v>4.6399999999999997</v>
      </c>
      <c r="D10387" s="104">
        <f t="shared" si="161"/>
        <v>4.6399999999999997E-2</v>
      </c>
      <c r="F10387" s="5"/>
    </row>
    <row r="10388" spans="2:6" ht="13.8" hidden="1" outlineLevel="1">
      <c r="B10388" s="187">
        <v>37148</v>
      </c>
      <c r="C10388" s="188">
        <v>4.57</v>
      </c>
      <c r="D10388" s="104">
        <f t="shared" si="161"/>
        <v>4.5700000000000005E-2</v>
      </c>
      <c r="F10388" s="5"/>
    </row>
    <row r="10389" spans="2:6" ht="13.8" hidden="1" outlineLevel="1">
      <c r="B10389" s="187">
        <v>37151</v>
      </c>
      <c r="C10389" s="188">
        <v>4.63</v>
      </c>
      <c r="D10389" s="104">
        <f t="shared" si="161"/>
        <v>4.6300000000000001E-2</v>
      </c>
      <c r="F10389" s="5"/>
    </row>
    <row r="10390" spans="2:6" ht="13.8" hidden="1" outlineLevel="1">
      <c r="B10390" s="187">
        <v>37152</v>
      </c>
      <c r="C10390" s="188">
        <v>4.72</v>
      </c>
      <c r="D10390" s="104">
        <f t="shared" si="161"/>
        <v>4.7199999999999999E-2</v>
      </c>
      <c r="F10390" s="5"/>
    </row>
    <row r="10391" spans="2:6" ht="13.8" hidden="1" outlineLevel="1">
      <c r="B10391" s="187">
        <v>37153</v>
      </c>
      <c r="C10391" s="188">
        <v>4.6900000000000004</v>
      </c>
      <c r="D10391" s="104">
        <f t="shared" si="161"/>
        <v>4.6900000000000004E-2</v>
      </c>
      <c r="F10391" s="5"/>
    </row>
    <row r="10392" spans="2:6" ht="13.8" hidden="1" outlineLevel="1">
      <c r="B10392" s="187">
        <v>37154</v>
      </c>
      <c r="C10392" s="188">
        <v>4.75</v>
      </c>
      <c r="D10392" s="104">
        <f t="shared" si="161"/>
        <v>4.7500000000000001E-2</v>
      </c>
      <c r="F10392" s="5"/>
    </row>
    <row r="10393" spans="2:6" ht="13.8" hidden="1" outlineLevel="1">
      <c r="B10393" s="187">
        <v>37155</v>
      </c>
      <c r="C10393" s="188">
        <v>4.7</v>
      </c>
      <c r="D10393" s="104">
        <f t="shared" si="161"/>
        <v>4.7E-2</v>
      </c>
      <c r="F10393" s="5"/>
    </row>
    <row r="10394" spans="2:6" ht="13.8" hidden="1" outlineLevel="1">
      <c r="B10394" s="187">
        <v>37158</v>
      </c>
      <c r="C10394" s="188">
        <v>4.7300000000000004</v>
      </c>
      <c r="D10394" s="104">
        <f t="shared" si="161"/>
        <v>4.7300000000000002E-2</v>
      </c>
      <c r="F10394" s="5"/>
    </row>
    <row r="10395" spans="2:6" ht="13.8" hidden="1" outlineLevel="1">
      <c r="B10395" s="187">
        <v>37159</v>
      </c>
      <c r="C10395" s="188">
        <v>4.72</v>
      </c>
      <c r="D10395" s="104">
        <f t="shared" si="161"/>
        <v>4.7199999999999999E-2</v>
      </c>
      <c r="F10395" s="5"/>
    </row>
    <row r="10396" spans="2:6" ht="13.8" hidden="1" outlineLevel="1">
      <c r="B10396" s="187">
        <v>37160</v>
      </c>
      <c r="C10396" s="188">
        <v>4.6500000000000004</v>
      </c>
      <c r="D10396" s="104">
        <f t="shared" si="161"/>
        <v>4.6500000000000007E-2</v>
      </c>
      <c r="F10396" s="5"/>
    </row>
    <row r="10397" spans="2:6" ht="13.8" hidden="1" outlineLevel="1">
      <c r="B10397" s="187">
        <v>37161</v>
      </c>
      <c r="C10397" s="188">
        <v>4.58</v>
      </c>
      <c r="D10397" s="104">
        <f t="shared" si="161"/>
        <v>4.58E-2</v>
      </c>
      <c r="F10397" s="5"/>
    </row>
    <row r="10398" spans="2:6" ht="13.8" hidden="1" outlineLevel="1">
      <c r="B10398" s="187">
        <v>37162</v>
      </c>
      <c r="C10398" s="188">
        <v>4.5999999999999996</v>
      </c>
      <c r="D10398" s="104">
        <f t="shared" ref="D10398:D10461" si="162">IF( LEN( C10398 ) = 0, #N/A, IF( C10398 = "ND", D10397, C10398 / 100 ) )</f>
        <v>4.5999999999999999E-2</v>
      </c>
      <c r="F10398" s="5"/>
    </row>
    <row r="10399" spans="2:6" ht="13.8" hidden="1" outlineLevel="1">
      <c r="B10399" s="187">
        <v>37165</v>
      </c>
      <c r="C10399" s="188">
        <v>4.55</v>
      </c>
      <c r="D10399" s="104">
        <f t="shared" si="162"/>
        <v>4.5499999999999999E-2</v>
      </c>
      <c r="F10399" s="5"/>
    </row>
    <row r="10400" spans="2:6" ht="13.8" hidden="1" outlineLevel="1">
      <c r="B10400" s="187">
        <v>37166</v>
      </c>
      <c r="C10400" s="188">
        <v>4.53</v>
      </c>
      <c r="D10400" s="104">
        <f t="shared" si="162"/>
        <v>4.53E-2</v>
      </c>
      <c r="F10400" s="5"/>
    </row>
    <row r="10401" spans="2:6" ht="13.8" hidden="1" outlineLevel="1">
      <c r="B10401" s="187">
        <v>37167</v>
      </c>
      <c r="C10401" s="188">
        <v>4.5</v>
      </c>
      <c r="D10401" s="104">
        <f t="shared" si="162"/>
        <v>4.4999999999999998E-2</v>
      </c>
      <c r="F10401" s="5"/>
    </row>
    <row r="10402" spans="2:6" ht="13.8" hidden="1" outlineLevel="1">
      <c r="B10402" s="187">
        <v>37168</v>
      </c>
      <c r="C10402" s="188">
        <v>4.53</v>
      </c>
      <c r="D10402" s="104">
        <f t="shared" si="162"/>
        <v>4.53E-2</v>
      </c>
      <c r="F10402" s="5"/>
    </row>
    <row r="10403" spans="2:6" ht="13.8" hidden="1" outlineLevel="1">
      <c r="B10403" s="187">
        <v>37169</v>
      </c>
      <c r="C10403" s="188">
        <v>4.5199999999999996</v>
      </c>
      <c r="D10403" s="104">
        <f t="shared" si="162"/>
        <v>4.5199999999999997E-2</v>
      </c>
      <c r="F10403" s="5"/>
    </row>
    <row r="10404" spans="2:6" ht="13.8" hidden="1" outlineLevel="1">
      <c r="B10404" s="187">
        <v>37172</v>
      </c>
      <c r="C10404" s="188" t="s">
        <v>380</v>
      </c>
      <c r="D10404" s="104">
        <f t="shared" si="162"/>
        <v>4.5199999999999997E-2</v>
      </c>
      <c r="F10404" s="5"/>
    </row>
    <row r="10405" spans="2:6" ht="13.8" hidden="1" outlineLevel="1">
      <c r="B10405" s="187">
        <v>37173</v>
      </c>
      <c r="C10405" s="188">
        <v>4.62</v>
      </c>
      <c r="D10405" s="104">
        <f t="shared" si="162"/>
        <v>4.6199999999999998E-2</v>
      </c>
      <c r="F10405" s="5"/>
    </row>
    <row r="10406" spans="2:6" ht="13.8" hidden="1" outlineLevel="1">
      <c r="B10406" s="187">
        <v>37174</v>
      </c>
      <c r="C10406" s="188">
        <v>4.6100000000000003</v>
      </c>
      <c r="D10406" s="104">
        <f t="shared" si="162"/>
        <v>4.6100000000000002E-2</v>
      </c>
      <c r="F10406" s="5"/>
    </row>
    <row r="10407" spans="2:6" ht="13.8" hidden="1" outlineLevel="1">
      <c r="B10407" s="187">
        <v>37175</v>
      </c>
      <c r="C10407" s="188">
        <v>4.6900000000000004</v>
      </c>
      <c r="D10407" s="104">
        <f t="shared" si="162"/>
        <v>4.6900000000000004E-2</v>
      </c>
      <c r="F10407" s="5"/>
    </row>
    <row r="10408" spans="2:6" ht="13.8" hidden="1" outlineLevel="1">
      <c r="B10408" s="187">
        <v>37176</v>
      </c>
      <c r="C10408" s="188">
        <v>4.68</v>
      </c>
      <c r="D10408" s="104">
        <f t="shared" si="162"/>
        <v>4.6799999999999994E-2</v>
      </c>
      <c r="F10408" s="5"/>
    </row>
    <row r="10409" spans="2:6" ht="13.8" hidden="1" outlineLevel="1">
      <c r="B10409" s="187">
        <v>37179</v>
      </c>
      <c r="C10409" s="188">
        <v>4.62</v>
      </c>
      <c r="D10409" s="104">
        <f t="shared" si="162"/>
        <v>4.6199999999999998E-2</v>
      </c>
      <c r="F10409" s="5"/>
    </row>
    <row r="10410" spans="2:6" ht="13.8" hidden="1" outlineLevel="1">
      <c r="B10410" s="187">
        <v>37180</v>
      </c>
      <c r="C10410" s="188">
        <v>4.59</v>
      </c>
      <c r="D10410" s="104">
        <f t="shared" si="162"/>
        <v>4.5899999999999996E-2</v>
      </c>
      <c r="F10410" s="5"/>
    </row>
    <row r="10411" spans="2:6" ht="13.8" hidden="1" outlineLevel="1">
      <c r="B10411" s="187">
        <v>37181</v>
      </c>
      <c r="C10411" s="188">
        <v>4.59</v>
      </c>
      <c r="D10411" s="104">
        <f t="shared" si="162"/>
        <v>4.5899999999999996E-2</v>
      </c>
      <c r="F10411" s="5"/>
    </row>
    <row r="10412" spans="2:6" ht="13.8" hidden="1" outlineLevel="1">
      <c r="B10412" s="187">
        <v>37182</v>
      </c>
      <c r="C10412" s="188">
        <v>4.58</v>
      </c>
      <c r="D10412" s="104">
        <f t="shared" si="162"/>
        <v>4.58E-2</v>
      </c>
      <c r="F10412" s="5"/>
    </row>
    <row r="10413" spans="2:6" ht="13.8" hidden="1" outlineLevel="1">
      <c r="B10413" s="187">
        <v>37183</v>
      </c>
      <c r="C10413" s="188">
        <v>4.63</v>
      </c>
      <c r="D10413" s="104">
        <f t="shared" si="162"/>
        <v>4.6300000000000001E-2</v>
      </c>
      <c r="F10413" s="5"/>
    </row>
    <row r="10414" spans="2:6" ht="13.8" hidden="1" outlineLevel="1">
      <c r="B10414" s="187">
        <v>37186</v>
      </c>
      <c r="C10414" s="188">
        <v>4.63</v>
      </c>
      <c r="D10414" s="104">
        <f t="shared" si="162"/>
        <v>4.6300000000000001E-2</v>
      </c>
      <c r="F10414" s="5"/>
    </row>
    <row r="10415" spans="2:6" ht="13.8" hidden="1" outlineLevel="1">
      <c r="B10415" s="187">
        <v>37187</v>
      </c>
      <c r="C10415" s="188">
        <v>4.66</v>
      </c>
      <c r="D10415" s="104">
        <f t="shared" si="162"/>
        <v>4.6600000000000003E-2</v>
      </c>
      <c r="F10415" s="5"/>
    </row>
    <row r="10416" spans="2:6" ht="13.8" hidden="1" outlineLevel="1">
      <c r="B10416" s="187">
        <v>37188</v>
      </c>
      <c r="C10416" s="188">
        <v>4.6100000000000003</v>
      </c>
      <c r="D10416" s="104">
        <f t="shared" si="162"/>
        <v>4.6100000000000002E-2</v>
      </c>
      <c r="F10416" s="5"/>
    </row>
    <row r="10417" spans="2:6" ht="13.8" hidden="1" outlineLevel="1">
      <c r="B10417" s="187">
        <v>37189</v>
      </c>
      <c r="C10417" s="188">
        <v>4.5599999999999996</v>
      </c>
      <c r="D10417" s="104">
        <f t="shared" si="162"/>
        <v>4.5599999999999995E-2</v>
      </c>
      <c r="F10417" s="5"/>
    </row>
    <row r="10418" spans="2:6" ht="13.8" hidden="1" outlineLevel="1">
      <c r="B10418" s="187">
        <v>37190</v>
      </c>
      <c r="C10418" s="188">
        <v>4.53</v>
      </c>
      <c r="D10418" s="104">
        <f t="shared" si="162"/>
        <v>4.53E-2</v>
      </c>
      <c r="F10418" s="5"/>
    </row>
    <row r="10419" spans="2:6" ht="13.8" hidden="1" outlineLevel="1">
      <c r="B10419" s="187">
        <v>37193</v>
      </c>
      <c r="C10419" s="188">
        <v>4.5</v>
      </c>
      <c r="D10419" s="104">
        <f t="shared" si="162"/>
        <v>4.4999999999999998E-2</v>
      </c>
      <c r="F10419" s="5"/>
    </row>
    <row r="10420" spans="2:6" ht="13.8" hidden="1" outlineLevel="1">
      <c r="B10420" s="187">
        <v>37194</v>
      </c>
      <c r="C10420" s="188">
        <v>4.4400000000000004</v>
      </c>
      <c r="D10420" s="104">
        <f t="shared" si="162"/>
        <v>4.4400000000000002E-2</v>
      </c>
      <c r="F10420" s="5"/>
    </row>
    <row r="10421" spans="2:6" ht="13.8" hidden="1" outlineLevel="1">
      <c r="B10421" s="187">
        <v>37195</v>
      </c>
      <c r="C10421" s="188">
        <v>4.3</v>
      </c>
      <c r="D10421" s="104">
        <f t="shared" si="162"/>
        <v>4.2999999999999997E-2</v>
      </c>
      <c r="F10421" s="5"/>
    </row>
    <row r="10422" spans="2:6" ht="13.8" hidden="1" outlineLevel="1">
      <c r="B10422" s="187">
        <v>37196</v>
      </c>
      <c r="C10422" s="188">
        <v>4.24</v>
      </c>
      <c r="D10422" s="104">
        <f t="shared" si="162"/>
        <v>4.24E-2</v>
      </c>
      <c r="F10422" s="5"/>
    </row>
    <row r="10423" spans="2:6" ht="13.8" hidden="1" outlineLevel="1">
      <c r="B10423" s="187">
        <v>37197</v>
      </c>
      <c r="C10423" s="188">
        <v>4.37</v>
      </c>
      <c r="D10423" s="104">
        <f t="shared" si="162"/>
        <v>4.3700000000000003E-2</v>
      </c>
      <c r="F10423" s="5"/>
    </row>
    <row r="10424" spans="2:6" ht="13.8" hidden="1" outlineLevel="1">
      <c r="B10424" s="187">
        <v>37200</v>
      </c>
      <c r="C10424" s="188">
        <v>4.3099999999999996</v>
      </c>
      <c r="D10424" s="104">
        <f t="shared" si="162"/>
        <v>4.3099999999999999E-2</v>
      </c>
      <c r="F10424" s="5"/>
    </row>
    <row r="10425" spans="2:6" ht="13.8" hidden="1" outlineLevel="1">
      <c r="B10425" s="187">
        <v>37201</v>
      </c>
      <c r="C10425" s="188">
        <v>4.3</v>
      </c>
      <c r="D10425" s="104">
        <f t="shared" si="162"/>
        <v>4.2999999999999997E-2</v>
      </c>
      <c r="F10425" s="5"/>
    </row>
    <row r="10426" spans="2:6" ht="13.8" hidden="1" outlineLevel="1">
      <c r="B10426" s="187">
        <v>37202</v>
      </c>
      <c r="C10426" s="188">
        <v>4.22</v>
      </c>
      <c r="D10426" s="104">
        <f t="shared" si="162"/>
        <v>4.2199999999999994E-2</v>
      </c>
      <c r="F10426" s="5"/>
    </row>
    <row r="10427" spans="2:6" ht="13.8" hidden="1" outlineLevel="1">
      <c r="B10427" s="187">
        <v>37203</v>
      </c>
      <c r="C10427" s="188">
        <v>4.32</v>
      </c>
      <c r="D10427" s="104">
        <f t="shared" si="162"/>
        <v>4.3200000000000002E-2</v>
      </c>
      <c r="F10427" s="5"/>
    </row>
    <row r="10428" spans="2:6" ht="13.8" hidden="1" outlineLevel="1">
      <c r="B10428" s="187">
        <v>37204</v>
      </c>
      <c r="C10428" s="188">
        <v>4.34</v>
      </c>
      <c r="D10428" s="104">
        <f t="shared" si="162"/>
        <v>4.3400000000000001E-2</v>
      </c>
      <c r="F10428" s="5"/>
    </row>
    <row r="10429" spans="2:6" ht="13.8" hidden="1" outlineLevel="1">
      <c r="B10429" s="187">
        <v>37207</v>
      </c>
      <c r="C10429" s="188" t="s">
        <v>380</v>
      </c>
      <c r="D10429" s="104">
        <f t="shared" si="162"/>
        <v>4.3400000000000001E-2</v>
      </c>
      <c r="F10429" s="5"/>
    </row>
    <row r="10430" spans="2:6" ht="13.8" hidden="1" outlineLevel="1">
      <c r="B10430" s="187">
        <v>37208</v>
      </c>
      <c r="C10430" s="188">
        <v>4.41</v>
      </c>
      <c r="D10430" s="104">
        <f t="shared" si="162"/>
        <v>4.41E-2</v>
      </c>
      <c r="F10430" s="5"/>
    </row>
    <row r="10431" spans="2:6" ht="13.8" hidden="1" outlineLevel="1">
      <c r="B10431" s="187">
        <v>37209</v>
      </c>
      <c r="C10431" s="188">
        <v>4.54</v>
      </c>
      <c r="D10431" s="104">
        <f t="shared" si="162"/>
        <v>4.5400000000000003E-2</v>
      </c>
      <c r="F10431" s="5"/>
    </row>
    <row r="10432" spans="2:6" ht="13.8" hidden="1" outlineLevel="1">
      <c r="B10432" s="187">
        <v>37210</v>
      </c>
      <c r="C10432" s="188">
        <v>4.79</v>
      </c>
      <c r="D10432" s="104">
        <f t="shared" si="162"/>
        <v>4.7899999999999998E-2</v>
      </c>
      <c r="F10432" s="5"/>
    </row>
    <row r="10433" spans="2:6" ht="13.8" hidden="1" outlineLevel="1">
      <c r="B10433" s="187">
        <v>37211</v>
      </c>
      <c r="C10433" s="188">
        <v>4.91</v>
      </c>
      <c r="D10433" s="104">
        <f t="shared" si="162"/>
        <v>4.9100000000000005E-2</v>
      </c>
      <c r="F10433" s="5"/>
    </row>
    <row r="10434" spans="2:6" ht="13.8" hidden="1" outlineLevel="1">
      <c r="B10434" s="187">
        <v>37214</v>
      </c>
      <c r="C10434" s="188">
        <v>4.8</v>
      </c>
      <c r="D10434" s="104">
        <f t="shared" si="162"/>
        <v>4.8000000000000001E-2</v>
      </c>
      <c r="F10434" s="5"/>
    </row>
    <row r="10435" spans="2:6" ht="13.8" hidden="1" outlineLevel="1">
      <c r="B10435" s="187">
        <v>37215</v>
      </c>
      <c r="C10435" s="188">
        <v>4.88</v>
      </c>
      <c r="D10435" s="104">
        <f t="shared" si="162"/>
        <v>4.8799999999999996E-2</v>
      </c>
      <c r="F10435" s="5"/>
    </row>
    <row r="10436" spans="2:6" ht="13.8" hidden="1" outlineLevel="1">
      <c r="B10436" s="187">
        <v>37216</v>
      </c>
      <c r="C10436" s="188">
        <v>4.9800000000000004</v>
      </c>
      <c r="D10436" s="104">
        <f t="shared" si="162"/>
        <v>4.9800000000000004E-2</v>
      </c>
      <c r="F10436" s="5"/>
    </row>
    <row r="10437" spans="2:6" ht="13.8" hidden="1" outlineLevel="1">
      <c r="B10437" s="187">
        <v>37217</v>
      </c>
      <c r="C10437" s="188" t="s">
        <v>380</v>
      </c>
      <c r="D10437" s="104">
        <f t="shared" si="162"/>
        <v>4.9800000000000004E-2</v>
      </c>
      <c r="F10437" s="5"/>
    </row>
    <row r="10438" spans="2:6" ht="13.8" hidden="1" outlineLevel="1">
      <c r="B10438" s="187">
        <v>37218</v>
      </c>
      <c r="C10438" s="188">
        <v>5.04</v>
      </c>
      <c r="D10438" s="104">
        <f t="shared" si="162"/>
        <v>5.04E-2</v>
      </c>
      <c r="F10438" s="5"/>
    </row>
    <row r="10439" spans="2:6" ht="13.8" hidden="1" outlineLevel="1">
      <c r="B10439" s="187">
        <v>37221</v>
      </c>
      <c r="C10439" s="188">
        <v>5.05</v>
      </c>
      <c r="D10439" s="104">
        <f t="shared" si="162"/>
        <v>5.0499999999999996E-2</v>
      </c>
      <c r="F10439" s="5"/>
    </row>
    <row r="10440" spans="2:6" ht="13.8" hidden="1" outlineLevel="1">
      <c r="B10440" s="187">
        <v>37222</v>
      </c>
      <c r="C10440" s="188">
        <v>4.9800000000000004</v>
      </c>
      <c r="D10440" s="104">
        <f t="shared" si="162"/>
        <v>4.9800000000000004E-2</v>
      </c>
      <c r="F10440" s="5"/>
    </row>
    <row r="10441" spans="2:6" ht="13.8" hidden="1" outlineLevel="1">
      <c r="B10441" s="187">
        <v>37223</v>
      </c>
      <c r="C10441" s="188">
        <v>4.9800000000000004</v>
      </c>
      <c r="D10441" s="104">
        <f t="shared" si="162"/>
        <v>4.9800000000000004E-2</v>
      </c>
      <c r="F10441" s="5"/>
    </row>
    <row r="10442" spans="2:6" ht="13.8" hidden="1" outlineLevel="1">
      <c r="B10442" s="187">
        <v>37224</v>
      </c>
      <c r="C10442" s="188">
        <v>4.79</v>
      </c>
      <c r="D10442" s="104">
        <f t="shared" si="162"/>
        <v>4.7899999999999998E-2</v>
      </c>
      <c r="F10442" s="5"/>
    </row>
    <row r="10443" spans="2:6" ht="13.8" hidden="1" outlineLevel="1">
      <c r="B10443" s="187">
        <v>37225</v>
      </c>
      <c r="C10443" s="188">
        <v>4.78</v>
      </c>
      <c r="D10443" s="104">
        <f t="shared" si="162"/>
        <v>4.7800000000000002E-2</v>
      </c>
      <c r="F10443" s="5"/>
    </row>
    <row r="10444" spans="2:6" ht="13.8" hidden="1" outlineLevel="1">
      <c r="B10444" s="187">
        <v>37228</v>
      </c>
      <c r="C10444" s="188">
        <v>4.75</v>
      </c>
      <c r="D10444" s="104">
        <f t="shared" si="162"/>
        <v>4.7500000000000001E-2</v>
      </c>
      <c r="F10444" s="5"/>
    </row>
    <row r="10445" spans="2:6" ht="13.8" hidden="1" outlineLevel="1">
      <c r="B10445" s="187">
        <v>37229</v>
      </c>
      <c r="C10445" s="188">
        <v>4.7</v>
      </c>
      <c r="D10445" s="104">
        <f t="shared" si="162"/>
        <v>4.7E-2</v>
      </c>
      <c r="F10445" s="5"/>
    </row>
    <row r="10446" spans="2:6" ht="13.8" hidden="1" outlineLevel="1">
      <c r="B10446" s="187">
        <v>37230</v>
      </c>
      <c r="C10446" s="188">
        <v>4.92</v>
      </c>
      <c r="D10446" s="104">
        <f t="shared" si="162"/>
        <v>4.9200000000000001E-2</v>
      </c>
      <c r="F10446" s="5"/>
    </row>
    <row r="10447" spans="2:6" ht="13.8" hidden="1" outlineLevel="1">
      <c r="B10447" s="187">
        <v>37231</v>
      </c>
      <c r="C10447" s="188">
        <v>5.04</v>
      </c>
      <c r="D10447" s="104">
        <f t="shared" si="162"/>
        <v>5.04E-2</v>
      </c>
      <c r="F10447" s="5"/>
    </row>
    <row r="10448" spans="2:6" ht="13.8" hidden="1" outlineLevel="1">
      <c r="B10448" s="187">
        <v>37232</v>
      </c>
      <c r="C10448" s="188">
        <v>5.2</v>
      </c>
      <c r="D10448" s="104">
        <f t="shared" si="162"/>
        <v>5.2000000000000005E-2</v>
      </c>
      <c r="F10448" s="5"/>
    </row>
    <row r="10449" spans="2:6" ht="13.8" hidden="1" outlineLevel="1">
      <c r="B10449" s="187">
        <v>37235</v>
      </c>
      <c r="C10449" s="188">
        <v>5.17</v>
      </c>
      <c r="D10449" s="104">
        <f t="shared" si="162"/>
        <v>5.1699999999999996E-2</v>
      </c>
      <c r="F10449" s="5"/>
    </row>
    <row r="10450" spans="2:6" ht="13.8" hidden="1" outlineLevel="1">
      <c r="B10450" s="187">
        <v>37236</v>
      </c>
      <c r="C10450" s="188">
        <v>5.13</v>
      </c>
      <c r="D10450" s="104">
        <f t="shared" si="162"/>
        <v>5.1299999999999998E-2</v>
      </c>
      <c r="F10450" s="5"/>
    </row>
    <row r="10451" spans="2:6" ht="13.8" hidden="1" outlineLevel="1">
      <c r="B10451" s="187">
        <v>37237</v>
      </c>
      <c r="C10451" s="188">
        <v>5.0199999999999996</v>
      </c>
      <c r="D10451" s="104">
        <f t="shared" si="162"/>
        <v>5.0199999999999995E-2</v>
      </c>
      <c r="F10451" s="5"/>
    </row>
    <row r="10452" spans="2:6" ht="13.8" hidden="1" outlineLevel="1">
      <c r="B10452" s="187">
        <v>37238</v>
      </c>
      <c r="C10452" s="188">
        <v>5.13</v>
      </c>
      <c r="D10452" s="104">
        <f t="shared" si="162"/>
        <v>5.1299999999999998E-2</v>
      </c>
      <c r="F10452" s="5"/>
    </row>
    <row r="10453" spans="2:6" ht="13.8" hidden="1" outlineLevel="1">
      <c r="B10453" s="187">
        <v>37239</v>
      </c>
      <c r="C10453" s="188">
        <v>5.24</v>
      </c>
      <c r="D10453" s="104">
        <f t="shared" si="162"/>
        <v>5.2400000000000002E-2</v>
      </c>
      <c r="F10453" s="5"/>
    </row>
    <row r="10454" spans="2:6" ht="13.8" hidden="1" outlineLevel="1">
      <c r="B10454" s="187">
        <v>37242</v>
      </c>
      <c r="C10454" s="188">
        <v>5.26</v>
      </c>
      <c r="D10454" s="104">
        <f t="shared" si="162"/>
        <v>5.2600000000000001E-2</v>
      </c>
      <c r="F10454" s="5"/>
    </row>
    <row r="10455" spans="2:6" ht="13.8" hidden="1" outlineLevel="1">
      <c r="B10455" s="187">
        <v>37243</v>
      </c>
      <c r="C10455" s="188">
        <v>5.16</v>
      </c>
      <c r="D10455" s="104">
        <f t="shared" si="162"/>
        <v>5.16E-2</v>
      </c>
      <c r="F10455" s="5"/>
    </row>
    <row r="10456" spans="2:6" ht="13.8" hidden="1" outlineLevel="1">
      <c r="B10456" s="187">
        <v>37244</v>
      </c>
      <c r="C10456" s="188">
        <v>5.08</v>
      </c>
      <c r="D10456" s="104">
        <f t="shared" si="162"/>
        <v>5.0799999999999998E-2</v>
      </c>
      <c r="F10456" s="5"/>
    </row>
    <row r="10457" spans="2:6" ht="13.8" hidden="1" outlineLevel="1">
      <c r="B10457" s="187">
        <v>37245</v>
      </c>
      <c r="C10457" s="188">
        <v>5.08</v>
      </c>
      <c r="D10457" s="104">
        <f t="shared" si="162"/>
        <v>5.0799999999999998E-2</v>
      </c>
      <c r="F10457" s="5"/>
    </row>
    <row r="10458" spans="2:6" ht="13.8" hidden="1" outlineLevel="1">
      <c r="B10458" s="187">
        <v>37246</v>
      </c>
      <c r="C10458" s="188">
        <v>5.12</v>
      </c>
      <c r="D10458" s="104">
        <f t="shared" si="162"/>
        <v>5.1200000000000002E-2</v>
      </c>
      <c r="F10458" s="5"/>
    </row>
    <row r="10459" spans="2:6" ht="13.8" hidden="1" outlineLevel="1">
      <c r="B10459" s="187">
        <v>37249</v>
      </c>
      <c r="C10459" s="188">
        <v>5.18</v>
      </c>
      <c r="D10459" s="104">
        <f t="shared" si="162"/>
        <v>5.1799999999999999E-2</v>
      </c>
      <c r="F10459" s="5"/>
    </row>
    <row r="10460" spans="2:6" ht="13.8" hidden="1" outlineLevel="1">
      <c r="B10460" s="187">
        <v>37250</v>
      </c>
      <c r="C10460" s="188" t="s">
        <v>380</v>
      </c>
      <c r="D10460" s="104">
        <f t="shared" si="162"/>
        <v>5.1799999999999999E-2</v>
      </c>
      <c r="F10460" s="5"/>
    </row>
    <row r="10461" spans="2:6" ht="13.8" hidden="1" outlineLevel="1">
      <c r="B10461" s="187">
        <v>37251</v>
      </c>
      <c r="C10461" s="188">
        <v>5.22</v>
      </c>
      <c r="D10461" s="104">
        <f t="shared" si="162"/>
        <v>5.2199999999999996E-2</v>
      </c>
      <c r="F10461" s="5"/>
    </row>
    <row r="10462" spans="2:6" ht="13.8" hidden="1" outlineLevel="1">
      <c r="B10462" s="187">
        <v>37252</v>
      </c>
      <c r="C10462" s="188">
        <v>5.13</v>
      </c>
      <c r="D10462" s="104">
        <f t="shared" ref="D10462:D10525" si="163">IF( LEN( C10462 ) = 0, #N/A, IF( C10462 = "ND", D10461, C10462 / 100 ) )</f>
        <v>5.1299999999999998E-2</v>
      </c>
      <c r="F10462" s="5"/>
    </row>
    <row r="10463" spans="2:6" ht="13.8" hidden="1" outlineLevel="1">
      <c r="B10463" s="187">
        <v>37253</v>
      </c>
      <c r="C10463" s="188">
        <v>5.15</v>
      </c>
      <c r="D10463" s="104">
        <f t="shared" si="163"/>
        <v>5.1500000000000004E-2</v>
      </c>
      <c r="F10463" s="5"/>
    </row>
    <row r="10464" spans="2:6" ht="13.8" hidden="1" outlineLevel="1">
      <c r="B10464" s="187">
        <v>37256</v>
      </c>
      <c r="C10464" s="188">
        <v>5.07</v>
      </c>
      <c r="D10464" s="104">
        <f t="shared" si="163"/>
        <v>5.0700000000000002E-2</v>
      </c>
      <c r="F10464" s="5"/>
    </row>
    <row r="10465" spans="2:6" ht="13.8" hidden="1" outlineLevel="1">
      <c r="B10465" s="187">
        <v>37257</v>
      </c>
      <c r="C10465" s="188" t="s">
        <v>380</v>
      </c>
      <c r="D10465" s="104">
        <f t="shared" si="163"/>
        <v>5.0700000000000002E-2</v>
      </c>
      <c r="F10465" s="5"/>
    </row>
    <row r="10466" spans="2:6" ht="13.8" hidden="1" outlineLevel="1">
      <c r="B10466" s="187">
        <v>37258</v>
      </c>
      <c r="C10466" s="188">
        <v>5.2</v>
      </c>
      <c r="D10466" s="104">
        <f t="shared" si="163"/>
        <v>5.2000000000000005E-2</v>
      </c>
      <c r="F10466" s="5"/>
    </row>
    <row r="10467" spans="2:6" ht="13.8" hidden="1" outlineLevel="1">
      <c r="B10467" s="187">
        <v>37259</v>
      </c>
      <c r="C10467" s="188">
        <v>5.16</v>
      </c>
      <c r="D10467" s="104">
        <f t="shared" si="163"/>
        <v>5.16E-2</v>
      </c>
      <c r="F10467" s="5"/>
    </row>
    <row r="10468" spans="2:6" ht="13.8" hidden="1" outlineLevel="1">
      <c r="B10468" s="187">
        <v>37260</v>
      </c>
      <c r="C10468" s="188">
        <v>5.18</v>
      </c>
      <c r="D10468" s="104">
        <f t="shared" si="163"/>
        <v>5.1799999999999999E-2</v>
      </c>
      <c r="F10468" s="5"/>
    </row>
    <row r="10469" spans="2:6" ht="13.8" hidden="1" outlineLevel="1">
      <c r="B10469" s="187">
        <v>37263</v>
      </c>
      <c r="C10469" s="188">
        <v>5.09</v>
      </c>
      <c r="D10469" s="104">
        <f t="shared" si="163"/>
        <v>5.0900000000000001E-2</v>
      </c>
      <c r="F10469" s="5"/>
    </row>
    <row r="10470" spans="2:6" ht="13.8" hidden="1" outlineLevel="1">
      <c r="B10470" s="187">
        <v>37264</v>
      </c>
      <c r="C10470" s="188">
        <v>5.0999999999999996</v>
      </c>
      <c r="D10470" s="104">
        <f t="shared" si="163"/>
        <v>5.0999999999999997E-2</v>
      </c>
      <c r="F10470" s="5"/>
    </row>
    <row r="10471" spans="2:6" ht="13.8" hidden="1" outlineLevel="1">
      <c r="B10471" s="187">
        <v>37265</v>
      </c>
      <c r="C10471" s="188">
        <v>5.0999999999999996</v>
      </c>
      <c r="D10471" s="104">
        <f t="shared" si="163"/>
        <v>5.0999999999999997E-2</v>
      </c>
      <c r="F10471" s="5"/>
    </row>
    <row r="10472" spans="2:6" ht="13.8" hidden="1" outlineLevel="1">
      <c r="B10472" s="187">
        <v>37266</v>
      </c>
      <c r="C10472" s="188">
        <v>5</v>
      </c>
      <c r="D10472" s="104">
        <f t="shared" si="163"/>
        <v>0.05</v>
      </c>
      <c r="F10472" s="5"/>
    </row>
    <row r="10473" spans="2:6" ht="13.8" hidden="1" outlineLevel="1">
      <c r="B10473" s="187">
        <v>37267</v>
      </c>
      <c r="C10473" s="188">
        <v>4.92</v>
      </c>
      <c r="D10473" s="104">
        <f t="shared" si="163"/>
        <v>4.9200000000000001E-2</v>
      </c>
      <c r="F10473" s="5"/>
    </row>
    <row r="10474" spans="2:6" ht="13.8" hidden="1" outlineLevel="1">
      <c r="B10474" s="187">
        <v>37270</v>
      </c>
      <c r="C10474" s="188">
        <v>4.91</v>
      </c>
      <c r="D10474" s="104">
        <f t="shared" si="163"/>
        <v>4.9100000000000005E-2</v>
      </c>
      <c r="F10474" s="5"/>
    </row>
    <row r="10475" spans="2:6" ht="13.8" hidden="1" outlineLevel="1">
      <c r="B10475" s="187">
        <v>37271</v>
      </c>
      <c r="C10475" s="188">
        <v>4.88</v>
      </c>
      <c r="D10475" s="104">
        <f t="shared" si="163"/>
        <v>4.8799999999999996E-2</v>
      </c>
      <c r="F10475" s="5"/>
    </row>
    <row r="10476" spans="2:6" ht="13.8" hidden="1" outlineLevel="1">
      <c r="B10476" s="187">
        <v>37272</v>
      </c>
      <c r="C10476" s="188">
        <v>4.88</v>
      </c>
      <c r="D10476" s="104">
        <f t="shared" si="163"/>
        <v>4.8799999999999996E-2</v>
      </c>
      <c r="F10476" s="5"/>
    </row>
    <row r="10477" spans="2:6" ht="13.8" hidden="1" outlineLevel="1">
      <c r="B10477" s="187">
        <v>37273</v>
      </c>
      <c r="C10477" s="188">
        <v>4.9800000000000004</v>
      </c>
      <c r="D10477" s="104">
        <f t="shared" si="163"/>
        <v>4.9800000000000004E-2</v>
      </c>
      <c r="F10477" s="5"/>
    </row>
    <row r="10478" spans="2:6" ht="13.8" hidden="1" outlineLevel="1">
      <c r="B10478" s="187">
        <v>37274</v>
      </c>
      <c r="C10478" s="188">
        <v>4.9400000000000004</v>
      </c>
      <c r="D10478" s="104">
        <f t="shared" si="163"/>
        <v>4.9400000000000006E-2</v>
      </c>
      <c r="F10478" s="5"/>
    </row>
    <row r="10479" spans="2:6" ht="13.8" hidden="1" outlineLevel="1">
      <c r="B10479" s="187">
        <v>37277</v>
      </c>
      <c r="C10479" s="188" t="s">
        <v>380</v>
      </c>
      <c r="D10479" s="104">
        <f t="shared" si="163"/>
        <v>4.9400000000000006E-2</v>
      </c>
      <c r="F10479" s="5"/>
    </row>
    <row r="10480" spans="2:6" ht="13.8" hidden="1" outlineLevel="1">
      <c r="B10480" s="187">
        <v>37278</v>
      </c>
      <c r="C10480" s="188">
        <v>4.96</v>
      </c>
      <c r="D10480" s="104">
        <f t="shared" si="163"/>
        <v>4.9599999999999998E-2</v>
      </c>
      <c r="F10480" s="5"/>
    </row>
    <row r="10481" spans="2:6" ht="13.8" hidden="1" outlineLevel="1">
      <c r="B10481" s="187">
        <v>37279</v>
      </c>
      <c r="C10481" s="188">
        <v>5.05</v>
      </c>
      <c r="D10481" s="104">
        <f t="shared" si="163"/>
        <v>5.0499999999999996E-2</v>
      </c>
      <c r="F10481" s="5"/>
    </row>
    <row r="10482" spans="2:6" ht="13.8" hidden="1" outlineLevel="1">
      <c r="B10482" s="187">
        <v>37280</v>
      </c>
      <c r="C10482" s="188">
        <v>5.07</v>
      </c>
      <c r="D10482" s="104">
        <f t="shared" si="163"/>
        <v>5.0700000000000002E-2</v>
      </c>
      <c r="F10482" s="5"/>
    </row>
    <row r="10483" spans="2:6" ht="13.8" hidden="1" outlineLevel="1">
      <c r="B10483" s="187">
        <v>37281</v>
      </c>
      <c r="C10483" s="188">
        <v>5.0999999999999996</v>
      </c>
      <c r="D10483" s="104">
        <f t="shared" si="163"/>
        <v>5.0999999999999997E-2</v>
      </c>
      <c r="F10483" s="5"/>
    </row>
    <row r="10484" spans="2:6" ht="13.8" hidden="1" outlineLevel="1">
      <c r="B10484" s="187">
        <v>37284</v>
      </c>
      <c r="C10484" s="188">
        <v>5.12</v>
      </c>
      <c r="D10484" s="104">
        <f t="shared" si="163"/>
        <v>5.1200000000000002E-2</v>
      </c>
      <c r="F10484" s="5"/>
    </row>
    <row r="10485" spans="2:6" ht="13.8" hidden="1" outlineLevel="1">
      <c r="B10485" s="187">
        <v>37285</v>
      </c>
      <c r="C10485" s="188">
        <v>5.0199999999999996</v>
      </c>
      <c r="D10485" s="104">
        <f t="shared" si="163"/>
        <v>5.0199999999999995E-2</v>
      </c>
      <c r="F10485" s="5"/>
    </row>
    <row r="10486" spans="2:6" ht="13.8" hidden="1" outlineLevel="1">
      <c r="B10486" s="187">
        <v>37286</v>
      </c>
      <c r="C10486" s="188">
        <v>5.0199999999999996</v>
      </c>
      <c r="D10486" s="104">
        <f t="shared" si="163"/>
        <v>5.0199999999999995E-2</v>
      </c>
      <c r="F10486" s="5"/>
    </row>
    <row r="10487" spans="2:6" ht="13.8" hidden="1" outlineLevel="1">
      <c r="B10487" s="187">
        <v>37287</v>
      </c>
      <c r="C10487" s="188">
        <v>5.07</v>
      </c>
      <c r="D10487" s="104">
        <f t="shared" si="163"/>
        <v>5.0700000000000002E-2</v>
      </c>
      <c r="F10487" s="5"/>
    </row>
    <row r="10488" spans="2:6" ht="13.8" hidden="1" outlineLevel="1">
      <c r="B10488" s="187">
        <v>37288</v>
      </c>
      <c r="C10488" s="188">
        <v>5.0199999999999996</v>
      </c>
      <c r="D10488" s="104">
        <f t="shared" si="163"/>
        <v>5.0199999999999995E-2</v>
      </c>
      <c r="F10488" s="5"/>
    </row>
    <row r="10489" spans="2:6" ht="13.8" hidden="1" outlineLevel="1">
      <c r="B10489" s="187">
        <v>37291</v>
      </c>
      <c r="C10489" s="188">
        <v>4.9400000000000004</v>
      </c>
      <c r="D10489" s="104">
        <f t="shared" si="163"/>
        <v>4.9400000000000006E-2</v>
      </c>
      <c r="F10489" s="5"/>
    </row>
    <row r="10490" spans="2:6" ht="13.8" hidden="1" outlineLevel="1">
      <c r="B10490" s="187">
        <v>37292</v>
      </c>
      <c r="C10490" s="188">
        <v>4.92</v>
      </c>
      <c r="D10490" s="104">
        <f t="shared" si="163"/>
        <v>4.9200000000000001E-2</v>
      </c>
      <c r="F10490" s="5"/>
    </row>
    <row r="10491" spans="2:6" ht="13.8" hidden="1" outlineLevel="1">
      <c r="B10491" s="187">
        <v>37293</v>
      </c>
      <c r="C10491" s="188">
        <v>4.92</v>
      </c>
      <c r="D10491" s="104">
        <f t="shared" si="163"/>
        <v>4.9200000000000001E-2</v>
      </c>
      <c r="F10491" s="5"/>
    </row>
    <row r="10492" spans="2:6" ht="13.8" hidden="1" outlineLevel="1">
      <c r="B10492" s="187">
        <v>37294</v>
      </c>
      <c r="C10492" s="188">
        <v>4.93</v>
      </c>
      <c r="D10492" s="104">
        <f t="shared" si="163"/>
        <v>4.9299999999999997E-2</v>
      </c>
      <c r="F10492" s="5"/>
    </row>
    <row r="10493" spans="2:6" ht="13.8" hidden="1" outlineLevel="1">
      <c r="B10493" s="187">
        <v>37295</v>
      </c>
      <c r="C10493" s="188">
        <v>4.9000000000000004</v>
      </c>
      <c r="D10493" s="104">
        <f t="shared" si="163"/>
        <v>4.9000000000000002E-2</v>
      </c>
      <c r="F10493" s="5"/>
    </row>
    <row r="10494" spans="2:6" ht="13.8" hidden="1" outlineLevel="1">
      <c r="B10494" s="187">
        <v>37298</v>
      </c>
      <c r="C10494" s="188">
        <v>4.91</v>
      </c>
      <c r="D10494" s="104">
        <f t="shared" si="163"/>
        <v>4.9100000000000005E-2</v>
      </c>
      <c r="F10494" s="5"/>
    </row>
    <row r="10495" spans="2:6" ht="13.8" hidden="1" outlineLevel="1">
      <c r="B10495" s="187">
        <v>37299</v>
      </c>
      <c r="C10495" s="188">
        <v>4.97</v>
      </c>
      <c r="D10495" s="104">
        <f t="shared" si="163"/>
        <v>4.9699999999999994E-2</v>
      </c>
      <c r="F10495" s="5"/>
    </row>
    <row r="10496" spans="2:6" ht="13.8" hidden="1" outlineLevel="1">
      <c r="B10496" s="187">
        <v>37300</v>
      </c>
      <c r="C10496" s="188">
        <v>5.01</v>
      </c>
      <c r="D10496" s="104">
        <f t="shared" si="163"/>
        <v>5.0099999999999999E-2</v>
      </c>
      <c r="F10496" s="5"/>
    </row>
    <row r="10497" spans="2:6" ht="13.8" hidden="1" outlineLevel="1">
      <c r="B10497" s="187">
        <v>37301</v>
      </c>
      <c r="C10497" s="188">
        <v>4.95</v>
      </c>
      <c r="D10497" s="104">
        <f t="shared" si="163"/>
        <v>4.9500000000000002E-2</v>
      </c>
      <c r="F10497" s="5"/>
    </row>
    <row r="10498" spans="2:6" ht="13.8" hidden="1" outlineLevel="1">
      <c r="B10498" s="187">
        <v>37302</v>
      </c>
      <c r="C10498" s="188">
        <v>4.8600000000000003</v>
      </c>
      <c r="D10498" s="104">
        <f t="shared" si="163"/>
        <v>4.8600000000000004E-2</v>
      </c>
      <c r="F10498" s="5"/>
    </row>
    <row r="10499" spans="2:6" ht="13.8" hidden="1" outlineLevel="1">
      <c r="B10499" s="187">
        <v>37305</v>
      </c>
      <c r="C10499" s="188" t="s">
        <v>380</v>
      </c>
      <c r="D10499" s="104">
        <f t="shared" si="163"/>
        <v>4.8600000000000004E-2</v>
      </c>
      <c r="F10499" s="5"/>
    </row>
    <row r="10500" spans="2:6" ht="13.8" hidden="1" outlineLevel="1">
      <c r="B10500" s="187">
        <v>37306</v>
      </c>
      <c r="C10500" s="188">
        <v>4.88</v>
      </c>
      <c r="D10500" s="104">
        <f t="shared" si="163"/>
        <v>4.8799999999999996E-2</v>
      </c>
      <c r="F10500" s="5"/>
    </row>
    <row r="10501" spans="2:6" ht="13.8" hidden="1" outlineLevel="1">
      <c r="B10501" s="187">
        <v>37307</v>
      </c>
      <c r="C10501" s="188">
        <v>4.88</v>
      </c>
      <c r="D10501" s="104">
        <f t="shared" si="163"/>
        <v>4.8799999999999996E-2</v>
      </c>
      <c r="F10501" s="5"/>
    </row>
    <row r="10502" spans="2:6" ht="13.8" hidden="1" outlineLevel="1">
      <c r="B10502" s="187">
        <v>37308</v>
      </c>
      <c r="C10502" s="188">
        <v>4.88</v>
      </c>
      <c r="D10502" s="104">
        <f t="shared" si="163"/>
        <v>4.8799999999999996E-2</v>
      </c>
      <c r="F10502" s="5"/>
    </row>
    <row r="10503" spans="2:6" ht="13.8" hidden="1" outlineLevel="1">
      <c r="B10503" s="187">
        <v>37309</v>
      </c>
      <c r="C10503" s="188">
        <v>4.84</v>
      </c>
      <c r="D10503" s="104">
        <f t="shared" si="163"/>
        <v>4.8399999999999999E-2</v>
      </c>
      <c r="F10503" s="5"/>
    </row>
    <row r="10504" spans="2:6" ht="13.8" hidden="1" outlineLevel="1">
      <c r="B10504" s="187">
        <v>37312</v>
      </c>
      <c r="C10504" s="188">
        <v>4.8600000000000003</v>
      </c>
      <c r="D10504" s="104">
        <f t="shared" si="163"/>
        <v>4.8600000000000004E-2</v>
      </c>
      <c r="F10504" s="5"/>
    </row>
    <row r="10505" spans="2:6" ht="13.8" hidden="1" outlineLevel="1">
      <c r="B10505" s="187">
        <v>37313</v>
      </c>
      <c r="C10505" s="188">
        <v>4.93</v>
      </c>
      <c r="D10505" s="104">
        <f t="shared" si="163"/>
        <v>4.9299999999999997E-2</v>
      </c>
      <c r="F10505" s="5"/>
    </row>
    <row r="10506" spans="2:6" ht="13.8" hidden="1" outlineLevel="1">
      <c r="B10506" s="187">
        <v>37314</v>
      </c>
      <c r="C10506" s="188">
        <v>4.84</v>
      </c>
      <c r="D10506" s="104">
        <f t="shared" si="163"/>
        <v>4.8399999999999999E-2</v>
      </c>
      <c r="F10506" s="5"/>
    </row>
    <row r="10507" spans="2:6" ht="13.8" hidden="1" outlineLevel="1">
      <c r="B10507" s="187">
        <v>37315</v>
      </c>
      <c r="C10507" s="188">
        <v>4.88</v>
      </c>
      <c r="D10507" s="104">
        <f t="shared" si="163"/>
        <v>4.8799999999999996E-2</v>
      </c>
      <c r="F10507" s="5"/>
    </row>
    <row r="10508" spans="2:6" ht="13.8" hidden="1" outlineLevel="1">
      <c r="B10508" s="187">
        <v>37316</v>
      </c>
      <c r="C10508" s="188">
        <v>4.9800000000000004</v>
      </c>
      <c r="D10508" s="104">
        <f t="shared" si="163"/>
        <v>4.9800000000000004E-2</v>
      </c>
      <c r="F10508" s="5"/>
    </row>
    <row r="10509" spans="2:6" ht="13.8" hidden="1" outlineLevel="1">
      <c r="B10509" s="187">
        <v>37319</v>
      </c>
      <c r="C10509" s="188">
        <v>5.0199999999999996</v>
      </c>
      <c r="D10509" s="104">
        <f t="shared" si="163"/>
        <v>5.0199999999999995E-2</v>
      </c>
      <c r="F10509" s="5"/>
    </row>
    <row r="10510" spans="2:6" ht="13.8" hidden="1" outlineLevel="1">
      <c r="B10510" s="187">
        <v>37320</v>
      </c>
      <c r="C10510" s="188">
        <v>5.0199999999999996</v>
      </c>
      <c r="D10510" s="104">
        <f t="shared" si="163"/>
        <v>5.0199999999999995E-2</v>
      </c>
      <c r="F10510" s="5"/>
    </row>
    <row r="10511" spans="2:6" ht="13.8" hidden="1" outlineLevel="1">
      <c r="B10511" s="187">
        <v>37321</v>
      </c>
      <c r="C10511" s="188">
        <v>5.0599999999999996</v>
      </c>
      <c r="D10511" s="104">
        <f t="shared" si="163"/>
        <v>5.0599999999999999E-2</v>
      </c>
      <c r="F10511" s="5"/>
    </row>
    <row r="10512" spans="2:6" ht="13.8" hidden="1" outlineLevel="1">
      <c r="B10512" s="187">
        <v>37322</v>
      </c>
      <c r="C10512" s="188">
        <v>5.22</v>
      </c>
      <c r="D10512" s="104">
        <f t="shared" si="163"/>
        <v>5.2199999999999996E-2</v>
      </c>
      <c r="F10512" s="5"/>
    </row>
    <row r="10513" spans="2:6" ht="13.8" hidden="1" outlineLevel="1">
      <c r="B10513" s="187">
        <v>37323</v>
      </c>
      <c r="C10513" s="188">
        <v>5.33</v>
      </c>
      <c r="D10513" s="104">
        <f t="shared" si="163"/>
        <v>5.33E-2</v>
      </c>
      <c r="F10513" s="5"/>
    </row>
    <row r="10514" spans="2:6" ht="13.8" hidden="1" outlineLevel="1">
      <c r="B10514" s="187">
        <v>37326</v>
      </c>
      <c r="C10514" s="188">
        <v>5.33</v>
      </c>
      <c r="D10514" s="104">
        <f t="shared" si="163"/>
        <v>5.33E-2</v>
      </c>
      <c r="F10514" s="5"/>
    </row>
    <row r="10515" spans="2:6" ht="13.8" hidden="1" outlineLevel="1">
      <c r="B10515" s="187">
        <v>37327</v>
      </c>
      <c r="C10515" s="188">
        <v>5.32</v>
      </c>
      <c r="D10515" s="104">
        <f t="shared" si="163"/>
        <v>5.3200000000000004E-2</v>
      </c>
      <c r="F10515" s="5"/>
    </row>
    <row r="10516" spans="2:6" ht="13.8" hidden="1" outlineLevel="1">
      <c r="B10516" s="187">
        <v>37328</v>
      </c>
      <c r="C10516" s="188">
        <v>5.28</v>
      </c>
      <c r="D10516" s="104">
        <f t="shared" si="163"/>
        <v>5.28E-2</v>
      </c>
      <c r="F10516" s="5"/>
    </row>
    <row r="10517" spans="2:6" ht="13.8" hidden="1" outlineLevel="1">
      <c r="B10517" s="187">
        <v>37329</v>
      </c>
      <c r="C10517" s="188">
        <v>5.4</v>
      </c>
      <c r="D10517" s="104">
        <f t="shared" si="163"/>
        <v>5.4000000000000006E-2</v>
      </c>
      <c r="F10517" s="5"/>
    </row>
    <row r="10518" spans="2:6" ht="13.8" hidden="1" outlineLevel="1">
      <c r="B10518" s="187">
        <v>37330</v>
      </c>
      <c r="C10518" s="188">
        <v>5.35</v>
      </c>
      <c r="D10518" s="104">
        <f t="shared" si="163"/>
        <v>5.3499999999999999E-2</v>
      </c>
      <c r="F10518" s="5"/>
    </row>
    <row r="10519" spans="2:6" ht="13.8" hidden="1" outlineLevel="1">
      <c r="B10519" s="187">
        <v>37333</v>
      </c>
      <c r="C10519" s="188">
        <v>5.32</v>
      </c>
      <c r="D10519" s="104">
        <f t="shared" si="163"/>
        <v>5.3200000000000004E-2</v>
      </c>
      <c r="F10519" s="5"/>
    </row>
    <row r="10520" spans="2:6" ht="13.8" hidden="1" outlineLevel="1">
      <c r="B10520" s="187">
        <v>37334</v>
      </c>
      <c r="C10520" s="188">
        <v>5.33</v>
      </c>
      <c r="D10520" s="104">
        <f t="shared" si="163"/>
        <v>5.33E-2</v>
      </c>
      <c r="F10520" s="5"/>
    </row>
    <row r="10521" spans="2:6" ht="13.8" hidden="1" outlineLevel="1">
      <c r="B10521" s="187">
        <v>37335</v>
      </c>
      <c r="C10521" s="188">
        <v>5.4</v>
      </c>
      <c r="D10521" s="104">
        <f t="shared" si="163"/>
        <v>5.4000000000000006E-2</v>
      </c>
      <c r="F10521" s="5"/>
    </row>
    <row r="10522" spans="2:6" ht="13.8" hidden="1" outlineLevel="1">
      <c r="B10522" s="187">
        <v>37336</v>
      </c>
      <c r="C10522" s="188">
        <v>5.39</v>
      </c>
      <c r="D10522" s="104">
        <f t="shared" si="163"/>
        <v>5.3899999999999997E-2</v>
      </c>
      <c r="F10522" s="5"/>
    </row>
    <row r="10523" spans="2:6" ht="13.8" hidden="1" outlineLevel="1">
      <c r="B10523" s="187">
        <v>37337</v>
      </c>
      <c r="C10523" s="188">
        <v>5.4</v>
      </c>
      <c r="D10523" s="104">
        <f t="shared" si="163"/>
        <v>5.4000000000000006E-2</v>
      </c>
      <c r="F10523" s="5"/>
    </row>
    <row r="10524" spans="2:6" ht="13.8" hidden="1" outlineLevel="1">
      <c r="B10524" s="187">
        <v>37340</v>
      </c>
      <c r="C10524" s="188">
        <v>5.41</v>
      </c>
      <c r="D10524" s="104">
        <f t="shared" si="163"/>
        <v>5.4100000000000002E-2</v>
      </c>
      <c r="F10524" s="5"/>
    </row>
    <row r="10525" spans="2:6" ht="13.8" hidden="1" outlineLevel="1">
      <c r="B10525" s="187">
        <v>37341</v>
      </c>
      <c r="C10525" s="188">
        <v>5.35</v>
      </c>
      <c r="D10525" s="104">
        <f t="shared" si="163"/>
        <v>5.3499999999999999E-2</v>
      </c>
      <c r="F10525" s="5"/>
    </row>
    <row r="10526" spans="2:6" ht="13.8" hidden="1" outlineLevel="1">
      <c r="B10526" s="187">
        <v>37342</v>
      </c>
      <c r="C10526" s="188">
        <v>5.35</v>
      </c>
      <c r="D10526" s="104">
        <f t="shared" ref="D10526:D10589" si="164">IF( LEN( C10526 ) = 0, #N/A, IF( C10526 = "ND", D10525, C10526 / 100 ) )</f>
        <v>5.3499999999999999E-2</v>
      </c>
      <c r="F10526" s="5"/>
    </row>
    <row r="10527" spans="2:6" ht="13.8" hidden="1" outlineLevel="1">
      <c r="B10527" s="187">
        <v>37343</v>
      </c>
      <c r="C10527" s="188">
        <v>5.42</v>
      </c>
      <c r="D10527" s="104">
        <f t="shared" si="164"/>
        <v>5.4199999999999998E-2</v>
      </c>
      <c r="F10527" s="5"/>
    </row>
    <row r="10528" spans="2:6" ht="13.8" hidden="1" outlineLevel="1">
      <c r="B10528" s="187">
        <v>37344</v>
      </c>
      <c r="C10528" s="188" t="s">
        <v>380</v>
      </c>
      <c r="D10528" s="104">
        <f t="shared" si="164"/>
        <v>5.4199999999999998E-2</v>
      </c>
      <c r="F10528" s="5"/>
    </row>
    <row r="10529" spans="2:6" ht="13.8" hidden="1" outlineLevel="1">
      <c r="B10529" s="187">
        <v>37347</v>
      </c>
      <c r="C10529" s="188">
        <v>5.44</v>
      </c>
      <c r="D10529" s="104">
        <f t="shared" si="164"/>
        <v>5.4400000000000004E-2</v>
      </c>
      <c r="F10529" s="5"/>
    </row>
    <row r="10530" spans="2:6" ht="13.8" hidden="1" outlineLevel="1">
      <c r="B10530" s="187">
        <v>37348</v>
      </c>
      <c r="C10530" s="188">
        <v>5.36</v>
      </c>
      <c r="D10530" s="104">
        <f t="shared" si="164"/>
        <v>5.3600000000000002E-2</v>
      </c>
      <c r="F10530" s="5"/>
    </row>
    <row r="10531" spans="2:6" ht="13.8" hidden="1" outlineLevel="1">
      <c r="B10531" s="187">
        <v>37349</v>
      </c>
      <c r="C10531" s="188">
        <v>5.3</v>
      </c>
      <c r="D10531" s="104">
        <f t="shared" si="164"/>
        <v>5.2999999999999999E-2</v>
      </c>
      <c r="F10531" s="5"/>
    </row>
    <row r="10532" spans="2:6" ht="13.8" hidden="1" outlineLevel="1">
      <c r="B10532" s="187">
        <v>37350</v>
      </c>
      <c r="C10532" s="188">
        <v>5.28</v>
      </c>
      <c r="D10532" s="104">
        <f t="shared" si="164"/>
        <v>5.28E-2</v>
      </c>
      <c r="F10532" s="5"/>
    </row>
    <row r="10533" spans="2:6" ht="13.8" hidden="1" outlineLevel="1">
      <c r="B10533" s="187">
        <v>37351</v>
      </c>
      <c r="C10533" s="188">
        <v>5.22</v>
      </c>
      <c r="D10533" s="104">
        <f t="shared" si="164"/>
        <v>5.2199999999999996E-2</v>
      </c>
      <c r="F10533" s="5"/>
    </row>
    <row r="10534" spans="2:6" ht="13.8" hidden="1" outlineLevel="1">
      <c r="B10534" s="187">
        <v>37354</v>
      </c>
      <c r="C10534" s="188">
        <v>5.25</v>
      </c>
      <c r="D10534" s="104">
        <f t="shared" si="164"/>
        <v>5.2499999999999998E-2</v>
      </c>
      <c r="F10534" s="5"/>
    </row>
    <row r="10535" spans="2:6" ht="13.8" hidden="1" outlineLevel="1">
      <c r="B10535" s="187">
        <v>37355</v>
      </c>
      <c r="C10535" s="188">
        <v>5.22</v>
      </c>
      <c r="D10535" s="104">
        <f t="shared" si="164"/>
        <v>5.2199999999999996E-2</v>
      </c>
      <c r="F10535" s="5"/>
    </row>
    <row r="10536" spans="2:6" ht="13.8" hidden="1" outlineLevel="1">
      <c r="B10536" s="187">
        <v>37356</v>
      </c>
      <c r="C10536" s="188">
        <v>5.24</v>
      </c>
      <c r="D10536" s="104">
        <f t="shared" si="164"/>
        <v>5.2400000000000002E-2</v>
      </c>
      <c r="F10536" s="5"/>
    </row>
    <row r="10537" spans="2:6" ht="13.8" hidden="1" outlineLevel="1">
      <c r="B10537" s="187">
        <v>37357</v>
      </c>
      <c r="C10537" s="188">
        <v>5.22</v>
      </c>
      <c r="D10537" s="104">
        <f t="shared" si="164"/>
        <v>5.2199999999999996E-2</v>
      </c>
      <c r="F10537" s="5"/>
    </row>
    <row r="10538" spans="2:6" ht="13.8" hidden="1" outlineLevel="1">
      <c r="B10538" s="187">
        <v>37358</v>
      </c>
      <c r="C10538" s="188">
        <v>5.18</v>
      </c>
      <c r="D10538" s="104">
        <f t="shared" si="164"/>
        <v>5.1799999999999999E-2</v>
      </c>
      <c r="F10538" s="5"/>
    </row>
    <row r="10539" spans="2:6" ht="13.8" hidden="1" outlineLevel="1">
      <c r="B10539" s="187">
        <v>37361</v>
      </c>
      <c r="C10539" s="188">
        <v>5.15</v>
      </c>
      <c r="D10539" s="104">
        <f t="shared" si="164"/>
        <v>5.1500000000000004E-2</v>
      </c>
      <c r="F10539" s="5"/>
    </row>
    <row r="10540" spans="2:6" ht="13.8" hidden="1" outlineLevel="1">
      <c r="B10540" s="187">
        <v>37362</v>
      </c>
      <c r="C10540" s="188">
        <v>5.2</v>
      </c>
      <c r="D10540" s="104">
        <f t="shared" si="164"/>
        <v>5.2000000000000005E-2</v>
      </c>
      <c r="F10540" s="5"/>
    </row>
    <row r="10541" spans="2:6" ht="13.8" hidden="1" outlineLevel="1">
      <c r="B10541" s="187">
        <v>37363</v>
      </c>
      <c r="C10541" s="188">
        <v>5.24</v>
      </c>
      <c r="D10541" s="104">
        <f t="shared" si="164"/>
        <v>5.2400000000000002E-2</v>
      </c>
      <c r="F10541" s="5"/>
    </row>
    <row r="10542" spans="2:6" ht="13.8" hidden="1" outlineLevel="1">
      <c r="B10542" s="187">
        <v>37364</v>
      </c>
      <c r="C10542" s="188">
        <v>5.23</v>
      </c>
      <c r="D10542" s="104">
        <f t="shared" si="164"/>
        <v>5.2300000000000006E-2</v>
      </c>
      <c r="F10542" s="5"/>
    </row>
    <row r="10543" spans="2:6" ht="13.8" hidden="1" outlineLevel="1">
      <c r="B10543" s="187">
        <v>37365</v>
      </c>
      <c r="C10543" s="188">
        <v>5.21</v>
      </c>
      <c r="D10543" s="104">
        <f t="shared" si="164"/>
        <v>5.21E-2</v>
      </c>
      <c r="F10543" s="5"/>
    </row>
    <row r="10544" spans="2:6" ht="13.8" hidden="1" outlineLevel="1">
      <c r="B10544" s="187">
        <v>37368</v>
      </c>
      <c r="C10544" s="188">
        <v>5.19</v>
      </c>
      <c r="D10544" s="104">
        <f t="shared" si="164"/>
        <v>5.1900000000000002E-2</v>
      </c>
      <c r="F10544" s="5"/>
    </row>
    <row r="10545" spans="2:6" ht="13.8" hidden="1" outlineLevel="1">
      <c r="B10545" s="187">
        <v>37369</v>
      </c>
      <c r="C10545" s="188">
        <v>5.18</v>
      </c>
      <c r="D10545" s="104">
        <f t="shared" si="164"/>
        <v>5.1799999999999999E-2</v>
      </c>
      <c r="F10545" s="5"/>
    </row>
    <row r="10546" spans="2:6" ht="13.8" hidden="1" outlineLevel="1">
      <c r="B10546" s="187">
        <v>37370</v>
      </c>
      <c r="C10546" s="188">
        <v>5.1100000000000003</v>
      </c>
      <c r="D10546" s="104">
        <f t="shared" si="164"/>
        <v>5.1100000000000007E-2</v>
      </c>
      <c r="F10546" s="5"/>
    </row>
    <row r="10547" spans="2:6" ht="13.8" hidden="1" outlineLevel="1">
      <c r="B10547" s="187">
        <v>37371</v>
      </c>
      <c r="C10547" s="188">
        <v>5.0999999999999996</v>
      </c>
      <c r="D10547" s="104">
        <f t="shared" si="164"/>
        <v>5.0999999999999997E-2</v>
      </c>
      <c r="F10547" s="5"/>
    </row>
    <row r="10548" spans="2:6" ht="13.8" hidden="1" outlineLevel="1">
      <c r="B10548" s="187">
        <v>37372</v>
      </c>
      <c r="C10548" s="188">
        <v>5.08</v>
      </c>
      <c r="D10548" s="104">
        <f t="shared" si="164"/>
        <v>5.0799999999999998E-2</v>
      </c>
      <c r="F10548" s="5"/>
    </row>
    <row r="10549" spans="2:6" ht="13.8" hidden="1" outlineLevel="1">
      <c r="B10549" s="187">
        <v>37375</v>
      </c>
      <c r="C10549" s="188">
        <v>5.13</v>
      </c>
      <c r="D10549" s="104">
        <f t="shared" si="164"/>
        <v>5.1299999999999998E-2</v>
      </c>
      <c r="F10549" s="5"/>
    </row>
    <row r="10550" spans="2:6" ht="13.8" hidden="1" outlineLevel="1">
      <c r="B10550" s="187">
        <v>37376</v>
      </c>
      <c r="C10550" s="188">
        <v>5.1100000000000003</v>
      </c>
      <c r="D10550" s="104">
        <f t="shared" si="164"/>
        <v>5.1100000000000007E-2</v>
      </c>
      <c r="F10550" s="5"/>
    </row>
    <row r="10551" spans="2:6" ht="13.8" hidden="1" outlineLevel="1">
      <c r="B10551" s="187">
        <v>37377</v>
      </c>
      <c r="C10551" s="188">
        <v>5.08</v>
      </c>
      <c r="D10551" s="104">
        <f t="shared" si="164"/>
        <v>5.0799999999999998E-2</v>
      </c>
      <c r="F10551" s="5"/>
    </row>
    <row r="10552" spans="2:6" ht="13.8" hidden="1" outlineLevel="1">
      <c r="B10552" s="187">
        <v>37378</v>
      </c>
      <c r="C10552" s="188">
        <v>5.13</v>
      </c>
      <c r="D10552" s="104">
        <f t="shared" si="164"/>
        <v>5.1299999999999998E-2</v>
      </c>
      <c r="F10552" s="5"/>
    </row>
    <row r="10553" spans="2:6" ht="13.8" hidden="1" outlineLevel="1">
      <c r="B10553" s="187">
        <v>37379</v>
      </c>
      <c r="C10553" s="188">
        <v>5.08</v>
      </c>
      <c r="D10553" s="104">
        <f t="shared" si="164"/>
        <v>5.0799999999999998E-2</v>
      </c>
      <c r="F10553" s="5"/>
    </row>
    <row r="10554" spans="2:6" ht="13.8" hidden="1" outlineLevel="1">
      <c r="B10554" s="187">
        <v>37382</v>
      </c>
      <c r="C10554" s="188">
        <v>5.0999999999999996</v>
      </c>
      <c r="D10554" s="104">
        <f t="shared" si="164"/>
        <v>5.0999999999999997E-2</v>
      </c>
      <c r="F10554" s="5"/>
    </row>
    <row r="10555" spans="2:6" ht="13.8" hidden="1" outlineLevel="1">
      <c r="B10555" s="187">
        <v>37383</v>
      </c>
      <c r="C10555" s="188">
        <v>5.09</v>
      </c>
      <c r="D10555" s="104">
        <f t="shared" si="164"/>
        <v>5.0900000000000001E-2</v>
      </c>
      <c r="F10555" s="5"/>
    </row>
    <row r="10556" spans="2:6" ht="13.8" hidden="1" outlineLevel="1">
      <c r="B10556" s="187">
        <v>37384</v>
      </c>
      <c r="C10556" s="188">
        <v>5.24</v>
      </c>
      <c r="D10556" s="104">
        <f t="shared" si="164"/>
        <v>5.2400000000000002E-2</v>
      </c>
      <c r="F10556" s="5"/>
    </row>
    <row r="10557" spans="2:6" ht="13.8" hidden="1" outlineLevel="1">
      <c r="B10557" s="187">
        <v>37385</v>
      </c>
      <c r="C10557" s="188">
        <v>5.2</v>
      </c>
      <c r="D10557" s="104">
        <f t="shared" si="164"/>
        <v>5.2000000000000005E-2</v>
      </c>
      <c r="F10557" s="5"/>
    </row>
    <row r="10558" spans="2:6" ht="13.8" hidden="1" outlineLevel="1">
      <c r="B10558" s="187">
        <v>37386</v>
      </c>
      <c r="C10558" s="188">
        <v>5.15</v>
      </c>
      <c r="D10558" s="104">
        <f t="shared" si="164"/>
        <v>5.1500000000000004E-2</v>
      </c>
      <c r="F10558" s="5"/>
    </row>
    <row r="10559" spans="2:6" ht="13.8" hidden="1" outlineLevel="1">
      <c r="B10559" s="187">
        <v>37389</v>
      </c>
      <c r="C10559" s="188">
        <v>5.23</v>
      </c>
      <c r="D10559" s="104">
        <f t="shared" si="164"/>
        <v>5.2300000000000006E-2</v>
      </c>
      <c r="F10559" s="5"/>
    </row>
    <row r="10560" spans="2:6" ht="13.8" hidden="1" outlineLevel="1">
      <c r="B10560" s="187">
        <v>37390</v>
      </c>
      <c r="C10560" s="188">
        <v>5.32</v>
      </c>
      <c r="D10560" s="104">
        <f t="shared" si="164"/>
        <v>5.3200000000000004E-2</v>
      </c>
      <c r="F10560" s="5"/>
    </row>
    <row r="10561" spans="2:6" ht="13.8" hidden="1" outlineLevel="1">
      <c r="B10561" s="187">
        <v>37391</v>
      </c>
      <c r="C10561" s="188">
        <v>5.28</v>
      </c>
      <c r="D10561" s="104">
        <f t="shared" si="164"/>
        <v>5.28E-2</v>
      </c>
      <c r="F10561" s="5"/>
    </row>
    <row r="10562" spans="2:6" ht="13.8" hidden="1" outlineLevel="1">
      <c r="B10562" s="187">
        <v>37392</v>
      </c>
      <c r="C10562" s="188">
        <v>5.2</v>
      </c>
      <c r="D10562" s="104">
        <f t="shared" si="164"/>
        <v>5.2000000000000005E-2</v>
      </c>
      <c r="F10562" s="5"/>
    </row>
    <row r="10563" spans="2:6" ht="13.8" hidden="1" outlineLevel="1">
      <c r="B10563" s="187">
        <v>37393</v>
      </c>
      <c r="C10563" s="188">
        <v>5.27</v>
      </c>
      <c r="D10563" s="104">
        <f t="shared" si="164"/>
        <v>5.2699999999999997E-2</v>
      </c>
      <c r="F10563" s="5"/>
    </row>
    <row r="10564" spans="2:6" ht="13.8" hidden="1" outlineLevel="1">
      <c r="B10564" s="187">
        <v>37396</v>
      </c>
      <c r="C10564" s="188">
        <v>5.21</v>
      </c>
      <c r="D10564" s="104">
        <f t="shared" si="164"/>
        <v>5.21E-2</v>
      </c>
      <c r="F10564" s="5"/>
    </row>
    <row r="10565" spans="2:6" ht="13.8" hidden="1" outlineLevel="1">
      <c r="B10565" s="187">
        <v>37397</v>
      </c>
      <c r="C10565" s="188">
        <v>5.18</v>
      </c>
      <c r="D10565" s="104">
        <f t="shared" si="164"/>
        <v>5.1799999999999999E-2</v>
      </c>
      <c r="F10565" s="5"/>
    </row>
    <row r="10566" spans="2:6" ht="13.8" hidden="1" outlineLevel="1">
      <c r="B10566" s="187">
        <v>37398</v>
      </c>
      <c r="C10566" s="188">
        <v>5.13</v>
      </c>
      <c r="D10566" s="104">
        <f t="shared" si="164"/>
        <v>5.1299999999999998E-2</v>
      </c>
      <c r="F10566" s="5"/>
    </row>
    <row r="10567" spans="2:6" ht="13.8" hidden="1" outlineLevel="1">
      <c r="B10567" s="187">
        <v>37399</v>
      </c>
      <c r="C10567" s="188">
        <v>5.16</v>
      </c>
      <c r="D10567" s="104">
        <f t="shared" si="164"/>
        <v>5.16E-2</v>
      </c>
      <c r="F10567" s="5"/>
    </row>
    <row r="10568" spans="2:6" ht="13.8" hidden="1" outlineLevel="1">
      <c r="B10568" s="187">
        <v>37400</v>
      </c>
      <c r="C10568" s="188">
        <v>5.16</v>
      </c>
      <c r="D10568" s="104">
        <f t="shared" si="164"/>
        <v>5.16E-2</v>
      </c>
      <c r="F10568" s="5"/>
    </row>
    <row r="10569" spans="2:6" ht="13.8" hidden="1" outlineLevel="1">
      <c r="B10569" s="187">
        <v>37403</v>
      </c>
      <c r="C10569" s="188" t="s">
        <v>380</v>
      </c>
      <c r="D10569" s="104">
        <f t="shared" si="164"/>
        <v>5.16E-2</v>
      </c>
      <c r="F10569" s="5"/>
    </row>
    <row r="10570" spans="2:6" ht="13.8" hidden="1" outlineLevel="1">
      <c r="B10570" s="187">
        <v>37404</v>
      </c>
      <c r="C10570" s="188">
        <v>5.16</v>
      </c>
      <c r="D10570" s="104">
        <f t="shared" si="164"/>
        <v>5.16E-2</v>
      </c>
      <c r="F10570" s="5"/>
    </row>
    <row r="10571" spans="2:6" ht="13.8" hidden="1" outlineLevel="1">
      <c r="B10571" s="187">
        <v>37405</v>
      </c>
      <c r="C10571" s="188">
        <v>5.1100000000000003</v>
      </c>
      <c r="D10571" s="104">
        <f t="shared" si="164"/>
        <v>5.1100000000000007E-2</v>
      </c>
      <c r="F10571" s="5"/>
    </row>
    <row r="10572" spans="2:6" ht="13.8" hidden="1" outlineLevel="1">
      <c r="B10572" s="187">
        <v>37406</v>
      </c>
      <c r="C10572" s="188">
        <v>5.0599999999999996</v>
      </c>
      <c r="D10572" s="104">
        <f t="shared" si="164"/>
        <v>5.0599999999999999E-2</v>
      </c>
      <c r="F10572" s="5"/>
    </row>
    <row r="10573" spans="2:6" ht="13.8" hidden="1" outlineLevel="1">
      <c r="B10573" s="187">
        <v>37407</v>
      </c>
      <c r="C10573" s="188">
        <v>5.08</v>
      </c>
      <c r="D10573" s="104">
        <f t="shared" si="164"/>
        <v>5.0799999999999998E-2</v>
      </c>
      <c r="F10573" s="5"/>
    </row>
    <row r="10574" spans="2:6" ht="13.8" hidden="1" outlineLevel="1">
      <c r="B10574" s="187">
        <v>37410</v>
      </c>
      <c r="C10574" s="188">
        <v>5.0599999999999996</v>
      </c>
      <c r="D10574" s="104">
        <f t="shared" si="164"/>
        <v>5.0599999999999999E-2</v>
      </c>
      <c r="F10574" s="5"/>
    </row>
    <row r="10575" spans="2:6" ht="13.8" hidden="1" outlineLevel="1">
      <c r="B10575" s="187">
        <v>37411</v>
      </c>
      <c r="C10575" s="188">
        <v>5.04</v>
      </c>
      <c r="D10575" s="104">
        <f t="shared" si="164"/>
        <v>5.04E-2</v>
      </c>
      <c r="F10575" s="5"/>
    </row>
    <row r="10576" spans="2:6" ht="13.8" hidden="1" outlineLevel="1">
      <c r="B10576" s="187">
        <v>37412</v>
      </c>
      <c r="C10576" s="188">
        <v>5.08</v>
      </c>
      <c r="D10576" s="104">
        <f t="shared" si="164"/>
        <v>5.0799999999999998E-2</v>
      </c>
      <c r="F10576" s="5"/>
    </row>
    <row r="10577" spans="2:6" ht="13.8" hidden="1" outlineLevel="1">
      <c r="B10577" s="187">
        <v>37413</v>
      </c>
      <c r="C10577" s="188">
        <v>5.04</v>
      </c>
      <c r="D10577" s="104">
        <f t="shared" si="164"/>
        <v>5.04E-2</v>
      </c>
      <c r="F10577" s="5"/>
    </row>
    <row r="10578" spans="2:6" ht="13.8" hidden="1" outlineLevel="1">
      <c r="B10578" s="187">
        <v>37414</v>
      </c>
      <c r="C10578" s="188">
        <v>5.0999999999999996</v>
      </c>
      <c r="D10578" s="104">
        <f t="shared" si="164"/>
        <v>5.0999999999999997E-2</v>
      </c>
      <c r="F10578" s="5"/>
    </row>
    <row r="10579" spans="2:6" ht="13.8" hidden="1" outlineLevel="1">
      <c r="B10579" s="187">
        <v>37417</v>
      </c>
      <c r="C10579" s="188">
        <v>5.07</v>
      </c>
      <c r="D10579" s="104">
        <f t="shared" si="164"/>
        <v>5.0700000000000002E-2</v>
      </c>
      <c r="F10579" s="5"/>
    </row>
    <row r="10580" spans="2:6" ht="13.8" hidden="1" outlineLevel="1">
      <c r="B10580" s="187">
        <v>37418</v>
      </c>
      <c r="C10580" s="188">
        <v>5.0199999999999996</v>
      </c>
      <c r="D10580" s="104">
        <f t="shared" si="164"/>
        <v>5.0199999999999995E-2</v>
      </c>
      <c r="F10580" s="5"/>
    </row>
    <row r="10581" spans="2:6" ht="13.8" hidden="1" outlineLevel="1">
      <c r="B10581" s="187">
        <v>37419</v>
      </c>
      <c r="C10581" s="188">
        <v>4.9800000000000004</v>
      </c>
      <c r="D10581" s="104">
        <f t="shared" si="164"/>
        <v>4.9800000000000004E-2</v>
      </c>
      <c r="F10581" s="5"/>
    </row>
    <row r="10582" spans="2:6" ht="13.8" hidden="1" outlineLevel="1">
      <c r="B10582" s="187">
        <v>37420</v>
      </c>
      <c r="C10582" s="188">
        <v>4.9400000000000004</v>
      </c>
      <c r="D10582" s="104">
        <f t="shared" si="164"/>
        <v>4.9400000000000006E-2</v>
      </c>
      <c r="F10582" s="5"/>
    </row>
    <row r="10583" spans="2:6" ht="13.8" hidden="1" outlineLevel="1">
      <c r="B10583" s="187">
        <v>37421</v>
      </c>
      <c r="C10583" s="188">
        <v>4.83</v>
      </c>
      <c r="D10583" s="104">
        <f t="shared" si="164"/>
        <v>4.8300000000000003E-2</v>
      </c>
      <c r="F10583" s="5"/>
    </row>
    <row r="10584" spans="2:6" ht="13.8" hidden="1" outlineLevel="1">
      <c r="B10584" s="187">
        <v>37424</v>
      </c>
      <c r="C10584" s="188">
        <v>4.8899999999999997</v>
      </c>
      <c r="D10584" s="104">
        <f t="shared" si="164"/>
        <v>4.8899999999999999E-2</v>
      </c>
      <c r="F10584" s="5"/>
    </row>
    <row r="10585" spans="2:6" ht="13.8" hidden="1" outlineLevel="1">
      <c r="B10585" s="187">
        <v>37425</v>
      </c>
      <c r="C10585" s="188">
        <v>4.88</v>
      </c>
      <c r="D10585" s="104">
        <f t="shared" si="164"/>
        <v>4.8799999999999996E-2</v>
      </c>
      <c r="F10585" s="5"/>
    </row>
    <row r="10586" spans="2:6" ht="13.8" hidden="1" outlineLevel="1">
      <c r="B10586" s="187">
        <v>37426</v>
      </c>
      <c r="C10586" s="188">
        <v>4.76</v>
      </c>
      <c r="D10586" s="104">
        <f t="shared" si="164"/>
        <v>4.7599999999999996E-2</v>
      </c>
      <c r="F10586" s="5"/>
    </row>
    <row r="10587" spans="2:6" ht="13.8" hidden="1" outlineLevel="1">
      <c r="B10587" s="187">
        <v>37427</v>
      </c>
      <c r="C10587" s="188">
        <v>4.8499999999999996</v>
      </c>
      <c r="D10587" s="104">
        <f t="shared" si="164"/>
        <v>4.8499999999999995E-2</v>
      </c>
      <c r="F10587" s="5"/>
    </row>
    <row r="10588" spans="2:6" ht="13.8" hidden="1" outlineLevel="1">
      <c r="B10588" s="187">
        <v>37428</v>
      </c>
      <c r="C10588" s="188">
        <v>4.79</v>
      </c>
      <c r="D10588" s="104">
        <f t="shared" si="164"/>
        <v>4.7899999999999998E-2</v>
      </c>
      <c r="F10588" s="5"/>
    </row>
    <row r="10589" spans="2:6" ht="13.8" hidden="1" outlineLevel="1">
      <c r="B10589" s="187">
        <v>37431</v>
      </c>
      <c r="C10589" s="188">
        <v>4.87</v>
      </c>
      <c r="D10589" s="104">
        <f t="shared" si="164"/>
        <v>4.87E-2</v>
      </c>
      <c r="F10589" s="5"/>
    </row>
    <row r="10590" spans="2:6" ht="13.8" hidden="1" outlineLevel="1">
      <c r="B10590" s="187">
        <v>37432</v>
      </c>
      <c r="C10590" s="188">
        <v>4.88</v>
      </c>
      <c r="D10590" s="104">
        <f t="shared" ref="D10590:D10653" si="165">IF( LEN( C10590 ) = 0, #N/A, IF( C10590 = "ND", D10589, C10590 / 100 ) )</f>
        <v>4.8799999999999996E-2</v>
      </c>
      <c r="F10590" s="5"/>
    </row>
    <row r="10591" spans="2:6" ht="13.8" hidden="1" outlineLevel="1">
      <c r="B10591" s="187">
        <v>37433</v>
      </c>
      <c r="C10591" s="188">
        <v>4.75</v>
      </c>
      <c r="D10591" s="104">
        <f t="shared" si="165"/>
        <v>4.7500000000000001E-2</v>
      </c>
      <c r="F10591" s="5"/>
    </row>
    <row r="10592" spans="2:6" ht="13.8" hidden="1" outlineLevel="1">
      <c r="B10592" s="187">
        <v>37434</v>
      </c>
      <c r="C10592" s="188">
        <v>4.84</v>
      </c>
      <c r="D10592" s="104">
        <f t="shared" si="165"/>
        <v>4.8399999999999999E-2</v>
      </c>
      <c r="F10592" s="5"/>
    </row>
    <row r="10593" spans="2:6" ht="13.8" hidden="1" outlineLevel="1">
      <c r="B10593" s="187">
        <v>37435</v>
      </c>
      <c r="C10593" s="188">
        <v>4.8600000000000003</v>
      </c>
      <c r="D10593" s="104">
        <f t="shared" si="165"/>
        <v>4.8600000000000004E-2</v>
      </c>
      <c r="F10593" s="5"/>
    </row>
    <row r="10594" spans="2:6" ht="13.8" hidden="1" outlineLevel="1">
      <c r="B10594" s="187">
        <v>37438</v>
      </c>
      <c r="C10594" s="188">
        <v>4.8499999999999996</v>
      </c>
      <c r="D10594" s="104">
        <f t="shared" si="165"/>
        <v>4.8499999999999995E-2</v>
      </c>
      <c r="F10594" s="5"/>
    </row>
    <row r="10595" spans="2:6" ht="13.8" hidden="1" outlineLevel="1">
      <c r="B10595" s="187">
        <v>37439</v>
      </c>
      <c r="C10595" s="188">
        <v>4.7699999999999996</v>
      </c>
      <c r="D10595" s="104">
        <f t="shared" si="165"/>
        <v>4.7699999999999992E-2</v>
      </c>
      <c r="F10595" s="5"/>
    </row>
    <row r="10596" spans="2:6" ht="13.8" hidden="1" outlineLevel="1">
      <c r="B10596" s="187">
        <v>37440</v>
      </c>
      <c r="C10596" s="188">
        <v>4.78</v>
      </c>
      <c r="D10596" s="104">
        <f t="shared" si="165"/>
        <v>4.7800000000000002E-2</v>
      </c>
      <c r="F10596" s="5"/>
    </row>
    <row r="10597" spans="2:6" ht="13.8" hidden="1" outlineLevel="1">
      <c r="B10597" s="187">
        <v>37441</v>
      </c>
      <c r="C10597" s="188" t="s">
        <v>380</v>
      </c>
      <c r="D10597" s="104">
        <f t="shared" si="165"/>
        <v>4.7800000000000002E-2</v>
      </c>
      <c r="F10597" s="5"/>
    </row>
    <row r="10598" spans="2:6" ht="13.8" hidden="1" outlineLevel="1">
      <c r="B10598" s="187">
        <v>37442</v>
      </c>
      <c r="C10598" s="188">
        <v>4.9000000000000004</v>
      </c>
      <c r="D10598" s="104">
        <f t="shared" si="165"/>
        <v>4.9000000000000002E-2</v>
      </c>
      <c r="F10598" s="5"/>
    </row>
    <row r="10599" spans="2:6" ht="13.8" hidden="1" outlineLevel="1">
      <c r="B10599" s="187">
        <v>37445</v>
      </c>
      <c r="C10599" s="188">
        <v>4.84</v>
      </c>
      <c r="D10599" s="104">
        <f t="shared" si="165"/>
        <v>4.8399999999999999E-2</v>
      </c>
      <c r="F10599" s="5"/>
    </row>
    <row r="10600" spans="2:6" ht="13.8" hidden="1" outlineLevel="1">
      <c r="B10600" s="187">
        <v>37446</v>
      </c>
      <c r="C10600" s="188">
        <v>4.78</v>
      </c>
      <c r="D10600" s="104">
        <f t="shared" si="165"/>
        <v>4.7800000000000002E-2</v>
      </c>
      <c r="F10600" s="5"/>
    </row>
    <row r="10601" spans="2:6" ht="13.8" hidden="1" outlineLevel="1">
      <c r="B10601" s="187">
        <v>37447</v>
      </c>
      <c r="C10601" s="188">
        <v>4.66</v>
      </c>
      <c r="D10601" s="104">
        <f t="shared" si="165"/>
        <v>4.6600000000000003E-2</v>
      </c>
      <c r="F10601" s="5"/>
    </row>
    <row r="10602" spans="2:6" ht="13.8" hidden="1" outlineLevel="1">
      <c r="B10602" s="187">
        <v>37448</v>
      </c>
      <c r="C10602" s="188">
        <v>4.66</v>
      </c>
      <c r="D10602" s="104">
        <f t="shared" si="165"/>
        <v>4.6600000000000003E-2</v>
      </c>
      <c r="F10602" s="5"/>
    </row>
    <row r="10603" spans="2:6" ht="13.8" hidden="1" outlineLevel="1">
      <c r="B10603" s="187">
        <v>37449</v>
      </c>
      <c r="C10603" s="188">
        <v>4.63</v>
      </c>
      <c r="D10603" s="104">
        <f t="shared" si="165"/>
        <v>4.6300000000000001E-2</v>
      </c>
      <c r="F10603" s="5"/>
    </row>
    <row r="10604" spans="2:6" ht="13.8" hidden="1" outlineLevel="1">
      <c r="B10604" s="187">
        <v>37452</v>
      </c>
      <c r="C10604" s="188">
        <v>4.66</v>
      </c>
      <c r="D10604" s="104">
        <f t="shared" si="165"/>
        <v>4.6600000000000003E-2</v>
      </c>
      <c r="F10604" s="5"/>
    </row>
    <row r="10605" spans="2:6" ht="13.8" hidden="1" outlineLevel="1">
      <c r="B10605" s="187">
        <v>37453</v>
      </c>
      <c r="C10605" s="188">
        <v>4.75</v>
      </c>
      <c r="D10605" s="104">
        <f t="shared" si="165"/>
        <v>4.7500000000000001E-2</v>
      </c>
      <c r="F10605" s="5"/>
    </row>
    <row r="10606" spans="2:6" ht="13.8" hidden="1" outlineLevel="1">
      <c r="B10606" s="187">
        <v>37454</v>
      </c>
      <c r="C10606" s="188">
        <v>4.71</v>
      </c>
      <c r="D10606" s="104">
        <f t="shared" si="165"/>
        <v>4.7100000000000003E-2</v>
      </c>
      <c r="F10606" s="5"/>
    </row>
    <row r="10607" spans="2:6" ht="13.8" hidden="1" outlineLevel="1">
      <c r="B10607" s="187">
        <v>37455</v>
      </c>
      <c r="C10607" s="188">
        <v>4.66</v>
      </c>
      <c r="D10607" s="104">
        <f t="shared" si="165"/>
        <v>4.6600000000000003E-2</v>
      </c>
      <c r="F10607" s="5"/>
    </row>
    <row r="10608" spans="2:6" ht="13.8" hidden="1" outlineLevel="1">
      <c r="B10608" s="187">
        <v>37456</v>
      </c>
      <c r="C10608" s="188">
        <v>4.6100000000000003</v>
      </c>
      <c r="D10608" s="104">
        <f t="shared" si="165"/>
        <v>4.6100000000000002E-2</v>
      </c>
      <c r="F10608" s="5"/>
    </row>
    <row r="10609" spans="2:6" ht="13.8" hidden="1" outlineLevel="1">
      <c r="B10609" s="187">
        <v>37459</v>
      </c>
      <c r="C10609" s="188">
        <v>4.51</v>
      </c>
      <c r="D10609" s="104">
        <f t="shared" si="165"/>
        <v>4.5100000000000001E-2</v>
      </c>
      <c r="F10609" s="5"/>
    </row>
    <row r="10610" spans="2:6" ht="13.8" hidden="1" outlineLevel="1">
      <c r="B10610" s="187">
        <v>37460</v>
      </c>
      <c r="C10610" s="188">
        <v>4.47</v>
      </c>
      <c r="D10610" s="104">
        <f t="shared" si="165"/>
        <v>4.4699999999999997E-2</v>
      </c>
      <c r="F10610" s="5"/>
    </row>
    <row r="10611" spans="2:6" ht="13.8" hidden="1" outlineLevel="1">
      <c r="B10611" s="187">
        <v>37461</v>
      </c>
      <c r="C10611" s="188">
        <v>4.49</v>
      </c>
      <c r="D10611" s="104">
        <f t="shared" si="165"/>
        <v>4.4900000000000002E-2</v>
      </c>
      <c r="F10611" s="5"/>
    </row>
    <row r="10612" spans="2:6" ht="13.8" hidden="1" outlineLevel="1">
      <c r="B10612" s="187">
        <v>37462</v>
      </c>
      <c r="C10612" s="188">
        <v>4.43</v>
      </c>
      <c r="D10612" s="104">
        <f t="shared" si="165"/>
        <v>4.4299999999999999E-2</v>
      </c>
      <c r="F10612" s="5"/>
    </row>
    <row r="10613" spans="2:6" ht="13.8" hidden="1" outlineLevel="1">
      <c r="B10613" s="187">
        <v>37463</v>
      </c>
      <c r="C10613" s="188">
        <v>4.43</v>
      </c>
      <c r="D10613" s="104">
        <f t="shared" si="165"/>
        <v>4.4299999999999999E-2</v>
      </c>
      <c r="F10613" s="5"/>
    </row>
    <row r="10614" spans="2:6" ht="13.8" hidden="1" outlineLevel="1">
      <c r="B10614" s="187">
        <v>37466</v>
      </c>
      <c r="C10614" s="188">
        <v>4.62</v>
      </c>
      <c r="D10614" s="104">
        <f t="shared" si="165"/>
        <v>4.6199999999999998E-2</v>
      </c>
      <c r="F10614" s="5"/>
    </row>
    <row r="10615" spans="2:6" ht="13.8" hidden="1" outlineLevel="1">
      <c r="B10615" s="187">
        <v>37467</v>
      </c>
      <c r="C10615" s="188">
        <v>4.6500000000000004</v>
      </c>
      <c r="D10615" s="104">
        <f t="shared" si="165"/>
        <v>4.6500000000000007E-2</v>
      </c>
      <c r="F10615" s="5"/>
    </row>
    <row r="10616" spans="2:6" ht="13.8" hidden="1" outlineLevel="1">
      <c r="B10616" s="187">
        <v>37468</v>
      </c>
      <c r="C10616" s="188">
        <v>4.51</v>
      </c>
      <c r="D10616" s="104">
        <f t="shared" si="165"/>
        <v>4.5100000000000001E-2</v>
      </c>
      <c r="F10616" s="5"/>
    </row>
    <row r="10617" spans="2:6" ht="13.8" hidden="1" outlineLevel="1">
      <c r="B10617" s="187">
        <v>37469</v>
      </c>
      <c r="C10617" s="188">
        <v>4.47</v>
      </c>
      <c r="D10617" s="104">
        <f t="shared" si="165"/>
        <v>4.4699999999999997E-2</v>
      </c>
      <c r="F10617" s="5"/>
    </row>
    <row r="10618" spans="2:6" ht="13.8" hidden="1" outlineLevel="1">
      <c r="B10618" s="187">
        <v>37470</v>
      </c>
      <c r="C10618" s="188">
        <v>4.33</v>
      </c>
      <c r="D10618" s="104">
        <f t="shared" si="165"/>
        <v>4.3299999999999998E-2</v>
      </c>
      <c r="F10618" s="5"/>
    </row>
    <row r="10619" spans="2:6" ht="13.8" hidden="1" outlineLevel="1">
      <c r="B10619" s="187">
        <v>37473</v>
      </c>
      <c r="C10619" s="188">
        <v>4.29</v>
      </c>
      <c r="D10619" s="104">
        <f t="shared" si="165"/>
        <v>4.2900000000000001E-2</v>
      </c>
      <c r="F10619" s="5"/>
    </row>
    <row r="10620" spans="2:6" ht="13.8" hidden="1" outlineLevel="1">
      <c r="B10620" s="187">
        <v>37474</v>
      </c>
      <c r="C10620" s="188">
        <v>4.42</v>
      </c>
      <c r="D10620" s="104">
        <f t="shared" si="165"/>
        <v>4.4199999999999996E-2</v>
      </c>
      <c r="F10620" s="5"/>
    </row>
    <row r="10621" spans="2:6" ht="13.8" hidden="1" outlineLevel="1">
      <c r="B10621" s="187">
        <v>37475</v>
      </c>
      <c r="C10621" s="188">
        <v>4.3499999999999996</v>
      </c>
      <c r="D10621" s="104">
        <f t="shared" si="165"/>
        <v>4.3499999999999997E-2</v>
      </c>
      <c r="F10621" s="5"/>
    </row>
    <row r="10622" spans="2:6" ht="13.8" hidden="1" outlineLevel="1">
      <c r="B10622" s="187">
        <v>37476</v>
      </c>
      <c r="C10622" s="188">
        <v>4.4000000000000004</v>
      </c>
      <c r="D10622" s="104">
        <f t="shared" si="165"/>
        <v>4.4000000000000004E-2</v>
      </c>
      <c r="F10622" s="5"/>
    </row>
    <row r="10623" spans="2:6" ht="13.8" hidden="1" outlineLevel="1">
      <c r="B10623" s="187">
        <v>37477</v>
      </c>
      <c r="C10623" s="188">
        <v>4.2699999999999996</v>
      </c>
      <c r="D10623" s="104">
        <f t="shared" si="165"/>
        <v>4.2699999999999995E-2</v>
      </c>
      <c r="F10623" s="5"/>
    </row>
    <row r="10624" spans="2:6" ht="13.8" hidden="1" outlineLevel="1">
      <c r="B10624" s="187">
        <v>37480</v>
      </c>
      <c r="C10624" s="188">
        <v>4.22</v>
      </c>
      <c r="D10624" s="104">
        <f t="shared" si="165"/>
        <v>4.2199999999999994E-2</v>
      </c>
      <c r="F10624" s="5"/>
    </row>
    <row r="10625" spans="2:6" ht="13.8" hidden="1" outlineLevel="1">
      <c r="B10625" s="187">
        <v>37481</v>
      </c>
      <c r="C10625" s="188">
        <v>4.12</v>
      </c>
      <c r="D10625" s="104">
        <f t="shared" si="165"/>
        <v>4.1200000000000001E-2</v>
      </c>
      <c r="F10625" s="5"/>
    </row>
    <row r="10626" spans="2:6" ht="13.8" hidden="1" outlineLevel="1">
      <c r="B10626" s="187">
        <v>37482</v>
      </c>
      <c r="C10626" s="188">
        <v>4.0599999999999996</v>
      </c>
      <c r="D10626" s="104">
        <f t="shared" si="165"/>
        <v>4.0599999999999997E-2</v>
      </c>
      <c r="F10626" s="5"/>
    </row>
    <row r="10627" spans="2:6" ht="13.8" hidden="1" outlineLevel="1">
      <c r="B10627" s="187">
        <v>37483</v>
      </c>
      <c r="C10627" s="188">
        <v>4.17</v>
      </c>
      <c r="D10627" s="104">
        <f t="shared" si="165"/>
        <v>4.1700000000000001E-2</v>
      </c>
      <c r="F10627" s="5"/>
    </row>
    <row r="10628" spans="2:6" ht="13.8" hidden="1" outlineLevel="1">
      <c r="B10628" s="187">
        <v>37484</v>
      </c>
      <c r="C10628" s="188">
        <v>4.32</v>
      </c>
      <c r="D10628" s="104">
        <f t="shared" si="165"/>
        <v>4.3200000000000002E-2</v>
      </c>
      <c r="F10628" s="5"/>
    </row>
    <row r="10629" spans="2:6" ht="13.8" hidden="1" outlineLevel="1">
      <c r="B10629" s="187">
        <v>37487</v>
      </c>
      <c r="C10629" s="188">
        <v>4.29</v>
      </c>
      <c r="D10629" s="104">
        <f t="shared" si="165"/>
        <v>4.2900000000000001E-2</v>
      </c>
      <c r="F10629" s="5"/>
    </row>
    <row r="10630" spans="2:6" ht="13.8" hidden="1" outlineLevel="1">
      <c r="B10630" s="187">
        <v>37488</v>
      </c>
      <c r="C10630" s="188">
        <v>4.17</v>
      </c>
      <c r="D10630" s="104">
        <f t="shared" si="165"/>
        <v>4.1700000000000001E-2</v>
      </c>
      <c r="F10630" s="5"/>
    </row>
    <row r="10631" spans="2:6" ht="13.8" hidden="1" outlineLevel="1">
      <c r="B10631" s="187">
        <v>37489</v>
      </c>
      <c r="C10631" s="188">
        <v>4.2</v>
      </c>
      <c r="D10631" s="104">
        <f t="shared" si="165"/>
        <v>4.2000000000000003E-2</v>
      </c>
      <c r="F10631" s="5"/>
    </row>
    <row r="10632" spans="2:6" ht="13.8" hidden="1" outlineLevel="1">
      <c r="B10632" s="187">
        <v>37490</v>
      </c>
      <c r="C10632" s="188">
        <v>4.3</v>
      </c>
      <c r="D10632" s="104">
        <f t="shared" si="165"/>
        <v>4.2999999999999997E-2</v>
      </c>
      <c r="F10632" s="5"/>
    </row>
    <row r="10633" spans="2:6" ht="13.8" hidden="1" outlineLevel="1">
      <c r="B10633" s="187">
        <v>37491</v>
      </c>
      <c r="C10633" s="188">
        <v>4.25</v>
      </c>
      <c r="D10633" s="104">
        <f t="shared" si="165"/>
        <v>4.2500000000000003E-2</v>
      </c>
      <c r="F10633" s="5"/>
    </row>
    <row r="10634" spans="2:6" ht="13.8" hidden="1" outlineLevel="1">
      <c r="B10634" s="187">
        <v>37494</v>
      </c>
      <c r="C10634" s="188">
        <v>4.22</v>
      </c>
      <c r="D10634" s="104">
        <f t="shared" si="165"/>
        <v>4.2199999999999994E-2</v>
      </c>
      <c r="F10634" s="5"/>
    </row>
    <row r="10635" spans="2:6" ht="13.8" hidden="1" outlineLevel="1">
      <c r="B10635" s="187">
        <v>37495</v>
      </c>
      <c r="C10635" s="188">
        <v>4.29</v>
      </c>
      <c r="D10635" s="104">
        <f t="shared" si="165"/>
        <v>4.2900000000000001E-2</v>
      </c>
      <c r="F10635" s="5"/>
    </row>
    <row r="10636" spans="2:6" ht="13.8" hidden="1" outlineLevel="1">
      <c r="B10636" s="187">
        <v>37496</v>
      </c>
      <c r="C10636" s="188">
        <v>4.22</v>
      </c>
      <c r="D10636" s="104">
        <f t="shared" si="165"/>
        <v>4.2199999999999994E-2</v>
      </c>
      <c r="F10636" s="5"/>
    </row>
    <row r="10637" spans="2:6" ht="13.8" hidden="1" outlineLevel="1">
      <c r="B10637" s="187">
        <v>37497</v>
      </c>
      <c r="C10637" s="188">
        <v>4.16</v>
      </c>
      <c r="D10637" s="104">
        <f t="shared" si="165"/>
        <v>4.1599999999999998E-2</v>
      </c>
      <c r="F10637" s="5"/>
    </row>
    <row r="10638" spans="2:6" ht="13.8" hidden="1" outlineLevel="1">
      <c r="B10638" s="187">
        <v>37498</v>
      </c>
      <c r="C10638" s="188">
        <v>4.1399999999999997</v>
      </c>
      <c r="D10638" s="104">
        <f t="shared" si="165"/>
        <v>4.1399999999999999E-2</v>
      </c>
      <c r="F10638" s="5"/>
    </row>
    <row r="10639" spans="2:6" ht="13.8" hidden="1" outlineLevel="1">
      <c r="B10639" s="187">
        <v>37501</v>
      </c>
      <c r="C10639" s="188" t="s">
        <v>380</v>
      </c>
      <c r="D10639" s="104">
        <f t="shared" si="165"/>
        <v>4.1399999999999999E-2</v>
      </c>
      <c r="F10639" s="5"/>
    </row>
    <row r="10640" spans="2:6" ht="13.8" hidden="1" outlineLevel="1">
      <c r="B10640" s="187">
        <v>37502</v>
      </c>
      <c r="C10640" s="188">
        <v>3.98</v>
      </c>
      <c r="D10640" s="104">
        <f t="shared" si="165"/>
        <v>3.9800000000000002E-2</v>
      </c>
      <c r="F10640" s="5"/>
    </row>
    <row r="10641" spans="2:6" ht="13.8" hidden="1" outlineLevel="1">
      <c r="B10641" s="187">
        <v>37503</v>
      </c>
      <c r="C10641" s="188">
        <v>3.96</v>
      </c>
      <c r="D10641" s="104">
        <f t="shared" si="165"/>
        <v>3.9599999999999996E-2</v>
      </c>
      <c r="F10641" s="5"/>
    </row>
    <row r="10642" spans="2:6" ht="13.8" hidden="1" outlineLevel="1">
      <c r="B10642" s="187">
        <v>37504</v>
      </c>
      <c r="C10642" s="188">
        <v>3.91</v>
      </c>
      <c r="D10642" s="104">
        <f t="shared" si="165"/>
        <v>3.9100000000000003E-2</v>
      </c>
      <c r="F10642" s="5"/>
    </row>
    <row r="10643" spans="2:6" ht="13.8" hidden="1" outlineLevel="1">
      <c r="B10643" s="187">
        <v>37505</v>
      </c>
      <c r="C10643" s="188">
        <v>4.05</v>
      </c>
      <c r="D10643" s="104">
        <f t="shared" si="165"/>
        <v>4.0500000000000001E-2</v>
      </c>
      <c r="F10643" s="5"/>
    </row>
    <row r="10644" spans="2:6" ht="13.8" hidden="1" outlineLevel="1">
      <c r="B10644" s="187">
        <v>37508</v>
      </c>
      <c r="C10644" s="188">
        <v>4.05</v>
      </c>
      <c r="D10644" s="104">
        <f t="shared" si="165"/>
        <v>4.0500000000000001E-2</v>
      </c>
      <c r="F10644" s="5"/>
    </row>
    <row r="10645" spans="2:6" ht="13.8" hidden="1" outlineLevel="1">
      <c r="B10645" s="187">
        <v>37509</v>
      </c>
      <c r="C10645" s="188">
        <v>4</v>
      </c>
      <c r="D10645" s="104">
        <f t="shared" si="165"/>
        <v>0.04</v>
      </c>
      <c r="F10645" s="5"/>
    </row>
    <row r="10646" spans="2:6" ht="13.8" hidden="1" outlineLevel="1">
      <c r="B10646" s="187">
        <v>37510</v>
      </c>
      <c r="C10646" s="188">
        <v>4.07</v>
      </c>
      <c r="D10646" s="104">
        <f t="shared" si="165"/>
        <v>4.07E-2</v>
      </c>
      <c r="F10646" s="5"/>
    </row>
    <row r="10647" spans="2:6" ht="13.8" hidden="1" outlineLevel="1">
      <c r="B10647" s="187">
        <v>37511</v>
      </c>
      <c r="C10647" s="188">
        <v>3.98</v>
      </c>
      <c r="D10647" s="104">
        <f t="shared" si="165"/>
        <v>3.9800000000000002E-2</v>
      </c>
      <c r="F10647" s="5"/>
    </row>
    <row r="10648" spans="2:6" ht="13.8" hidden="1" outlineLevel="1">
      <c r="B10648" s="187">
        <v>37512</v>
      </c>
      <c r="C10648" s="188">
        <v>3.92</v>
      </c>
      <c r="D10648" s="104">
        <f t="shared" si="165"/>
        <v>3.9199999999999999E-2</v>
      </c>
      <c r="F10648" s="5"/>
    </row>
    <row r="10649" spans="2:6" ht="13.8" hidden="1" outlineLevel="1">
      <c r="B10649" s="187">
        <v>37515</v>
      </c>
      <c r="C10649" s="188">
        <v>3.9</v>
      </c>
      <c r="D10649" s="104">
        <f t="shared" si="165"/>
        <v>3.9E-2</v>
      </c>
      <c r="F10649" s="5"/>
    </row>
    <row r="10650" spans="2:6" ht="13.8" hidden="1" outlineLevel="1">
      <c r="B10650" s="187">
        <v>37516</v>
      </c>
      <c r="C10650" s="188">
        <v>3.87</v>
      </c>
      <c r="D10650" s="104">
        <f t="shared" si="165"/>
        <v>3.8699999999999998E-2</v>
      </c>
      <c r="F10650" s="5"/>
    </row>
    <row r="10651" spans="2:6" ht="13.8" hidden="1" outlineLevel="1">
      <c r="B10651" s="187">
        <v>37517</v>
      </c>
      <c r="C10651" s="188">
        <v>3.86</v>
      </c>
      <c r="D10651" s="104">
        <f t="shared" si="165"/>
        <v>3.8599999999999995E-2</v>
      </c>
      <c r="F10651" s="5"/>
    </row>
    <row r="10652" spans="2:6" ht="13.8" hidden="1" outlineLevel="1">
      <c r="B10652" s="187">
        <v>37518</v>
      </c>
      <c r="C10652" s="188">
        <v>3.79</v>
      </c>
      <c r="D10652" s="104">
        <f t="shared" si="165"/>
        <v>3.7900000000000003E-2</v>
      </c>
      <c r="F10652" s="5"/>
    </row>
    <row r="10653" spans="2:6" ht="13.8" hidden="1" outlineLevel="1">
      <c r="B10653" s="187">
        <v>37519</v>
      </c>
      <c r="C10653" s="188">
        <v>3.79</v>
      </c>
      <c r="D10653" s="104">
        <f t="shared" si="165"/>
        <v>3.7900000000000003E-2</v>
      </c>
      <c r="F10653" s="5"/>
    </row>
    <row r="10654" spans="2:6" ht="13.8" hidden="1" outlineLevel="1">
      <c r="B10654" s="187">
        <v>37522</v>
      </c>
      <c r="C10654" s="188">
        <v>3.7</v>
      </c>
      <c r="D10654" s="104">
        <f t="shared" ref="D10654:D10717" si="166">IF( LEN( C10654 ) = 0, #N/A, IF( C10654 = "ND", D10653, C10654 / 100 ) )</f>
        <v>3.7000000000000005E-2</v>
      </c>
      <c r="F10654" s="5"/>
    </row>
    <row r="10655" spans="2:6" ht="13.8" hidden="1" outlineLevel="1">
      <c r="B10655" s="187">
        <v>37523</v>
      </c>
      <c r="C10655" s="188">
        <v>3.69</v>
      </c>
      <c r="D10655" s="104">
        <f t="shared" si="166"/>
        <v>3.6900000000000002E-2</v>
      </c>
      <c r="F10655" s="5"/>
    </row>
    <row r="10656" spans="2:6" ht="13.8" hidden="1" outlineLevel="1">
      <c r="B10656" s="187">
        <v>37524</v>
      </c>
      <c r="C10656" s="188">
        <v>3.77</v>
      </c>
      <c r="D10656" s="104">
        <f t="shared" si="166"/>
        <v>3.7699999999999997E-2</v>
      </c>
      <c r="F10656" s="5"/>
    </row>
    <row r="10657" spans="2:6" ht="13.8" hidden="1" outlineLevel="1">
      <c r="B10657" s="187">
        <v>37525</v>
      </c>
      <c r="C10657" s="188">
        <v>3.79</v>
      </c>
      <c r="D10657" s="104">
        <f t="shared" si="166"/>
        <v>3.7900000000000003E-2</v>
      </c>
      <c r="F10657" s="5"/>
    </row>
    <row r="10658" spans="2:6" ht="13.8" hidden="1" outlineLevel="1">
      <c r="B10658" s="187">
        <v>37526</v>
      </c>
      <c r="C10658" s="188">
        <v>3.69</v>
      </c>
      <c r="D10658" s="104">
        <f t="shared" si="166"/>
        <v>3.6900000000000002E-2</v>
      </c>
      <c r="F10658" s="5"/>
    </row>
    <row r="10659" spans="2:6" ht="13.8" hidden="1" outlineLevel="1">
      <c r="B10659" s="187">
        <v>37529</v>
      </c>
      <c r="C10659" s="188">
        <v>3.63</v>
      </c>
      <c r="D10659" s="104">
        <f t="shared" si="166"/>
        <v>3.6299999999999999E-2</v>
      </c>
      <c r="F10659" s="5"/>
    </row>
    <row r="10660" spans="2:6" ht="13.8" hidden="1" outlineLevel="1">
      <c r="B10660" s="187">
        <v>37530</v>
      </c>
      <c r="C10660" s="188">
        <v>3.72</v>
      </c>
      <c r="D10660" s="104">
        <f t="shared" si="166"/>
        <v>3.7200000000000004E-2</v>
      </c>
      <c r="F10660" s="5"/>
    </row>
    <row r="10661" spans="2:6" ht="13.8" hidden="1" outlineLevel="1">
      <c r="B10661" s="187">
        <v>37531</v>
      </c>
      <c r="C10661" s="188">
        <v>3.71</v>
      </c>
      <c r="D10661" s="104">
        <f t="shared" si="166"/>
        <v>3.7100000000000001E-2</v>
      </c>
      <c r="F10661" s="5"/>
    </row>
    <row r="10662" spans="2:6" ht="13.8" hidden="1" outlineLevel="1">
      <c r="B10662" s="187">
        <v>37532</v>
      </c>
      <c r="C10662" s="188">
        <v>3.7</v>
      </c>
      <c r="D10662" s="104">
        <f t="shared" si="166"/>
        <v>3.7000000000000005E-2</v>
      </c>
      <c r="F10662" s="5"/>
    </row>
    <row r="10663" spans="2:6" ht="13.8" hidden="1" outlineLevel="1">
      <c r="B10663" s="187">
        <v>37533</v>
      </c>
      <c r="C10663" s="188">
        <v>3.69</v>
      </c>
      <c r="D10663" s="104">
        <f t="shared" si="166"/>
        <v>3.6900000000000002E-2</v>
      </c>
      <c r="F10663" s="5"/>
    </row>
    <row r="10664" spans="2:6" ht="13.8" hidden="1" outlineLevel="1">
      <c r="B10664" s="187">
        <v>37536</v>
      </c>
      <c r="C10664" s="188">
        <v>3.64</v>
      </c>
      <c r="D10664" s="104">
        <f t="shared" si="166"/>
        <v>3.6400000000000002E-2</v>
      </c>
      <c r="F10664" s="5"/>
    </row>
    <row r="10665" spans="2:6" ht="13.8" hidden="1" outlineLevel="1">
      <c r="B10665" s="187">
        <v>37537</v>
      </c>
      <c r="C10665" s="188">
        <v>3.65</v>
      </c>
      <c r="D10665" s="104">
        <f t="shared" si="166"/>
        <v>3.6499999999999998E-2</v>
      </c>
      <c r="F10665" s="5"/>
    </row>
    <row r="10666" spans="2:6" ht="13.8" hidden="1" outlineLevel="1">
      <c r="B10666" s="187">
        <v>37538</v>
      </c>
      <c r="C10666" s="188">
        <v>3.61</v>
      </c>
      <c r="D10666" s="104">
        <f t="shared" si="166"/>
        <v>3.61E-2</v>
      </c>
      <c r="F10666" s="5"/>
    </row>
    <row r="10667" spans="2:6" ht="13.8" hidden="1" outlineLevel="1">
      <c r="B10667" s="187">
        <v>37539</v>
      </c>
      <c r="C10667" s="188">
        <v>3.68</v>
      </c>
      <c r="D10667" s="104">
        <f t="shared" si="166"/>
        <v>3.6799999999999999E-2</v>
      </c>
      <c r="F10667" s="5"/>
    </row>
    <row r="10668" spans="2:6" ht="13.8" hidden="1" outlineLevel="1">
      <c r="B10668" s="187">
        <v>37540</v>
      </c>
      <c r="C10668" s="188">
        <v>3.83</v>
      </c>
      <c r="D10668" s="104">
        <f t="shared" si="166"/>
        <v>3.8300000000000001E-2</v>
      </c>
      <c r="F10668" s="5"/>
    </row>
    <row r="10669" spans="2:6" ht="13.8" hidden="1" outlineLevel="1">
      <c r="B10669" s="187">
        <v>37543</v>
      </c>
      <c r="C10669" s="188" t="s">
        <v>380</v>
      </c>
      <c r="D10669" s="104">
        <f t="shared" si="166"/>
        <v>3.8300000000000001E-2</v>
      </c>
      <c r="F10669" s="5"/>
    </row>
    <row r="10670" spans="2:6" ht="13.8" hidden="1" outlineLevel="1">
      <c r="B10670" s="187">
        <v>37544</v>
      </c>
      <c r="C10670" s="188">
        <v>4.07</v>
      </c>
      <c r="D10670" s="104">
        <f t="shared" si="166"/>
        <v>4.07E-2</v>
      </c>
      <c r="F10670" s="5"/>
    </row>
    <row r="10671" spans="2:6" ht="13.8" hidden="1" outlineLevel="1">
      <c r="B10671" s="187">
        <v>37545</v>
      </c>
      <c r="C10671" s="188">
        <v>4.0599999999999996</v>
      </c>
      <c r="D10671" s="104">
        <f t="shared" si="166"/>
        <v>4.0599999999999997E-2</v>
      </c>
      <c r="F10671" s="5"/>
    </row>
    <row r="10672" spans="2:6" ht="13.8" hidden="1" outlineLevel="1">
      <c r="B10672" s="187">
        <v>37546</v>
      </c>
      <c r="C10672" s="188">
        <v>4.16</v>
      </c>
      <c r="D10672" s="104">
        <f t="shared" si="166"/>
        <v>4.1599999999999998E-2</v>
      </c>
      <c r="F10672" s="5"/>
    </row>
    <row r="10673" spans="2:6" ht="13.8" hidden="1" outlineLevel="1">
      <c r="B10673" s="187">
        <v>37547</v>
      </c>
      <c r="C10673" s="188">
        <v>4.1399999999999997</v>
      </c>
      <c r="D10673" s="104">
        <f t="shared" si="166"/>
        <v>4.1399999999999999E-2</v>
      </c>
      <c r="F10673" s="5"/>
    </row>
    <row r="10674" spans="2:6" ht="13.8" hidden="1" outlineLevel="1">
      <c r="B10674" s="187">
        <v>37550</v>
      </c>
      <c r="C10674" s="188">
        <v>4.24</v>
      </c>
      <c r="D10674" s="104">
        <f t="shared" si="166"/>
        <v>4.24E-2</v>
      </c>
      <c r="F10674" s="5"/>
    </row>
    <row r="10675" spans="2:6" ht="13.8" hidden="1" outlineLevel="1">
      <c r="B10675" s="187">
        <v>37551</v>
      </c>
      <c r="C10675" s="188">
        <v>4.2699999999999996</v>
      </c>
      <c r="D10675" s="104">
        <f t="shared" si="166"/>
        <v>4.2699999999999995E-2</v>
      </c>
      <c r="F10675" s="5"/>
    </row>
    <row r="10676" spans="2:6" ht="13.8" hidden="1" outlineLevel="1">
      <c r="B10676" s="187">
        <v>37552</v>
      </c>
      <c r="C10676" s="188">
        <v>4.26</v>
      </c>
      <c r="D10676" s="104">
        <f t="shared" si="166"/>
        <v>4.2599999999999999E-2</v>
      </c>
      <c r="F10676" s="5"/>
    </row>
    <row r="10677" spans="2:6" ht="13.8" hidden="1" outlineLevel="1">
      <c r="B10677" s="187">
        <v>37553</v>
      </c>
      <c r="C10677" s="188">
        <v>4.16</v>
      </c>
      <c r="D10677" s="104">
        <f t="shared" si="166"/>
        <v>4.1599999999999998E-2</v>
      </c>
      <c r="F10677" s="5"/>
    </row>
    <row r="10678" spans="2:6" ht="13.8" hidden="1" outlineLevel="1">
      <c r="B10678" s="187">
        <v>37554</v>
      </c>
      <c r="C10678" s="188">
        <v>4.12</v>
      </c>
      <c r="D10678" s="104">
        <f t="shared" si="166"/>
        <v>4.1200000000000001E-2</v>
      </c>
      <c r="F10678" s="5"/>
    </row>
    <row r="10679" spans="2:6" ht="13.8" hidden="1" outlineLevel="1">
      <c r="B10679" s="187">
        <v>37557</v>
      </c>
      <c r="C10679" s="188">
        <v>4.0999999999999996</v>
      </c>
      <c r="D10679" s="104">
        <f t="shared" si="166"/>
        <v>4.0999999999999995E-2</v>
      </c>
      <c r="F10679" s="5"/>
    </row>
    <row r="10680" spans="2:6" ht="13.8" hidden="1" outlineLevel="1">
      <c r="B10680" s="187">
        <v>37558</v>
      </c>
      <c r="C10680" s="188">
        <v>3.97</v>
      </c>
      <c r="D10680" s="104">
        <f t="shared" si="166"/>
        <v>3.9699999999999999E-2</v>
      </c>
      <c r="F10680" s="5"/>
    </row>
    <row r="10681" spans="2:6" ht="13.8" hidden="1" outlineLevel="1">
      <c r="B10681" s="187">
        <v>37559</v>
      </c>
      <c r="C10681" s="188">
        <v>3.99</v>
      </c>
      <c r="D10681" s="104">
        <f t="shared" si="166"/>
        <v>3.9900000000000005E-2</v>
      </c>
      <c r="F10681" s="5"/>
    </row>
    <row r="10682" spans="2:6" ht="13.8" hidden="1" outlineLevel="1">
      <c r="B10682" s="187">
        <v>37560</v>
      </c>
      <c r="C10682" s="188">
        <v>3.93</v>
      </c>
      <c r="D10682" s="104">
        <f t="shared" si="166"/>
        <v>3.9300000000000002E-2</v>
      </c>
      <c r="F10682" s="5"/>
    </row>
    <row r="10683" spans="2:6" ht="13.8" hidden="1" outlineLevel="1">
      <c r="B10683" s="187">
        <v>37561</v>
      </c>
      <c r="C10683" s="188">
        <v>4.01</v>
      </c>
      <c r="D10683" s="104">
        <f t="shared" si="166"/>
        <v>4.0099999999999997E-2</v>
      </c>
      <c r="F10683" s="5"/>
    </row>
    <row r="10684" spans="2:6" ht="13.8" hidden="1" outlineLevel="1">
      <c r="B10684" s="187">
        <v>37564</v>
      </c>
      <c r="C10684" s="188">
        <v>4.07</v>
      </c>
      <c r="D10684" s="104">
        <f t="shared" si="166"/>
        <v>4.07E-2</v>
      </c>
      <c r="F10684" s="5"/>
    </row>
    <row r="10685" spans="2:6" ht="13.8" hidden="1" outlineLevel="1">
      <c r="B10685" s="187">
        <v>37565</v>
      </c>
      <c r="C10685" s="188">
        <v>4.0999999999999996</v>
      </c>
      <c r="D10685" s="104">
        <f t="shared" si="166"/>
        <v>4.0999999999999995E-2</v>
      </c>
      <c r="F10685" s="5"/>
    </row>
    <row r="10686" spans="2:6" ht="13.8" hidden="1" outlineLevel="1">
      <c r="B10686" s="187">
        <v>37566</v>
      </c>
      <c r="C10686" s="188">
        <v>4.09</v>
      </c>
      <c r="D10686" s="104">
        <f t="shared" si="166"/>
        <v>4.0899999999999999E-2</v>
      </c>
      <c r="F10686" s="5"/>
    </row>
    <row r="10687" spans="2:6" ht="13.8" hidden="1" outlineLevel="1">
      <c r="B10687" s="187">
        <v>37567</v>
      </c>
      <c r="C10687" s="188">
        <v>3.88</v>
      </c>
      <c r="D10687" s="104">
        <f t="shared" si="166"/>
        <v>3.8800000000000001E-2</v>
      </c>
      <c r="F10687" s="5"/>
    </row>
    <row r="10688" spans="2:6" ht="13.8" hidden="1" outlineLevel="1">
      <c r="B10688" s="187">
        <v>37568</v>
      </c>
      <c r="C10688" s="188">
        <v>3.85</v>
      </c>
      <c r="D10688" s="104">
        <f t="shared" si="166"/>
        <v>3.85E-2</v>
      </c>
      <c r="F10688" s="5"/>
    </row>
    <row r="10689" spans="2:6" ht="13.8" hidden="1" outlineLevel="1">
      <c r="B10689" s="187">
        <v>37571</v>
      </c>
      <c r="C10689" s="188" t="s">
        <v>380</v>
      </c>
      <c r="D10689" s="104">
        <f t="shared" si="166"/>
        <v>3.85E-2</v>
      </c>
      <c r="F10689" s="5"/>
    </row>
    <row r="10690" spans="2:6" ht="13.8" hidden="1" outlineLevel="1">
      <c r="B10690" s="187">
        <v>37572</v>
      </c>
      <c r="C10690" s="188">
        <v>3.84</v>
      </c>
      <c r="D10690" s="104">
        <f t="shared" si="166"/>
        <v>3.8399999999999997E-2</v>
      </c>
      <c r="F10690" s="5"/>
    </row>
    <row r="10691" spans="2:6" ht="13.8" hidden="1" outlineLevel="1">
      <c r="B10691" s="187">
        <v>37573</v>
      </c>
      <c r="C10691" s="188">
        <v>3.84</v>
      </c>
      <c r="D10691" s="104">
        <f t="shared" si="166"/>
        <v>3.8399999999999997E-2</v>
      </c>
      <c r="F10691" s="5"/>
    </row>
    <row r="10692" spans="2:6" ht="13.8" hidden="1" outlineLevel="1">
      <c r="B10692" s="187">
        <v>37574</v>
      </c>
      <c r="C10692" s="188">
        <v>4.03</v>
      </c>
      <c r="D10692" s="104">
        <f t="shared" si="166"/>
        <v>4.0300000000000002E-2</v>
      </c>
      <c r="F10692" s="5"/>
    </row>
    <row r="10693" spans="2:6" ht="13.8" hidden="1" outlineLevel="1">
      <c r="B10693" s="187">
        <v>37575</v>
      </c>
      <c r="C10693" s="188">
        <v>4.05</v>
      </c>
      <c r="D10693" s="104">
        <f t="shared" si="166"/>
        <v>4.0500000000000001E-2</v>
      </c>
      <c r="F10693" s="5"/>
    </row>
    <row r="10694" spans="2:6" ht="13.8" hidden="1" outlineLevel="1">
      <c r="B10694" s="187">
        <v>37578</v>
      </c>
      <c r="C10694" s="188">
        <v>4.0199999999999996</v>
      </c>
      <c r="D10694" s="104">
        <f t="shared" si="166"/>
        <v>4.0199999999999993E-2</v>
      </c>
      <c r="F10694" s="5"/>
    </row>
    <row r="10695" spans="2:6" ht="13.8" hidden="1" outlineLevel="1">
      <c r="B10695" s="187">
        <v>37579</v>
      </c>
      <c r="C10695" s="188">
        <v>3.99</v>
      </c>
      <c r="D10695" s="104">
        <f t="shared" si="166"/>
        <v>3.9900000000000005E-2</v>
      </c>
      <c r="F10695" s="5"/>
    </row>
    <row r="10696" spans="2:6" ht="13.8" hidden="1" outlineLevel="1">
      <c r="B10696" s="187">
        <v>37580</v>
      </c>
      <c r="C10696" s="188">
        <v>4.08</v>
      </c>
      <c r="D10696" s="104">
        <f t="shared" si="166"/>
        <v>4.0800000000000003E-2</v>
      </c>
      <c r="F10696" s="5"/>
    </row>
    <row r="10697" spans="2:6" ht="13.8" hidden="1" outlineLevel="1">
      <c r="B10697" s="187">
        <v>37581</v>
      </c>
      <c r="C10697" s="188">
        <v>4.1399999999999997</v>
      </c>
      <c r="D10697" s="104">
        <f t="shared" si="166"/>
        <v>4.1399999999999999E-2</v>
      </c>
      <c r="F10697" s="5"/>
    </row>
    <row r="10698" spans="2:6" ht="13.8" hidden="1" outlineLevel="1">
      <c r="B10698" s="187">
        <v>37582</v>
      </c>
      <c r="C10698" s="188">
        <v>4.18</v>
      </c>
      <c r="D10698" s="104">
        <f t="shared" si="166"/>
        <v>4.1799999999999997E-2</v>
      </c>
      <c r="F10698" s="5"/>
    </row>
    <row r="10699" spans="2:6" ht="13.8" hidden="1" outlineLevel="1">
      <c r="B10699" s="187">
        <v>37585</v>
      </c>
      <c r="C10699" s="188">
        <v>4.1900000000000004</v>
      </c>
      <c r="D10699" s="104">
        <f t="shared" si="166"/>
        <v>4.1900000000000007E-2</v>
      </c>
      <c r="F10699" s="5"/>
    </row>
    <row r="10700" spans="2:6" ht="13.8" hidden="1" outlineLevel="1">
      <c r="B10700" s="187">
        <v>37586</v>
      </c>
      <c r="C10700" s="188">
        <v>4.08</v>
      </c>
      <c r="D10700" s="104">
        <f t="shared" si="166"/>
        <v>4.0800000000000003E-2</v>
      </c>
      <c r="F10700" s="5"/>
    </row>
    <row r="10701" spans="2:6" ht="13.8" hidden="1" outlineLevel="1">
      <c r="B10701" s="187">
        <v>37587</v>
      </c>
      <c r="C10701" s="188">
        <v>4.26</v>
      </c>
      <c r="D10701" s="104">
        <f t="shared" si="166"/>
        <v>4.2599999999999999E-2</v>
      </c>
      <c r="F10701" s="5"/>
    </row>
    <row r="10702" spans="2:6" ht="13.8" hidden="1" outlineLevel="1">
      <c r="B10702" s="187">
        <v>37588</v>
      </c>
      <c r="C10702" s="188" t="s">
        <v>380</v>
      </c>
      <c r="D10702" s="104">
        <f t="shared" si="166"/>
        <v>4.2599999999999999E-2</v>
      </c>
      <c r="F10702" s="5"/>
    </row>
    <row r="10703" spans="2:6" ht="13.8" hidden="1" outlineLevel="1">
      <c r="B10703" s="187">
        <v>37589</v>
      </c>
      <c r="C10703" s="188">
        <v>4.22</v>
      </c>
      <c r="D10703" s="104">
        <f t="shared" si="166"/>
        <v>4.2199999999999994E-2</v>
      </c>
      <c r="F10703" s="5"/>
    </row>
    <row r="10704" spans="2:6" ht="13.8" hidden="1" outlineLevel="1">
      <c r="B10704" s="187">
        <v>37592</v>
      </c>
      <c r="C10704" s="188">
        <v>4.22</v>
      </c>
      <c r="D10704" s="104">
        <f t="shared" si="166"/>
        <v>4.2199999999999994E-2</v>
      </c>
      <c r="F10704" s="5"/>
    </row>
    <row r="10705" spans="2:6" ht="13.8" hidden="1" outlineLevel="1">
      <c r="B10705" s="187">
        <v>37593</v>
      </c>
      <c r="C10705" s="188">
        <v>4.24</v>
      </c>
      <c r="D10705" s="104">
        <f t="shared" si="166"/>
        <v>4.24E-2</v>
      </c>
      <c r="F10705" s="5"/>
    </row>
    <row r="10706" spans="2:6" ht="13.8" hidden="1" outlineLevel="1">
      <c r="B10706" s="187">
        <v>37594</v>
      </c>
      <c r="C10706" s="188">
        <v>4.18</v>
      </c>
      <c r="D10706" s="104">
        <f t="shared" si="166"/>
        <v>4.1799999999999997E-2</v>
      </c>
      <c r="F10706" s="5"/>
    </row>
    <row r="10707" spans="2:6" ht="13.8" hidden="1" outlineLevel="1">
      <c r="B10707" s="187">
        <v>37595</v>
      </c>
      <c r="C10707" s="188">
        <v>4.13</v>
      </c>
      <c r="D10707" s="104">
        <f t="shared" si="166"/>
        <v>4.1299999999999996E-2</v>
      </c>
      <c r="F10707" s="5"/>
    </row>
    <row r="10708" spans="2:6" ht="13.8" hidden="1" outlineLevel="1">
      <c r="B10708" s="187">
        <v>37596</v>
      </c>
      <c r="C10708" s="188">
        <v>4.09</v>
      </c>
      <c r="D10708" s="104">
        <f t="shared" si="166"/>
        <v>4.0899999999999999E-2</v>
      </c>
      <c r="F10708" s="5"/>
    </row>
    <row r="10709" spans="2:6" ht="13.8" hidden="1" outlineLevel="1">
      <c r="B10709" s="187">
        <v>37599</v>
      </c>
      <c r="C10709" s="188">
        <v>4.0599999999999996</v>
      </c>
      <c r="D10709" s="104">
        <f t="shared" si="166"/>
        <v>4.0599999999999997E-2</v>
      </c>
      <c r="F10709" s="5"/>
    </row>
    <row r="10710" spans="2:6" ht="13.8" hidden="1" outlineLevel="1">
      <c r="B10710" s="187">
        <v>37600</v>
      </c>
      <c r="C10710" s="188">
        <v>4.0599999999999996</v>
      </c>
      <c r="D10710" s="104">
        <f t="shared" si="166"/>
        <v>4.0599999999999997E-2</v>
      </c>
      <c r="F10710" s="5"/>
    </row>
    <row r="10711" spans="2:6" ht="13.8" hidden="1" outlineLevel="1">
      <c r="B10711" s="187">
        <v>37601</v>
      </c>
      <c r="C10711" s="188">
        <v>4.01</v>
      </c>
      <c r="D10711" s="104">
        <f t="shared" si="166"/>
        <v>4.0099999999999997E-2</v>
      </c>
      <c r="F10711" s="5"/>
    </row>
    <row r="10712" spans="2:6" ht="13.8" hidden="1" outlineLevel="1">
      <c r="B10712" s="187">
        <v>37602</v>
      </c>
      <c r="C10712" s="188">
        <v>4.01</v>
      </c>
      <c r="D10712" s="104">
        <f t="shared" si="166"/>
        <v>4.0099999999999997E-2</v>
      </c>
      <c r="F10712" s="5"/>
    </row>
    <row r="10713" spans="2:6" ht="13.8" hidden="1" outlineLevel="1">
      <c r="B10713" s="187">
        <v>37603</v>
      </c>
      <c r="C10713" s="188">
        <v>4.07</v>
      </c>
      <c r="D10713" s="104">
        <f t="shared" si="166"/>
        <v>4.07E-2</v>
      </c>
      <c r="F10713" s="5"/>
    </row>
    <row r="10714" spans="2:6" ht="13.8" hidden="1" outlineLevel="1">
      <c r="B10714" s="187">
        <v>37606</v>
      </c>
      <c r="C10714" s="188">
        <v>4.1500000000000004</v>
      </c>
      <c r="D10714" s="104">
        <f t="shared" si="166"/>
        <v>4.1500000000000002E-2</v>
      </c>
      <c r="F10714" s="5"/>
    </row>
    <row r="10715" spans="2:6" ht="13.8" hidden="1" outlineLevel="1">
      <c r="B10715" s="187">
        <v>37607</v>
      </c>
      <c r="C10715" s="188">
        <v>4.13</v>
      </c>
      <c r="D10715" s="104">
        <f t="shared" si="166"/>
        <v>4.1299999999999996E-2</v>
      </c>
      <c r="F10715" s="5"/>
    </row>
    <row r="10716" spans="2:6" ht="13.8" hidden="1" outlineLevel="1">
      <c r="B10716" s="187">
        <v>37608</v>
      </c>
      <c r="C10716" s="188">
        <v>4.0599999999999996</v>
      </c>
      <c r="D10716" s="104">
        <f t="shared" si="166"/>
        <v>4.0599999999999997E-2</v>
      </c>
      <c r="F10716" s="5"/>
    </row>
    <row r="10717" spans="2:6" ht="13.8" hidden="1" outlineLevel="1">
      <c r="B10717" s="187">
        <v>37609</v>
      </c>
      <c r="C10717" s="188">
        <v>3.96</v>
      </c>
      <c r="D10717" s="104">
        <f t="shared" si="166"/>
        <v>3.9599999999999996E-2</v>
      </c>
      <c r="F10717" s="5"/>
    </row>
    <row r="10718" spans="2:6" ht="13.8" hidden="1" outlineLevel="1">
      <c r="B10718" s="187">
        <v>37610</v>
      </c>
      <c r="C10718" s="188">
        <v>3.97</v>
      </c>
      <c r="D10718" s="104">
        <f t="shared" ref="D10718:D10781" si="167">IF( LEN( C10718 ) = 0, #N/A, IF( C10718 = "ND", D10717, C10718 / 100 ) )</f>
        <v>3.9699999999999999E-2</v>
      </c>
      <c r="F10718" s="5"/>
    </row>
    <row r="10719" spans="2:6" ht="13.8" hidden="1" outlineLevel="1">
      <c r="B10719" s="187">
        <v>37613</v>
      </c>
      <c r="C10719" s="188">
        <v>3.98</v>
      </c>
      <c r="D10719" s="104">
        <f t="shared" si="167"/>
        <v>3.9800000000000002E-2</v>
      </c>
      <c r="F10719" s="5"/>
    </row>
    <row r="10720" spans="2:6" ht="13.8" hidden="1" outlineLevel="1">
      <c r="B10720" s="187">
        <v>37614</v>
      </c>
      <c r="C10720" s="188">
        <v>3.95</v>
      </c>
      <c r="D10720" s="104">
        <f t="shared" si="167"/>
        <v>3.95E-2</v>
      </c>
      <c r="F10720" s="5"/>
    </row>
    <row r="10721" spans="2:6" ht="13.8" hidden="1" outlineLevel="1">
      <c r="B10721" s="187">
        <v>37615</v>
      </c>
      <c r="C10721" s="188" t="s">
        <v>380</v>
      </c>
      <c r="D10721" s="104">
        <f t="shared" si="167"/>
        <v>3.95E-2</v>
      </c>
      <c r="F10721" s="5"/>
    </row>
    <row r="10722" spans="2:6" ht="13.8" hidden="1" outlineLevel="1">
      <c r="B10722" s="187">
        <v>37616</v>
      </c>
      <c r="C10722" s="188">
        <v>3.93</v>
      </c>
      <c r="D10722" s="104">
        <f t="shared" si="167"/>
        <v>3.9300000000000002E-2</v>
      </c>
      <c r="F10722" s="5"/>
    </row>
    <row r="10723" spans="2:6" ht="13.8" hidden="1" outlineLevel="1">
      <c r="B10723" s="187">
        <v>37617</v>
      </c>
      <c r="C10723" s="188">
        <v>3.83</v>
      </c>
      <c r="D10723" s="104">
        <f t="shared" si="167"/>
        <v>3.8300000000000001E-2</v>
      </c>
      <c r="F10723" s="5"/>
    </row>
    <row r="10724" spans="2:6" ht="13.8" hidden="1" outlineLevel="1">
      <c r="B10724" s="187">
        <v>37620</v>
      </c>
      <c r="C10724" s="188">
        <v>3.82</v>
      </c>
      <c r="D10724" s="104">
        <f t="shared" si="167"/>
        <v>3.8199999999999998E-2</v>
      </c>
      <c r="F10724" s="5"/>
    </row>
    <row r="10725" spans="2:6" ht="13.8" hidden="1" outlineLevel="1">
      <c r="B10725" s="187">
        <v>37621</v>
      </c>
      <c r="C10725" s="188">
        <v>3.83</v>
      </c>
      <c r="D10725" s="104">
        <f t="shared" si="167"/>
        <v>3.8300000000000001E-2</v>
      </c>
      <c r="F10725" s="5"/>
    </row>
    <row r="10726" spans="2:6" ht="13.8" hidden="1" outlineLevel="1">
      <c r="B10726" s="187">
        <v>37622</v>
      </c>
      <c r="C10726" s="188" t="s">
        <v>380</v>
      </c>
      <c r="D10726" s="104">
        <f t="shared" si="167"/>
        <v>3.8300000000000001E-2</v>
      </c>
      <c r="F10726" s="5"/>
    </row>
    <row r="10727" spans="2:6" ht="13.8" hidden="1" outlineLevel="1">
      <c r="B10727" s="187">
        <v>37623</v>
      </c>
      <c r="C10727" s="188">
        <v>4.07</v>
      </c>
      <c r="D10727" s="104">
        <f t="shared" si="167"/>
        <v>4.07E-2</v>
      </c>
      <c r="F10727" s="5"/>
    </row>
    <row r="10728" spans="2:6" ht="13.8" hidden="1" outlineLevel="1">
      <c r="B10728" s="187">
        <v>37624</v>
      </c>
      <c r="C10728" s="188">
        <v>4.05</v>
      </c>
      <c r="D10728" s="104">
        <f t="shared" si="167"/>
        <v>4.0500000000000001E-2</v>
      </c>
      <c r="F10728" s="5"/>
    </row>
    <row r="10729" spans="2:6" ht="13.8" hidden="1" outlineLevel="1">
      <c r="B10729" s="187">
        <v>37627</v>
      </c>
      <c r="C10729" s="188">
        <v>4.09</v>
      </c>
      <c r="D10729" s="104">
        <f t="shared" si="167"/>
        <v>4.0899999999999999E-2</v>
      </c>
      <c r="F10729" s="5"/>
    </row>
    <row r="10730" spans="2:6" ht="13.8" hidden="1" outlineLevel="1">
      <c r="B10730" s="187">
        <v>37628</v>
      </c>
      <c r="C10730" s="188">
        <v>4.04</v>
      </c>
      <c r="D10730" s="104">
        <f t="shared" si="167"/>
        <v>4.0399999999999998E-2</v>
      </c>
      <c r="F10730" s="5"/>
    </row>
    <row r="10731" spans="2:6" ht="13.8" hidden="1" outlineLevel="1">
      <c r="B10731" s="187">
        <v>37629</v>
      </c>
      <c r="C10731" s="188">
        <v>4</v>
      </c>
      <c r="D10731" s="104">
        <f t="shared" si="167"/>
        <v>0.04</v>
      </c>
      <c r="F10731" s="5"/>
    </row>
    <row r="10732" spans="2:6" ht="13.8" hidden="1" outlineLevel="1">
      <c r="B10732" s="187">
        <v>37630</v>
      </c>
      <c r="C10732" s="188">
        <v>4.1900000000000004</v>
      </c>
      <c r="D10732" s="104">
        <f t="shared" si="167"/>
        <v>4.1900000000000007E-2</v>
      </c>
      <c r="F10732" s="5"/>
    </row>
    <row r="10733" spans="2:6" ht="13.8" hidden="1" outlineLevel="1">
      <c r="B10733" s="187">
        <v>37631</v>
      </c>
      <c r="C10733" s="188">
        <v>4.16</v>
      </c>
      <c r="D10733" s="104">
        <f t="shared" si="167"/>
        <v>4.1599999999999998E-2</v>
      </c>
      <c r="F10733" s="5"/>
    </row>
    <row r="10734" spans="2:6" ht="13.8" hidden="1" outlineLevel="1">
      <c r="B10734" s="187">
        <v>37634</v>
      </c>
      <c r="C10734" s="188">
        <v>4.1500000000000004</v>
      </c>
      <c r="D10734" s="104">
        <f t="shared" si="167"/>
        <v>4.1500000000000002E-2</v>
      </c>
      <c r="F10734" s="5"/>
    </row>
    <row r="10735" spans="2:6" ht="13.8" hidden="1" outlineLevel="1">
      <c r="B10735" s="187">
        <v>37635</v>
      </c>
      <c r="C10735" s="188">
        <v>4.0999999999999996</v>
      </c>
      <c r="D10735" s="104">
        <f t="shared" si="167"/>
        <v>4.0999999999999995E-2</v>
      </c>
      <c r="F10735" s="5"/>
    </row>
    <row r="10736" spans="2:6" ht="13.8" hidden="1" outlineLevel="1">
      <c r="B10736" s="187">
        <v>37636</v>
      </c>
      <c r="C10736" s="188">
        <v>4.0999999999999996</v>
      </c>
      <c r="D10736" s="104">
        <f t="shared" si="167"/>
        <v>4.0999999999999995E-2</v>
      </c>
      <c r="F10736" s="5"/>
    </row>
    <row r="10737" spans="2:6" ht="13.8" hidden="1" outlineLevel="1">
      <c r="B10737" s="187">
        <v>37637</v>
      </c>
      <c r="C10737" s="188">
        <v>4.0999999999999996</v>
      </c>
      <c r="D10737" s="104">
        <f t="shared" si="167"/>
        <v>4.0999999999999995E-2</v>
      </c>
      <c r="F10737" s="5"/>
    </row>
    <row r="10738" spans="2:6" ht="13.8" hidden="1" outlineLevel="1">
      <c r="B10738" s="187">
        <v>37638</v>
      </c>
      <c r="C10738" s="188">
        <v>4.05</v>
      </c>
      <c r="D10738" s="104">
        <f t="shared" si="167"/>
        <v>4.0500000000000001E-2</v>
      </c>
      <c r="F10738" s="5"/>
    </row>
    <row r="10739" spans="2:6" ht="13.8" hidden="1" outlineLevel="1">
      <c r="B10739" s="187">
        <v>37641</v>
      </c>
      <c r="C10739" s="188" t="s">
        <v>380</v>
      </c>
      <c r="D10739" s="104">
        <f t="shared" si="167"/>
        <v>4.0500000000000001E-2</v>
      </c>
      <c r="F10739" s="5"/>
    </row>
    <row r="10740" spans="2:6" ht="13.8" hidden="1" outlineLevel="1">
      <c r="B10740" s="187">
        <v>37642</v>
      </c>
      <c r="C10740" s="188">
        <v>4.01</v>
      </c>
      <c r="D10740" s="104">
        <f t="shared" si="167"/>
        <v>4.0099999999999997E-2</v>
      </c>
      <c r="F10740" s="5"/>
    </row>
    <row r="10741" spans="2:6" ht="13.8" hidden="1" outlineLevel="1">
      <c r="B10741" s="187">
        <v>37643</v>
      </c>
      <c r="C10741" s="188">
        <v>3.95</v>
      </c>
      <c r="D10741" s="104">
        <f t="shared" si="167"/>
        <v>3.95E-2</v>
      </c>
      <c r="F10741" s="5"/>
    </row>
    <row r="10742" spans="2:6" ht="13.8" hidden="1" outlineLevel="1">
      <c r="B10742" s="187">
        <v>37644</v>
      </c>
      <c r="C10742" s="188">
        <v>3.98</v>
      </c>
      <c r="D10742" s="104">
        <f t="shared" si="167"/>
        <v>3.9800000000000002E-2</v>
      </c>
      <c r="F10742" s="5"/>
    </row>
    <row r="10743" spans="2:6" ht="13.8" hidden="1" outlineLevel="1">
      <c r="B10743" s="187">
        <v>37645</v>
      </c>
      <c r="C10743" s="188">
        <v>3.94</v>
      </c>
      <c r="D10743" s="104">
        <f t="shared" si="167"/>
        <v>3.9399999999999998E-2</v>
      </c>
      <c r="F10743" s="5"/>
    </row>
    <row r="10744" spans="2:6" ht="13.8" hidden="1" outlineLevel="1">
      <c r="B10744" s="187">
        <v>37648</v>
      </c>
      <c r="C10744" s="188">
        <v>3.98</v>
      </c>
      <c r="D10744" s="104">
        <f t="shared" si="167"/>
        <v>3.9800000000000002E-2</v>
      </c>
      <c r="F10744" s="5"/>
    </row>
    <row r="10745" spans="2:6" ht="13.8" hidden="1" outlineLevel="1">
      <c r="B10745" s="187">
        <v>37649</v>
      </c>
      <c r="C10745" s="188">
        <v>4</v>
      </c>
      <c r="D10745" s="104">
        <f t="shared" si="167"/>
        <v>0.04</v>
      </c>
      <c r="F10745" s="5"/>
    </row>
    <row r="10746" spans="2:6" ht="13.8" hidden="1" outlineLevel="1">
      <c r="B10746" s="187">
        <v>37650</v>
      </c>
      <c r="C10746" s="188">
        <v>4.0599999999999996</v>
      </c>
      <c r="D10746" s="104">
        <f t="shared" si="167"/>
        <v>4.0599999999999997E-2</v>
      </c>
      <c r="F10746" s="5"/>
    </row>
    <row r="10747" spans="2:6" ht="13.8" hidden="1" outlineLevel="1">
      <c r="B10747" s="187">
        <v>37651</v>
      </c>
      <c r="C10747" s="188">
        <v>4</v>
      </c>
      <c r="D10747" s="104">
        <f t="shared" si="167"/>
        <v>0.04</v>
      </c>
      <c r="F10747" s="5"/>
    </row>
    <row r="10748" spans="2:6" ht="13.8" hidden="1" outlineLevel="1">
      <c r="B10748" s="187">
        <v>37652</v>
      </c>
      <c r="C10748" s="188">
        <v>4</v>
      </c>
      <c r="D10748" s="104">
        <f t="shared" si="167"/>
        <v>0.04</v>
      </c>
      <c r="F10748" s="5"/>
    </row>
    <row r="10749" spans="2:6" ht="13.8" hidden="1" outlineLevel="1">
      <c r="B10749" s="187">
        <v>37655</v>
      </c>
      <c r="C10749" s="188">
        <v>4.01</v>
      </c>
      <c r="D10749" s="104">
        <f t="shared" si="167"/>
        <v>4.0099999999999997E-2</v>
      </c>
      <c r="F10749" s="5"/>
    </row>
    <row r="10750" spans="2:6" ht="13.8" hidden="1" outlineLevel="1">
      <c r="B10750" s="187">
        <v>37656</v>
      </c>
      <c r="C10750" s="188">
        <v>3.96</v>
      </c>
      <c r="D10750" s="104">
        <f t="shared" si="167"/>
        <v>3.9599999999999996E-2</v>
      </c>
      <c r="F10750" s="5"/>
    </row>
    <row r="10751" spans="2:6" ht="13.8" hidden="1" outlineLevel="1">
      <c r="B10751" s="187">
        <v>37657</v>
      </c>
      <c r="C10751" s="188">
        <v>4.0199999999999996</v>
      </c>
      <c r="D10751" s="104">
        <f t="shared" si="167"/>
        <v>4.0199999999999993E-2</v>
      </c>
      <c r="F10751" s="5"/>
    </row>
    <row r="10752" spans="2:6" ht="13.8" hidden="1" outlineLevel="1">
      <c r="B10752" s="187">
        <v>37658</v>
      </c>
      <c r="C10752" s="188">
        <v>3.97</v>
      </c>
      <c r="D10752" s="104">
        <f t="shared" si="167"/>
        <v>3.9699999999999999E-2</v>
      </c>
      <c r="F10752" s="5"/>
    </row>
    <row r="10753" spans="2:6" ht="13.8" hidden="1" outlineLevel="1">
      <c r="B10753" s="187">
        <v>37659</v>
      </c>
      <c r="C10753" s="188">
        <v>3.96</v>
      </c>
      <c r="D10753" s="104">
        <f t="shared" si="167"/>
        <v>3.9599999999999996E-2</v>
      </c>
      <c r="F10753" s="5"/>
    </row>
    <row r="10754" spans="2:6" ht="13.8" hidden="1" outlineLevel="1">
      <c r="B10754" s="187">
        <v>37662</v>
      </c>
      <c r="C10754" s="188">
        <v>3.99</v>
      </c>
      <c r="D10754" s="104">
        <f t="shared" si="167"/>
        <v>3.9900000000000005E-2</v>
      </c>
      <c r="F10754" s="5"/>
    </row>
    <row r="10755" spans="2:6" ht="13.8" hidden="1" outlineLevel="1">
      <c r="B10755" s="187">
        <v>37663</v>
      </c>
      <c r="C10755" s="188">
        <v>3.98</v>
      </c>
      <c r="D10755" s="104">
        <f t="shared" si="167"/>
        <v>3.9800000000000002E-2</v>
      </c>
      <c r="F10755" s="5"/>
    </row>
    <row r="10756" spans="2:6" ht="13.8" hidden="1" outlineLevel="1">
      <c r="B10756" s="187">
        <v>37664</v>
      </c>
      <c r="C10756" s="188">
        <v>3.93</v>
      </c>
      <c r="D10756" s="104">
        <f t="shared" si="167"/>
        <v>3.9300000000000002E-2</v>
      </c>
      <c r="F10756" s="5"/>
    </row>
    <row r="10757" spans="2:6" ht="13.8" hidden="1" outlineLevel="1">
      <c r="B10757" s="187">
        <v>37665</v>
      </c>
      <c r="C10757" s="188">
        <v>3.89</v>
      </c>
      <c r="D10757" s="104">
        <f t="shared" si="167"/>
        <v>3.8900000000000004E-2</v>
      </c>
      <c r="F10757" s="5"/>
    </row>
    <row r="10758" spans="2:6" ht="13.8" hidden="1" outlineLevel="1">
      <c r="B10758" s="187">
        <v>37666</v>
      </c>
      <c r="C10758" s="188">
        <v>3.95</v>
      </c>
      <c r="D10758" s="104">
        <f t="shared" si="167"/>
        <v>3.95E-2</v>
      </c>
      <c r="F10758" s="5"/>
    </row>
    <row r="10759" spans="2:6" ht="13.8" hidden="1" outlineLevel="1">
      <c r="B10759" s="187">
        <v>37669</v>
      </c>
      <c r="C10759" s="188" t="s">
        <v>380</v>
      </c>
      <c r="D10759" s="104">
        <f t="shared" si="167"/>
        <v>3.95E-2</v>
      </c>
      <c r="F10759" s="5"/>
    </row>
    <row r="10760" spans="2:6" ht="13.8" hidden="1" outlineLevel="1">
      <c r="B10760" s="187">
        <v>37670</v>
      </c>
      <c r="C10760" s="188">
        <v>3.94</v>
      </c>
      <c r="D10760" s="104">
        <f t="shared" si="167"/>
        <v>3.9399999999999998E-2</v>
      </c>
      <c r="F10760" s="5"/>
    </row>
    <row r="10761" spans="2:6" ht="13.8" hidden="1" outlineLevel="1">
      <c r="B10761" s="187">
        <v>37671</v>
      </c>
      <c r="C10761" s="188">
        <v>3.88</v>
      </c>
      <c r="D10761" s="104">
        <f t="shared" si="167"/>
        <v>3.8800000000000001E-2</v>
      </c>
      <c r="F10761" s="5"/>
    </row>
    <row r="10762" spans="2:6" ht="13.8" hidden="1" outlineLevel="1">
      <c r="B10762" s="187">
        <v>37672</v>
      </c>
      <c r="C10762" s="188">
        <v>3.85</v>
      </c>
      <c r="D10762" s="104">
        <f t="shared" si="167"/>
        <v>3.85E-2</v>
      </c>
      <c r="F10762" s="5"/>
    </row>
    <row r="10763" spans="2:6" ht="13.8" hidden="1" outlineLevel="1">
      <c r="B10763" s="187">
        <v>37673</v>
      </c>
      <c r="C10763" s="188">
        <v>3.9</v>
      </c>
      <c r="D10763" s="104">
        <f t="shared" si="167"/>
        <v>3.9E-2</v>
      </c>
      <c r="F10763" s="5"/>
    </row>
    <row r="10764" spans="2:6" ht="13.8" hidden="1" outlineLevel="1">
      <c r="B10764" s="187">
        <v>37676</v>
      </c>
      <c r="C10764" s="188">
        <v>3.86</v>
      </c>
      <c r="D10764" s="104">
        <f t="shared" si="167"/>
        <v>3.8599999999999995E-2</v>
      </c>
      <c r="F10764" s="5"/>
    </row>
    <row r="10765" spans="2:6" ht="13.8" hidden="1" outlineLevel="1">
      <c r="B10765" s="187">
        <v>37677</v>
      </c>
      <c r="C10765" s="188">
        <v>3.81</v>
      </c>
      <c r="D10765" s="104">
        <f t="shared" si="167"/>
        <v>3.8100000000000002E-2</v>
      </c>
      <c r="F10765" s="5"/>
    </row>
    <row r="10766" spans="2:6" ht="13.8" hidden="1" outlineLevel="1">
      <c r="B10766" s="187">
        <v>37678</v>
      </c>
      <c r="C10766" s="188">
        <v>3.78</v>
      </c>
      <c r="D10766" s="104">
        <f t="shared" si="167"/>
        <v>3.78E-2</v>
      </c>
      <c r="F10766" s="5"/>
    </row>
    <row r="10767" spans="2:6" ht="13.8" hidden="1" outlineLevel="1">
      <c r="B10767" s="187">
        <v>37679</v>
      </c>
      <c r="C10767" s="188">
        <v>3.76</v>
      </c>
      <c r="D10767" s="104">
        <f t="shared" si="167"/>
        <v>3.7599999999999995E-2</v>
      </c>
      <c r="F10767" s="5"/>
    </row>
    <row r="10768" spans="2:6" ht="13.8" hidden="1" outlineLevel="1">
      <c r="B10768" s="187">
        <v>37680</v>
      </c>
      <c r="C10768" s="188">
        <v>3.71</v>
      </c>
      <c r="D10768" s="104">
        <f t="shared" si="167"/>
        <v>3.7100000000000001E-2</v>
      </c>
      <c r="F10768" s="5"/>
    </row>
    <row r="10769" spans="2:6" ht="13.8" hidden="1" outlineLevel="1">
      <c r="B10769" s="187">
        <v>37683</v>
      </c>
      <c r="C10769" s="188">
        <v>3.68</v>
      </c>
      <c r="D10769" s="104">
        <f t="shared" si="167"/>
        <v>3.6799999999999999E-2</v>
      </c>
      <c r="F10769" s="5"/>
    </row>
    <row r="10770" spans="2:6" ht="13.8" hidden="1" outlineLevel="1">
      <c r="B10770" s="187">
        <v>37684</v>
      </c>
      <c r="C10770" s="188">
        <v>3.65</v>
      </c>
      <c r="D10770" s="104">
        <f t="shared" si="167"/>
        <v>3.6499999999999998E-2</v>
      </c>
      <c r="F10770" s="5"/>
    </row>
    <row r="10771" spans="2:6" ht="13.8" hidden="1" outlineLevel="1">
      <c r="B10771" s="187">
        <v>37685</v>
      </c>
      <c r="C10771" s="188">
        <v>3.63</v>
      </c>
      <c r="D10771" s="104">
        <f t="shared" si="167"/>
        <v>3.6299999999999999E-2</v>
      </c>
      <c r="F10771" s="5"/>
    </row>
    <row r="10772" spans="2:6" ht="13.8" hidden="1" outlineLevel="1">
      <c r="B10772" s="187">
        <v>37686</v>
      </c>
      <c r="C10772" s="188">
        <v>3.67</v>
      </c>
      <c r="D10772" s="104">
        <f t="shared" si="167"/>
        <v>3.6699999999999997E-2</v>
      </c>
      <c r="F10772" s="5"/>
    </row>
    <row r="10773" spans="2:6" ht="13.8" hidden="1" outlineLevel="1">
      <c r="B10773" s="187">
        <v>37687</v>
      </c>
      <c r="C10773" s="188">
        <v>3.63</v>
      </c>
      <c r="D10773" s="104">
        <f t="shared" si="167"/>
        <v>3.6299999999999999E-2</v>
      </c>
      <c r="F10773" s="5"/>
    </row>
    <row r="10774" spans="2:6" ht="13.8" hidden="1" outlineLevel="1">
      <c r="B10774" s="187">
        <v>37690</v>
      </c>
      <c r="C10774" s="188">
        <v>3.59</v>
      </c>
      <c r="D10774" s="104">
        <f t="shared" si="167"/>
        <v>3.5900000000000001E-2</v>
      </c>
      <c r="F10774" s="5"/>
    </row>
    <row r="10775" spans="2:6" ht="13.8" hidden="1" outlineLevel="1">
      <c r="B10775" s="187">
        <v>37691</v>
      </c>
      <c r="C10775" s="188">
        <v>3.6</v>
      </c>
      <c r="D10775" s="104">
        <f t="shared" si="167"/>
        <v>3.6000000000000004E-2</v>
      </c>
      <c r="F10775" s="5"/>
    </row>
    <row r="10776" spans="2:6" ht="13.8" hidden="1" outlineLevel="1">
      <c r="B10776" s="187">
        <v>37692</v>
      </c>
      <c r="C10776" s="188">
        <v>3.6</v>
      </c>
      <c r="D10776" s="104">
        <f t="shared" si="167"/>
        <v>3.6000000000000004E-2</v>
      </c>
      <c r="F10776" s="5"/>
    </row>
    <row r="10777" spans="2:6" ht="13.8" hidden="1" outlineLevel="1">
      <c r="B10777" s="187">
        <v>37693</v>
      </c>
      <c r="C10777" s="188">
        <v>3.74</v>
      </c>
      <c r="D10777" s="104">
        <f t="shared" si="167"/>
        <v>3.7400000000000003E-2</v>
      </c>
      <c r="F10777" s="5"/>
    </row>
    <row r="10778" spans="2:6" ht="13.8" hidden="1" outlineLevel="1">
      <c r="B10778" s="187">
        <v>37694</v>
      </c>
      <c r="C10778" s="188">
        <v>3.72</v>
      </c>
      <c r="D10778" s="104">
        <f t="shared" si="167"/>
        <v>3.7200000000000004E-2</v>
      </c>
      <c r="F10778" s="5"/>
    </row>
    <row r="10779" spans="2:6" ht="13.8" hidden="1" outlineLevel="1">
      <c r="B10779" s="187">
        <v>37697</v>
      </c>
      <c r="C10779" s="188">
        <v>3.82</v>
      </c>
      <c r="D10779" s="104">
        <f t="shared" si="167"/>
        <v>3.8199999999999998E-2</v>
      </c>
      <c r="F10779" s="5"/>
    </row>
    <row r="10780" spans="2:6" ht="13.8" hidden="1" outlineLevel="1">
      <c r="B10780" s="187">
        <v>37698</v>
      </c>
      <c r="C10780" s="188">
        <v>3.91</v>
      </c>
      <c r="D10780" s="104">
        <f t="shared" si="167"/>
        <v>3.9100000000000003E-2</v>
      </c>
      <c r="F10780" s="5"/>
    </row>
    <row r="10781" spans="2:6" ht="13.8" hidden="1" outlineLevel="1">
      <c r="B10781" s="187">
        <v>37699</v>
      </c>
      <c r="C10781" s="188">
        <v>3.98</v>
      </c>
      <c r="D10781" s="104">
        <f t="shared" si="167"/>
        <v>3.9800000000000002E-2</v>
      </c>
      <c r="F10781" s="5"/>
    </row>
    <row r="10782" spans="2:6" ht="13.8" hidden="1" outlineLevel="1">
      <c r="B10782" s="187">
        <v>37700</v>
      </c>
      <c r="C10782" s="188">
        <v>4.01</v>
      </c>
      <c r="D10782" s="104">
        <f t="shared" ref="D10782:D10845" si="168">IF( LEN( C10782 ) = 0, #N/A, IF( C10782 = "ND", D10781, C10782 / 100 ) )</f>
        <v>4.0099999999999997E-2</v>
      </c>
      <c r="F10782" s="5"/>
    </row>
    <row r="10783" spans="2:6" ht="13.8" hidden="1" outlineLevel="1">
      <c r="B10783" s="187">
        <v>37701</v>
      </c>
      <c r="C10783" s="188">
        <v>4.1100000000000003</v>
      </c>
      <c r="D10783" s="104">
        <f t="shared" si="168"/>
        <v>4.1100000000000005E-2</v>
      </c>
      <c r="F10783" s="5"/>
    </row>
    <row r="10784" spans="2:6" ht="13.8" hidden="1" outlineLevel="1">
      <c r="B10784" s="187">
        <v>37704</v>
      </c>
      <c r="C10784" s="188">
        <v>3.98</v>
      </c>
      <c r="D10784" s="104">
        <f t="shared" si="168"/>
        <v>3.9800000000000002E-2</v>
      </c>
      <c r="F10784" s="5"/>
    </row>
    <row r="10785" spans="2:6" ht="13.8" hidden="1" outlineLevel="1">
      <c r="B10785" s="187">
        <v>37705</v>
      </c>
      <c r="C10785" s="188">
        <v>3.97</v>
      </c>
      <c r="D10785" s="104">
        <f t="shared" si="168"/>
        <v>3.9699999999999999E-2</v>
      </c>
      <c r="F10785" s="5"/>
    </row>
    <row r="10786" spans="2:6" ht="13.8" hidden="1" outlineLevel="1">
      <c r="B10786" s="187">
        <v>37706</v>
      </c>
      <c r="C10786" s="188">
        <v>3.96</v>
      </c>
      <c r="D10786" s="104">
        <f t="shared" si="168"/>
        <v>3.9599999999999996E-2</v>
      </c>
      <c r="F10786" s="5"/>
    </row>
    <row r="10787" spans="2:6" ht="13.8" hidden="1" outlineLevel="1">
      <c r="B10787" s="187">
        <v>37707</v>
      </c>
      <c r="C10787" s="188">
        <v>3.95</v>
      </c>
      <c r="D10787" s="104">
        <f t="shared" si="168"/>
        <v>3.95E-2</v>
      </c>
      <c r="F10787" s="5"/>
    </row>
    <row r="10788" spans="2:6" ht="13.8" hidden="1" outlineLevel="1">
      <c r="B10788" s="187">
        <v>37708</v>
      </c>
      <c r="C10788" s="188">
        <v>3.92</v>
      </c>
      <c r="D10788" s="104">
        <f t="shared" si="168"/>
        <v>3.9199999999999999E-2</v>
      </c>
      <c r="F10788" s="5"/>
    </row>
    <row r="10789" spans="2:6" ht="13.8" hidden="1" outlineLevel="1">
      <c r="B10789" s="187">
        <v>37711</v>
      </c>
      <c r="C10789" s="188">
        <v>3.83</v>
      </c>
      <c r="D10789" s="104">
        <f t="shared" si="168"/>
        <v>3.8300000000000001E-2</v>
      </c>
      <c r="F10789" s="5"/>
    </row>
    <row r="10790" spans="2:6" ht="13.8" hidden="1" outlineLevel="1">
      <c r="B10790" s="187">
        <v>37712</v>
      </c>
      <c r="C10790" s="188">
        <v>3.84</v>
      </c>
      <c r="D10790" s="104">
        <f t="shared" si="168"/>
        <v>3.8399999999999997E-2</v>
      </c>
      <c r="F10790" s="5"/>
    </row>
    <row r="10791" spans="2:6" ht="13.8" hidden="1" outlineLevel="1">
      <c r="B10791" s="187">
        <v>37713</v>
      </c>
      <c r="C10791" s="188">
        <v>3.94</v>
      </c>
      <c r="D10791" s="104">
        <f t="shared" si="168"/>
        <v>3.9399999999999998E-2</v>
      </c>
      <c r="F10791" s="5"/>
    </row>
    <row r="10792" spans="2:6" ht="13.8" hidden="1" outlineLevel="1">
      <c r="B10792" s="187">
        <v>37714</v>
      </c>
      <c r="C10792" s="188">
        <v>3.93</v>
      </c>
      <c r="D10792" s="104">
        <f t="shared" si="168"/>
        <v>3.9300000000000002E-2</v>
      </c>
      <c r="F10792" s="5"/>
    </row>
    <row r="10793" spans="2:6" ht="13.8" hidden="1" outlineLevel="1">
      <c r="B10793" s="187">
        <v>37715</v>
      </c>
      <c r="C10793" s="188">
        <v>3.96</v>
      </c>
      <c r="D10793" s="104">
        <f t="shared" si="168"/>
        <v>3.9599999999999996E-2</v>
      </c>
      <c r="F10793" s="5"/>
    </row>
    <row r="10794" spans="2:6" ht="13.8" hidden="1" outlineLevel="1">
      <c r="B10794" s="187">
        <v>37718</v>
      </c>
      <c r="C10794" s="188">
        <v>4.03</v>
      </c>
      <c r="D10794" s="104">
        <f t="shared" si="168"/>
        <v>4.0300000000000002E-2</v>
      </c>
      <c r="F10794" s="5"/>
    </row>
    <row r="10795" spans="2:6" ht="13.8" hidden="1" outlineLevel="1">
      <c r="B10795" s="187">
        <v>37719</v>
      </c>
      <c r="C10795" s="188">
        <v>3.95</v>
      </c>
      <c r="D10795" s="104">
        <f t="shared" si="168"/>
        <v>3.95E-2</v>
      </c>
      <c r="F10795" s="5"/>
    </row>
    <row r="10796" spans="2:6" ht="13.8" hidden="1" outlineLevel="1">
      <c r="B10796" s="187">
        <v>37720</v>
      </c>
      <c r="C10796" s="188">
        <v>3.93</v>
      </c>
      <c r="D10796" s="104">
        <f t="shared" si="168"/>
        <v>3.9300000000000002E-2</v>
      </c>
      <c r="F10796" s="5"/>
    </row>
    <row r="10797" spans="2:6" ht="13.8" hidden="1" outlineLevel="1">
      <c r="B10797" s="187">
        <v>37721</v>
      </c>
      <c r="C10797" s="188">
        <v>3.95</v>
      </c>
      <c r="D10797" s="104">
        <f t="shared" si="168"/>
        <v>3.95E-2</v>
      </c>
      <c r="F10797" s="5"/>
    </row>
    <row r="10798" spans="2:6" ht="13.8" hidden="1" outlineLevel="1">
      <c r="B10798" s="187">
        <v>37722</v>
      </c>
      <c r="C10798" s="188">
        <v>4</v>
      </c>
      <c r="D10798" s="104">
        <f t="shared" si="168"/>
        <v>0.04</v>
      </c>
      <c r="F10798" s="5"/>
    </row>
    <row r="10799" spans="2:6" ht="13.8" hidden="1" outlineLevel="1">
      <c r="B10799" s="187">
        <v>37725</v>
      </c>
      <c r="C10799" s="188">
        <v>4.04</v>
      </c>
      <c r="D10799" s="104">
        <f t="shared" si="168"/>
        <v>4.0399999999999998E-2</v>
      </c>
      <c r="F10799" s="5"/>
    </row>
    <row r="10800" spans="2:6" ht="13.8" hidden="1" outlineLevel="1">
      <c r="B10800" s="187">
        <v>37726</v>
      </c>
      <c r="C10800" s="188">
        <v>3.98</v>
      </c>
      <c r="D10800" s="104">
        <f t="shared" si="168"/>
        <v>3.9800000000000002E-2</v>
      </c>
      <c r="F10800" s="5"/>
    </row>
    <row r="10801" spans="2:6" ht="13.8" hidden="1" outlineLevel="1">
      <c r="B10801" s="187">
        <v>37727</v>
      </c>
      <c r="C10801" s="188">
        <v>3.96</v>
      </c>
      <c r="D10801" s="104">
        <f t="shared" si="168"/>
        <v>3.9599999999999996E-2</v>
      </c>
      <c r="F10801" s="5"/>
    </row>
    <row r="10802" spans="2:6" ht="13.8" hidden="1" outlineLevel="1">
      <c r="B10802" s="187">
        <v>37728</v>
      </c>
      <c r="C10802" s="188">
        <v>3.98</v>
      </c>
      <c r="D10802" s="104">
        <f t="shared" si="168"/>
        <v>3.9800000000000002E-2</v>
      </c>
      <c r="F10802" s="5"/>
    </row>
    <row r="10803" spans="2:6" ht="13.8" hidden="1" outlineLevel="1">
      <c r="B10803" s="187">
        <v>37729</v>
      </c>
      <c r="C10803" s="188" t="s">
        <v>380</v>
      </c>
      <c r="D10803" s="104">
        <f t="shared" si="168"/>
        <v>3.9800000000000002E-2</v>
      </c>
      <c r="F10803" s="5"/>
    </row>
    <row r="10804" spans="2:6" ht="13.8" hidden="1" outlineLevel="1">
      <c r="B10804" s="187">
        <v>37732</v>
      </c>
      <c r="C10804" s="188">
        <v>4</v>
      </c>
      <c r="D10804" s="104">
        <f t="shared" si="168"/>
        <v>0.04</v>
      </c>
      <c r="F10804" s="5"/>
    </row>
    <row r="10805" spans="2:6" ht="13.8" hidden="1" outlineLevel="1">
      <c r="B10805" s="187">
        <v>37733</v>
      </c>
      <c r="C10805" s="188">
        <v>4.01</v>
      </c>
      <c r="D10805" s="104">
        <f t="shared" si="168"/>
        <v>4.0099999999999997E-2</v>
      </c>
      <c r="F10805" s="5"/>
    </row>
    <row r="10806" spans="2:6" ht="13.8" hidden="1" outlineLevel="1">
      <c r="B10806" s="187">
        <v>37734</v>
      </c>
      <c r="C10806" s="188">
        <v>4.0199999999999996</v>
      </c>
      <c r="D10806" s="104">
        <f t="shared" si="168"/>
        <v>4.0199999999999993E-2</v>
      </c>
      <c r="F10806" s="5"/>
    </row>
    <row r="10807" spans="2:6" ht="13.8" hidden="1" outlineLevel="1">
      <c r="B10807" s="187">
        <v>37735</v>
      </c>
      <c r="C10807" s="188">
        <v>3.93</v>
      </c>
      <c r="D10807" s="104">
        <f t="shared" si="168"/>
        <v>3.9300000000000002E-2</v>
      </c>
      <c r="F10807" s="5"/>
    </row>
    <row r="10808" spans="2:6" ht="13.8" hidden="1" outlineLevel="1">
      <c r="B10808" s="187">
        <v>37736</v>
      </c>
      <c r="C10808" s="188">
        <v>3.91</v>
      </c>
      <c r="D10808" s="104">
        <f t="shared" si="168"/>
        <v>3.9100000000000003E-2</v>
      </c>
      <c r="F10808" s="5"/>
    </row>
    <row r="10809" spans="2:6" ht="13.8" hidden="1" outlineLevel="1">
      <c r="B10809" s="187">
        <v>37739</v>
      </c>
      <c r="C10809" s="188">
        <v>3.92</v>
      </c>
      <c r="D10809" s="104">
        <f t="shared" si="168"/>
        <v>3.9199999999999999E-2</v>
      </c>
      <c r="F10809" s="5"/>
    </row>
    <row r="10810" spans="2:6" ht="13.8" hidden="1" outlineLevel="1">
      <c r="B10810" s="187">
        <v>37740</v>
      </c>
      <c r="C10810" s="188">
        <v>3.96</v>
      </c>
      <c r="D10810" s="104">
        <f t="shared" si="168"/>
        <v>3.9599999999999996E-2</v>
      </c>
      <c r="F10810" s="5"/>
    </row>
    <row r="10811" spans="2:6" ht="13.8" hidden="1" outlineLevel="1">
      <c r="B10811" s="187">
        <v>37741</v>
      </c>
      <c r="C10811" s="188">
        <v>3.89</v>
      </c>
      <c r="D10811" s="104">
        <f t="shared" si="168"/>
        <v>3.8900000000000004E-2</v>
      </c>
      <c r="F10811" s="5"/>
    </row>
    <row r="10812" spans="2:6" ht="13.8" hidden="1" outlineLevel="1">
      <c r="B10812" s="187">
        <v>37742</v>
      </c>
      <c r="C10812" s="188">
        <v>3.88</v>
      </c>
      <c r="D10812" s="104">
        <f t="shared" si="168"/>
        <v>3.8800000000000001E-2</v>
      </c>
      <c r="F10812" s="5"/>
    </row>
    <row r="10813" spans="2:6" ht="13.8" hidden="1" outlineLevel="1">
      <c r="B10813" s="187">
        <v>37743</v>
      </c>
      <c r="C10813" s="188">
        <v>3.94</v>
      </c>
      <c r="D10813" s="104">
        <f t="shared" si="168"/>
        <v>3.9399999999999998E-2</v>
      </c>
      <c r="F10813" s="5"/>
    </row>
    <row r="10814" spans="2:6" ht="13.8" hidden="1" outlineLevel="1">
      <c r="B10814" s="187">
        <v>37746</v>
      </c>
      <c r="C10814" s="188">
        <v>3.92</v>
      </c>
      <c r="D10814" s="104">
        <f t="shared" si="168"/>
        <v>3.9199999999999999E-2</v>
      </c>
      <c r="F10814" s="5"/>
    </row>
    <row r="10815" spans="2:6" ht="13.8" hidden="1" outlineLevel="1">
      <c r="B10815" s="187">
        <v>37747</v>
      </c>
      <c r="C10815" s="188">
        <v>3.84</v>
      </c>
      <c r="D10815" s="104">
        <f t="shared" si="168"/>
        <v>3.8399999999999997E-2</v>
      </c>
      <c r="F10815" s="5"/>
    </row>
    <row r="10816" spans="2:6" ht="13.8" hidden="1" outlineLevel="1">
      <c r="B10816" s="187">
        <v>37748</v>
      </c>
      <c r="C10816" s="188">
        <v>3.72</v>
      </c>
      <c r="D10816" s="104">
        <f t="shared" si="168"/>
        <v>3.7200000000000004E-2</v>
      </c>
      <c r="F10816" s="5"/>
    </row>
    <row r="10817" spans="2:6" ht="13.8" hidden="1" outlineLevel="1">
      <c r="B10817" s="187">
        <v>37749</v>
      </c>
      <c r="C10817" s="188">
        <v>3.7</v>
      </c>
      <c r="D10817" s="104">
        <f t="shared" si="168"/>
        <v>3.7000000000000005E-2</v>
      </c>
      <c r="F10817" s="5"/>
    </row>
    <row r="10818" spans="2:6" ht="13.8" hidden="1" outlineLevel="1">
      <c r="B10818" s="187">
        <v>37750</v>
      </c>
      <c r="C10818" s="188">
        <v>3.69</v>
      </c>
      <c r="D10818" s="104">
        <f t="shared" si="168"/>
        <v>3.6900000000000002E-2</v>
      </c>
      <c r="F10818" s="5"/>
    </row>
    <row r="10819" spans="2:6" ht="13.8" hidden="1" outlineLevel="1">
      <c r="B10819" s="187">
        <v>37753</v>
      </c>
      <c r="C10819" s="188">
        <v>3.64</v>
      </c>
      <c r="D10819" s="104">
        <f t="shared" si="168"/>
        <v>3.6400000000000002E-2</v>
      </c>
      <c r="F10819" s="5"/>
    </row>
    <row r="10820" spans="2:6" ht="13.8" hidden="1" outlineLevel="1">
      <c r="B10820" s="187">
        <v>37754</v>
      </c>
      <c r="C10820" s="188">
        <v>3.63</v>
      </c>
      <c r="D10820" s="104">
        <f t="shared" si="168"/>
        <v>3.6299999999999999E-2</v>
      </c>
      <c r="F10820" s="5"/>
    </row>
    <row r="10821" spans="2:6" ht="13.8" hidden="1" outlineLevel="1">
      <c r="B10821" s="187">
        <v>37755</v>
      </c>
      <c r="C10821" s="188">
        <v>3.53</v>
      </c>
      <c r="D10821" s="104">
        <f t="shared" si="168"/>
        <v>3.5299999999999998E-2</v>
      </c>
      <c r="F10821" s="5"/>
    </row>
    <row r="10822" spans="2:6" ht="13.8" hidden="1" outlineLevel="1">
      <c r="B10822" s="187">
        <v>37756</v>
      </c>
      <c r="C10822" s="188">
        <v>3.53</v>
      </c>
      <c r="D10822" s="104">
        <f t="shared" si="168"/>
        <v>3.5299999999999998E-2</v>
      </c>
      <c r="F10822" s="5"/>
    </row>
    <row r="10823" spans="2:6" ht="13.8" hidden="1" outlineLevel="1">
      <c r="B10823" s="187">
        <v>37757</v>
      </c>
      <c r="C10823" s="188">
        <v>3.46</v>
      </c>
      <c r="D10823" s="104">
        <f t="shared" si="168"/>
        <v>3.4599999999999999E-2</v>
      </c>
      <c r="F10823" s="5"/>
    </row>
    <row r="10824" spans="2:6" ht="13.8" hidden="1" outlineLevel="1">
      <c r="B10824" s="187">
        <v>37760</v>
      </c>
      <c r="C10824" s="188">
        <v>3.46</v>
      </c>
      <c r="D10824" s="104">
        <f t="shared" si="168"/>
        <v>3.4599999999999999E-2</v>
      </c>
      <c r="F10824" s="5"/>
    </row>
    <row r="10825" spans="2:6" ht="13.8" hidden="1" outlineLevel="1">
      <c r="B10825" s="187">
        <v>37761</v>
      </c>
      <c r="C10825" s="188">
        <v>3.38</v>
      </c>
      <c r="D10825" s="104">
        <f t="shared" si="168"/>
        <v>3.3799999999999997E-2</v>
      </c>
      <c r="F10825" s="5"/>
    </row>
    <row r="10826" spans="2:6" ht="13.8" hidden="1" outlineLevel="1">
      <c r="B10826" s="187">
        <v>37762</v>
      </c>
      <c r="C10826" s="188">
        <v>3.39</v>
      </c>
      <c r="D10826" s="104">
        <f t="shared" si="168"/>
        <v>3.39E-2</v>
      </c>
      <c r="F10826" s="5"/>
    </row>
    <row r="10827" spans="2:6" ht="13.8" hidden="1" outlineLevel="1">
      <c r="B10827" s="187">
        <v>37763</v>
      </c>
      <c r="C10827" s="188">
        <v>3.34</v>
      </c>
      <c r="D10827" s="104">
        <f t="shared" si="168"/>
        <v>3.3399999999999999E-2</v>
      </c>
      <c r="F10827" s="5"/>
    </row>
    <row r="10828" spans="2:6" ht="13.8" hidden="1" outlineLevel="1">
      <c r="B10828" s="187">
        <v>37764</v>
      </c>
      <c r="C10828" s="188">
        <v>3.34</v>
      </c>
      <c r="D10828" s="104">
        <f t="shared" si="168"/>
        <v>3.3399999999999999E-2</v>
      </c>
      <c r="F10828" s="5"/>
    </row>
    <row r="10829" spans="2:6" ht="13.8" hidden="1" outlineLevel="1">
      <c r="B10829" s="187">
        <v>37767</v>
      </c>
      <c r="C10829" s="188" t="s">
        <v>380</v>
      </c>
      <c r="D10829" s="104">
        <f t="shared" si="168"/>
        <v>3.3399999999999999E-2</v>
      </c>
      <c r="F10829" s="5"/>
    </row>
    <row r="10830" spans="2:6" ht="13.8" hidden="1" outlineLevel="1">
      <c r="B10830" s="187">
        <v>37768</v>
      </c>
      <c r="C10830" s="188">
        <v>3.41</v>
      </c>
      <c r="D10830" s="104">
        <f t="shared" si="168"/>
        <v>3.4099999999999998E-2</v>
      </c>
      <c r="F10830" s="5"/>
    </row>
    <row r="10831" spans="2:6" ht="13.8" hidden="1" outlineLevel="1">
      <c r="B10831" s="187">
        <v>37769</v>
      </c>
      <c r="C10831" s="188">
        <v>3.44</v>
      </c>
      <c r="D10831" s="104">
        <f t="shared" si="168"/>
        <v>3.44E-2</v>
      </c>
      <c r="F10831" s="5"/>
    </row>
    <row r="10832" spans="2:6" ht="13.8" hidden="1" outlineLevel="1">
      <c r="B10832" s="187">
        <v>37770</v>
      </c>
      <c r="C10832" s="188">
        <v>3.34</v>
      </c>
      <c r="D10832" s="104">
        <f t="shared" si="168"/>
        <v>3.3399999999999999E-2</v>
      </c>
      <c r="F10832" s="5"/>
    </row>
    <row r="10833" spans="2:6" ht="13.8" hidden="1" outlineLevel="1">
      <c r="B10833" s="187">
        <v>37771</v>
      </c>
      <c r="C10833" s="188">
        <v>3.37</v>
      </c>
      <c r="D10833" s="104">
        <f t="shared" si="168"/>
        <v>3.3700000000000001E-2</v>
      </c>
      <c r="F10833" s="5"/>
    </row>
    <row r="10834" spans="2:6" ht="13.8" hidden="1" outlineLevel="1">
      <c r="B10834" s="187">
        <v>37774</v>
      </c>
      <c r="C10834" s="188">
        <v>3.43</v>
      </c>
      <c r="D10834" s="104">
        <f t="shared" si="168"/>
        <v>3.4300000000000004E-2</v>
      </c>
      <c r="F10834" s="5"/>
    </row>
    <row r="10835" spans="2:6" ht="13.8" hidden="1" outlineLevel="1">
      <c r="B10835" s="187">
        <v>37775</v>
      </c>
      <c r="C10835" s="188">
        <v>3.34</v>
      </c>
      <c r="D10835" s="104">
        <f t="shared" si="168"/>
        <v>3.3399999999999999E-2</v>
      </c>
      <c r="F10835" s="5"/>
    </row>
    <row r="10836" spans="2:6" ht="13.8" hidden="1" outlineLevel="1">
      <c r="B10836" s="187">
        <v>37776</v>
      </c>
      <c r="C10836" s="188">
        <v>3.3</v>
      </c>
      <c r="D10836" s="104">
        <f t="shared" si="168"/>
        <v>3.3000000000000002E-2</v>
      </c>
      <c r="F10836" s="5"/>
    </row>
    <row r="10837" spans="2:6" ht="13.8" hidden="1" outlineLevel="1">
      <c r="B10837" s="187">
        <v>37777</v>
      </c>
      <c r="C10837" s="188">
        <v>3.34</v>
      </c>
      <c r="D10837" s="104">
        <f t="shared" si="168"/>
        <v>3.3399999999999999E-2</v>
      </c>
      <c r="F10837" s="5"/>
    </row>
    <row r="10838" spans="2:6" ht="13.8" hidden="1" outlineLevel="1">
      <c r="B10838" s="187">
        <v>37778</v>
      </c>
      <c r="C10838" s="188">
        <v>3.37</v>
      </c>
      <c r="D10838" s="104">
        <f t="shared" si="168"/>
        <v>3.3700000000000001E-2</v>
      </c>
      <c r="F10838" s="5"/>
    </row>
    <row r="10839" spans="2:6" ht="13.8" hidden="1" outlineLevel="1">
      <c r="B10839" s="187">
        <v>37781</v>
      </c>
      <c r="C10839" s="188">
        <v>3.29</v>
      </c>
      <c r="D10839" s="104">
        <f t="shared" si="168"/>
        <v>3.2899999999999999E-2</v>
      </c>
      <c r="F10839" s="5"/>
    </row>
    <row r="10840" spans="2:6" ht="13.8" hidden="1" outlineLevel="1">
      <c r="B10840" s="187">
        <v>37782</v>
      </c>
      <c r="C10840" s="188">
        <v>3.2</v>
      </c>
      <c r="D10840" s="104">
        <f t="shared" si="168"/>
        <v>3.2000000000000001E-2</v>
      </c>
      <c r="F10840" s="5"/>
    </row>
    <row r="10841" spans="2:6" ht="13.8" hidden="1" outlineLevel="1">
      <c r="B10841" s="187">
        <v>37783</v>
      </c>
      <c r="C10841" s="188">
        <v>3.21</v>
      </c>
      <c r="D10841" s="104">
        <f t="shared" si="168"/>
        <v>3.2099999999999997E-2</v>
      </c>
      <c r="F10841" s="5"/>
    </row>
    <row r="10842" spans="2:6" ht="13.8" hidden="1" outlineLevel="1">
      <c r="B10842" s="187">
        <v>37784</v>
      </c>
      <c r="C10842" s="188">
        <v>3.18</v>
      </c>
      <c r="D10842" s="104">
        <f t="shared" si="168"/>
        <v>3.1800000000000002E-2</v>
      </c>
      <c r="F10842" s="5"/>
    </row>
    <row r="10843" spans="2:6" ht="13.8" hidden="1" outlineLevel="1">
      <c r="B10843" s="187">
        <v>37785</v>
      </c>
      <c r="C10843" s="188">
        <v>3.13</v>
      </c>
      <c r="D10843" s="104">
        <f t="shared" si="168"/>
        <v>3.1300000000000001E-2</v>
      </c>
      <c r="F10843" s="5"/>
    </row>
    <row r="10844" spans="2:6" ht="13.8" hidden="1" outlineLevel="1">
      <c r="B10844" s="187">
        <v>37788</v>
      </c>
      <c r="C10844" s="188">
        <v>3.18</v>
      </c>
      <c r="D10844" s="104">
        <f t="shared" si="168"/>
        <v>3.1800000000000002E-2</v>
      </c>
      <c r="F10844" s="5"/>
    </row>
    <row r="10845" spans="2:6" ht="13.8" hidden="1" outlineLevel="1">
      <c r="B10845" s="187">
        <v>37789</v>
      </c>
      <c r="C10845" s="188">
        <v>3.27</v>
      </c>
      <c r="D10845" s="104">
        <f t="shared" si="168"/>
        <v>3.27E-2</v>
      </c>
      <c r="F10845" s="5"/>
    </row>
    <row r="10846" spans="2:6" ht="13.8" hidden="1" outlineLevel="1">
      <c r="B10846" s="187">
        <v>37790</v>
      </c>
      <c r="C10846" s="188">
        <v>3.37</v>
      </c>
      <c r="D10846" s="104">
        <f t="shared" ref="D10846:D10909" si="169">IF( LEN( C10846 ) = 0, #N/A, IF( C10846 = "ND", D10845, C10846 / 100 ) )</f>
        <v>3.3700000000000001E-2</v>
      </c>
      <c r="F10846" s="5"/>
    </row>
    <row r="10847" spans="2:6" ht="13.8" hidden="1" outlineLevel="1">
      <c r="B10847" s="187">
        <v>37791</v>
      </c>
      <c r="C10847" s="188">
        <v>3.35</v>
      </c>
      <c r="D10847" s="104">
        <f t="shared" si="169"/>
        <v>3.3500000000000002E-2</v>
      </c>
      <c r="F10847" s="5"/>
    </row>
    <row r="10848" spans="2:6" ht="13.8" hidden="1" outlineLevel="1">
      <c r="B10848" s="187">
        <v>37792</v>
      </c>
      <c r="C10848" s="188">
        <v>3.4</v>
      </c>
      <c r="D10848" s="104">
        <f t="shared" si="169"/>
        <v>3.4000000000000002E-2</v>
      </c>
      <c r="F10848" s="5"/>
    </row>
    <row r="10849" spans="2:6" ht="13.8" hidden="1" outlineLevel="1">
      <c r="B10849" s="187">
        <v>37795</v>
      </c>
      <c r="C10849" s="188">
        <v>3.32</v>
      </c>
      <c r="D10849" s="104">
        <f t="shared" si="169"/>
        <v>3.32E-2</v>
      </c>
      <c r="F10849" s="5"/>
    </row>
    <row r="10850" spans="2:6" ht="13.8" hidden="1" outlineLevel="1">
      <c r="B10850" s="187">
        <v>37796</v>
      </c>
      <c r="C10850" s="188">
        <v>3.29</v>
      </c>
      <c r="D10850" s="104">
        <f t="shared" si="169"/>
        <v>3.2899999999999999E-2</v>
      </c>
      <c r="F10850" s="5"/>
    </row>
    <row r="10851" spans="2:6" ht="13.8" hidden="1" outlineLevel="1">
      <c r="B10851" s="187">
        <v>37797</v>
      </c>
      <c r="C10851" s="188">
        <v>3.38</v>
      </c>
      <c r="D10851" s="104">
        <f t="shared" si="169"/>
        <v>3.3799999999999997E-2</v>
      </c>
      <c r="F10851" s="5"/>
    </row>
    <row r="10852" spans="2:6" ht="13.8" hidden="1" outlineLevel="1">
      <c r="B10852" s="187">
        <v>37798</v>
      </c>
      <c r="C10852" s="188">
        <v>3.55</v>
      </c>
      <c r="D10852" s="104">
        <f t="shared" si="169"/>
        <v>3.5499999999999997E-2</v>
      </c>
      <c r="F10852" s="5"/>
    </row>
    <row r="10853" spans="2:6" ht="13.8" hidden="1" outlineLevel="1">
      <c r="B10853" s="187">
        <v>37799</v>
      </c>
      <c r="C10853" s="188">
        <v>3.58</v>
      </c>
      <c r="D10853" s="104">
        <f t="shared" si="169"/>
        <v>3.5799999999999998E-2</v>
      </c>
      <c r="F10853" s="5"/>
    </row>
    <row r="10854" spans="2:6" ht="13.8" hidden="1" outlineLevel="1">
      <c r="B10854" s="187">
        <v>37802</v>
      </c>
      <c r="C10854" s="188">
        <v>3.54</v>
      </c>
      <c r="D10854" s="104">
        <f t="shared" si="169"/>
        <v>3.5400000000000001E-2</v>
      </c>
      <c r="F10854" s="5"/>
    </row>
    <row r="10855" spans="2:6" ht="13.8" hidden="1" outlineLevel="1">
      <c r="B10855" s="187">
        <v>37803</v>
      </c>
      <c r="C10855" s="188">
        <v>3.56</v>
      </c>
      <c r="D10855" s="104">
        <f t="shared" si="169"/>
        <v>3.56E-2</v>
      </c>
      <c r="F10855" s="5"/>
    </row>
    <row r="10856" spans="2:6" ht="13.8" hidden="1" outlineLevel="1">
      <c r="B10856" s="187">
        <v>37804</v>
      </c>
      <c r="C10856" s="188">
        <v>3.56</v>
      </c>
      <c r="D10856" s="104">
        <f t="shared" si="169"/>
        <v>3.56E-2</v>
      </c>
      <c r="F10856" s="5"/>
    </row>
    <row r="10857" spans="2:6" ht="13.8" hidden="1" outlineLevel="1">
      <c r="B10857" s="187">
        <v>37805</v>
      </c>
      <c r="C10857" s="188">
        <v>3.67</v>
      </c>
      <c r="D10857" s="104">
        <f t="shared" si="169"/>
        <v>3.6699999999999997E-2</v>
      </c>
      <c r="F10857" s="5"/>
    </row>
    <row r="10858" spans="2:6" ht="13.8" hidden="1" outlineLevel="1">
      <c r="B10858" s="187">
        <v>37806</v>
      </c>
      <c r="C10858" s="188" t="s">
        <v>380</v>
      </c>
      <c r="D10858" s="104">
        <f t="shared" si="169"/>
        <v>3.6699999999999997E-2</v>
      </c>
      <c r="F10858" s="5"/>
    </row>
    <row r="10859" spans="2:6" ht="13.8" hidden="1" outlineLevel="1">
      <c r="B10859" s="187">
        <v>37809</v>
      </c>
      <c r="C10859" s="188">
        <v>3.74</v>
      </c>
      <c r="D10859" s="104">
        <f t="shared" si="169"/>
        <v>3.7400000000000003E-2</v>
      </c>
      <c r="F10859" s="5"/>
    </row>
    <row r="10860" spans="2:6" ht="13.8" hidden="1" outlineLevel="1">
      <c r="B10860" s="187">
        <v>37810</v>
      </c>
      <c r="C10860" s="188">
        <v>3.75</v>
      </c>
      <c r="D10860" s="104">
        <f t="shared" si="169"/>
        <v>3.7499999999999999E-2</v>
      </c>
      <c r="F10860" s="5"/>
    </row>
    <row r="10861" spans="2:6" ht="13.8" hidden="1" outlineLevel="1">
      <c r="B10861" s="187">
        <v>37811</v>
      </c>
      <c r="C10861" s="188">
        <v>3.73</v>
      </c>
      <c r="D10861" s="104">
        <f t="shared" si="169"/>
        <v>3.73E-2</v>
      </c>
      <c r="F10861" s="5"/>
    </row>
    <row r="10862" spans="2:6" ht="13.8" hidden="1" outlineLevel="1">
      <c r="B10862" s="187">
        <v>37812</v>
      </c>
      <c r="C10862" s="188">
        <v>3.7</v>
      </c>
      <c r="D10862" s="104">
        <f t="shared" si="169"/>
        <v>3.7000000000000005E-2</v>
      </c>
      <c r="F10862" s="5"/>
    </row>
    <row r="10863" spans="2:6" ht="13.8" hidden="1" outlineLevel="1">
      <c r="B10863" s="187">
        <v>37813</v>
      </c>
      <c r="C10863" s="188">
        <v>3.66</v>
      </c>
      <c r="D10863" s="104">
        <f t="shared" si="169"/>
        <v>3.6600000000000001E-2</v>
      </c>
      <c r="F10863" s="5"/>
    </row>
    <row r="10864" spans="2:6" ht="13.8" hidden="1" outlineLevel="1">
      <c r="B10864" s="187">
        <v>37816</v>
      </c>
      <c r="C10864" s="188">
        <v>3.74</v>
      </c>
      <c r="D10864" s="104">
        <f t="shared" si="169"/>
        <v>3.7400000000000003E-2</v>
      </c>
      <c r="F10864" s="5"/>
    </row>
    <row r="10865" spans="2:6" ht="13.8" hidden="1" outlineLevel="1">
      <c r="B10865" s="187">
        <v>37817</v>
      </c>
      <c r="C10865" s="188">
        <v>3.94</v>
      </c>
      <c r="D10865" s="104">
        <f t="shared" si="169"/>
        <v>3.9399999999999998E-2</v>
      </c>
      <c r="F10865" s="5"/>
    </row>
    <row r="10866" spans="2:6" ht="13.8" hidden="1" outlineLevel="1">
      <c r="B10866" s="187">
        <v>37818</v>
      </c>
      <c r="C10866" s="188">
        <v>3.97</v>
      </c>
      <c r="D10866" s="104">
        <f t="shared" si="169"/>
        <v>3.9699999999999999E-2</v>
      </c>
      <c r="F10866" s="5"/>
    </row>
    <row r="10867" spans="2:6" ht="13.8" hidden="1" outlineLevel="1">
      <c r="B10867" s="187">
        <v>37819</v>
      </c>
      <c r="C10867" s="188">
        <v>3.98</v>
      </c>
      <c r="D10867" s="104">
        <f t="shared" si="169"/>
        <v>3.9800000000000002E-2</v>
      </c>
      <c r="F10867" s="5"/>
    </row>
    <row r="10868" spans="2:6" ht="13.8" hidden="1" outlineLevel="1">
      <c r="B10868" s="187">
        <v>37820</v>
      </c>
      <c r="C10868" s="188">
        <v>4</v>
      </c>
      <c r="D10868" s="104">
        <f t="shared" si="169"/>
        <v>0.04</v>
      </c>
      <c r="F10868" s="5"/>
    </row>
    <row r="10869" spans="2:6" ht="13.8" hidden="1" outlineLevel="1">
      <c r="B10869" s="187">
        <v>37823</v>
      </c>
      <c r="C10869" s="188">
        <v>4.1900000000000004</v>
      </c>
      <c r="D10869" s="104">
        <f t="shared" si="169"/>
        <v>4.1900000000000007E-2</v>
      </c>
      <c r="F10869" s="5"/>
    </row>
    <row r="10870" spans="2:6" ht="13.8" hidden="1" outlineLevel="1">
      <c r="B10870" s="187">
        <v>37824</v>
      </c>
      <c r="C10870" s="188">
        <v>4.17</v>
      </c>
      <c r="D10870" s="104">
        <f t="shared" si="169"/>
        <v>4.1700000000000001E-2</v>
      </c>
      <c r="F10870" s="5"/>
    </row>
    <row r="10871" spans="2:6" ht="13.8" hidden="1" outlineLevel="1">
      <c r="B10871" s="187">
        <v>37825</v>
      </c>
      <c r="C10871" s="188">
        <v>4.12</v>
      </c>
      <c r="D10871" s="104">
        <f t="shared" si="169"/>
        <v>4.1200000000000001E-2</v>
      </c>
      <c r="F10871" s="5"/>
    </row>
    <row r="10872" spans="2:6" ht="13.8" hidden="1" outlineLevel="1">
      <c r="B10872" s="187">
        <v>37826</v>
      </c>
      <c r="C10872" s="188">
        <v>4.2</v>
      </c>
      <c r="D10872" s="104">
        <f t="shared" si="169"/>
        <v>4.2000000000000003E-2</v>
      </c>
      <c r="F10872" s="5"/>
    </row>
    <row r="10873" spans="2:6" ht="13.8" hidden="1" outlineLevel="1">
      <c r="B10873" s="187">
        <v>37827</v>
      </c>
      <c r="C10873" s="188">
        <v>4.22</v>
      </c>
      <c r="D10873" s="104">
        <f t="shared" si="169"/>
        <v>4.2199999999999994E-2</v>
      </c>
      <c r="F10873" s="5"/>
    </row>
    <row r="10874" spans="2:6" ht="13.8" hidden="1" outlineLevel="1">
      <c r="B10874" s="187">
        <v>37830</v>
      </c>
      <c r="C10874" s="188">
        <v>4.3099999999999996</v>
      </c>
      <c r="D10874" s="104">
        <f t="shared" si="169"/>
        <v>4.3099999999999999E-2</v>
      </c>
      <c r="F10874" s="5"/>
    </row>
    <row r="10875" spans="2:6" ht="13.8" hidden="1" outlineLevel="1">
      <c r="B10875" s="187">
        <v>37831</v>
      </c>
      <c r="C10875" s="188">
        <v>4.42</v>
      </c>
      <c r="D10875" s="104">
        <f t="shared" si="169"/>
        <v>4.4199999999999996E-2</v>
      </c>
      <c r="F10875" s="5"/>
    </row>
    <row r="10876" spans="2:6" ht="13.8" hidden="1" outlineLevel="1">
      <c r="B10876" s="187">
        <v>37832</v>
      </c>
      <c r="C10876" s="188">
        <v>4.34</v>
      </c>
      <c r="D10876" s="104">
        <f t="shared" si="169"/>
        <v>4.3400000000000001E-2</v>
      </c>
      <c r="F10876" s="5"/>
    </row>
    <row r="10877" spans="2:6" ht="13.8" hidden="1" outlineLevel="1">
      <c r="B10877" s="187">
        <v>37833</v>
      </c>
      <c r="C10877" s="188">
        <v>4.49</v>
      </c>
      <c r="D10877" s="104">
        <f t="shared" si="169"/>
        <v>4.4900000000000002E-2</v>
      </c>
      <c r="F10877" s="5"/>
    </row>
    <row r="10878" spans="2:6" ht="13.8" hidden="1" outlineLevel="1">
      <c r="B10878" s="187">
        <v>37834</v>
      </c>
      <c r="C10878" s="188">
        <v>4.4400000000000004</v>
      </c>
      <c r="D10878" s="104">
        <f t="shared" si="169"/>
        <v>4.4400000000000002E-2</v>
      </c>
      <c r="F10878" s="5"/>
    </row>
    <row r="10879" spans="2:6" ht="13.8" hidden="1" outlineLevel="1">
      <c r="B10879" s="187">
        <v>37837</v>
      </c>
      <c r="C10879" s="188">
        <v>4.3499999999999996</v>
      </c>
      <c r="D10879" s="104">
        <f t="shared" si="169"/>
        <v>4.3499999999999997E-2</v>
      </c>
      <c r="F10879" s="5"/>
    </row>
    <row r="10880" spans="2:6" ht="13.8" hidden="1" outlineLevel="1">
      <c r="B10880" s="187">
        <v>37838</v>
      </c>
      <c r="C10880" s="188">
        <v>4.47</v>
      </c>
      <c r="D10880" s="104">
        <f t="shared" si="169"/>
        <v>4.4699999999999997E-2</v>
      </c>
      <c r="F10880" s="5"/>
    </row>
    <row r="10881" spans="2:6" ht="13.8" hidden="1" outlineLevel="1">
      <c r="B10881" s="187">
        <v>37839</v>
      </c>
      <c r="C10881" s="188">
        <v>4.32</v>
      </c>
      <c r="D10881" s="104">
        <f t="shared" si="169"/>
        <v>4.3200000000000002E-2</v>
      </c>
      <c r="F10881" s="5"/>
    </row>
    <row r="10882" spans="2:6" ht="13.8" hidden="1" outlineLevel="1">
      <c r="B10882" s="187">
        <v>37840</v>
      </c>
      <c r="C10882" s="188">
        <v>4.3</v>
      </c>
      <c r="D10882" s="104">
        <f t="shared" si="169"/>
        <v>4.2999999999999997E-2</v>
      </c>
      <c r="F10882" s="5"/>
    </row>
    <row r="10883" spans="2:6" ht="13.8" hidden="1" outlineLevel="1">
      <c r="B10883" s="187">
        <v>37841</v>
      </c>
      <c r="C10883" s="188">
        <v>4.2699999999999996</v>
      </c>
      <c r="D10883" s="104">
        <f t="shared" si="169"/>
        <v>4.2699999999999995E-2</v>
      </c>
      <c r="F10883" s="5"/>
    </row>
    <row r="10884" spans="2:6" ht="13.8" hidden="1" outlineLevel="1">
      <c r="B10884" s="187">
        <v>37844</v>
      </c>
      <c r="C10884" s="188">
        <v>4.38</v>
      </c>
      <c r="D10884" s="104">
        <f t="shared" si="169"/>
        <v>4.3799999999999999E-2</v>
      </c>
      <c r="F10884" s="5"/>
    </row>
    <row r="10885" spans="2:6" ht="13.8" hidden="1" outlineLevel="1">
      <c r="B10885" s="187">
        <v>37845</v>
      </c>
      <c r="C10885" s="188">
        <v>4.37</v>
      </c>
      <c r="D10885" s="104">
        <f t="shared" si="169"/>
        <v>4.3700000000000003E-2</v>
      </c>
      <c r="F10885" s="5"/>
    </row>
    <row r="10886" spans="2:6" ht="13.8" hidden="1" outlineLevel="1">
      <c r="B10886" s="187">
        <v>37846</v>
      </c>
      <c r="C10886" s="188">
        <v>4.58</v>
      </c>
      <c r="D10886" s="104">
        <f t="shared" si="169"/>
        <v>4.58E-2</v>
      </c>
      <c r="F10886" s="5"/>
    </row>
    <row r="10887" spans="2:6" ht="13.8" hidden="1" outlineLevel="1">
      <c r="B10887" s="187">
        <v>37847</v>
      </c>
      <c r="C10887" s="188">
        <v>4.55</v>
      </c>
      <c r="D10887" s="104">
        <f t="shared" si="169"/>
        <v>4.5499999999999999E-2</v>
      </c>
      <c r="F10887" s="5"/>
    </row>
    <row r="10888" spans="2:6" ht="13.8" hidden="1" outlineLevel="1">
      <c r="B10888" s="187">
        <v>37848</v>
      </c>
      <c r="C10888" s="188">
        <v>4.55</v>
      </c>
      <c r="D10888" s="104">
        <f t="shared" si="169"/>
        <v>4.5499999999999999E-2</v>
      </c>
      <c r="F10888" s="5"/>
    </row>
    <row r="10889" spans="2:6" ht="13.8" hidden="1" outlineLevel="1">
      <c r="B10889" s="187">
        <v>37851</v>
      </c>
      <c r="C10889" s="188">
        <v>4.49</v>
      </c>
      <c r="D10889" s="104">
        <f t="shared" si="169"/>
        <v>4.4900000000000002E-2</v>
      </c>
      <c r="F10889" s="5"/>
    </row>
    <row r="10890" spans="2:6" ht="13.8" hidden="1" outlineLevel="1">
      <c r="B10890" s="187">
        <v>37852</v>
      </c>
      <c r="C10890" s="188">
        <v>4.38</v>
      </c>
      <c r="D10890" s="104">
        <f t="shared" si="169"/>
        <v>4.3799999999999999E-2</v>
      </c>
      <c r="F10890" s="5"/>
    </row>
    <row r="10891" spans="2:6" ht="13.8" hidden="1" outlineLevel="1">
      <c r="B10891" s="187">
        <v>37853</v>
      </c>
      <c r="C10891" s="188">
        <v>4.45</v>
      </c>
      <c r="D10891" s="104">
        <f t="shared" si="169"/>
        <v>4.4500000000000005E-2</v>
      </c>
      <c r="F10891" s="5"/>
    </row>
    <row r="10892" spans="2:6" ht="13.8" hidden="1" outlineLevel="1">
      <c r="B10892" s="187">
        <v>37854</v>
      </c>
      <c r="C10892" s="188">
        <v>4.53</v>
      </c>
      <c r="D10892" s="104">
        <f t="shared" si="169"/>
        <v>4.53E-2</v>
      </c>
      <c r="F10892" s="5"/>
    </row>
    <row r="10893" spans="2:6" ht="13.8" hidden="1" outlineLevel="1">
      <c r="B10893" s="187">
        <v>37855</v>
      </c>
      <c r="C10893" s="188">
        <v>4.4800000000000004</v>
      </c>
      <c r="D10893" s="104">
        <f t="shared" si="169"/>
        <v>4.4800000000000006E-2</v>
      </c>
      <c r="F10893" s="5"/>
    </row>
    <row r="10894" spans="2:6" ht="13.8" hidden="1" outlineLevel="1">
      <c r="B10894" s="187">
        <v>37858</v>
      </c>
      <c r="C10894" s="188">
        <v>4.53</v>
      </c>
      <c r="D10894" s="104">
        <f t="shared" si="169"/>
        <v>4.53E-2</v>
      </c>
      <c r="F10894" s="5"/>
    </row>
    <row r="10895" spans="2:6" ht="13.8" hidden="1" outlineLevel="1">
      <c r="B10895" s="187">
        <v>37859</v>
      </c>
      <c r="C10895" s="188">
        <v>4.5</v>
      </c>
      <c r="D10895" s="104">
        <f t="shared" si="169"/>
        <v>4.4999999999999998E-2</v>
      </c>
      <c r="F10895" s="5"/>
    </row>
    <row r="10896" spans="2:6" ht="13.8" hidden="1" outlineLevel="1">
      <c r="B10896" s="187">
        <v>37860</v>
      </c>
      <c r="C10896" s="188">
        <v>4.54</v>
      </c>
      <c r="D10896" s="104">
        <f t="shared" si="169"/>
        <v>4.5400000000000003E-2</v>
      </c>
      <c r="F10896" s="5"/>
    </row>
    <row r="10897" spans="2:6" ht="13.8" hidden="1" outlineLevel="1">
      <c r="B10897" s="187">
        <v>37861</v>
      </c>
      <c r="C10897" s="188">
        <v>4.42</v>
      </c>
      <c r="D10897" s="104">
        <f t="shared" si="169"/>
        <v>4.4199999999999996E-2</v>
      </c>
      <c r="F10897" s="5"/>
    </row>
    <row r="10898" spans="2:6" ht="13.8" hidden="1" outlineLevel="1">
      <c r="B10898" s="187">
        <v>37862</v>
      </c>
      <c r="C10898" s="188">
        <v>4.45</v>
      </c>
      <c r="D10898" s="104">
        <f t="shared" si="169"/>
        <v>4.4500000000000005E-2</v>
      </c>
      <c r="F10898" s="5"/>
    </row>
    <row r="10899" spans="2:6" ht="13.8" hidden="1" outlineLevel="1">
      <c r="B10899" s="187">
        <v>37865</v>
      </c>
      <c r="C10899" s="188" t="s">
        <v>380</v>
      </c>
      <c r="D10899" s="104">
        <f t="shared" si="169"/>
        <v>4.4500000000000005E-2</v>
      </c>
      <c r="F10899" s="5"/>
    </row>
    <row r="10900" spans="2:6" ht="13.8" hidden="1" outlineLevel="1">
      <c r="B10900" s="187">
        <v>37866</v>
      </c>
      <c r="C10900" s="188">
        <v>4.6100000000000003</v>
      </c>
      <c r="D10900" s="104">
        <f t="shared" si="169"/>
        <v>4.6100000000000002E-2</v>
      </c>
      <c r="F10900" s="5"/>
    </row>
    <row r="10901" spans="2:6" ht="13.8" hidden="1" outlineLevel="1">
      <c r="B10901" s="187">
        <v>37867</v>
      </c>
      <c r="C10901" s="188">
        <v>4.5999999999999996</v>
      </c>
      <c r="D10901" s="104">
        <f t="shared" si="169"/>
        <v>4.5999999999999999E-2</v>
      </c>
      <c r="F10901" s="5"/>
    </row>
    <row r="10902" spans="2:6" ht="13.8" hidden="1" outlineLevel="1">
      <c r="B10902" s="187">
        <v>37868</v>
      </c>
      <c r="C10902" s="188">
        <v>4.5199999999999996</v>
      </c>
      <c r="D10902" s="104">
        <f t="shared" si="169"/>
        <v>4.5199999999999997E-2</v>
      </c>
      <c r="F10902" s="5"/>
    </row>
    <row r="10903" spans="2:6" ht="13.8" hidden="1" outlineLevel="1">
      <c r="B10903" s="187">
        <v>37869</v>
      </c>
      <c r="C10903" s="188">
        <v>4.3499999999999996</v>
      </c>
      <c r="D10903" s="104">
        <f t="shared" si="169"/>
        <v>4.3499999999999997E-2</v>
      </c>
      <c r="F10903" s="5"/>
    </row>
    <row r="10904" spans="2:6" ht="13.8" hidden="1" outlineLevel="1">
      <c r="B10904" s="187">
        <v>37872</v>
      </c>
      <c r="C10904" s="188">
        <v>4.41</v>
      </c>
      <c r="D10904" s="104">
        <f t="shared" si="169"/>
        <v>4.41E-2</v>
      </c>
      <c r="F10904" s="5"/>
    </row>
    <row r="10905" spans="2:6" ht="13.8" hidden="1" outlineLevel="1">
      <c r="B10905" s="187">
        <v>37873</v>
      </c>
      <c r="C10905" s="188">
        <v>4.37</v>
      </c>
      <c r="D10905" s="104">
        <f t="shared" si="169"/>
        <v>4.3700000000000003E-2</v>
      </c>
      <c r="F10905" s="5"/>
    </row>
    <row r="10906" spans="2:6" ht="13.8" hidden="1" outlineLevel="1">
      <c r="B10906" s="187">
        <v>37874</v>
      </c>
      <c r="C10906" s="188">
        <v>4.28</v>
      </c>
      <c r="D10906" s="104">
        <f t="shared" si="169"/>
        <v>4.2800000000000005E-2</v>
      </c>
      <c r="F10906" s="5"/>
    </row>
    <row r="10907" spans="2:6" ht="13.8" hidden="1" outlineLevel="1">
      <c r="B10907" s="187">
        <v>37875</v>
      </c>
      <c r="C10907" s="188">
        <v>4.3499999999999996</v>
      </c>
      <c r="D10907" s="104">
        <f t="shared" si="169"/>
        <v>4.3499999999999997E-2</v>
      </c>
      <c r="F10907" s="5"/>
    </row>
    <row r="10908" spans="2:6" ht="13.8" hidden="1" outlineLevel="1">
      <c r="B10908" s="187">
        <v>37876</v>
      </c>
      <c r="C10908" s="188">
        <v>4.2699999999999996</v>
      </c>
      <c r="D10908" s="104">
        <f t="shared" si="169"/>
        <v>4.2699999999999995E-2</v>
      </c>
      <c r="F10908" s="5"/>
    </row>
    <row r="10909" spans="2:6" ht="13.8" hidden="1" outlineLevel="1">
      <c r="B10909" s="187">
        <v>37879</v>
      </c>
      <c r="C10909" s="188">
        <v>4.28</v>
      </c>
      <c r="D10909" s="104">
        <f t="shared" si="169"/>
        <v>4.2800000000000005E-2</v>
      </c>
      <c r="F10909" s="5"/>
    </row>
    <row r="10910" spans="2:6" ht="13.8" hidden="1" outlineLevel="1">
      <c r="B10910" s="187">
        <v>37880</v>
      </c>
      <c r="C10910" s="188">
        <v>4.29</v>
      </c>
      <c r="D10910" s="104">
        <f t="shared" ref="D10910:D10973" si="170">IF( LEN( C10910 ) = 0, #N/A, IF( C10910 = "ND", D10909, C10910 / 100 ) )</f>
        <v>4.2900000000000001E-2</v>
      </c>
      <c r="F10910" s="5"/>
    </row>
    <row r="10911" spans="2:6" ht="13.8" hidden="1" outlineLevel="1">
      <c r="B10911" s="187">
        <v>37881</v>
      </c>
      <c r="C10911" s="188">
        <v>4.2</v>
      </c>
      <c r="D10911" s="104">
        <f t="shared" si="170"/>
        <v>4.2000000000000003E-2</v>
      </c>
      <c r="F10911" s="5"/>
    </row>
    <row r="10912" spans="2:6" ht="13.8" hidden="1" outlineLevel="1">
      <c r="B10912" s="187">
        <v>37882</v>
      </c>
      <c r="C10912" s="188">
        <v>4.1900000000000004</v>
      </c>
      <c r="D10912" s="104">
        <f t="shared" si="170"/>
        <v>4.1900000000000007E-2</v>
      </c>
      <c r="F10912" s="5"/>
    </row>
    <row r="10913" spans="2:6" ht="13.8" hidden="1" outlineLevel="1">
      <c r="B10913" s="187">
        <v>37883</v>
      </c>
      <c r="C10913" s="188">
        <v>4.17</v>
      </c>
      <c r="D10913" s="104">
        <f t="shared" si="170"/>
        <v>4.1700000000000001E-2</v>
      </c>
      <c r="F10913" s="5"/>
    </row>
    <row r="10914" spans="2:6" ht="13.8" hidden="1" outlineLevel="1">
      <c r="B10914" s="187">
        <v>37886</v>
      </c>
      <c r="C10914" s="188">
        <v>4.26</v>
      </c>
      <c r="D10914" s="104">
        <f t="shared" si="170"/>
        <v>4.2599999999999999E-2</v>
      </c>
      <c r="F10914" s="5"/>
    </row>
    <row r="10915" spans="2:6" ht="13.8" hidden="1" outlineLevel="1">
      <c r="B10915" s="187">
        <v>37887</v>
      </c>
      <c r="C10915" s="188">
        <v>4.24</v>
      </c>
      <c r="D10915" s="104">
        <f t="shared" si="170"/>
        <v>4.24E-2</v>
      </c>
      <c r="F10915" s="5"/>
    </row>
    <row r="10916" spans="2:6" ht="13.8" hidden="1" outlineLevel="1">
      <c r="B10916" s="187">
        <v>37888</v>
      </c>
      <c r="C10916" s="188">
        <v>4.16</v>
      </c>
      <c r="D10916" s="104">
        <f t="shared" si="170"/>
        <v>4.1599999999999998E-2</v>
      </c>
      <c r="F10916" s="5"/>
    </row>
    <row r="10917" spans="2:6" ht="13.8" hidden="1" outlineLevel="1">
      <c r="B10917" s="187">
        <v>37889</v>
      </c>
      <c r="C10917" s="188">
        <v>4.12</v>
      </c>
      <c r="D10917" s="104">
        <f t="shared" si="170"/>
        <v>4.1200000000000001E-2</v>
      </c>
      <c r="F10917" s="5"/>
    </row>
    <row r="10918" spans="2:6" ht="13.8" hidden="1" outlineLevel="1">
      <c r="B10918" s="187">
        <v>37890</v>
      </c>
      <c r="C10918" s="188">
        <v>4.04</v>
      </c>
      <c r="D10918" s="104">
        <f t="shared" si="170"/>
        <v>4.0399999999999998E-2</v>
      </c>
      <c r="F10918" s="5"/>
    </row>
    <row r="10919" spans="2:6" ht="13.8" hidden="1" outlineLevel="1">
      <c r="B10919" s="187">
        <v>37893</v>
      </c>
      <c r="C10919" s="188">
        <v>4.09</v>
      </c>
      <c r="D10919" s="104">
        <f t="shared" si="170"/>
        <v>4.0899999999999999E-2</v>
      </c>
      <c r="F10919" s="5"/>
    </row>
    <row r="10920" spans="2:6" ht="13.8" hidden="1" outlineLevel="1">
      <c r="B10920" s="187">
        <v>37894</v>
      </c>
      <c r="C10920" s="188">
        <v>3.96</v>
      </c>
      <c r="D10920" s="104">
        <f t="shared" si="170"/>
        <v>3.9599999999999996E-2</v>
      </c>
      <c r="F10920" s="5"/>
    </row>
    <row r="10921" spans="2:6" ht="13.8" hidden="1" outlineLevel="1">
      <c r="B10921" s="187">
        <v>37895</v>
      </c>
      <c r="C10921" s="188">
        <v>3.96</v>
      </c>
      <c r="D10921" s="104">
        <f t="shared" si="170"/>
        <v>3.9599999999999996E-2</v>
      </c>
      <c r="F10921" s="5"/>
    </row>
    <row r="10922" spans="2:6" ht="13.8" hidden="1" outlineLevel="1">
      <c r="B10922" s="187">
        <v>37896</v>
      </c>
      <c r="C10922" s="188">
        <v>4.03</v>
      </c>
      <c r="D10922" s="104">
        <f t="shared" si="170"/>
        <v>4.0300000000000002E-2</v>
      </c>
      <c r="F10922" s="5"/>
    </row>
    <row r="10923" spans="2:6" ht="13.8" hidden="1" outlineLevel="1">
      <c r="B10923" s="187">
        <v>37897</v>
      </c>
      <c r="C10923" s="188">
        <v>4.21</v>
      </c>
      <c r="D10923" s="104">
        <f t="shared" si="170"/>
        <v>4.2099999999999999E-2</v>
      </c>
      <c r="F10923" s="5"/>
    </row>
    <row r="10924" spans="2:6" ht="13.8" hidden="1" outlineLevel="1">
      <c r="B10924" s="187">
        <v>37900</v>
      </c>
      <c r="C10924" s="188">
        <v>4.17</v>
      </c>
      <c r="D10924" s="104">
        <f t="shared" si="170"/>
        <v>4.1700000000000001E-2</v>
      </c>
      <c r="F10924" s="5"/>
    </row>
    <row r="10925" spans="2:6" ht="13.8" hidden="1" outlineLevel="1">
      <c r="B10925" s="187">
        <v>37901</v>
      </c>
      <c r="C10925" s="188">
        <v>4.2699999999999996</v>
      </c>
      <c r="D10925" s="104">
        <f t="shared" si="170"/>
        <v>4.2699999999999995E-2</v>
      </c>
      <c r="F10925" s="5"/>
    </row>
    <row r="10926" spans="2:6" ht="13.8" hidden="1" outlineLevel="1">
      <c r="B10926" s="187">
        <v>37902</v>
      </c>
      <c r="C10926" s="188">
        <v>4.2699999999999996</v>
      </c>
      <c r="D10926" s="104">
        <f t="shared" si="170"/>
        <v>4.2699999999999995E-2</v>
      </c>
      <c r="F10926" s="5"/>
    </row>
    <row r="10927" spans="2:6" ht="13.8" hidden="1" outlineLevel="1">
      <c r="B10927" s="187">
        <v>37903</v>
      </c>
      <c r="C10927" s="188">
        <v>4.32</v>
      </c>
      <c r="D10927" s="104">
        <f t="shared" si="170"/>
        <v>4.3200000000000002E-2</v>
      </c>
      <c r="F10927" s="5"/>
    </row>
    <row r="10928" spans="2:6" ht="13.8" hidden="1" outlineLevel="1">
      <c r="B10928" s="187">
        <v>37904</v>
      </c>
      <c r="C10928" s="188">
        <v>4.29</v>
      </c>
      <c r="D10928" s="104">
        <f t="shared" si="170"/>
        <v>4.2900000000000001E-2</v>
      </c>
      <c r="F10928" s="5"/>
    </row>
    <row r="10929" spans="2:6" ht="13.8" hidden="1" outlineLevel="1">
      <c r="B10929" s="187">
        <v>37907</v>
      </c>
      <c r="C10929" s="188" t="s">
        <v>380</v>
      </c>
      <c r="D10929" s="104">
        <f t="shared" si="170"/>
        <v>4.2900000000000001E-2</v>
      </c>
      <c r="F10929" s="5"/>
    </row>
    <row r="10930" spans="2:6" ht="13.8" hidden="1" outlineLevel="1">
      <c r="B10930" s="187">
        <v>37908</v>
      </c>
      <c r="C10930" s="188">
        <v>4.37</v>
      </c>
      <c r="D10930" s="104">
        <f t="shared" si="170"/>
        <v>4.3700000000000003E-2</v>
      </c>
      <c r="F10930" s="5"/>
    </row>
    <row r="10931" spans="2:6" ht="13.8" hidden="1" outlineLevel="1">
      <c r="B10931" s="187">
        <v>37909</v>
      </c>
      <c r="C10931" s="188">
        <v>4.43</v>
      </c>
      <c r="D10931" s="104">
        <f t="shared" si="170"/>
        <v>4.4299999999999999E-2</v>
      </c>
      <c r="F10931" s="5"/>
    </row>
    <row r="10932" spans="2:6" ht="13.8" hidden="1" outlineLevel="1">
      <c r="B10932" s="187">
        <v>37910</v>
      </c>
      <c r="C10932" s="188">
        <v>4.47</v>
      </c>
      <c r="D10932" s="104">
        <f t="shared" si="170"/>
        <v>4.4699999999999997E-2</v>
      </c>
      <c r="F10932" s="5"/>
    </row>
    <row r="10933" spans="2:6" ht="13.8" hidden="1" outlineLevel="1">
      <c r="B10933" s="187">
        <v>37911</v>
      </c>
      <c r="C10933" s="188">
        <v>4.41</v>
      </c>
      <c r="D10933" s="104">
        <f t="shared" si="170"/>
        <v>4.41E-2</v>
      </c>
      <c r="F10933" s="5"/>
    </row>
    <row r="10934" spans="2:6" ht="13.8" hidden="1" outlineLevel="1">
      <c r="B10934" s="187">
        <v>37914</v>
      </c>
      <c r="C10934" s="188">
        <v>4.41</v>
      </c>
      <c r="D10934" s="104">
        <f t="shared" si="170"/>
        <v>4.41E-2</v>
      </c>
      <c r="F10934" s="5"/>
    </row>
    <row r="10935" spans="2:6" ht="13.8" hidden="1" outlineLevel="1">
      <c r="B10935" s="187">
        <v>37915</v>
      </c>
      <c r="C10935" s="188">
        <v>4.38</v>
      </c>
      <c r="D10935" s="104">
        <f t="shared" si="170"/>
        <v>4.3799999999999999E-2</v>
      </c>
      <c r="F10935" s="5"/>
    </row>
    <row r="10936" spans="2:6" ht="13.8" hidden="1" outlineLevel="1">
      <c r="B10936" s="187">
        <v>37916</v>
      </c>
      <c r="C10936" s="188">
        <v>4.29</v>
      </c>
      <c r="D10936" s="104">
        <f t="shared" si="170"/>
        <v>4.2900000000000001E-2</v>
      </c>
      <c r="F10936" s="5"/>
    </row>
    <row r="10937" spans="2:6" ht="13.8" hidden="1" outlineLevel="1">
      <c r="B10937" s="187">
        <v>37917</v>
      </c>
      <c r="C10937" s="188">
        <v>4.34</v>
      </c>
      <c r="D10937" s="104">
        <f t="shared" si="170"/>
        <v>4.3400000000000001E-2</v>
      </c>
      <c r="F10937" s="5"/>
    </row>
    <row r="10938" spans="2:6" ht="13.8" hidden="1" outlineLevel="1">
      <c r="B10938" s="187">
        <v>37918</v>
      </c>
      <c r="C10938" s="188">
        <v>4.24</v>
      </c>
      <c r="D10938" s="104">
        <f t="shared" si="170"/>
        <v>4.24E-2</v>
      </c>
      <c r="F10938" s="5"/>
    </row>
    <row r="10939" spans="2:6" ht="13.8" hidden="1" outlineLevel="1">
      <c r="B10939" s="187">
        <v>37921</v>
      </c>
      <c r="C10939" s="188">
        <v>4.3</v>
      </c>
      <c r="D10939" s="104">
        <f t="shared" si="170"/>
        <v>4.2999999999999997E-2</v>
      </c>
      <c r="F10939" s="5"/>
    </row>
    <row r="10940" spans="2:6" ht="13.8" hidden="1" outlineLevel="1">
      <c r="B10940" s="187">
        <v>37922</v>
      </c>
      <c r="C10940" s="188">
        <v>4.2300000000000004</v>
      </c>
      <c r="D10940" s="104">
        <f t="shared" si="170"/>
        <v>4.2300000000000004E-2</v>
      </c>
      <c r="F10940" s="5"/>
    </row>
    <row r="10941" spans="2:6" ht="13.8" hidden="1" outlineLevel="1">
      <c r="B10941" s="187">
        <v>37923</v>
      </c>
      <c r="C10941" s="188">
        <v>4.3099999999999996</v>
      </c>
      <c r="D10941" s="104">
        <f t="shared" si="170"/>
        <v>4.3099999999999999E-2</v>
      </c>
      <c r="F10941" s="5"/>
    </row>
    <row r="10942" spans="2:6" ht="13.8" hidden="1" outlineLevel="1">
      <c r="B10942" s="187">
        <v>37924</v>
      </c>
      <c r="C10942" s="188">
        <v>4.3600000000000003</v>
      </c>
      <c r="D10942" s="104">
        <f t="shared" si="170"/>
        <v>4.36E-2</v>
      </c>
      <c r="F10942" s="5"/>
    </row>
    <row r="10943" spans="2:6" ht="13.8" hidden="1" outlineLevel="1">
      <c r="B10943" s="187">
        <v>37925</v>
      </c>
      <c r="C10943" s="188">
        <v>4.33</v>
      </c>
      <c r="D10943" s="104">
        <f t="shared" si="170"/>
        <v>4.3299999999999998E-2</v>
      </c>
      <c r="F10943" s="5"/>
    </row>
    <row r="10944" spans="2:6" ht="13.8" hidden="1" outlineLevel="1">
      <c r="B10944" s="187">
        <v>37928</v>
      </c>
      <c r="C10944" s="188">
        <v>4.4000000000000004</v>
      </c>
      <c r="D10944" s="104">
        <f t="shared" si="170"/>
        <v>4.4000000000000004E-2</v>
      </c>
      <c r="F10944" s="5"/>
    </row>
    <row r="10945" spans="2:6" ht="13.8" hidden="1" outlineLevel="1">
      <c r="B10945" s="187">
        <v>37929</v>
      </c>
      <c r="C10945" s="188">
        <v>4.33</v>
      </c>
      <c r="D10945" s="104">
        <f t="shared" si="170"/>
        <v>4.3299999999999998E-2</v>
      </c>
      <c r="F10945" s="5"/>
    </row>
    <row r="10946" spans="2:6" ht="13.8" hidden="1" outlineLevel="1">
      <c r="B10946" s="187">
        <v>37930</v>
      </c>
      <c r="C10946" s="188">
        <v>4.38</v>
      </c>
      <c r="D10946" s="104">
        <f t="shared" si="170"/>
        <v>4.3799999999999999E-2</v>
      </c>
      <c r="F10946" s="5"/>
    </row>
    <row r="10947" spans="2:6" ht="13.8" hidden="1" outlineLevel="1">
      <c r="B10947" s="187">
        <v>37931</v>
      </c>
      <c r="C10947" s="188">
        <v>4.45</v>
      </c>
      <c r="D10947" s="104">
        <f t="shared" si="170"/>
        <v>4.4500000000000005E-2</v>
      </c>
      <c r="F10947" s="5"/>
    </row>
    <row r="10948" spans="2:6" ht="13.8" hidden="1" outlineLevel="1">
      <c r="B10948" s="187">
        <v>37932</v>
      </c>
      <c r="C10948" s="188">
        <v>4.4800000000000004</v>
      </c>
      <c r="D10948" s="104">
        <f t="shared" si="170"/>
        <v>4.4800000000000006E-2</v>
      </c>
      <c r="F10948" s="5"/>
    </row>
    <row r="10949" spans="2:6" ht="13.8" hidden="1" outlineLevel="1">
      <c r="B10949" s="187">
        <v>37935</v>
      </c>
      <c r="C10949" s="188">
        <v>4.49</v>
      </c>
      <c r="D10949" s="104">
        <f t="shared" si="170"/>
        <v>4.4900000000000002E-2</v>
      </c>
      <c r="F10949" s="5"/>
    </row>
    <row r="10950" spans="2:6" ht="13.8" hidden="1" outlineLevel="1">
      <c r="B10950" s="187">
        <v>37936</v>
      </c>
      <c r="C10950" s="188" t="s">
        <v>380</v>
      </c>
      <c r="D10950" s="104">
        <f t="shared" si="170"/>
        <v>4.4900000000000002E-2</v>
      </c>
      <c r="F10950" s="5"/>
    </row>
    <row r="10951" spans="2:6" ht="13.8" hidden="1" outlineLevel="1">
      <c r="B10951" s="187">
        <v>37937</v>
      </c>
      <c r="C10951" s="188">
        <v>4.4400000000000004</v>
      </c>
      <c r="D10951" s="104">
        <f t="shared" si="170"/>
        <v>4.4400000000000002E-2</v>
      </c>
      <c r="F10951" s="5"/>
    </row>
    <row r="10952" spans="2:6" ht="13.8" hidden="1" outlineLevel="1">
      <c r="B10952" s="187">
        <v>37938</v>
      </c>
      <c r="C10952" s="188">
        <v>4.3</v>
      </c>
      <c r="D10952" s="104">
        <f t="shared" si="170"/>
        <v>4.2999999999999997E-2</v>
      </c>
      <c r="F10952" s="5"/>
    </row>
    <row r="10953" spans="2:6" ht="13.8" hidden="1" outlineLevel="1">
      <c r="B10953" s="187">
        <v>37939</v>
      </c>
      <c r="C10953" s="188">
        <v>4.22</v>
      </c>
      <c r="D10953" s="104">
        <f t="shared" si="170"/>
        <v>4.2199999999999994E-2</v>
      </c>
      <c r="F10953" s="5"/>
    </row>
    <row r="10954" spans="2:6" ht="13.8" hidden="1" outlineLevel="1">
      <c r="B10954" s="187">
        <v>37942</v>
      </c>
      <c r="C10954" s="188">
        <v>4.18</v>
      </c>
      <c r="D10954" s="104">
        <f t="shared" si="170"/>
        <v>4.1799999999999997E-2</v>
      </c>
      <c r="F10954" s="5"/>
    </row>
    <row r="10955" spans="2:6" ht="13.8" hidden="1" outlineLevel="1">
      <c r="B10955" s="187">
        <v>37943</v>
      </c>
      <c r="C10955" s="188">
        <v>4.17</v>
      </c>
      <c r="D10955" s="104">
        <f t="shared" si="170"/>
        <v>4.1700000000000001E-2</v>
      </c>
      <c r="F10955" s="5"/>
    </row>
    <row r="10956" spans="2:6" ht="13.8" hidden="1" outlineLevel="1">
      <c r="B10956" s="187">
        <v>37944</v>
      </c>
      <c r="C10956" s="188">
        <v>4.24</v>
      </c>
      <c r="D10956" s="104">
        <f t="shared" si="170"/>
        <v>4.24E-2</v>
      </c>
      <c r="F10956" s="5"/>
    </row>
    <row r="10957" spans="2:6" ht="13.8" hidden="1" outlineLevel="1">
      <c r="B10957" s="187">
        <v>37945</v>
      </c>
      <c r="C10957" s="188">
        <v>4.16</v>
      </c>
      <c r="D10957" s="104">
        <f t="shared" si="170"/>
        <v>4.1599999999999998E-2</v>
      </c>
      <c r="F10957" s="5"/>
    </row>
    <row r="10958" spans="2:6" ht="13.8" hidden="1" outlineLevel="1">
      <c r="B10958" s="187">
        <v>37946</v>
      </c>
      <c r="C10958" s="188">
        <v>4.1500000000000004</v>
      </c>
      <c r="D10958" s="104">
        <f t="shared" si="170"/>
        <v>4.1500000000000002E-2</v>
      </c>
      <c r="F10958" s="5"/>
    </row>
    <row r="10959" spans="2:6" ht="13.8" hidden="1" outlineLevel="1">
      <c r="B10959" s="187">
        <v>37949</v>
      </c>
      <c r="C10959" s="188">
        <v>4.2300000000000004</v>
      </c>
      <c r="D10959" s="104">
        <f t="shared" si="170"/>
        <v>4.2300000000000004E-2</v>
      </c>
      <c r="F10959" s="5"/>
    </row>
    <row r="10960" spans="2:6" ht="13.8" hidden="1" outlineLevel="1">
      <c r="B10960" s="187">
        <v>37950</v>
      </c>
      <c r="C10960" s="188">
        <v>4.1900000000000004</v>
      </c>
      <c r="D10960" s="104">
        <f t="shared" si="170"/>
        <v>4.1900000000000007E-2</v>
      </c>
      <c r="F10960" s="5"/>
    </row>
    <row r="10961" spans="2:6" ht="13.8" hidden="1" outlineLevel="1">
      <c r="B10961" s="187">
        <v>37951</v>
      </c>
      <c r="C10961" s="188">
        <v>4.25</v>
      </c>
      <c r="D10961" s="104">
        <f t="shared" si="170"/>
        <v>4.2500000000000003E-2</v>
      </c>
      <c r="F10961" s="5"/>
    </row>
    <row r="10962" spans="2:6" ht="13.8" hidden="1" outlineLevel="1">
      <c r="B10962" s="187">
        <v>37952</v>
      </c>
      <c r="C10962" s="188" t="s">
        <v>380</v>
      </c>
      <c r="D10962" s="104">
        <f t="shared" si="170"/>
        <v>4.2500000000000003E-2</v>
      </c>
      <c r="F10962" s="5"/>
    </row>
    <row r="10963" spans="2:6" ht="13.8" hidden="1" outlineLevel="1">
      <c r="B10963" s="187">
        <v>37953</v>
      </c>
      <c r="C10963" s="188">
        <v>4.34</v>
      </c>
      <c r="D10963" s="104">
        <f t="shared" si="170"/>
        <v>4.3400000000000001E-2</v>
      </c>
      <c r="F10963" s="5"/>
    </row>
    <row r="10964" spans="2:6" ht="13.8" hidden="1" outlineLevel="1">
      <c r="B10964" s="187">
        <v>37956</v>
      </c>
      <c r="C10964" s="188">
        <v>4.4000000000000004</v>
      </c>
      <c r="D10964" s="104">
        <f t="shared" si="170"/>
        <v>4.4000000000000004E-2</v>
      </c>
      <c r="F10964" s="5"/>
    </row>
    <row r="10965" spans="2:6" ht="13.8" hidden="1" outlineLevel="1">
      <c r="B10965" s="187">
        <v>37957</v>
      </c>
      <c r="C10965" s="188">
        <v>4.38</v>
      </c>
      <c r="D10965" s="104">
        <f t="shared" si="170"/>
        <v>4.3799999999999999E-2</v>
      </c>
      <c r="F10965" s="5"/>
    </row>
    <row r="10966" spans="2:6" ht="13.8" hidden="1" outlineLevel="1">
      <c r="B10966" s="187">
        <v>37958</v>
      </c>
      <c r="C10966" s="188">
        <v>4.41</v>
      </c>
      <c r="D10966" s="104">
        <f t="shared" si="170"/>
        <v>4.41E-2</v>
      </c>
      <c r="F10966" s="5"/>
    </row>
    <row r="10967" spans="2:6" ht="13.8" hidden="1" outlineLevel="1">
      <c r="B10967" s="187">
        <v>37959</v>
      </c>
      <c r="C10967" s="188">
        <v>4.38</v>
      </c>
      <c r="D10967" s="104">
        <f t="shared" si="170"/>
        <v>4.3799999999999999E-2</v>
      </c>
      <c r="F10967" s="5"/>
    </row>
    <row r="10968" spans="2:6" ht="13.8" hidden="1" outlineLevel="1">
      <c r="B10968" s="187">
        <v>37960</v>
      </c>
      <c r="C10968" s="188">
        <v>4.2300000000000004</v>
      </c>
      <c r="D10968" s="104">
        <f t="shared" si="170"/>
        <v>4.2300000000000004E-2</v>
      </c>
      <c r="F10968" s="5"/>
    </row>
    <row r="10969" spans="2:6" ht="13.8" hidden="1" outlineLevel="1">
      <c r="B10969" s="187">
        <v>37963</v>
      </c>
      <c r="C10969" s="188">
        <v>4.29</v>
      </c>
      <c r="D10969" s="104">
        <f t="shared" si="170"/>
        <v>4.2900000000000001E-2</v>
      </c>
      <c r="F10969" s="5"/>
    </row>
    <row r="10970" spans="2:6" ht="13.8" hidden="1" outlineLevel="1">
      <c r="B10970" s="187">
        <v>37964</v>
      </c>
      <c r="C10970" s="188">
        <v>4.32</v>
      </c>
      <c r="D10970" s="104">
        <f t="shared" si="170"/>
        <v>4.3200000000000002E-2</v>
      </c>
      <c r="F10970" s="5"/>
    </row>
    <row r="10971" spans="2:6" ht="13.8" hidden="1" outlineLevel="1">
      <c r="B10971" s="187">
        <v>37965</v>
      </c>
      <c r="C10971" s="188">
        <v>4.3</v>
      </c>
      <c r="D10971" s="104">
        <f t="shared" si="170"/>
        <v>4.2999999999999997E-2</v>
      </c>
      <c r="F10971" s="5"/>
    </row>
    <row r="10972" spans="2:6" ht="13.8" hidden="1" outlineLevel="1">
      <c r="B10972" s="187">
        <v>37966</v>
      </c>
      <c r="C10972" s="188">
        <v>4.2699999999999996</v>
      </c>
      <c r="D10972" s="104">
        <f t="shared" si="170"/>
        <v>4.2699999999999995E-2</v>
      </c>
      <c r="F10972" s="5"/>
    </row>
    <row r="10973" spans="2:6" ht="13.8" hidden="1" outlineLevel="1">
      <c r="B10973" s="187">
        <v>37967</v>
      </c>
      <c r="C10973" s="188">
        <v>4.26</v>
      </c>
      <c r="D10973" s="104">
        <f t="shared" si="170"/>
        <v>4.2599999999999999E-2</v>
      </c>
      <c r="F10973" s="5"/>
    </row>
    <row r="10974" spans="2:6" ht="13.8" hidden="1" outlineLevel="1">
      <c r="B10974" s="187">
        <v>37970</v>
      </c>
      <c r="C10974" s="188">
        <v>4.28</v>
      </c>
      <c r="D10974" s="104">
        <f t="shared" ref="D10974:D11037" si="171">IF( LEN( C10974 ) = 0, #N/A, IF( C10974 = "ND", D10973, C10974 / 100 ) )</f>
        <v>4.2800000000000005E-2</v>
      </c>
      <c r="F10974" s="5"/>
    </row>
    <row r="10975" spans="2:6" ht="13.8" hidden="1" outlineLevel="1">
      <c r="B10975" s="187">
        <v>37971</v>
      </c>
      <c r="C10975" s="188">
        <v>4.24</v>
      </c>
      <c r="D10975" s="104">
        <f t="shared" si="171"/>
        <v>4.24E-2</v>
      </c>
      <c r="F10975" s="5"/>
    </row>
    <row r="10976" spans="2:6" ht="13.8" hidden="1" outlineLevel="1">
      <c r="B10976" s="187">
        <v>37972</v>
      </c>
      <c r="C10976" s="188">
        <v>4.1900000000000004</v>
      </c>
      <c r="D10976" s="104">
        <f t="shared" si="171"/>
        <v>4.1900000000000007E-2</v>
      </c>
      <c r="F10976" s="5"/>
    </row>
    <row r="10977" spans="2:6" ht="13.8" hidden="1" outlineLevel="1">
      <c r="B10977" s="187">
        <v>37973</v>
      </c>
      <c r="C10977" s="188">
        <v>4.16</v>
      </c>
      <c r="D10977" s="104">
        <f t="shared" si="171"/>
        <v>4.1599999999999998E-2</v>
      </c>
      <c r="F10977" s="5"/>
    </row>
    <row r="10978" spans="2:6" ht="13.8" hidden="1" outlineLevel="1">
      <c r="B10978" s="187">
        <v>37974</v>
      </c>
      <c r="C10978" s="188">
        <v>4.1500000000000004</v>
      </c>
      <c r="D10978" s="104">
        <f t="shared" si="171"/>
        <v>4.1500000000000002E-2</v>
      </c>
      <c r="F10978" s="5"/>
    </row>
    <row r="10979" spans="2:6" ht="13.8" hidden="1" outlineLevel="1">
      <c r="B10979" s="187">
        <v>37977</v>
      </c>
      <c r="C10979" s="188">
        <v>4.18</v>
      </c>
      <c r="D10979" s="104">
        <f t="shared" si="171"/>
        <v>4.1799999999999997E-2</v>
      </c>
      <c r="F10979" s="5"/>
    </row>
    <row r="10980" spans="2:6" ht="13.8" hidden="1" outlineLevel="1">
      <c r="B10980" s="187">
        <v>37978</v>
      </c>
      <c r="C10980" s="188">
        <v>4.28</v>
      </c>
      <c r="D10980" s="104">
        <f t="shared" si="171"/>
        <v>4.2800000000000005E-2</v>
      </c>
      <c r="F10980" s="5"/>
    </row>
    <row r="10981" spans="2:6" ht="13.8" hidden="1" outlineLevel="1">
      <c r="B10981" s="187">
        <v>37979</v>
      </c>
      <c r="C10981" s="188">
        <v>4.2</v>
      </c>
      <c r="D10981" s="104">
        <f t="shared" si="171"/>
        <v>4.2000000000000003E-2</v>
      </c>
      <c r="F10981" s="5"/>
    </row>
    <row r="10982" spans="2:6" ht="13.8" hidden="1" outlineLevel="1">
      <c r="B10982" s="187">
        <v>37980</v>
      </c>
      <c r="C10982" s="188" t="s">
        <v>380</v>
      </c>
      <c r="D10982" s="104">
        <f t="shared" si="171"/>
        <v>4.2000000000000003E-2</v>
      </c>
      <c r="F10982" s="5"/>
    </row>
    <row r="10983" spans="2:6" ht="13.8" hidden="1" outlineLevel="1">
      <c r="B10983" s="187">
        <v>37981</v>
      </c>
      <c r="C10983" s="188">
        <v>4.17</v>
      </c>
      <c r="D10983" s="104">
        <f t="shared" si="171"/>
        <v>4.1700000000000001E-2</v>
      </c>
      <c r="F10983" s="5"/>
    </row>
    <row r="10984" spans="2:6" ht="13.8" hidden="1" outlineLevel="1">
      <c r="B10984" s="187">
        <v>37984</v>
      </c>
      <c r="C10984" s="188">
        <v>4.24</v>
      </c>
      <c r="D10984" s="104">
        <f t="shared" si="171"/>
        <v>4.24E-2</v>
      </c>
      <c r="F10984" s="5"/>
    </row>
    <row r="10985" spans="2:6" ht="13.8" hidden="1" outlineLevel="1">
      <c r="B10985" s="187">
        <v>37985</v>
      </c>
      <c r="C10985" s="188">
        <v>4.29</v>
      </c>
      <c r="D10985" s="104">
        <f t="shared" si="171"/>
        <v>4.2900000000000001E-2</v>
      </c>
      <c r="F10985" s="5"/>
    </row>
    <row r="10986" spans="2:6" ht="13.8" hidden="1" outlineLevel="1">
      <c r="B10986" s="187">
        <v>37986</v>
      </c>
      <c r="C10986" s="188">
        <v>4.2699999999999996</v>
      </c>
      <c r="D10986" s="104">
        <f t="shared" si="171"/>
        <v>4.2699999999999995E-2</v>
      </c>
      <c r="F10986" s="5"/>
    </row>
    <row r="10987" spans="2:6" ht="13.8" hidden="1" outlineLevel="1">
      <c r="B10987" s="187">
        <v>37987</v>
      </c>
      <c r="C10987" s="188" t="s">
        <v>380</v>
      </c>
      <c r="D10987" s="104">
        <f t="shared" si="171"/>
        <v>4.2699999999999995E-2</v>
      </c>
      <c r="F10987" s="5"/>
    </row>
    <row r="10988" spans="2:6" ht="13.8" hidden="1" outlineLevel="1">
      <c r="B10988" s="187">
        <v>37988</v>
      </c>
      <c r="C10988" s="188">
        <v>4.38</v>
      </c>
      <c r="D10988" s="104">
        <f t="shared" si="171"/>
        <v>4.3799999999999999E-2</v>
      </c>
      <c r="F10988" s="5"/>
    </row>
    <row r="10989" spans="2:6" ht="13.8" hidden="1" outlineLevel="1">
      <c r="B10989" s="187">
        <v>37991</v>
      </c>
      <c r="C10989" s="188">
        <v>4.41</v>
      </c>
      <c r="D10989" s="104">
        <f t="shared" si="171"/>
        <v>4.41E-2</v>
      </c>
      <c r="F10989" s="5"/>
    </row>
    <row r="10990" spans="2:6" ht="13.8" hidden="1" outlineLevel="1">
      <c r="B10990" s="187">
        <v>37992</v>
      </c>
      <c r="C10990" s="188">
        <v>4.29</v>
      </c>
      <c r="D10990" s="104">
        <f t="shared" si="171"/>
        <v>4.2900000000000001E-2</v>
      </c>
      <c r="F10990" s="5"/>
    </row>
    <row r="10991" spans="2:6" ht="13.8" hidden="1" outlineLevel="1">
      <c r="B10991" s="187">
        <v>37993</v>
      </c>
      <c r="C10991" s="188">
        <v>4.2699999999999996</v>
      </c>
      <c r="D10991" s="104">
        <f t="shared" si="171"/>
        <v>4.2699999999999995E-2</v>
      </c>
      <c r="F10991" s="5"/>
    </row>
    <row r="10992" spans="2:6" ht="13.8" hidden="1" outlineLevel="1">
      <c r="B10992" s="187">
        <v>37994</v>
      </c>
      <c r="C10992" s="188">
        <v>4.2699999999999996</v>
      </c>
      <c r="D10992" s="104">
        <f t="shared" si="171"/>
        <v>4.2699999999999995E-2</v>
      </c>
      <c r="F10992" s="5"/>
    </row>
    <row r="10993" spans="2:6" ht="13.8" hidden="1" outlineLevel="1">
      <c r="B10993" s="187">
        <v>37995</v>
      </c>
      <c r="C10993" s="188">
        <v>4.1100000000000003</v>
      </c>
      <c r="D10993" s="104">
        <f t="shared" si="171"/>
        <v>4.1100000000000005E-2</v>
      </c>
      <c r="F10993" s="5"/>
    </row>
    <row r="10994" spans="2:6" ht="13.8" hidden="1" outlineLevel="1">
      <c r="B10994" s="187">
        <v>37998</v>
      </c>
      <c r="C10994" s="188">
        <v>4.1100000000000003</v>
      </c>
      <c r="D10994" s="104">
        <f t="shared" si="171"/>
        <v>4.1100000000000005E-2</v>
      </c>
      <c r="F10994" s="5"/>
    </row>
    <row r="10995" spans="2:6" ht="13.8" hidden="1" outlineLevel="1">
      <c r="B10995" s="187">
        <v>37999</v>
      </c>
      <c r="C10995" s="188">
        <v>4.05</v>
      </c>
      <c r="D10995" s="104">
        <f t="shared" si="171"/>
        <v>4.0500000000000001E-2</v>
      </c>
      <c r="F10995" s="5"/>
    </row>
    <row r="10996" spans="2:6" ht="13.8" hidden="1" outlineLevel="1">
      <c r="B10996" s="187">
        <v>38000</v>
      </c>
      <c r="C10996" s="188">
        <v>4.01</v>
      </c>
      <c r="D10996" s="104">
        <f t="shared" si="171"/>
        <v>4.0099999999999997E-2</v>
      </c>
      <c r="F10996" s="5"/>
    </row>
    <row r="10997" spans="2:6" ht="13.8" hidden="1" outlineLevel="1">
      <c r="B10997" s="187">
        <v>38001</v>
      </c>
      <c r="C10997" s="188">
        <v>3.99</v>
      </c>
      <c r="D10997" s="104">
        <f t="shared" si="171"/>
        <v>3.9900000000000005E-2</v>
      </c>
      <c r="F10997" s="5"/>
    </row>
    <row r="10998" spans="2:6" ht="13.8" hidden="1" outlineLevel="1">
      <c r="B10998" s="187">
        <v>38002</v>
      </c>
      <c r="C10998" s="188">
        <v>4.04</v>
      </c>
      <c r="D10998" s="104">
        <f t="shared" si="171"/>
        <v>4.0399999999999998E-2</v>
      </c>
      <c r="F10998" s="5"/>
    </row>
    <row r="10999" spans="2:6" ht="13.8" hidden="1" outlineLevel="1">
      <c r="B10999" s="187">
        <v>38005</v>
      </c>
      <c r="C10999" s="188" t="s">
        <v>380</v>
      </c>
      <c r="D10999" s="104">
        <f t="shared" si="171"/>
        <v>4.0399999999999998E-2</v>
      </c>
      <c r="F10999" s="5"/>
    </row>
    <row r="11000" spans="2:6" ht="13.8" hidden="1" outlineLevel="1">
      <c r="B11000" s="187">
        <v>38006</v>
      </c>
      <c r="C11000" s="188">
        <v>4.08</v>
      </c>
      <c r="D11000" s="104">
        <f t="shared" si="171"/>
        <v>4.0800000000000003E-2</v>
      </c>
      <c r="F11000" s="5"/>
    </row>
    <row r="11001" spans="2:6" ht="13.8" hidden="1" outlineLevel="1">
      <c r="B11001" s="187">
        <v>38007</v>
      </c>
      <c r="C11001" s="188">
        <v>4.05</v>
      </c>
      <c r="D11001" s="104">
        <f t="shared" si="171"/>
        <v>4.0500000000000001E-2</v>
      </c>
      <c r="F11001" s="5"/>
    </row>
    <row r="11002" spans="2:6" ht="13.8" hidden="1" outlineLevel="1">
      <c r="B11002" s="187">
        <v>38008</v>
      </c>
      <c r="C11002" s="188">
        <v>3.99</v>
      </c>
      <c r="D11002" s="104">
        <f t="shared" si="171"/>
        <v>3.9900000000000005E-2</v>
      </c>
      <c r="F11002" s="5"/>
    </row>
    <row r="11003" spans="2:6" ht="13.8" hidden="1" outlineLevel="1">
      <c r="B11003" s="187">
        <v>38009</v>
      </c>
      <c r="C11003" s="188">
        <v>4.09</v>
      </c>
      <c r="D11003" s="104">
        <f t="shared" si="171"/>
        <v>4.0899999999999999E-2</v>
      </c>
      <c r="F11003" s="5"/>
    </row>
    <row r="11004" spans="2:6" ht="13.8" hidden="1" outlineLevel="1">
      <c r="B11004" s="187">
        <v>38012</v>
      </c>
      <c r="C11004" s="188">
        <v>4.16</v>
      </c>
      <c r="D11004" s="104">
        <f t="shared" si="171"/>
        <v>4.1599999999999998E-2</v>
      </c>
      <c r="F11004" s="5"/>
    </row>
    <row r="11005" spans="2:6" ht="13.8" hidden="1" outlineLevel="1">
      <c r="B11005" s="187">
        <v>38013</v>
      </c>
      <c r="C11005" s="188">
        <v>4.1100000000000003</v>
      </c>
      <c r="D11005" s="104">
        <f t="shared" si="171"/>
        <v>4.1100000000000005E-2</v>
      </c>
      <c r="F11005" s="5"/>
    </row>
    <row r="11006" spans="2:6" ht="13.8" hidden="1" outlineLevel="1">
      <c r="B11006" s="187">
        <v>38014</v>
      </c>
      <c r="C11006" s="188">
        <v>4.22</v>
      </c>
      <c r="D11006" s="104">
        <f t="shared" si="171"/>
        <v>4.2199999999999994E-2</v>
      </c>
      <c r="F11006" s="5"/>
    </row>
    <row r="11007" spans="2:6" ht="13.8" hidden="1" outlineLevel="1">
      <c r="B11007" s="187">
        <v>38015</v>
      </c>
      <c r="C11007" s="188">
        <v>4.22</v>
      </c>
      <c r="D11007" s="104">
        <f t="shared" si="171"/>
        <v>4.2199999999999994E-2</v>
      </c>
      <c r="F11007" s="5"/>
    </row>
    <row r="11008" spans="2:6" ht="13.8" hidden="1" outlineLevel="1">
      <c r="B11008" s="187">
        <v>38016</v>
      </c>
      <c r="C11008" s="188">
        <v>4.16</v>
      </c>
      <c r="D11008" s="104">
        <f t="shared" si="171"/>
        <v>4.1599999999999998E-2</v>
      </c>
      <c r="F11008" s="5"/>
    </row>
    <row r="11009" spans="2:6" ht="13.8" hidden="1" outlineLevel="1">
      <c r="B11009" s="187">
        <v>38019</v>
      </c>
      <c r="C11009" s="188">
        <v>4.18</v>
      </c>
      <c r="D11009" s="104">
        <f t="shared" si="171"/>
        <v>4.1799999999999997E-2</v>
      </c>
      <c r="F11009" s="5"/>
    </row>
    <row r="11010" spans="2:6" ht="13.8" hidden="1" outlineLevel="1">
      <c r="B11010" s="187">
        <v>38020</v>
      </c>
      <c r="C11010" s="188">
        <v>4.13</v>
      </c>
      <c r="D11010" s="104">
        <f t="shared" si="171"/>
        <v>4.1299999999999996E-2</v>
      </c>
      <c r="F11010" s="5"/>
    </row>
    <row r="11011" spans="2:6" ht="13.8" hidden="1" outlineLevel="1">
      <c r="B11011" s="187">
        <v>38021</v>
      </c>
      <c r="C11011" s="188">
        <v>4.1500000000000004</v>
      </c>
      <c r="D11011" s="104">
        <f t="shared" si="171"/>
        <v>4.1500000000000002E-2</v>
      </c>
      <c r="F11011" s="5"/>
    </row>
    <row r="11012" spans="2:6" ht="13.8" hidden="1" outlineLevel="1">
      <c r="B11012" s="187">
        <v>38022</v>
      </c>
      <c r="C11012" s="188">
        <v>4.2</v>
      </c>
      <c r="D11012" s="104">
        <f t="shared" si="171"/>
        <v>4.2000000000000003E-2</v>
      </c>
      <c r="F11012" s="5"/>
    </row>
    <row r="11013" spans="2:6" ht="13.8" hidden="1" outlineLevel="1">
      <c r="B11013" s="187">
        <v>38023</v>
      </c>
      <c r="C11013" s="188">
        <v>4.12</v>
      </c>
      <c r="D11013" s="104">
        <f t="shared" si="171"/>
        <v>4.1200000000000001E-2</v>
      </c>
      <c r="F11013" s="5"/>
    </row>
    <row r="11014" spans="2:6" ht="13.8" hidden="1" outlineLevel="1">
      <c r="B11014" s="187">
        <v>38026</v>
      </c>
      <c r="C11014" s="188">
        <v>4.09</v>
      </c>
      <c r="D11014" s="104">
        <f t="shared" si="171"/>
        <v>4.0899999999999999E-2</v>
      </c>
      <c r="F11014" s="5"/>
    </row>
    <row r="11015" spans="2:6" ht="13.8" hidden="1" outlineLevel="1">
      <c r="B11015" s="187">
        <v>38027</v>
      </c>
      <c r="C11015" s="188">
        <v>4.13</v>
      </c>
      <c r="D11015" s="104">
        <f t="shared" si="171"/>
        <v>4.1299999999999996E-2</v>
      </c>
      <c r="F11015" s="5"/>
    </row>
    <row r="11016" spans="2:6" ht="13.8" hidden="1" outlineLevel="1">
      <c r="B11016" s="187">
        <v>38028</v>
      </c>
      <c r="C11016" s="188">
        <v>4.05</v>
      </c>
      <c r="D11016" s="104">
        <f t="shared" si="171"/>
        <v>4.0500000000000001E-2</v>
      </c>
      <c r="F11016" s="5"/>
    </row>
    <row r="11017" spans="2:6" ht="13.8" hidden="1" outlineLevel="1">
      <c r="B11017" s="187">
        <v>38029</v>
      </c>
      <c r="C11017" s="188">
        <v>4.0999999999999996</v>
      </c>
      <c r="D11017" s="104">
        <f t="shared" si="171"/>
        <v>4.0999999999999995E-2</v>
      </c>
      <c r="F11017" s="5"/>
    </row>
    <row r="11018" spans="2:6" ht="13.8" hidden="1" outlineLevel="1">
      <c r="B11018" s="187">
        <v>38030</v>
      </c>
      <c r="C11018" s="188">
        <v>4.05</v>
      </c>
      <c r="D11018" s="104">
        <f t="shared" si="171"/>
        <v>4.0500000000000001E-2</v>
      </c>
      <c r="F11018" s="5"/>
    </row>
    <row r="11019" spans="2:6" ht="13.8" hidden="1" outlineLevel="1">
      <c r="B11019" s="187">
        <v>38033</v>
      </c>
      <c r="C11019" s="188" t="s">
        <v>380</v>
      </c>
      <c r="D11019" s="104">
        <f t="shared" si="171"/>
        <v>4.0500000000000001E-2</v>
      </c>
      <c r="F11019" s="5"/>
    </row>
    <row r="11020" spans="2:6" ht="13.8" hidden="1" outlineLevel="1">
      <c r="B11020" s="187">
        <v>38034</v>
      </c>
      <c r="C11020" s="188">
        <v>4.05</v>
      </c>
      <c r="D11020" s="104">
        <f t="shared" si="171"/>
        <v>4.0500000000000001E-2</v>
      </c>
      <c r="F11020" s="5"/>
    </row>
    <row r="11021" spans="2:6" ht="13.8" hidden="1" outlineLevel="1">
      <c r="B11021" s="187">
        <v>38035</v>
      </c>
      <c r="C11021" s="188">
        <v>4.05</v>
      </c>
      <c r="D11021" s="104">
        <f t="shared" si="171"/>
        <v>4.0500000000000001E-2</v>
      </c>
      <c r="F11021" s="5"/>
    </row>
    <row r="11022" spans="2:6" ht="13.8" hidden="1" outlineLevel="1">
      <c r="B11022" s="187">
        <v>38036</v>
      </c>
      <c r="C11022" s="188">
        <v>4.05</v>
      </c>
      <c r="D11022" s="104">
        <f t="shared" si="171"/>
        <v>4.0500000000000001E-2</v>
      </c>
      <c r="F11022" s="5"/>
    </row>
    <row r="11023" spans="2:6" ht="13.8" hidden="1" outlineLevel="1">
      <c r="B11023" s="187">
        <v>38037</v>
      </c>
      <c r="C11023" s="188">
        <v>4.0999999999999996</v>
      </c>
      <c r="D11023" s="104">
        <f t="shared" si="171"/>
        <v>4.0999999999999995E-2</v>
      </c>
      <c r="F11023" s="5"/>
    </row>
    <row r="11024" spans="2:6" ht="13.8" hidden="1" outlineLevel="1">
      <c r="B11024" s="187">
        <v>38040</v>
      </c>
      <c r="C11024" s="188">
        <v>4.05</v>
      </c>
      <c r="D11024" s="104">
        <f t="shared" si="171"/>
        <v>4.0500000000000001E-2</v>
      </c>
      <c r="F11024" s="5"/>
    </row>
    <row r="11025" spans="2:6" ht="13.8" hidden="1" outlineLevel="1">
      <c r="B11025" s="187">
        <v>38041</v>
      </c>
      <c r="C11025" s="188">
        <v>4.04</v>
      </c>
      <c r="D11025" s="104">
        <f t="shared" si="171"/>
        <v>4.0399999999999998E-2</v>
      </c>
      <c r="F11025" s="5"/>
    </row>
    <row r="11026" spans="2:6" ht="13.8" hidden="1" outlineLevel="1">
      <c r="B11026" s="187">
        <v>38042</v>
      </c>
      <c r="C11026" s="188">
        <v>4.0199999999999996</v>
      </c>
      <c r="D11026" s="104">
        <f t="shared" si="171"/>
        <v>4.0199999999999993E-2</v>
      </c>
      <c r="F11026" s="5"/>
    </row>
    <row r="11027" spans="2:6" ht="13.8" hidden="1" outlineLevel="1">
      <c r="B11027" s="187">
        <v>38043</v>
      </c>
      <c r="C11027" s="188">
        <v>4.05</v>
      </c>
      <c r="D11027" s="104">
        <f t="shared" si="171"/>
        <v>4.0500000000000001E-2</v>
      </c>
      <c r="F11027" s="5"/>
    </row>
    <row r="11028" spans="2:6" ht="13.8" hidden="1" outlineLevel="1">
      <c r="B11028" s="187">
        <v>38044</v>
      </c>
      <c r="C11028" s="188">
        <v>3.99</v>
      </c>
      <c r="D11028" s="104">
        <f t="shared" si="171"/>
        <v>3.9900000000000005E-2</v>
      </c>
      <c r="F11028" s="5"/>
    </row>
    <row r="11029" spans="2:6" ht="13.8" hidden="1" outlineLevel="1">
      <c r="B11029" s="187">
        <v>38047</v>
      </c>
      <c r="C11029" s="188">
        <v>4</v>
      </c>
      <c r="D11029" s="104">
        <f t="shared" si="171"/>
        <v>0.04</v>
      </c>
      <c r="F11029" s="5"/>
    </row>
    <row r="11030" spans="2:6" ht="13.8" hidden="1" outlineLevel="1">
      <c r="B11030" s="187">
        <v>38048</v>
      </c>
      <c r="C11030" s="188">
        <v>4.05</v>
      </c>
      <c r="D11030" s="104">
        <f t="shared" si="171"/>
        <v>4.0500000000000001E-2</v>
      </c>
      <c r="F11030" s="5"/>
    </row>
    <row r="11031" spans="2:6" ht="13.8" hidden="1" outlineLevel="1">
      <c r="B11031" s="187">
        <v>38049</v>
      </c>
      <c r="C11031" s="188">
        <v>4.07</v>
      </c>
      <c r="D11031" s="104">
        <f t="shared" si="171"/>
        <v>4.07E-2</v>
      </c>
      <c r="F11031" s="5"/>
    </row>
    <row r="11032" spans="2:6" ht="13.8" hidden="1" outlineLevel="1">
      <c r="B11032" s="187">
        <v>38050</v>
      </c>
      <c r="C11032" s="188">
        <v>4.04</v>
      </c>
      <c r="D11032" s="104">
        <f t="shared" si="171"/>
        <v>4.0399999999999998E-2</v>
      </c>
      <c r="F11032" s="5"/>
    </row>
    <row r="11033" spans="2:6" ht="13.8" hidden="1" outlineLevel="1">
      <c r="B11033" s="187">
        <v>38051</v>
      </c>
      <c r="C11033" s="188">
        <v>3.85</v>
      </c>
      <c r="D11033" s="104">
        <f t="shared" si="171"/>
        <v>3.85E-2</v>
      </c>
      <c r="F11033" s="5"/>
    </row>
    <row r="11034" spans="2:6" ht="13.8" hidden="1" outlineLevel="1">
      <c r="B11034" s="187">
        <v>38054</v>
      </c>
      <c r="C11034" s="188">
        <v>3.78</v>
      </c>
      <c r="D11034" s="104">
        <f t="shared" si="171"/>
        <v>3.78E-2</v>
      </c>
      <c r="F11034" s="5"/>
    </row>
    <row r="11035" spans="2:6" ht="13.8" hidden="1" outlineLevel="1">
      <c r="B11035" s="187">
        <v>38055</v>
      </c>
      <c r="C11035" s="188">
        <v>3.73</v>
      </c>
      <c r="D11035" s="104">
        <f t="shared" si="171"/>
        <v>3.73E-2</v>
      </c>
      <c r="F11035" s="5"/>
    </row>
    <row r="11036" spans="2:6" ht="13.8" hidden="1" outlineLevel="1">
      <c r="B11036" s="187">
        <v>38056</v>
      </c>
      <c r="C11036" s="188">
        <v>3.74</v>
      </c>
      <c r="D11036" s="104">
        <f t="shared" si="171"/>
        <v>3.7400000000000003E-2</v>
      </c>
      <c r="F11036" s="5"/>
    </row>
    <row r="11037" spans="2:6" ht="13.8" hidden="1" outlineLevel="1">
      <c r="B11037" s="187">
        <v>38057</v>
      </c>
      <c r="C11037" s="188">
        <v>3.74</v>
      </c>
      <c r="D11037" s="104">
        <f t="shared" si="171"/>
        <v>3.7400000000000003E-2</v>
      </c>
      <c r="F11037" s="5"/>
    </row>
    <row r="11038" spans="2:6" ht="13.8" hidden="1" outlineLevel="1">
      <c r="B11038" s="187">
        <v>38058</v>
      </c>
      <c r="C11038" s="188">
        <v>3.78</v>
      </c>
      <c r="D11038" s="104">
        <f t="shared" ref="D11038:D11101" si="172">IF( LEN( C11038 ) = 0, #N/A, IF( C11038 = "ND", D11037, C11038 / 100 ) )</f>
        <v>3.78E-2</v>
      </c>
      <c r="F11038" s="5"/>
    </row>
    <row r="11039" spans="2:6" ht="13.8" hidden="1" outlineLevel="1">
      <c r="B11039" s="187">
        <v>38061</v>
      </c>
      <c r="C11039" s="188">
        <v>3.78</v>
      </c>
      <c r="D11039" s="104">
        <f t="shared" si="172"/>
        <v>3.78E-2</v>
      </c>
      <c r="F11039" s="5"/>
    </row>
    <row r="11040" spans="2:6" ht="13.8" hidden="1" outlineLevel="1">
      <c r="B11040" s="187">
        <v>38062</v>
      </c>
      <c r="C11040" s="188">
        <v>3.7</v>
      </c>
      <c r="D11040" s="104">
        <f t="shared" si="172"/>
        <v>3.7000000000000005E-2</v>
      </c>
      <c r="F11040" s="5"/>
    </row>
    <row r="11041" spans="2:6" ht="13.8" hidden="1" outlineLevel="1">
      <c r="B11041" s="187">
        <v>38063</v>
      </c>
      <c r="C11041" s="188">
        <v>3.71</v>
      </c>
      <c r="D11041" s="104">
        <f t="shared" si="172"/>
        <v>3.7100000000000001E-2</v>
      </c>
      <c r="F11041" s="5"/>
    </row>
    <row r="11042" spans="2:6" ht="13.8" hidden="1" outlineLevel="1">
      <c r="B11042" s="187">
        <v>38064</v>
      </c>
      <c r="C11042" s="188">
        <v>3.76</v>
      </c>
      <c r="D11042" s="104">
        <f t="shared" si="172"/>
        <v>3.7599999999999995E-2</v>
      </c>
      <c r="F11042" s="5"/>
    </row>
    <row r="11043" spans="2:6" ht="13.8" hidden="1" outlineLevel="1">
      <c r="B11043" s="187">
        <v>38065</v>
      </c>
      <c r="C11043" s="188">
        <v>3.8</v>
      </c>
      <c r="D11043" s="104">
        <f t="shared" si="172"/>
        <v>3.7999999999999999E-2</v>
      </c>
      <c r="F11043" s="5"/>
    </row>
    <row r="11044" spans="2:6" ht="13.8" hidden="1" outlineLevel="1">
      <c r="B11044" s="187">
        <v>38068</v>
      </c>
      <c r="C11044" s="188">
        <v>3.74</v>
      </c>
      <c r="D11044" s="104">
        <f t="shared" si="172"/>
        <v>3.7400000000000003E-2</v>
      </c>
      <c r="F11044" s="5"/>
    </row>
    <row r="11045" spans="2:6" ht="13.8" hidden="1" outlineLevel="1">
      <c r="B11045" s="187">
        <v>38069</v>
      </c>
      <c r="C11045" s="188">
        <v>3.73</v>
      </c>
      <c r="D11045" s="104">
        <f t="shared" si="172"/>
        <v>3.73E-2</v>
      </c>
      <c r="F11045" s="5"/>
    </row>
    <row r="11046" spans="2:6" ht="13.8" hidden="1" outlineLevel="1">
      <c r="B11046" s="187">
        <v>38070</v>
      </c>
      <c r="C11046" s="188">
        <v>3.73</v>
      </c>
      <c r="D11046" s="104">
        <f t="shared" si="172"/>
        <v>3.73E-2</v>
      </c>
      <c r="F11046" s="5"/>
    </row>
    <row r="11047" spans="2:6" ht="13.8" hidden="1" outlineLevel="1">
      <c r="B11047" s="187">
        <v>38071</v>
      </c>
      <c r="C11047" s="188">
        <v>3.75</v>
      </c>
      <c r="D11047" s="104">
        <f t="shared" si="172"/>
        <v>3.7499999999999999E-2</v>
      </c>
      <c r="F11047" s="5"/>
    </row>
    <row r="11048" spans="2:6" ht="13.8" hidden="1" outlineLevel="1">
      <c r="B11048" s="187">
        <v>38072</v>
      </c>
      <c r="C11048" s="188">
        <v>3.85</v>
      </c>
      <c r="D11048" s="104">
        <f t="shared" si="172"/>
        <v>3.85E-2</v>
      </c>
      <c r="F11048" s="5"/>
    </row>
    <row r="11049" spans="2:6" ht="13.8" hidden="1" outlineLevel="1">
      <c r="B11049" s="187">
        <v>38075</v>
      </c>
      <c r="C11049" s="188">
        <v>3.91</v>
      </c>
      <c r="D11049" s="104">
        <f t="shared" si="172"/>
        <v>3.9100000000000003E-2</v>
      </c>
      <c r="F11049" s="5"/>
    </row>
    <row r="11050" spans="2:6" ht="13.8" hidden="1" outlineLevel="1">
      <c r="B11050" s="187">
        <v>38076</v>
      </c>
      <c r="C11050" s="188">
        <v>3.91</v>
      </c>
      <c r="D11050" s="104">
        <f t="shared" si="172"/>
        <v>3.9100000000000003E-2</v>
      </c>
      <c r="F11050" s="5"/>
    </row>
    <row r="11051" spans="2:6" ht="13.8" hidden="1" outlineLevel="1">
      <c r="B11051" s="187">
        <v>38077</v>
      </c>
      <c r="C11051" s="188">
        <v>3.86</v>
      </c>
      <c r="D11051" s="104">
        <f t="shared" si="172"/>
        <v>3.8599999999999995E-2</v>
      </c>
      <c r="F11051" s="5"/>
    </row>
    <row r="11052" spans="2:6" ht="13.8" hidden="1" outlineLevel="1">
      <c r="B11052" s="187">
        <v>38078</v>
      </c>
      <c r="C11052" s="188">
        <v>3.91</v>
      </c>
      <c r="D11052" s="104">
        <f t="shared" si="172"/>
        <v>3.9100000000000003E-2</v>
      </c>
      <c r="F11052" s="5"/>
    </row>
    <row r="11053" spans="2:6" ht="13.8" hidden="1" outlineLevel="1">
      <c r="B11053" s="187">
        <v>38079</v>
      </c>
      <c r="C11053" s="188">
        <v>4.1500000000000004</v>
      </c>
      <c r="D11053" s="104">
        <f t="shared" si="172"/>
        <v>4.1500000000000002E-2</v>
      </c>
      <c r="F11053" s="5"/>
    </row>
    <row r="11054" spans="2:6" ht="13.8" hidden="1" outlineLevel="1">
      <c r="B11054" s="187">
        <v>38082</v>
      </c>
      <c r="C11054" s="188">
        <v>4.24</v>
      </c>
      <c r="D11054" s="104">
        <f t="shared" si="172"/>
        <v>4.24E-2</v>
      </c>
      <c r="F11054" s="5"/>
    </row>
    <row r="11055" spans="2:6" ht="13.8" hidden="1" outlineLevel="1">
      <c r="B11055" s="187">
        <v>38083</v>
      </c>
      <c r="C11055" s="188">
        <v>4.1900000000000004</v>
      </c>
      <c r="D11055" s="104">
        <f t="shared" si="172"/>
        <v>4.1900000000000007E-2</v>
      </c>
      <c r="F11055" s="5"/>
    </row>
    <row r="11056" spans="2:6" ht="13.8" hidden="1" outlineLevel="1">
      <c r="B11056" s="187">
        <v>38084</v>
      </c>
      <c r="C11056" s="188">
        <v>4.1900000000000004</v>
      </c>
      <c r="D11056" s="104">
        <f t="shared" si="172"/>
        <v>4.1900000000000007E-2</v>
      </c>
      <c r="F11056" s="5"/>
    </row>
    <row r="11057" spans="2:6" ht="13.8" hidden="1" outlineLevel="1">
      <c r="B11057" s="187">
        <v>38085</v>
      </c>
      <c r="C11057" s="188">
        <v>4.21</v>
      </c>
      <c r="D11057" s="104">
        <f t="shared" si="172"/>
        <v>4.2099999999999999E-2</v>
      </c>
      <c r="F11057" s="5"/>
    </row>
    <row r="11058" spans="2:6" ht="13.8" hidden="1" outlineLevel="1">
      <c r="B11058" s="187">
        <v>38086</v>
      </c>
      <c r="C11058" s="188" t="s">
        <v>380</v>
      </c>
      <c r="D11058" s="104">
        <f t="shared" si="172"/>
        <v>4.2099999999999999E-2</v>
      </c>
      <c r="F11058" s="5"/>
    </row>
    <row r="11059" spans="2:6" ht="13.8" hidden="1" outlineLevel="1">
      <c r="B11059" s="187">
        <v>38089</v>
      </c>
      <c r="C11059" s="188">
        <v>4.25</v>
      </c>
      <c r="D11059" s="104">
        <f t="shared" si="172"/>
        <v>4.2500000000000003E-2</v>
      </c>
      <c r="F11059" s="5"/>
    </row>
    <row r="11060" spans="2:6" ht="13.8" hidden="1" outlineLevel="1">
      <c r="B11060" s="187">
        <v>38090</v>
      </c>
      <c r="C11060" s="188">
        <v>4.3499999999999996</v>
      </c>
      <c r="D11060" s="104">
        <f t="shared" si="172"/>
        <v>4.3499999999999997E-2</v>
      </c>
      <c r="F11060" s="5"/>
    </row>
    <row r="11061" spans="2:6" ht="13.8" hidden="1" outlineLevel="1">
      <c r="B11061" s="187">
        <v>38091</v>
      </c>
      <c r="C11061" s="188">
        <v>4.4000000000000004</v>
      </c>
      <c r="D11061" s="104">
        <f t="shared" si="172"/>
        <v>4.4000000000000004E-2</v>
      </c>
      <c r="F11061" s="5"/>
    </row>
    <row r="11062" spans="2:6" ht="13.8" hidden="1" outlineLevel="1">
      <c r="B11062" s="187">
        <v>38092</v>
      </c>
      <c r="C11062" s="188">
        <v>4.42</v>
      </c>
      <c r="D11062" s="104">
        <f t="shared" si="172"/>
        <v>4.4199999999999996E-2</v>
      </c>
      <c r="F11062" s="5"/>
    </row>
    <row r="11063" spans="2:6" ht="13.8" hidden="1" outlineLevel="1">
      <c r="B11063" s="187">
        <v>38093</v>
      </c>
      <c r="C11063" s="188">
        <v>4.37</v>
      </c>
      <c r="D11063" s="104">
        <f t="shared" si="172"/>
        <v>4.3700000000000003E-2</v>
      </c>
      <c r="F11063" s="5"/>
    </row>
    <row r="11064" spans="2:6" ht="13.8" hidden="1" outlineLevel="1">
      <c r="B11064" s="187">
        <v>38096</v>
      </c>
      <c r="C11064" s="188">
        <v>4.3899999999999997</v>
      </c>
      <c r="D11064" s="104">
        <f t="shared" si="172"/>
        <v>4.3899999999999995E-2</v>
      </c>
      <c r="F11064" s="5"/>
    </row>
    <row r="11065" spans="2:6" ht="13.8" hidden="1" outlineLevel="1">
      <c r="B11065" s="187">
        <v>38097</v>
      </c>
      <c r="C11065" s="188">
        <v>4.43</v>
      </c>
      <c r="D11065" s="104">
        <f t="shared" si="172"/>
        <v>4.4299999999999999E-2</v>
      </c>
      <c r="F11065" s="5"/>
    </row>
    <row r="11066" spans="2:6" ht="13.8" hidden="1" outlineLevel="1">
      <c r="B11066" s="187">
        <v>38098</v>
      </c>
      <c r="C11066" s="188">
        <v>4.45</v>
      </c>
      <c r="D11066" s="104">
        <f t="shared" si="172"/>
        <v>4.4500000000000005E-2</v>
      </c>
      <c r="F11066" s="5"/>
    </row>
    <row r="11067" spans="2:6" ht="13.8" hidden="1" outlineLevel="1">
      <c r="B11067" s="187">
        <v>38099</v>
      </c>
      <c r="C11067" s="188">
        <v>4.4000000000000004</v>
      </c>
      <c r="D11067" s="104">
        <f t="shared" si="172"/>
        <v>4.4000000000000004E-2</v>
      </c>
      <c r="F11067" s="5"/>
    </row>
    <row r="11068" spans="2:6" ht="13.8" hidden="1" outlineLevel="1">
      <c r="B11068" s="187">
        <v>38100</v>
      </c>
      <c r="C11068" s="188">
        <v>4.4800000000000004</v>
      </c>
      <c r="D11068" s="104">
        <f t="shared" si="172"/>
        <v>4.4800000000000006E-2</v>
      </c>
      <c r="F11068" s="5"/>
    </row>
    <row r="11069" spans="2:6" ht="13.8" hidden="1" outlineLevel="1">
      <c r="B11069" s="187">
        <v>38103</v>
      </c>
      <c r="C11069" s="188">
        <v>4.46</v>
      </c>
      <c r="D11069" s="104">
        <f t="shared" si="172"/>
        <v>4.4600000000000001E-2</v>
      </c>
      <c r="F11069" s="5"/>
    </row>
    <row r="11070" spans="2:6" ht="13.8" hidden="1" outlineLevel="1">
      <c r="B11070" s="187">
        <v>38104</v>
      </c>
      <c r="C11070" s="188">
        <v>4.43</v>
      </c>
      <c r="D11070" s="104">
        <f t="shared" si="172"/>
        <v>4.4299999999999999E-2</v>
      </c>
      <c r="F11070" s="5"/>
    </row>
    <row r="11071" spans="2:6" ht="13.8" hidden="1" outlineLevel="1">
      <c r="B11071" s="187">
        <v>38105</v>
      </c>
      <c r="C11071" s="188">
        <v>4.5</v>
      </c>
      <c r="D11071" s="104">
        <f t="shared" si="172"/>
        <v>4.4999999999999998E-2</v>
      </c>
      <c r="F11071" s="5"/>
    </row>
    <row r="11072" spans="2:6" ht="13.8" hidden="1" outlineLevel="1">
      <c r="B11072" s="187">
        <v>38106</v>
      </c>
      <c r="C11072" s="188">
        <v>4.55</v>
      </c>
      <c r="D11072" s="104">
        <f t="shared" si="172"/>
        <v>4.5499999999999999E-2</v>
      </c>
      <c r="F11072" s="5"/>
    </row>
    <row r="11073" spans="2:6" ht="13.8" hidden="1" outlineLevel="1">
      <c r="B11073" s="187">
        <v>38107</v>
      </c>
      <c r="C11073" s="188">
        <v>4.53</v>
      </c>
      <c r="D11073" s="104">
        <f t="shared" si="172"/>
        <v>4.53E-2</v>
      </c>
      <c r="F11073" s="5"/>
    </row>
    <row r="11074" spans="2:6" ht="13.8" hidden="1" outlineLevel="1">
      <c r="B11074" s="187">
        <v>38110</v>
      </c>
      <c r="C11074" s="188">
        <v>4.53</v>
      </c>
      <c r="D11074" s="104">
        <f t="shared" si="172"/>
        <v>4.53E-2</v>
      </c>
      <c r="F11074" s="5"/>
    </row>
    <row r="11075" spans="2:6" ht="13.8" hidden="1" outlineLevel="1">
      <c r="B11075" s="187">
        <v>38111</v>
      </c>
      <c r="C11075" s="188">
        <v>4.5599999999999996</v>
      </c>
      <c r="D11075" s="104">
        <f t="shared" si="172"/>
        <v>4.5599999999999995E-2</v>
      </c>
      <c r="F11075" s="5"/>
    </row>
    <row r="11076" spans="2:6" ht="13.8" hidden="1" outlineLevel="1">
      <c r="B11076" s="187">
        <v>38112</v>
      </c>
      <c r="C11076" s="188">
        <v>4.6100000000000003</v>
      </c>
      <c r="D11076" s="104">
        <f t="shared" si="172"/>
        <v>4.6100000000000002E-2</v>
      </c>
      <c r="F11076" s="5"/>
    </row>
    <row r="11077" spans="2:6" ht="13.8" hidden="1" outlineLevel="1">
      <c r="B11077" s="187">
        <v>38113</v>
      </c>
      <c r="C11077" s="188">
        <v>4.63</v>
      </c>
      <c r="D11077" s="104">
        <f t="shared" si="172"/>
        <v>4.6300000000000001E-2</v>
      </c>
      <c r="F11077" s="5"/>
    </row>
    <row r="11078" spans="2:6" ht="13.8" hidden="1" outlineLevel="1">
      <c r="B11078" s="187">
        <v>38114</v>
      </c>
      <c r="C11078" s="188">
        <v>4.79</v>
      </c>
      <c r="D11078" s="104">
        <f t="shared" si="172"/>
        <v>4.7899999999999998E-2</v>
      </c>
      <c r="F11078" s="5"/>
    </row>
    <row r="11079" spans="2:6" ht="13.8" hidden="1" outlineLevel="1">
      <c r="B11079" s="187">
        <v>38117</v>
      </c>
      <c r="C11079" s="188">
        <v>4.8099999999999996</v>
      </c>
      <c r="D11079" s="104">
        <f t="shared" si="172"/>
        <v>4.8099999999999997E-2</v>
      </c>
      <c r="F11079" s="5"/>
    </row>
    <row r="11080" spans="2:6" ht="13.8" hidden="1" outlineLevel="1">
      <c r="B11080" s="187">
        <v>38118</v>
      </c>
      <c r="C11080" s="188">
        <v>4.79</v>
      </c>
      <c r="D11080" s="104">
        <f t="shared" si="172"/>
        <v>4.7899999999999998E-2</v>
      </c>
      <c r="F11080" s="5"/>
    </row>
    <row r="11081" spans="2:6" ht="13.8" hidden="1" outlineLevel="1">
      <c r="B11081" s="187">
        <v>38119</v>
      </c>
      <c r="C11081" s="188">
        <v>4.83</v>
      </c>
      <c r="D11081" s="104">
        <f t="shared" si="172"/>
        <v>4.8300000000000003E-2</v>
      </c>
      <c r="F11081" s="5"/>
    </row>
    <row r="11082" spans="2:6" ht="13.8" hidden="1" outlineLevel="1">
      <c r="B11082" s="187">
        <v>38120</v>
      </c>
      <c r="C11082" s="188">
        <v>4.8499999999999996</v>
      </c>
      <c r="D11082" s="104">
        <f t="shared" si="172"/>
        <v>4.8499999999999995E-2</v>
      </c>
      <c r="F11082" s="5"/>
    </row>
    <row r="11083" spans="2:6" ht="13.8" hidden="1" outlineLevel="1">
      <c r="B11083" s="187">
        <v>38121</v>
      </c>
      <c r="C11083" s="188">
        <v>4.79</v>
      </c>
      <c r="D11083" s="104">
        <f t="shared" si="172"/>
        <v>4.7899999999999998E-2</v>
      </c>
      <c r="F11083" s="5"/>
    </row>
    <row r="11084" spans="2:6" ht="13.8" hidden="1" outlineLevel="1">
      <c r="B11084" s="187">
        <v>38124</v>
      </c>
      <c r="C11084" s="188">
        <v>4.7</v>
      </c>
      <c r="D11084" s="104">
        <f t="shared" si="172"/>
        <v>4.7E-2</v>
      </c>
      <c r="F11084" s="5"/>
    </row>
    <row r="11085" spans="2:6" ht="13.8" hidden="1" outlineLevel="1">
      <c r="B11085" s="187">
        <v>38125</v>
      </c>
      <c r="C11085" s="188">
        <v>4.74</v>
      </c>
      <c r="D11085" s="104">
        <f t="shared" si="172"/>
        <v>4.7400000000000005E-2</v>
      </c>
      <c r="F11085" s="5"/>
    </row>
    <row r="11086" spans="2:6" ht="13.8" hidden="1" outlineLevel="1">
      <c r="B11086" s="187">
        <v>38126</v>
      </c>
      <c r="C11086" s="188">
        <v>4.79</v>
      </c>
      <c r="D11086" s="104">
        <f t="shared" si="172"/>
        <v>4.7899999999999998E-2</v>
      </c>
      <c r="F11086" s="5"/>
    </row>
    <row r="11087" spans="2:6" ht="13.8" hidden="1" outlineLevel="1">
      <c r="B11087" s="187">
        <v>38127</v>
      </c>
      <c r="C11087" s="188">
        <v>4.72</v>
      </c>
      <c r="D11087" s="104">
        <f t="shared" si="172"/>
        <v>4.7199999999999999E-2</v>
      </c>
      <c r="F11087" s="5"/>
    </row>
    <row r="11088" spans="2:6" ht="13.8" hidden="1" outlineLevel="1">
      <c r="B11088" s="187">
        <v>38128</v>
      </c>
      <c r="C11088" s="188">
        <v>4.76</v>
      </c>
      <c r="D11088" s="104">
        <f t="shared" si="172"/>
        <v>4.7599999999999996E-2</v>
      </c>
      <c r="F11088" s="5"/>
    </row>
    <row r="11089" spans="2:6" ht="13.8" hidden="1" outlineLevel="1">
      <c r="B11089" s="187">
        <v>38131</v>
      </c>
      <c r="C11089" s="188">
        <v>4.75</v>
      </c>
      <c r="D11089" s="104">
        <f t="shared" si="172"/>
        <v>4.7500000000000001E-2</v>
      </c>
      <c r="F11089" s="5"/>
    </row>
    <row r="11090" spans="2:6" ht="13.8" hidden="1" outlineLevel="1">
      <c r="B11090" s="187">
        <v>38132</v>
      </c>
      <c r="C11090" s="188">
        <v>4.7300000000000004</v>
      </c>
      <c r="D11090" s="104">
        <f t="shared" si="172"/>
        <v>4.7300000000000002E-2</v>
      </c>
      <c r="F11090" s="5"/>
    </row>
    <row r="11091" spans="2:6" ht="13.8" hidden="1" outlineLevel="1">
      <c r="B11091" s="187">
        <v>38133</v>
      </c>
      <c r="C11091" s="188">
        <v>4.67</v>
      </c>
      <c r="D11091" s="104">
        <f t="shared" si="172"/>
        <v>4.6699999999999998E-2</v>
      </c>
      <c r="F11091" s="5"/>
    </row>
    <row r="11092" spans="2:6" ht="13.8" hidden="1" outlineLevel="1">
      <c r="B11092" s="187">
        <v>38134</v>
      </c>
      <c r="C11092" s="188">
        <v>4.5999999999999996</v>
      </c>
      <c r="D11092" s="104">
        <f t="shared" si="172"/>
        <v>4.5999999999999999E-2</v>
      </c>
      <c r="F11092" s="5"/>
    </row>
    <row r="11093" spans="2:6" ht="13.8" hidden="1" outlineLevel="1">
      <c r="B11093" s="187">
        <v>38135</v>
      </c>
      <c r="C11093" s="188">
        <v>4.66</v>
      </c>
      <c r="D11093" s="104">
        <f t="shared" si="172"/>
        <v>4.6600000000000003E-2</v>
      </c>
      <c r="F11093" s="5"/>
    </row>
    <row r="11094" spans="2:6" ht="13.8" hidden="1" outlineLevel="1">
      <c r="B11094" s="187">
        <v>38138</v>
      </c>
      <c r="C11094" s="188" t="s">
        <v>380</v>
      </c>
      <c r="D11094" s="104">
        <f t="shared" si="172"/>
        <v>4.6600000000000003E-2</v>
      </c>
      <c r="F11094" s="5"/>
    </row>
    <row r="11095" spans="2:6" ht="13.8" hidden="1" outlineLevel="1">
      <c r="B11095" s="187">
        <v>38139</v>
      </c>
      <c r="C11095" s="188">
        <v>4.71</v>
      </c>
      <c r="D11095" s="104">
        <f t="shared" si="172"/>
        <v>4.7100000000000003E-2</v>
      </c>
      <c r="F11095" s="5"/>
    </row>
    <row r="11096" spans="2:6" ht="13.8" hidden="1" outlineLevel="1">
      <c r="B11096" s="187">
        <v>38140</v>
      </c>
      <c r="C11096" s="188">
        <v>4.74</v>
      </c>
      <c r="D11096" s="104">
        <f t="shared" si="172"/>
        <v>4.7400000000000005E-2</v>
      </c>
      <c r="F11096" s="5"/>
    </row>
    <row r="11097" spans="2:6" ht="13.8" hidden="1" outlineLevel="1">
      <c r="B11097" s="187">
        <v>38141</v>
      </c>
      <c r="C11097" s="188">
        <v>4.71</v>
      </c>
      <c r="D11097" s="104">
        <f t="shared" si="172"/>
        <v>4.7100000000000003E-2</v>
      </c>
      <c r="F11097" s="5"/>
    </row>
    <row r="11098" spans="2:6" ht="13.8" hidden="1" outlineLevel="1">
      <c r="B11098" s="187">
        <v>38142</v>
      </c>
      <c r="C11098" s="188">
        <v>4.78</v>
      </c>
      <c r="D11098" s="104">
        <f t="shared" si="172"/>
        <v>4.7800000000000002E-2</v>
      </c>
      <c r="F11098" s="5"/>
    </row>
    <row r="11099" spans="2:6" ht="13.8" hidden="1" outlineLevel="1">
      <c r="B11099" s="187">
        <v>38145</v>
      </c>
      <c r="C11099" s="188">
        <v>4.78</v>
      </c>
      <c r="D11099" s="104">
        <f t="shared" si="172"/>
        <v>4.7800000000000002E-2</v>
      </c>
      <c r="F11099" s="5"/>
    </row>
    <row r="11100" spans="2:6" ht="13.8" hidden="1" outlineLevel="1">
      <c r="B11100" s="187">
        <v>38146</v>
      </c>
      <c r="C11100" s="188">
        <v>4.78</v>
      </c>
      <c r="D11100" s="104">
        <f t="shared" si="172"/>
        <v>4.7800000000000002E-2</v>
      </c>
      <c r="F11100" s="5"/>
    </row>
    <row r="11101" spans="2:6" ht="13.8" hidden="1" outlineLevel="1">
      <c r="B11101" s="187">
        <v>38147</v>
      </c>
      <c r="C11101" s="188">
        <v>4.82</v>
      </c>
      <c r="D11101" s="104">
        <f t="shared" si="172"/>
        <v>4.82E-2</v>
      </c>
      <c r="F11101" s="5"/>
    </row>
    <row r="11102" spans="2:6" ht="13.8" hidden="1" outlineLevel="1">
      <c r="B11102" s="187">
        <v>38148</v>
      </c>
      <c r="C11102" s="188">
        <v>4.8099999999999996</v>
      </c>
      <c r="D11102" s="104">
        <f t="shared" ref="D11102:D11165" si="173">IF( LEN( C11102 ) = 0, #N/A, IF( C11102 = "ND", D11101, C11102 / 100 ) )</f>
        <v>4.8099999999999997E-2</v>
      </c>
      <c r="F11102" s="5"/>
    </row>
    <row r="11103" spans="2:6" ht="13.8" hidden="1" outlineLevel="1">
      <c r="B11103" s="187">
        <v>38149</v>
      </c>
      <c r="C11103" s="188" t="s">
        <v>380</v>
      </c>
      <c r="D11103" s="104">
        <f t="shared" si="173"/>
        <v>4.8099999999999997E-2</v>
      </c>
      <c r="F11103" s="5"/>
    </row>
    <row r="11104" spans="2:6" ht="13.8" hidden="1" outlineLevel="1">
      <c r="B11104" s="187">
        <v>38152</v>
      </c>
      <c r="C11104" s="188">
        <v>4.8899999999999997</v>
      </c>
      <c r="D11104" s="104">
        <f t="shared" si="173"/>
        <v>4.8899999999999999E-2</v>
      </c>
      <c r="F11104" s="5"/>
    </row>
    <row r="11105" spans="2:6" ht="13.8" hidden="1" outlineLevel="1">
      <c r="B11105" s="187">
        <v>38153</v>
      </c>
      <c r="C11105" s="188">
        <v>4.6900000000000004</v>
      </c>
      <c r="D11105" s="104">
        <f t="shared" si="173"/>
        <v>4.6900000000000004E-2</v>
      </c>
      <c r="F11105" s="5"/>
    </row>
    <row r="11106" spans="2:6" ht="13.8" hidden="1" outlineLevel="1">
      <c r="B11106" s="187">
        <v>38154</v>
      </c>
      <c r="C11106" s="188">
        <v>4.74</v>
      </c>
      <c r="D11106" s="104">
        <f t="shared" si="173"/>
        <v>4.7400000000000005E-2</v>
      </c>
      <c r="F11106" s="5"/>
    </row>
    <row r="11107" spans="2:6" ht="13.8" hidden="1" outlineLevel="1">
      <c r="B11107" s="187">
        <v>38155</v>
      </c>
      <c r="C11107" s="188">
        <v>4.71</v>
      </c>
      <c r="D11107" s="104">
        <f t="shared" si="173"/>
        <v>4.7100000000000003E-2</v>
      </c>
      <c r="F11107" s="5"/>
    </row>
    <row r="11108" spans="2:6" ht="13.8" hidden="1" outlineLevel="1">
      <c r="B11108" s="187">
        <v>38156</v>
      </c>
      <c r="C11108" s="188">
        <v>4.72</v>
      </c>
      <c r="D11108" s="104">
        <f t="shared" si="173"/>
        <v>4.7199999999999999E-2</v>
      </c>
      <c r="F11108" s="5"/>
    </row>
    <row r="11109" spans="2:6" ht="13.8" hidden="1" outlineLevel="1">
      <c r="B11109" s="187">
        <v>38159</v>
      </c>
      <c r="C11109" s="188">
        <v>4.7</v>
      </c>
      <c r="D11109" s="104">
        <f t="shared" si="173"/>
        <v>4.7E-2</v>
      </c>
      <c r="F11109" s="5"/>
    </row>
    <row r="11110" spans="2:6" ht="13.8" hidden="1" outlineLevel="1">
      <c r="B11110" s="187">
        <v>38160</v>
      </c>
      <c r="C11110" s="188">
        <v>4.72</v>
      </c>
      <c r="D11110" s="104">
        <f t="shared" si="173"/>
        <v>4.7199999999999999E-2</v>
      </c>
      <c r="F11110" s="5"/>
    </row>
    <row r="11111" spans="2:6" ht="13.8" hidden="1" outlineLevel="1">
      <c r="B11111" s="187">
        <v>38161</v>
      </c>
      <c r="C11111" s="188">
        <v>4.71</v>
      </c>
      <c r="D11111" s="104">
        <f t="shared" si="173"/>
        <v>4.7100000000000003E-2</v>
      </c>
      <c r="F11111" s="5"/>
    </row>
    <row r="11112" spans="2:6" ht="13.8" hidden="1" outlineLevel="1">
      <c r="B11112" s="187">
        <v>38162</v>
      </c>
      <c r="C11112" s="188">
        <v>4.66</v>
      </c>
      <c r="D11112" s="104">
        <f t="shared" si="173"/>
        <v>4.6600000000000003E-2</v>
      </c>
      <c r="F11112" s="5"/>
    </row>
    <row r="11113" spans="2:6" ht="13.8" hidden="1" outlineLevel="1">
      <c r="B11113" s="187">
        <v>38163</v>
      </c>
      <c r="C11113" s="188">
        <v>4.66</v>
      </c>
      <c r="D11113" s="104">
        <f t="shared" si="173"/>
        <v>4.6600000000000003E-2</v>
      </c>
      <c r="F11113" s="5"/>
    </row>
    <row r="11114" spans="2:6" ht="13.8" hidden="1" outlineLevel="1">
      <c r="B11114" s="187">
        <v>38166</v>
      </c>
      <c r="C11114" s="188">
        <v>4.76</v>
      </c>
      <c r="D11114" s="104">
        <f t="shared" si="173"/>
        <v>4.7599999999999996E-2</v>
      </c>
      <c r="F11114" s="5"/>
    </row>
    <row r="11115" spans="2:6" ht="13.8" hidden="1" outlineLevel="1">
      <c r="B11115" s="187">
        <v>38167</v>
      </c>
      <c r="C11115" s="188">
        <v>4.7</v>
      </c>
      <c r="D11115" s="104">
        <f t="shared" si="173"/>
        <v>4.7E-2</v>
      </c>
      <c r="F11115" s="5"/>
    </row>
    <row r="11116" spans="2:6" ht="13.8" hidden="1" outlineLevel="1">
      <c r="B11116" s="187">
        <v>38168</v>
      </c>
      <c r="C11116" s="188">
        <v>4.62</v>
      </c>
      <c r="D11116" s="104">
        <f t="shared" si="173"/>
        <v>4.6199999999999998E-2</v>
      </c>
      <c r="F11116" s="5"/>
    </row>
    <row r="11117" spans="2:6" ht="13.8" hidden="1" outlineLevel="1">
      <c r="B11117" s="187">
        <v>38169</v>
      </c>
      <c r="C11117" s="188">
        <v>4.57</v>
      </c>
      <c r="D11117" s="104">
        <f t="shared" si="173"/>
        <v>4.5700000000000005E-2</v>
      </c>
      <c r="F11117" s="5"/>
    </row>
    <row r="11118" spans="2:6" ht="13.8" hidden="1" outlineLevel="1">
      <c r="B11118" s="187">
        <v>38170</v>
      </c>
      <c r="C11118" s="188">
        <v>4.4800000000000004</v>
      </c>
      <c r="D11118" s="104">
        <f t="shared" si="173"/>
        <v>4.4800000000000006E-2</v>
      </c>
      <c r="F11118" s="5"/>
    </row>
    <row r="11119" spans="2:6" ht="13.8" hidden="1" outlineLevel="1">
      <c r="B11119" s="187">
        <v>38173</v>
      </c>
      <c r="C11119" s="188" t="s">
        <v>380</v>
      </c>
      <c r="D11119" s="104">
        <f t="shared" si="173"/>
        <v>4.4800000000000006E-2</v>
      </c>
      <c r="F11119" s="5"/>
    </row>
    <row r="11120" spans="2:6" ht="13.8" hidden="1" outlineLevel="1">
      <c r="B11120" s="187">
        <v>38174</v>
      </c>
      <c r="C11120" s="188">
        <v>4.49</v>
      </c>
      <c r="D11120" s="104">
        <f t="shared" si="173"/>
        <v>4.4900000000000002E-2</v>
      </c>
      <c r="F11120" s="5"/>
    </row>
    <row r="11121" spans="2:6" ht="13.8" hidden="1" outlineLevel="1">
      <c r="B11121" s="187">
        <v>38175</v>
      </c>
      <c r="C11121" s="188">
        <v>4.5</v>
      </c>
      <c r="D11121" s="104">
        <f t="shared" si="173"/>
        <v>4.4999999999999998E-2</v>
      </c>
      <c r="F11121" s="5"/>
    </row>
    <row r="11122" spans="2:6" ht="13.8" hidden="1" outlineLevel="1">
      <c r="B11122" s="187">
        <v>38176</v>
      </c>
      <c r="C11122" s="188">
        <v>4.49</v>
      </c>
      <c r="D11122" s="104">
        <f t="shared" si="173"/>
        <v>4.4900000000000002E-2</v>
      </c>
      <c r="F11122" s="5"/>
    </row>
    <row r="11123" spans="2:6" ht="13.8" hidden="1" outlineLevel="1">
      <c r="B11123" s="187">
        <v>38177</v>
      </c>
      <c r="C11123" s="188">
        <v>4.49</v>
      </c>
      <c r="D11123" s="104">
        <f t="shared" si="173"/>
        <v>4.4900000000000002E-2</v>
      </c>
      <c r="F11123" s="5"/>
    </row>
    <row r="11124" spans="2:6" ht="13.8" hidden="1" outlineLevel="1">
      <c r="B11124" s="187">
        <v>38180</v>
      </c>
      <c r="C11124" s="188">
        <v>4.46</v>
      </c>
      <c r="D11124" s="104">
        <f t="shared" si="173"/>
        <v>4.4600000000000001E-2</v>
      </c>
      <c r="F11124" s="5"/>
    </row>
    <row r="11125" spans="2:6" ht="13.8" hidden="1" outlineLevel="1">
      <c r="B11125" s="187">
        <v>38181</v>
      </c>
      <c r="C11125" s="188">
        <v>4.5</v>
      </c>
      <c r="D11125" s="104">
        <f t="shared" si="173"/>
        <v>4.4999999999999998E-2</v>
      </c>
      <c r="F11125" s="5"/>
    </row>
    <row r="11126" spans="2:6" ht="13.8" hidden="1" outlineLevel="1">
      <c r="B11126" s="187">
        <v>38182</v>
      </c>
      <c r="C11126" s="188">
        <v>4.5</v>
      </c>
      <c r="D11126" s="104">
        <f t="shared" si="173"/>
        <v>4.4999999999999998E-2</v>
      </c>
      <c r="F11126" s="5"/>
    </row>
    <row r="11127" spans="2:6" ht="13.8" hidden="1" outlineLevel="1">
      <c r="B11127" s="187">
        <v>38183</v>
      </c>
      <c r="C11127" s="188">
        <v>4.5</v>
      </c>
      <c r="D11127" s="104">
        <f t="shared" si="173"/>
        <v>4.4999999999999998E-2</v>
      </c>
      <c r="F11127" s="5"/>
    </row>
    <row r="11128" spans="2:6" ht="13.8" hidden="1" outlineLevel="1">
      <c r="B11128" s="187">
        <v>38184</v>
      </c>
      <c r="C11128" s="188">
        <v>4.38</v>
      </c>
      <c r="D11128" s="104">
        <f t="shared" si="173"/>
        <v>4.3799999999999999E-2</v>
      </c>
      <c r="F11128" s="5"/>
    </row>
    <row r="11129" spans="2:6" ht="13.8" hidden="1" outlineLevel="1">
      <c r="B11129" s="187">
        <v>38187</v>
      </c>
      <c r="C11129" s="188">
        <v>4.38</v>
      </c>
      <c r="D11129" s="104">
        <f t="shared" si="173"/>
        <v>4.3799999999999999E-2</v>
      </c>
      <c r="F11129" s="5"/>
    </row>
    <row r="11130" spans="2:6" ht="13.8" hidden="1" outlineLevel="1">
      <c r="B11130" s="187">
        <v>38188</v>
      </c>
      <c r="C11130" s="188">
        <v>4.47</v>
      </c>
      <c r="D11130" s="104">
        <f t="shared" si="173"/>
        <v>4.4699999999999997E-2</v>
      </c>
      <c r="F11130" s="5"/>
    </row>
    <row r="11131" spans="2:6" ht="13.8" hidden="1" outlineLevel="1">
      <c r="B11131" s="187">
        <v>38189</v>
      </c>
      <c r="C11131" s="188">
        <v>4.5</v>
      </c>
      <c r="D11131" s="104">
        <f t="shared" si="173"/>
        <v>4.4999999999999998E-2</v>
      </c>
      <c r="F11131" s="5"/>
    </row>
    <row r="11132" spans="2:6" ht="13.8" hidden="1" outlineLevel="1">
      <c r="B11132" s="187">
        <v>38190</v>
      </c>
      <c r="C11132" s="188">
        <v>4.4800000000000004</v>
      </c>
      <c r="D11132" s="104">
        <f t="shared" si="173"/>
        <v>4.4800000000000006E-2</v>
      </c>
      <c r="F11132" s="5"/>
    </row>
    <row r="11133" spans="2:6" ht="13.8" hidden="1" outlineLevel="1">
      <c r="B11133" s="187">
        <v>38191</v>
      </c>
      <c r="C11133" s="188">
        <v>4.45</v>
      </c>
      <c r="D11133" s="104">
        <f t="shared" si="173"/>
        <v>4.4500000000000005E-2</v>
      </c>
      <c r="F11133" s="5"/>
    </row>
    <row r="11134" spans="2:6" ht="13.8" hidden="1" outlineLevel="1">
      <c r="B11134" s="187">
        <v>38194</v>
      </c>
      <c r="C11134" s="188">
        <v>4.49</v>
      </c>
      <c r="D11134" s="104">
        <f t="shared" si="173"/>
        <v>4.4900000000000002E-2</v>
      </c>
      <c r="F11134" s="5"/>
    </row>
    <row r="11135" spans="2:6" ht="13.8" hidden="1" outlineLevel="1">
      <c r="B11135" s="187">
        <v>38195</v>
      </c>
      <c r="C11135" s="188">
        <v>4.62</v>
      </c>
      <c r="D11135" s="104">
        <f t="shared" si="173"/>
        <v>4.6199999999999998E-2</v>
      </c>
      <c r="F11135" s="5"/>
    </row>
    <row r="11136" spans="2:6" ht="13.8" hidden="1" outlineLevel="1">
      <c r="B11136" s="187">
        <v>38196</v>
      </c>
      <c r="C11136" s="188">
        <v>4.6100000000000003</v>
      </c>
      <c r="D11136" s="104">
        <f t="shared" si="173"/>
        <v>4.6100000000000002E-2</v>
      </c>
      <c r="F11136" s="5"/>
    </row>
    <row r="11137" spans="2:6" ht="13.8" hidden="1" outlineLevel="1">
      <c r="B11137" s="187">
        <v>38197</v>
      </c>
      <c r="C11137" s="188">
        <v>4.5999999999999996</v>
      </c>
      <c r="D11137" s="104">
        <f t="shared" si="173"/>
        <v>4.5999999999999999E-2</v>
      </c>
      <c r="F11137" s="5"/>
    </row>
    <row r="11138" spans="2:6" ht="13.8" hidden="1" outlineLevel="1">
      <c r="B11138" s="187">
        <v>38198</v>
      </c>
      <c r="C11138" s="188">
        <v>4.5</v>
      </c>
      <c r="D11138" s="104">
        <f t="shared" si="173"/>
        <v>4.4999999999999998E-2</v>
      </c>
      <c r="F11138" s="5"/>
    </row>
    <row r="11139" spans="2:6" ht="13.8" hidden="1" outlineLevel="1">
      <c r="B11139" s="187">
        <v>38201</v>
      </c>
      <c r="C11139" s="188">
        <v>4.4800000000000004</v>
      </c>
      <c r="D11139" s="104">
        <f t="shared" si="173"/>
        <v>4.4800000000000006E-2</v>
      </c>
      <c r="F11139" s="5"/>
    </row>
    <row r="11140" spans="2:6" ht="13.8" hidden="1" outlineLevel="1">
      <c r="B11140" s="187">
        <v>38202</v>
      </c>
      <c r="C11140" s="188">
        <v>4.45</v>
      </c>
      <c r="D11140" s="104">
        <f t="shared" si="173"/>
        <v>4.4500000000000005E-2</v>
      </c>
      <c r="F11140" s="5"/>
    </row>
    <row r="11141" spans="2:6" ht="13.8" hidden="1" outlineLevel="1">
      <c r="B11141" s="187">
        <v>38203</v>
      </c>
      <c r="C11141" s="188">
        <v>4.45</v>
      </c>
      <c r="D11141" s="104">
        <f t="shared" si="173"/>
        <v>4.4500000000000005E-2</v>
      </c>
      <c r="F11141" s="5"/>
    </row>
    <row r="11142" spans="2:6" ht="13.8" hidden="1" outlineLevel="1">
      <c r="B11142" s="187">
        <v>38204</v>
      </c>
      <c r="C11142" s="188">
        <v>4.43</v>
      </c>
      <c r="D11142" s="104">
        <f t="shared" si="173"/>
        <v>4.4299999999999999E-2</v>
      </c>
      <c r="F11142" s="5"/>
    </row>
    <row r="11143" spans="2:6" ht="13.8" hidden="1" outlineLevel="1">
      <c r="B11143" s="187">
        <v>38205</v>
      </c>
      <c r="C11143" s="188">
        <v>4.24</v>
      </c>
      <c r="D11143" s="104">
        <f t="shared" si="173"/>
        <v>4.24E-2</v>
      </c>
      <c r="F11143" s="5"/>
    </row>
    <row r="11144" spans="2:6" ht="13.8" hidden="1" outlineLevel="1">
      <c r="B11144" s="187">
        <v>38208</v>
      </c>
      <c r="C11144" s="188">
        <v>4.28</v>
      </c>
      <c r="D11144" s="104">
        <f t="shared" si="173"/>
        <v>4.2800000000000005E-2</v>
      </c>
      <c r="F11144" s="5"/>
    </row>
    <row r="11145" spans="2:6" ht="13.8" hidden="1" outlineLevel="1">
      <c r="B11145" s="187">
        <v>38209</v>
      </c>
      <c r="C11145" s="188">
        <v>4.32</v>
      </c>
      <c r="D11145" s="104">
        <f t="shared" si="173"/>
        <v>4.3200000000000002E-2</v>
      </c>
      <c r="F11145" s="5"/>
    </row>
    <row r="11146" spans="2:6" ht="13.8" hidden="1" outlineLevel="1">
      <c r="B11146" s="187">
        <v>38210</v>
      </c>
      <c r="C11146" s="188">
        <v>4.3</v>
      </c>
      <c r="D11146" s="104">
        <f t="shared" si="173"/>
        <v>4.2999999999999997E-2</v>
      </c>
      <c r="F11146" s="5"/>
    </row>
    <row r="11147" spans="2:6" ht="13.8" hidden="1" outlineLevel="1">
      <c r="B11147" s="187">
        <v>38211</v>
      </c>
      <c r="C11147" s="188">
        <v>4.2699999999999996</v>
      </c>
      <c r="D11147" s="104">
        <f t="shared" si="173"/>
        <v>4.2699999999999995E-2</v>
      </c>
      <c r="F11147" s="5"/>
    </row>
    <row r="11148" spans="2:6" ht="13.8" hidden="1" outlineLevel="1">
      <c r="B11148" s="187">
        <v>38212</v>
      </c>
      <c r="C11148" s="188">
        <v>4.22</v>
      </c>
      <c r="D11148" s="104">
        <f t="shared" si="173"/>
        <v>4.2199999999999994E-2</v>
      </c>
      <c r="F11148" s="5"/>
    </row>
    <row r="11149" spans="2:6" ht="13.8" hidden="1" outlineLevel="1">
      <c r="B11149" s="187">
        <v>38215</v>
      </c>
      <c r="C11149" s="188">
        <v>4.26</v>
      </c>
      <c r="D11149" s="104">
        <f t="shared" si="173"/>
        <v>4.2599999999999999E-2</v>
      </c>
      <c r="F11149" s="5"/>
    </row>
    <row r="11150" spans="2:6" ht="13.8" hidden="1" outlineLevel="1">
      <c r="B11150" s="187">
        <v>38216</v>
      </c>
      <c r="C11150" s="188">
        <v>4.21</v>
      </c>
      <c r="D11150" s="104">
        <f t="shared" si="173"/>
        <v>4.2099999999999999E-2</v>
      </c>
      <c r="F11150" s="5"/>
    </row>
    <row r="11151" spans="2:6" ht="13.8" hidden="1" outlineLevel="1">
      <c r="B11151" s="187">
        <v>38217</v>
      </c>
      <c r="C11151" s="188">
        <v>4.2300000000000004</v>
      </c>
      <c r="D11151" s="104">
        <f t="shared" si="173"/>
        <v>4.2300000000000004E-2</v>
      </c>
      <c r="F11151" s="5"/>
    </row>
    <row r="11152" spans="2:6" ht="13.8" hidden="1" outlineLevel="1">
      <c r="B11152" s="187">
        <v>38218</v>
      </c>
      <c r="C11152" s="188">
        <v>4.22</v>
      </c>
      <c r="D11152" s="104">
        <f t="shared" si="173"/>
        <v>4.2199999999999994E-2</v>
      </c>
      <c r="F11152" s="5"/>
    </row>
    <row r="11153" spans="2:6" ht="13.8" hidden="1" outlineLevel="1">
      <c r="B11153" s="187">
        <v>38219</v>
      </c>
      <c r="C11153" s="188">
        <v>4.24</v>
      </c>
      <c r="D11153" s="104">
        <f t="shared" si="173"/>
        <v>4.24E-2</v>
      </c>
      <c r="F11153" s="5"/>
    </row>
    <row r="11154" spans="2:6" ht="13.8" hidden="1" outlineLevel="1">
      <c r="B11154" s="187">
        <v>38222</v>
      </c>
      <c r="C11154" s="188">
        <v>4.28</v>
      </c>
      <c r="D11154" s="104">
        <f t="shared" si="173"/>
        <v>4.2800000000000005E-2</v>
      </c>
      <c r="F11154" s="5"/>
    </row>
    <row r="11155" spans="2:6" ht="13.8" hidden="1" outlineLevel="1">
      <c r="B11155" s="187">
        <v>38223</v>
      </c>
      <c r="C11155" s="188">
        <v>4.28</v>
      </c>
      <c r="D11155" s="104">
        <f t="shared" si="173"/>
        <v>4.2800000000000005E-2</v>
      </c>
      <c r="F11155" s="5"/>
    </row>
    <row r="11156" spans="2:6" ht="13.8" hidden="1" outlineLevel="1">
      <c r="B11156" s="187">
        <v>38224</v>
      </c>
      <c r="C11156" s="188">
        <v>4.26</v>
      </c>
      <c r="D11156" s="104">
        <f t="shared" si="173"/>
        <v>4.2599999999999999E-2</v>
      </c>
      <c r="F11156" s="5"/>
    </row>
    <row r="11157" spans="2:6" ht="13.8" hidden="1" outlineLevel="1">
      <c r="B11157" s="187">
        <v>38225</v>
      </c>
      <c r="C11157" s="188">
        <v>4.22</v>
      </c>
      <c r="D11157" s="104">
        <f t="shared" si="173"/>
        <v>4.2199999999999994E-2</v>
      </c>
      <c r="F11157" s="5"/>
    </row>
    <row r="11158" spans="2:6" ht="13.8" hidden="1" outlineLevel="1">
      <c r="B11158" s="187">
        <v>38226</v>
      </c>
      <c r="C11158" s="188">
        <v>4.2300000000000004</v>
      </c>
      <c r="D11158" s="104">
        <f t="shared" si="173"/>
        <v>4.2300000000000004E-2</v>
      </c>
      <c r="F11158" s="5"/>
    </row>
    <row r="11159" spans="2:6" ht="13.8" hidden="1" outlineLevel="1">
      <c r="B11159" s="187">
        <v>38229</v>
      </c>
      <c r="C11159" s="188">
        <v>4.1900000000000004</v>
      </c>
      <c r="D11159" s="104">
        <f t="shared" si="173"/>
        <v>4.1900000000000007E-2</v>
      </c>
      <c r="F11159" s="5"/>
    </row>
    <row r="11160" spans="2:6" ht="13.8" hidden="1" outlineLevel="1">
      <c r="B11160" s="187">
        <v>38230</v>
      </c>
      <c r="C11160" s="188">
        <v>4.13</v>
      </c>
      <c r="D11160" s="104">
        <f t="shared" si="173"/>
        <v>4.1299999999999996E-2</v>
      </c>
      <c r="F11160" s="5"/>
    </row>
    <row r="11161" spans="2:6" ht="13.8" hidden="1" outlineLevel="1">
      <c r="B11161" s="187">
        <v>38231</v>
      </c>
      <c r="C11161" s="188">
        <v>4.13</v>
      </c>
      <c r="D11161" s="104">
        <f t="shared" si="173"/>
        <v>4.1299999999999996E-2</v>
      </c>
      <c r="F11161" s="5"/>
    </row>
    <row r="11162" spans="2:6" ht="13.8" hidden="1" outlineLevel="1">
      <c r="B11162" s="187">
        <v>38232</v>
      </c>
      <c r="C11162" s="188">
        <v>4.2</v>
      </c>
      <c r="D11162" s="104">
        <f t="shared" si="173"/>
        <v>4.2000000000000003E-2</v>
      </c>
      <c r="F11162" s="5"/>
    </row>
    <row r="11163" spans="2:6" ht="13.8" hidden="1" outlineLevel="1">
      <c r="B11163" s="187">
        <v>38233</v>
      </c>
      <c r="C11163" s="188">
        <v>4.3</v>
      </c>
      <c r="D11163" s="104">
        <f t="shared" si="173"/>
        <v>4.2999999999999997E-2</v>
      </c>
      <c r="F11163" s="5"/>
    </row>
    <row r="11164" spans="2:6" ht="13.8" hidden="1" outlineLevel="1">
      <c r="B11164" s="187">
        <v>38236</v>
      </c>
      <c r="C11164" s="188" t="s">
        <v>380</v>
      </c>
      <c r="D11164" s="104">
        <f t="shared" si="173"/>
        <v>4.2999999999999997E-2</v>
      </c>
      <c r="F11164" s="5"/>
    </row>
    <row r="11165" spans="2:6" ht="13.8" hidden="1" outlineLevel="1">
      <c r="B11165" s="187">
        <v>38237</v>
      </c>
      <c r="C11165" s="188">
        <v>4.26</v>
      </c>
      <c r="D11165" s="104">
        <f t="shared" si="173"/>
        <v>4.2599999999999999E-2</v>
      </c>
      <c r="F11165" s="5"/>
    </row>
    <row r="11166" spans="2:6" ht="13.8" hidden="1" outlineLevel="1">
      <c r="B11166" s="187">
        <v>38238</v>
      </c>
      <c r="C11166" s="188">
        <v>4.18</v>
      </c>
      <c r="D11166" s="104">
        <f t="shared" ref="D11166:D11229" si="174">IF( LEN( C11166 ) = 0, #N/A, IF( C11166 = "ND", D11165, C11166 / 100 ) )</f>
        <v>4.1799999999999997E-2</v>
      </c>
      <c r="F11166" s="5"/>
    </row>
    <row r="11167" spans="2:6" ht="13.8" hidden="1" outlineLevel="1">
      <c r="B11167" s="187">
        <v>38239</v>
      </c>
      <c r="C11167" s="188">
        <v>4.22</v>
      </c>
      <c r="D11167" s="104">
        <f t="shared" si="174"/>
        <v>4.2199999999999994E-2</v>
      </c>
      <c r="F11167" s="5"/>
    </row>
    <row r="11168" spans="2:6" ht="13.8" hidden="1" outlineLevel="1">
      <c r="B11168" s="187">
        <v>38240</v>
      </c>
      <c r="C11168" s="188">
        <v>4.1900000000000004</v>
      </c>
      <c r="D11168" s="104">
        <f t="shared" si="174"/>
        <v>4.1900000000000007E-2</v>
      </c>
      <c r="F11168" s="5"/>
    </row>
    <row r="11169" spans="2:6" ht="13.8" hidden="1" outlineLevel="1">
      <c r="B11169" s="187">
        <v>38243</v>
      </c>
      <c r="C11169" s="188">
        <v>4.16</v>
      </c>
      <c r="D11169" s="104">
        <f t="shared" si="174"/>
        <v>4.1599999999999998E-2</v>
      </c>
      <c r="F11169" s="5"/>
    </row>
    <row r="11170" spans="2:6" ht="13.8" hidden="1" outlineLevel="1">
      <c r="B11170" s="187">
        <v>38244</v>
      </c>
      <c r="C11170" s="188">
        <v>4.1500000000000004</v>
      </c>
      <c r="D11170" s="104">
        <f t="shared" si="174"/>
        <v>4.1500000000000002E-2</v>
      </c>
      <c r="F11170" s="5"/>
    </row>
    <row r="11171" spans="2:6" ht="13.8" hidden="1" outlineLevel="1">
      <c r="B11171" s="187">
        <v>38245</v>
      </c>
      <c r="C11171" s="188">
        <v>4.18</v>
      </c>
      <c r="D11171" s="104">
        <f t="shared" si="174"/>
        <v>4.1799999999999997E-2</v>
      </c>
      <c r="F11171" s="5"/>
    </row>
    <row r="11172" spans="2:6" ht="13.8" hidden="1" outlineLevel="1">
      <c r="B11172" s="187">
        <v>38246</v>
      </c>
      <c r="C11172" s="188">
        <v>4.08</v>
      </c>
      <c r="D11172" s="104">
        <f t="shared" si="174"/>
        <v>4.0800000000000003E-2</v>
      </c>
      <c r="F11172" s="5"/>
    </row>
    <row r="11173" spans="2:6" ht="13.8" hidden="1" outlineLevel="1">
      <c r="B11173" s="187">
        <v>38247</v>
      </c>
      <c r="C11173" s="188">
        <v>4.1399999999999997</v>
      </c>
      <c r="D11173" s="104">
        <f t="shared" si="174"/>
        <v>4.1399999999999999E-2</v>
      </c>
      <c r="F11173" s="5"/>
    </row>
    <row r="11174" spans="2:6" ht="13.8" hidden="1" outlineLevel="1">
      <c r="B11174" s="187">
        <v>38250</v>
      </c>
      <c r="C11174" s="188">
        <v>4.07</v>
      </c>
      <c r="D11174" s="104">
        <f t="shared" si="174"/>
        <v>4.07E-2</v>
      </c>
      <c r="F11174" s="5"/>
    </row>
    <row r="11175" spans="2:6" ht="13.8" hidden="1" outlineLevel="1">
      <c r="B11175" s="187">
        <v>38251</v>
      </c>
      <c r="C11175" s="188">
        <v>4.05</v>
      </c>
      <c r="D11175" s="104">
        <f t="shared" si="174"/>
        <v>4.0500000000000001E-2</v>
      </c>
      <c r="F11175" s="5"/>
    </row>
    <row r="11176" spans="2:6" ht="13.8" hidden="1" outlineLevel="1">
      <c r="B11176" s="187">
        <v>38252</v>
      </c>
      <c r="C11176" s="188">
        <v>4</v>
      </c>
      <c r="D11176" s="104">
        <f t="shared" si="174"/>
        <v>0.04</v>
      </c>
      <c r="F11176" s="5"/>
    </row>
    <row r="11177" spans="2:6" ht="13.8" hidden="1" outlineLevel="1">
      <c r="B11177" s="187">
        <v>38253</v>
      </c>
      <c r="C11177" s="188">
        <v>4.0199999999999996</v>
      </c>
      <c r="D11177" s="104">
        <f t="shared" si="174"/>
        <v>4.0199999999999993E-2</v>
      </c>
      <c r="F11177" s="5"/>
    </row>
    <row r="11178" spans="2:6" ht="13.8" hidden="1" outlineLevel="1">
      <c r="B11178" s="187">
        <v>38254</v>
      </c>
      <c r="C11178" s="188">
        <v>4.04</v>
      </c>
      <c r="D11178" s="104">
        <f t="shared" si="174"/>
        <v>4.0399999999999998E-2</v>
      </c>
      <c r="F11178" s="5"/>
    </row>
    <row r="11179" spans="2:6" ht="13.8" hidden="1" outlineLevel="1">
      <c r="B11179" s="187">
        <v>38257</v>
      </c>
      <c r="C11179" s="188">
        <v>4.01</v>
      </c>
      <c r="D11179" s="104">
        <f t="shared" si="174"/>
        <v>4.0099999999999997E-2</v>
      </c>
      <c r="F11179" s="5"/>
    </row>
    <row r="11180" spans="2:6" ht="13.8" hidden="1" outlineLevel="1">
      <c r="B11180" s="187">
        <v>38258</v>
      </c>
      <c r="C11180" s="188">
        <v>4.0199999999999996</v>
      </c>
      <c r="D11180" s="104">
        <f t="shared" si="174"/>
        <v>4.0199999999999993E-2</v>
      </c>
      <c r="F11180" s="5"/>
    </row>
    <row r="11181" spans="2:6" ht="13.8" hidden="1" outlineLevel="1">
      <c r="B11181" s="187">
        <v>38259</v>
      </c>
      <c r="C11181" s="188">
        <v>4.0999999999999996</v>
      </c>
      <c r="D11181" s="104">
        <f t="shared" si="174"/>
        <v>4.0999999999999995E-2</v>
      </c>
      <c r="F11181" s="5"/>
    </row>
    <row r="11182" spans="2:6" ht="13.8" hidden="1" outlineLevel="1">
      <c r="B11182" s="187">
        <v>38260</v>
      </c>
      <c r="C11182" s="188">
        <v>4.1399999999999997</v>
      </c>
      <c r="D11182" s="104">
        <f t="shared" si="174"/>
        <v>4.1399999999999999E-2</v>
      </c>
      <c r="F11182" s="5"/>
    </row>
    <row r="11183" spans="2:6" ht="13.8" hidden="1" outlineLevel="1">
      <c r="B11183" s="187">
        <v>38261</v>
      </c>
      <c r="C11183" s="188">
        <v>4.21</v>
      </c>
      <c r="D11183" s="104">
        <f t="shared" si="174"/>
        <v>4.2099999999999999E-2</v>
      </c>
      <c r="F11183" s="5"/>
    </row>
    <row r="11184" spans="2:6" ht="13.8" hidden="1" outlineLevel="1">
      <c r="B11184" s="187">
        <v>38264</v>
      </c>
      <c r="C11184" s="188">
        <v>4.1900000000000004</v>
      </c>
      <c r="D11184" s="104">
        <f t="shared" si="174"/>
        <v>4.1900000000000007E-2</v>
      </c>
      <c r="F11184" s="5"/>
    </row>
    <row r="11185" spans="2:6" ht="13.8" hidden="1" outlineLevel="1">
      <c r="B11185" s="187">
        <v>38265</v>
      </c>
      <c r="C11185" s="188">
        <v>4.18</v>
      </c>
      <c r="D11185" s="104">
        <f t="shared" si="174"/>
        <v>4.1799999999999997E-2</v>
      </c>
      <c r="F11185" s="5"/>
    </row>
    <row r="11186" spans="2:6" ht="13.8" hidden="1" outlineLevel="1">
      <c r="B11186" s="187">
        <v>38266</v>
      </c>
      <c r="C11186" s="188">
        <v>4.2300000000000004</v>
      </c>
      <c r="D11186" s="104">
        <f t="shared" si="174"/>
        <v>4.2300000000000004E-2</v>
      </c>
      <c r="F11186" s="5"/>
    </row>
    <row r="11187" spans="2:6" ht="13.8" hidden="1" outlineLevel="1">
      <c r="B11187" s="187">
        <v>38267</v>
      </c>
      <c r="C11187" s="188">
        <v>4.26</v>
      </c>
      <c r="D11187" s="104">
        <f t="shared" si="174"/>
        <v>4.2599999999999999E-2</v>
      </c>
      <c r="F11187" s="5"/>
    </row>
    <row r="11188" spans="2:6" ht="13.8" hidden="1" outlineLevel="1">
      <c r="B11188" s="187">
        <v>38268</v>
      </c>
      <c r="C11188" s="188">
        <v>4.1500000000000004</v>
      </c>
      <c r="D11188" s="104">
        <f t="shared" si="174"/>
        <v>4.1500000000000002E-2</v>
      </c>
      <c r="F11188" s="5"/>
    </row>
    <row r="11189" spans="2:6" ht="13.8" hidden="1" outlineLevel="1">
      <c r="B11189" s="187">
        <v>38271</v>
      </c>
      <c r="C11189" s="188" t="s">
        <v>380</v>
      </c>
      <c r="D11189" s="104">
        <f t="shared" si="174"/>
        <v>4.1500000000000002E-2</v>
      </c>
      <c r="F11189" s="5"/>
    </row>
    <row r="11190" spans="2:6" ht="13.8" hidden="1" outlineLevel="1">
      <c r="B11190" s="187">
        <v>38272</v>
      </c>
      <c r="C11190" s="188">
        <v>4.12</v>
      </c>
      <c r="D11190" s="104">
        <f t="shared" si="174"/>
        <v>4.1200000000000001E-2</v>
      </c>
      <c r="F11190" s="5"/>
    </row>
    <row r="11191" spans="2:6" ht="13.8" hidden="1" outlineLevel="1">
      <c r="B11191" s="187">
        <v>38273</v>
      </c>
      <c r="C11191" s="188">
        <v>4.09</v>
      </c>
      <c r="D11191" s="104">
        <f t="shared" si="174"/>
        <v>4.0899999999999999E-2</v>
      </c>
      <c r="F11191" s="5"/>
    </row>
    <row r="11192" spans="2:6" ht="13.8" hidden="1" outlineLevel="1">
      <c r="B11192" s="187">
        <v>38274</v>
      </c>
      <c r="C11192" s="188">
        <v>4.03</v>
      </c>
      <c r="D11192" s="104">
        <f t="shared" si="174"/>
        <v>4.0300000000000002E-2</v>
      </c>
      <c r="F11192" s="5"/>
    </row>
    <row r="11193" spans="2:6" ht="13.8" hidden="1" outlineLevel="1">
      <c r="B11193" s="187">
        <v>38275</v>
      </c>
      <c r="C11193" s="188">
        <v>4.07</v>
      </c>
      <c r="D11193" s="104">
        <f t="shared" si="174"/>
        <v>4.07E-2</v>
      </c>
      <c r="F11193" s="5"/>
    </row>
    <row r="11194" spans="2:6" ht="13.8" hidden="1" outlineLevel="1">
      <c r="B11194" s="187">
        <v>38278</v>
      </c>
      <c r="C11194" s="188">
        <v>4.07</v>
      </c>
      <c r="D11194" s="104">
        <f t="shared" si="174"/>
        <v>4.07E-2</v>
      </c>
      <c r="F11194" s="5"/>
    </row>
    <row r="11195" spans="2:6" ht="13.8" hidden="1" outlineLevel="1">
      <c r="B11195" s="187">
        <v>38279</v>
      </c>
      <c r="C11195" s="188">
        <v>4.07</v>
      </c>
      <c r="D11195" s="104">
        <f t="shared" si="174"/>
        <v>4.07E-2</v>
      </c>
      <c r="F11195" s="5"/>
    </row>
    <row r="11196" spans="2:6" ht="13.8" hidden="1" outlineLevel="1">
      <c r="B11196" s="187">
        <v>38280</v>
      </c>
      <c r="C11196" s="188">
        <v>4.01</v>
      </c>
      <c r="D11196" s="104">
        <f t="shared" si="174"/>
        <v>4.0099999999999997E-2</v>
      </c>
      <c r="F11196" s="5"/>
    </row>
    <row r="11197" spans="2:6" ht="13.8" hidden="1" outlineLevel="1">
      <c r="B11197" s="187">
        <v>38281</v>
      </c>
      <c r="C11197" s="188">
        <v>4.01</v>
      </c>
      <c r="D11197" s="104">
        <f t="shared" si="174"/>
        <v>4.0099999999999997E-2</v>
      </c>
      <c r="F11197" s="5"/>
    </row>
    <row r="11198" spans="2:6" ht="13.8" hidden="1" outlineLevel="1">
      <c r="B11198" s="187">
        <v>38282</v>
      </c>
      <c r="C11198" s="188">
        <v>4</v>
      </c>
      <c r="D11198" s="104">
        <f t="shared" si="174"/>
        <v>0.04</v>
      </c>
      <c r="F11198" s="5"/>
    </row>
    <row r="11199" spans="2:6" ht="13.8" hidden="1" outlineLevel="1">
      <c r="B11199" s="187">
        <v>38285</v>
      </c>
      <c r="C11199" s="188">
        <v>3.99</v>
      </c>
      <c r="D11199" s="104">
        <f t="shared" si="174"/>
        <v>3.9900000000000005E-2</v>
      </c>
      <c r="F11199" s="5"/>
    </row>
    <row r="11200" spans="2:6" ht="13.8" hidden="1" outlineLevel="1">
      <c r="B11200" s="187">
        <v>38286</v>
      </c>
      <c r="C11200" s="188">
        <v>4.01</v>
      </c>
      <c r="D11200" s="104">
        <f t="shared" si="174"/>
        <v>4.0099999999999997E-2</v>
      </c>
      <c r="F11200" s="5"/>
    </row>
    <row r="11201" spans="2:6" ht="13.8" hidden="1" outlineLevel="1">
      <c r="B11201" s="187">
        <v>38287</v>
      </c>
      <c r="C11201" s="188">
        <v>4.1100000000000003</v>
      </c>
      <c r="D11201" s="104">
        <f t="shared" si="174"/>
        <v>4.1100000000000005E-2</v>
      </c>
      <c r="F11201" s="5"/>
    </row>
    <row r="11202" spans="2:6" ht="13.8" hidden="1" outlineLevel="1">
      <c r="B11202" s="187">
        <v>38288</v>
      </c>
      <c r="C11202" s="188">
        <v>4.09</v>
      </c>
      <c r="D11202" s="104">
        <f t="shared" si="174"/>
        <v>4.0899999999999999E-2</v>
      </c>
      <c r="F11202" s="5"/>
    </row>
    <row r="11203" spans="2:6" ht="13.8" hidden="1" outlineLevel="1">
      <c r="B11203" s="187">
        <v>38289</v>
      </c>
      <c r="C11203" s="188">
        <v>4.05</v>
      </c>
      <c r="D11203" s="104">
        <f t="shared" si="174"/>
        <v>4.0500000000000001E-2</v>
      </c>
      <c r="F11203" s="5"/>
    </row>
    <row r="11204" spans="2:6" ht="13.8" hidden="1" outlineLevel="1">
      <c r="B11204" s="187">
        <v>38292</v>
      </c>
      <c r="C11204" s="188">
        <v>4.1100000000000003</v>
      </c>
      <c r="D11204" s="104">
        <f t="shared" si="174"/>
        <v>4.1100000000000005E-2</v>
      </c>
      <c r="F11204" s="5"/>
    </row>
    <row r="11205" spans="2:6" ht="13.8" hidden="1" outlineLevel="1">
      <c r="B11205" s="187">
        <v>38293</v>
      </c>
      <c r="C11205" s="188">
        <v>4.0999999999999996</v>
      </c>
      <c r="D11205" s="104">
        <f t="shared" si="174"/>
        <v>4.0999999999999995E-2</v>
      </c>
      <c r="F11205" s="5"/>
    </row>
    <row r="11206" spans="2:6" ht="13.8" hidden="1" outlineLevel="1">
      <c r="B11206" s="187">
        <v>38294</v>
      </c>
      <c r="C11206" s="188">
        <v>4.09</v>
      </c>
      <c r="D11206" s="104">
        <f t="shared" si="174"/>
        <v>4.0899999999999999E-2</v>
      </c>
      <c r="F11206" s="5"/>
    </row>
    <row r="11207" spans="2:6" ht="13.8" hidden="1" outlineLevel="1">
      <c r="B11207" s="187">
        <v>38295</v>
      </c>
      <c r="C11207" s="188">
        <v>4.0999999999999996</v>
      </c>
      <c r="D11207" s="104">
        <f t="shared" si="174"/>
        <v>4.0999999999999995E-2</v>
      </c>
      <c r="F11207" s="5"/>
    </row>
    <row r="11208" spans="2:6" ht="13.8" hidden="1" outlineLevel="1">
      <c r="B11208" s="187">
        <v>38296</v>
      </c>
      <c r="C11208" s="188">
        <v>4.21</v>
      </c>
      <c r="D11208" s="104">
        <f t="shared" si="174"/>
        <v>4.2099999999999999E-2</v>
      </c>
      <c r="F11208" s="5"/>
    </row>
    <row r="11209" spans="2:6" ht="13.8" hidden="1" outlineLevel="1">
      <c r="B11209" s="187">
        <v>38299</v>
      </c>
      <c r="C11209" s="188">
        <v>4.22</v>
      </c>
      <c r="D11209" s="104">
        <f t="shared" si="174"/>
        <v>4.2199999999999994E-2</v>
      </c>
      <c r="F11209" s="5"/>
    </row>
    <row r="11210" spans="2:6" ht="13.8" hidden="1" outlineLevel="1">
      <c r="B11210" s="187">
        <v>38300</v>
      </c>
      <c r="C11210" s="188">
        <v>4.22</v>
      </c>
      <c r="D11210" s="104">
        <f t="shared" si="174"/>
        <v>4.2199999999999994E-2</v>
      </c>
      <c r="F11210" s="5"/>
    </row>
    <row r="11211" spans="2:6" ht="13.8" hidden="1" outlineLevel="1">
      <c r="B11211" s="187">
        <v>38301</v>
      </c>
      <c r="C11211" s="188">
        <v>4.25</v>
      </c>
      <c r="D11211" s="104">
        <f t="shared" si="174"/>
        <v>4.2500000000000003E-2</v>
      </c>
      <c r="F11211" s="5"/>
    </row>
    <row r="11212" spans="2:6" ht="13.8" hidden="1" outlineLevel="1">
      <c r="B11212" s="187">
        <v>38302</v>
      </c>
      <c r="C11212" s="188" t="s">
        <v>380</v>
      </c>
      <c r="D11212" s="104">
        <f t="shared" si="174"/>
        <v>4.2500000000000003E-2</v>
      </c>
      <c r="F11212" s="5"/>
    </row>
    <row r="11213" spans="2:6" ht="13.8" hidden="1" outlineLevel="1">
      <c r="B11213" s="187">
        <v>38303</v>
      </c>
      <c r="C11213" s="188">
        <v>4.2</v>
      </c>
      <c r="D11213" s="104">
        <f t="shared" si="174"/>
        <v>4.2000000000000003E-2</v>
      </c>
      <c r="F11213" s="5"/>
    </row>
    <row r="11214" spans="2:6" ht="13.8" hidden="1" outlineLevel="1">
      <c r="B11214" s="187">
        <v>38306</v>
      </c>
      <c r="C11214" s="188">
        <v>4.2</v>
      </c>
      <c r="D11214" s="104">
        <f t="shared" si="174"/>
        <v>4.2000000000000003E-2</v>
      </c>
      <c r="F11214" s="5"/>
    </row>
    <row r="11215" spans="2:6" ht="13.8" hidden="1" outlineLevel="1">
      <c r="B11215" s="187">
        <v>38307</v>
      </c>
      <c r="C11215" s="188">
        <v>4.21</v>
      </c>
      <c r="D11215" s="104">
        <f t="shared" si="174"/>
        <v>4.2099999999999999E-2</v>
      </c>
      <c r="F11215" s="5"/>
    </row>
    <row r="11216" spans="2:6" ht="13.8" hidden="1" outlineLevel="1">
      <c r="B11216" s="187">
        <v>38308</v>
      </c>
      <c r="C11216" s="188">
        <v>4.1399999999999997</v>
      </c>
      <c r="D11216" s="104">
        <f t="shared" si="174"/>
        <v>4.1399999999999999E-2</v>
      </c>
      <c r="F11216" s="5"/>
    </row>
    <row r="11217" spans="2:6" ht="13.8" hidden="1" outlineLevel="1">
      <c r="B11217" s="187">
        <v>38309</v>
      </c>
      <c r="C11217" s="188">
        <v>4.12</v>
      </c>
      <c r="D11217" s="104">
        <f t="shared" si="174"/>
        <v>4.1200000000000001E-2</v>
      </c>
      <c r="F11217" s="5"/>
    </row>
    <row r="11218" spans="2:6" ht="13.8" hidden="1" outlineLevel="1">
      <c r="B11218" s="187">
        <v>38310</v>
      </c>
      <c r="C11218" s="188">
        <v>4.2</v>
      </c>
      <c r="D11218" s="104">
        <f t="shared" si="174"/>
        <v>4.2000000000000003E-2</v>
      </c>
      <c r="F11218" s="5"/>
    </row>
    <row r="11219" spans="2:6" ht="13.8" hidden="1" outlineLevel="1">
      <c r="B11219" s="187">
        <v>38313</v>
      </c>
      <c r="C11219" s="188">
        <v>4.18</v>
      </c>
      <c r="D11219" s="104">
        <f t="shared" si="174"/>
        <v>4.1799999999999997E-2</v>
      </c>
      <c r="F11219" s="5"/>
    </row>
    <row r="11220" spans="2:6" ht="13.8" hidden="1" outlineLevel="1">
      <c r="B11220" s="187">
        <v>38314</v>
      </c>
      <c r="C11220" s="188">
        <v>4.1900000000000004</v>
      </c>
      <c r="D11220" s="104">
        <f t="shared" si="174"/>
        <v>4.1900000000000007E-2</v>
      </c>
      <c r="F11220" s="5"/>
    </row>
    <row r="11221" spans="2:6" ht="13.8" hidden="1" outlineLevel="1">
      <c r="B11221" s="187">
        <v>38315</v>
      </c>
      <c r="C11221" s="188">
        <v>4.2</v>
      </c>
      <c r="D11221" s="104">
        <f t="shared" si="174"/>
        <v>4.2000000000000003E-2</v>
      </c>
      <c r="F11221" s="5"/>
    </row>
    <row r="11222" spans="2:6" ht="13.8" hidden="1" outlineLevel="1">
      <c r="B11222" s="187">
        <v>38316</v>
      </c>
      <c r="C11222" s="188" t="s">
        <v>380</v>
      </c>
      <c r="D11222" s="104">
        <f t="shared" si="174"/>
        <v>4.2000000000000003E-2</v>
      </c>
      <c r="F11222" s="5"/>
    </row>
    <row r="11223" spans="2:6" ht="13.8" hidden="1" outlineLevel="1">
      <c r="B11223" s="187">
        <v>38317</v>
      </c>
      <c r="C11223" s="188">
        <v>4.24</v>
      </c>
      <c r="D11223" s="104">
        <f t="shared" si="174"/>
        <v>4.24E-2</v>
      </c>
      <c r="F11223" s="5"/>
    </row>
    <row r="11224" spans="2:6" ht="13.8" hidden="1" outlineLevel="1">
      <c r="B11224" s="187">
        <v>38320</v>
      </c>
      <c r="C11224" s="188">
        <v>4.34</v>
      </c>
      <c r="D11224" s="104">
        <f t="shared" si="174"/>
        <v>4.3400000000000001E-2</v>
      </c>
      <c r="F11224" s="5"/>
    </row>
    <row r="11225" spans="2:6" ht="13.8" hidden="1" outlineLevel="1">
      <c r="B11225" s="187">
        <v>38321</v>
      </c>
      <c r="C11225" s="188">
        <v>4.3600000000000003</v>
      </c>
      <c r="D11225" s="104">
        <f t="shared" si="174"/>
        <v>4.36E-2</v>
      </c>
      <c r="F11225" s="5"/>
    </row>
    <row r="11226" spans="2:6" ht="13.8" hidden="1" outlineLevel="1">
      <c r="B11226" s="187">
        <v>38322</v>
      </c>
      <c r="C11226" s="188">
        <v>4.38</v>
      </c>
      <c r="D11226" s="104">
        <f t="shared" si="174"/>
        <v>4.3799999999999999E-2</v>
      </c>
      <c r="F11226" s="5"/>
    </row>
    <row r="11227" spans="2:6" ht="13.8" hidden="1" outlineLevel="1">
      <c r="B11227" s="187">
        <v>38323</v>
      </c>
      <c r="C11227" s="188">
        <v>4.4000000000000004</v>
      </c>
      <c r="D11227" s="104">
        <f t="shared" si="174"/>
        <v>4.4000000000000004E-2</v>
      </c>
      <c r="F11227" s="5"/>
    </row>
    <row r="11228" spans="2:6" ht="13.8" hidden="1" outlineLevel="1">
      <c r="B11228" s="187">
        <v>38324</v>
      </c>
      <c r="C11228" s="188">
        <v>4.2699999999999996</v>
      </c>
      <c r="D11228" s="104">
        <f t="shared" si="174"/>
        <v>4.2699999999999995E-2</v>
      </c>
      <c r="F11228" s="5"/>
    </row>
    <row r="11229" spans="2:6" ht="13.8" hidden="1" outlineLevel="1">
      <c r="B11229" s="187">
        <v>38327</v>
      </c>
      <c r="C11229" s="188">
        <v>4.24</v>
      </c>
      <c r="D11229" s="104">
        <f t="shared" si="174"/>
        <v>4.24E-2</v>
      </c>
      <c r="F11229" s="5"/>
    </row>
    <row r="11230" spans="2:6" ht="13.8" hidden="1" outlineLevel="1">
      <c r="B11230" s="187">
        <v>38328</v>
      </c>
      <c r="C11230" s="188">
        <v>4.2300000000000004</v>
      </c>
      <c r="D11230" s="104">
        <f t="shared" ref="D11230:D11293" si="175">IF( LEN( C11230 ) = 0, #N/A, IF( C11230 = "ND", D11229, C11230 / 100 ) )</f>
        <v>4.2300000000000004E-2</v>
      </c>
      <c r="F11230" s="5"/>
    </row>
    <row r="11231" spans="2:6" ht="13.8" hidden="1" outlineLevel="1">
      <c r="B11231" s="187">
        <v>38329</v>
      </c>
      <c r="C11231" s="188">
        <v>4.1399999999999997</v>
      </c>
      <c r="D11231" s="104">
        <f t="shared" si="175"/>
        <v>4.1399999999999999E-2</v>
      </c>
      <c r="F11231" s="5"/>
    </row>
    <row r="11232" spans="2:6" ht="13.8" hidden="1" outlineLevel="1">
      <c r="B11232" s="187">
        <v>38330</v>
      </c>
      <c r="C11232" s="188">
        <v>4.1900000000000004</v>
      </c>
      <c r="D11232" s="104">
        <f t="shared" si="175"/>
        <v>4.1900000000000007E-2</v>
      </c>
      <c r="F11232" s="5"/>
    </row>
    <row r="11233" spans="2:6" ht="13.8" hidden="1" outlineLevel="1">
      <c r="B11233" s="187">
        <v>38331</v>
      </c>
      <c r="C11233" s="188">
        <v>4.16</v>
      </c>
      <c r="D11233" s="104">
        <f t="shared" si="175"/>
        <v>4.1599999999999998E-2</v>
      </c>
      <c r="F11233" s="5"/>
    </row>
    <row r="11234" spans="2:6" ht="13.8" hidden="1" outlineLevel="1">
      <c r="B11234" s="187">
        <v>38334</v>
      </c>
      <c r="C11234" s="188">
        <v>4.16</v>
      </c>
      <c r="D11234" s="104">
        <f t="shared" si="175"/>
        <v>4.1599999999999998E-2</v>
      </c>
      <c r="F11234" s="5"/>
    </row>
    <row r="11235" spans="2:6" ht="13.8" hidden="1" outlineLevel="1">
      <c r="B11235" s="187">
        <v>38335</v>
      </c>
      <c r="C11235" s="188">
        <v>4.1399999999999997</v>
      </c>
      <c r="D11235" s="104">
        <f t="shared" si="175"/>
        <v>4.1399999999999999E-2</v>
      </c>
      <c r="F11235" s="5"/>
    </row>
    <row r="11236" spans="2:6" ht="13.8" hidden="1" outlineLevel="1">
      <c r="B11236" s="187">
        <v>38336</v>
      </c>
      <c r="C11236" s="188">
        <v>4.09</v>
      </c>
      <c r="D11236" s="104">
        <f t="shared" si="175"/>
        <v>4.0899999999999999E-2</v>
      </c>
      <c r="F11236" s="5"/>
    </row>
    <row r="11237" spans="2:6" ht="13.8" hidden="1" outlineLevel="1">
      <c r="B11237" s="187">
        <v>38337</v>
      </c>
      <c r="C11237" s="188">
        <v>4.1900000000000004</v>
      </c>
      <c r="D11237" s="104">
        <f t="shared" si="175"/>
        <v>4.1900000000000007E-2</v>
      </c>
      <c r="F11237" s="5"/>
    </row>
    <row r="11238" spans="2:6" ht="13.8" hidden="1" outlineLevel="1">
      <c r="B11238" s="187">
        <v>38338</v>
      </c>
      <c r="C11238" s="188">
        <v>4.21</v>
      </c>
      <c r="D11238" s="104">
        <f t="shared" si="175"/>
        <v>4.2099999999999999E-2</v>
      </c>
      <c r="F11238" s="5"/>
    </row>
    <row r="11239" spans="2:6" ht="13.8" hidden="1" outlineLevel="1">
      <c r="B11239" s="187">
        <v>38341</v>
      </c>
      <c r="C11239" s="188">
        <v>4.21</v>
      </c>
      <c r="D11239" s="104">
        <f t="shared" si="175"/>
        <v>4.2099999999999999E-2</v>
      </c>
      <c r="F11239" s="5"/>
    </row>
    <row r="11240" spans="2:6" ht="13.8" hidden="1" outlineLevel="1">
      <c r="B11240" s="187">
        <v>38342</v>
      </c>
      <c r="C11240" s="188">
        <v>4.18</v>
      </c>
      <c r="D11240" s="104">
        <f t="shared" si="175"/>
        <v>4.1799999999999997E-2</v>
      </c>
      <c r="F11240" s="5"/>
    </row>
    <row r="11241" spans="2:6" ht="13.8" hidden="1" outlineLevel="1">
      <c r="B11241" s="187">
        <v>38343</v>
      </c>
      <c r="C11241" s="188">
        <v>4.21</v>
      </c>
      <c r="D11241" s="104">
        <f t="shared" si="175"/>
        <v>4.2099999999999999E-2</v>
      </c>
      <c r="F11241" s="5"/>
    </row>
    <row r="11242" spans="2:6" ht="13.8" hidden="1" outlineLevel="1">
      <c r="B11242" s="187">
        <v>38344</v>
      </c>
      <c r="C11242" s="188">
        <v>4.2300000000000004</v>
      </c>
      <c r="D11242" s="104">
        <f t="shared" si="175"/>
        <v>4.2300000000000004E-2</v>
      </c>
      <c r="F11242" s="5"/>
    </row>
    <row r="11243" spans="2:6" ht="13.8" hidden="1" outlineLevel="1">
      <c r="B11243" s="187">
        <v>38345</v>
      </c>
      <c r="C11243" s="188" t="s">
        <v>380</v>
      </c>
      <c r="D11243" s="104">
        <f t="shared" si="175"/>
        <v>4.2300000000000004E-2</v>
      </c>
      <c r="F11243" s="5"/>
    </row>
    <row r="11244" spans="2:6" ht="13.8" hidden="1" outlineLevel="1">
      <c r="B11244" s="187">
        <v>38348</v>
      </c>
      <c r="C11244" s="188">
        <v>4.3</v>
      </c>
      <c r="D11244" s="104">
        <f t="shared" si="175"/>
        <v>4.2999999999999997E-2</v>
      </c>
      <c r="F11244" s="5"/>
    </row>
    <row r="11245" spans="2:6" ht="13.8" hidden="1" outlineLevel="1">
      <c r="B11245" s="187">
        <v>38349</v>
      </c>
      <c r="C11245" s="188">
        <v>4.3099999999999996</v>
      </c>
      <c r="D11245" s="104">
        <f t="shared" si="175"/>
        <v>4.3099999999999999E-2</v>
      </c>
      <c r="F11245" s="5"/>
    </row>
    <row r="11246" spans="2:6" ht="13.8" hidden="1" outlineLevel="1">
      <c r="B11246" s="187">
        <v>38350</v>
      </c>
      <c r="C11246" s="188">
        <v>4.33</v>
      </c>
      <c r="D11246" s="104">
        <f t="shared" si="175"/>
        <v>4.3299999999999998E-2</v>
      </c>
      <c r="F11246" s="5"/>
    </row>
    <row r="11247" spans="2:6" ht="13.8" hidden="1" outlineLevel="1">
      <c r="B11247" s="187">
        <v>38351</v>
      </c>
      <c r="C11247" s="188">
        <v>4.2699999999999996</v>
      </c>
      <c r="D11247" s="104">
        <f t="shared" si="175"/>
        <v>4.2699999999999995E-2</v>
      </c>
      <c r="F11247" s="5"/>
    </row>
    <row r="11248" spans="2:6" ht="13.8" hidden="1" outlineLevel="1">
      <c r="B11248" s="187">
        <v>38352</v>
      </c>
      <c r="C11248" s="188">
        <v>4.24</v>
      </c>
      <c r="D11248" s="104">
        <f t="shared" si="175"/>
        <v>4.24E-2</v>
      </c>
      <c r="F11248" s="5"/>
    </row>
    <row r="11249" spans="2:6" ht="13.8" hidden="1" outlineLevel="1">
      <c r="B11249" s="187">
        <v>38355</v>
      </c>
      <c r="C11249" s="188">
        <v>4.2300000000000004</v>
      </c>
      <c r="D11249" s="104">
        <f t="shared" si="175"/>
        <v>4.2300000000000004E-2</v>
      </c>
      <c r="F11249" s="5"/>
    </row>
    <row r="11250" spans="2:6" ht="13.8" hidden="1" outlineLevel="1">
      <c r="B11250" s="187">
        <v>38356</v>
      </c>
      <c r="C11250" s="188">
        <v>4.29</v>
      </c>
      <c r="D11250" s="104">
        <f t="shared" si="175"/>
        <v>4.2900000000000001E-2</v>
      </c>
      <c r="F11250" s="5"/>
    </row>
    <row r="11251" spans="2:6" ht="13.8" hidden="1" outlineLevel="1">
      <c r="B11251" s="187">
        <v>38357</v>
      </c>
      <c r="C11251" s="188">
        <v>4.29</v>
      </c>
      <c r="D11251" s="104">
        <f t="shared" si="175"/>
        <v>4.2900000000000001E-2</v>
      </c>
      <c r="F11251" s="5"/>
    </row>
    <row r="11252" spans="2:6" ht="13.8" hidden="1" outlineLevel="1">
      <c r="B11252" s="187">
        <v>38358</v>
      </c>
      <c r="C11252" s="188">
        <v>4.29</v>
      </c>
      <c r="D11252" s="104">
        <f t="shared" si="175"/>
        <v>4.2900000000000001E-2</v>
      </c>
      <c r="F11252" s="5"/>
    </row>
    <row r="11253" spans="2:6" ht="13.8" hidden="1" outlineLevel="1">
      <c r="B11253" s="187">
        <v>38359</v>
      </c>
      <c r="C11253" s="188">
        <v>4.29</v>
      </c>
      <c r="D11253" s="104">
        <f t="shared" si="175"/>
        <v>4.2900000000000001E-2</v>
      </c>
      <c r="F11253" s="5"/>
    </row>
    <row r="11254" spans="2:6" ht="13.8" hidden="1" outlineLevel="1">
      <c r="B11254" s="187">
        <v>38362</v>
      </c>
      <c r="C11254" s="188">
        <v>4.29</v>
      </c>
      <c r="D11254" s="104">
        <f t="shared" si="175"/>
        <v>4.2900000000000001E-2</v>
      </c>
      <c r="F11254" s="5"/>
    </row>
    <row r="11255" spans="2:6" ht="13.8" hidden="1" outlineLevel="1">
      <c r="B11255" s="187">
        <v>38363</v>
      </c>
      <c r="C11255" s="188">
        <v>4.26</v>
      </c>
      <c r="D11255" s="104">
        <f t="shared" si="175"/>
        <v>4.2599999999999999E-2</v>
      </c>
      <c r="F11255" s="5"/>
    </row>
    <row r="11256" spans="2:6" ht="13.8" hidden="1" outlineLevel="1">
      <c r="B11256" s="187">
        <v>38364</v>
      </c>
      <c r="C11256" s="188">
        <v>4.25</v>
      </c>
      <c r="D11256" s="104">
        <f t="shared" si="175"/>
        <v>4.2500000000000003E-2</v>
      </c>
      <c r="F11256" s="5"/>
    </row>
    <row r="11257" spans="2:6" ht="13.8" hidden="1" outlineLevel="1">
      <c r="B11257" s="187">
        <v>38365</v>
      </c>
      <c r="C11257" s="188">
        <v>4.2</v>
      </c>
      <c r="D11257" s="104">
        <f t="shared" si="175"/>
        <v>4.2000000000000003E-2</v>
      </c>
      <c r="F11257" s="5"/>
    </row>
    <row r="11258" spans="2:6" ht="13.8" hidden="1" outlineLevel="1">
      <c r="B11258" s="187">
        <v>38366</v>
      </c>
      <c r="C11258" s="188">
        <v>4.2300000000000004</v>
      </c>
      <c r="D11258" s="104">
        <f t="shared" si="175"/>
        <v>4.2300000000000004E-2</v>
      </c>
      <c r="F11258" s="5"/>
    </row>
    <row r="11259" spans="2:6" ht="13.8" hidden="1" outlineLevel="1">
      <c r="B11259" s="187">
        <v>38369</v>
      </c>
      <c r="C11259" s="188" t="s">
        <v>380</v>
      </c>
      <c r="D11259" s="104">
        <f t="shared" si="175"/>
        <v>4.2300000000000004E-2</v>
      </c>
      <c r="F11259" s="5"/>
    </row>
    <row r="11260" spans="2:6" ht="13.8" hidden="1" outlineLevel="1">
      <c r="B11260" s="187">
        <v>38370</v>
      </c>
      <c r="C11260" s="188">
        <v>4.21</v>
      </c>
      <c r="D11260" s="104">
        <f t="shared" si="175"/>
        <v>4.2099999999999999E-2</v>
      </c>
      <c r="F11260" s="5"/>
    </row>
    <row r="11261" spans="2:6" ht="13.8" hidden="1" outlineLevel="1">
      <c r="B11261" s="187">
        <v>38371</v>
      </c>
      <c r="C11261" s="188">
        <v>4.2</v>
      </c>
      <c r="D11261" s="104">
        <f t="shared" si="175"/>
        <v>4.2000000000000003E-2</v>
      </c>
      <c r="F11261" s="5"/>
    </row>
    <row r="11262" spans="2:6" ht="13.8" hidden="1" outlineLevel="1">
      <c r="B11262" s="187">
        <v>38372</v>
      </c>
      <c r="C11262" s="188">
        <v>4.17</v>
      </c>
      <c r="D11262" s="104">
        <f t="shared" si="175"/>
        <v>4.1700000000000001E-2</v>
      </c>
      <c r="F11262" s="5"/>
    </row>
    <row r="11263" spans="2:6" ht="13.8" hidden="1" outlineLevel="1">
      <c r="B11263" s="187">
        <v>38373</v>
      </c>
      <c r="C11263" s="188">
        <v>4.16</v>
      </c>
      <c r="D11263" s="104">
        <f t="shared" si="175"/>
        <v>4.1599999999999998E-2</v>
      </c>
      <c r="F11263" s="5"/>
    </row>
    <row r="11264" spans="2:6" ht="13.8" hidden="1" outlineLevel="1">
      <c r="B11264" s="187">
        <v>38376</v>
      </c>
      <c r="C11264" s="188">
        <v>4.1399999999999997</v>
      </c>
      <c r="D11264" s="104">
        <f t="shared" si="175"/>
        <v>4.1399999999999999E-2</v>
      </c>
      <c r="F11264" s="5"/>
    </row>
    <row r="11265" spans="2:6" ht="13.8" hidden="1" outlineLevel="1">
      <c r="B11265" s="187">
        <v>38377</v>
      </c>
      <c r="C11265" s="188">
        <v>4.2</v>
      </c>
      <c r="D11265" s="104">
        <f t="shared" si="175"/>
        <v>4.2000000000000003E-2</v>
      </c>
      <c r="F11265" s="5"/>
    </row>
    <row r="11266" spans="2:6" ht="13.8" hidden="1" outlineLevel="1">
      <c r="B11266" s="187">
        <v>38378</v>
      </c>
      <c r="C11266" s="188">
        <v>4.21</v>
      </c>
      <c r="D11266" s="104">
        <f t="shared" si="175"/>
        <v>4.2099999999999999E-2</v>
      </c>
      <c r="F11266" s="5"/>
    </row>
    <row r="11267" spans="2:6" ht="13.8" hidden="1" outlineLevel="1">
      <c r="B11267" s="187">
        <v>38379</v>
      </c>
      <c r="C11267" s="188">
        <v>4.22</v>
      </c>
      <c r="D11267" s="104">
        <f t="shared" si="175"/>
        <v>4.2199999999999994E-2</v>
      </c>
      <c r="F11267" s="5"/>
    </row>
    <row r="11268" spans="2:6" ht="13.8" hidden="1" outlineLevel="1">
      <c r="B11268" s="187">
        <v>38380</v>
      </c>
      <c r="C11268" s="188">
        <v>4.16</v>
      </c>
      <c r="D11268" s="104">
        <f t="shared" si="175"/>
        <v>4.1599999999999998E-2</v>
      </c>
      <c r="F11268" s="5"/>
    </row>
    <row r="11269" spans="2:6" ht="13.8" hidden="1" outlineLevel="1">
      <c r="B11269" s="187">
        <v>38383</v>
      </c>
      <c r="C11269" s="188">
        <v>4.1399999999999997</v>
      </c>
      <c r="D11269" s="104">
        <f t="shared" si="175"/>
        <v>4.1399999999999999E-2</v>
      </c>
      <c r="F11269" s="5"/>
    </row>
    <row r="11270" spans="2:6" ht="13.8" hidden="1" outlineLevel="1">
      <c r="B11270" s="187">
        <v>38384</v>
      </c>
      <c r="C11270" s="188">
        <v>4.1500000000000004</v>
      </c>
      <c r="D11270" s="104">
        <f t="shared" si="175"/>
        <v>4.1500000000000002E-2</v>
      </c>
      <c r="F11270" s="5"/>
    </row>
    <row r="11271" spans="2:6" ht="13.8" hidden="1" outlineLevel="1">
      <c r="B11271" s="187">
        <v>38385</v>
      </c>
      <c r="C11271" s="188">
        <v>4.1500000000000004</v>
      </c>
      <c r="D11271" s="104">
        <f t="shared" si="175"/>
        <v>4.1500000000000002E-2</v>
      </c>
      <c r="F11271" s="5"/>
    </row>
    <row r="11272" spans="2:6" ht="13.8" hidden="1" outlineLevel="1">
      <c r="B11272" s="187">
        <v>38386</v>
      </c>
      <c r="C11272" s="188">
        <v>4.18</v>
      </c>
      <c r="D11272" s="104">
        <f t="shared" si="175"/>
        <v>4.1799999999999997E-2</v>
      </c>
      <c r="F11272" s="5"/>
    </row>
    <row r="11273" spans="2:6" ht="13.8" hidden="1" outlineLevel="1">
      <c r="B11273" s="187">
        <v>38387</v>
      </c>
      <c r="C11273" s="188">
        <v>4.09</v>
      </c>
      <c r="D11273" s="104">
        <f t="shared" si="175"/>
        <v>4.0899999999999999E-2</v>
      </c>
      <c r="F11273" s="5"/>
    </row>
    <row r="11274" spans="2:6" ht="13.8" hidden="1" outlineLevel="1">
      <c r="B11274" s="187">
        <v>38390</v>
      </c>
      <c r="C11274" s="188">
        <v>4.07</v>
      </c>
      <c r="D11274" s="104">
        <f t="shared" si="175"/>
        <v>4.07E-2</v>
      </c>
      <c r="F11274" s="5"/>
    </row>
    <row r="11275" spans="2:6" ht="13.8" hidden="1" outlineLevel="1">
      <c r="B11275" s="187">
        <v>38391</v>
      </c>
      <c r="C11275" s="188">
        <v>4.05</v>
      </c>
      <c r="D11275" s="104">
        <f t="shared" si="175"/>
        <v>4.0500000000000001E-2</v>
      </c>
      <c r="F11275" s="5"/>
    </row>
    <row r="11276" spans="2:6" ht="13.8" hidden="1" outlineLevel="1">
      <c r="B11276" s="187">
        <v>38392</v>
      </c>
      <c r="C11276" s="188">
        <v>4</v>
      </c>
      <c r="D11276" s="104">
        <f t="shared" si="175"/>
        <v>0.04</v>
      </c>
      <c r="F11276" s="5"/>
    </row>
    <row r="11277" spans="2:6" ht="13.8" hidden="1" outlineLevel="1">
      <c r="B11277" s="187">
        <v>38393</v>
      </c>
      <c r="C11277" s="188">
        <v>4.07</v>
      </c>
      <c r="D11277" s="104">
        <f t="shared" si="175"/>
        <v>4.07E-2</v>
      </c>
      <c r="F11277" s="5"/>
    </row>
    <row r="11278" spans="2:6" ht="13.8" hidden="1" outlineLevel="1">
      <c r="B11278" s="187">
        <v>38394</v>
      </c>
      <c r="C11278" s="188">
        <v>4.0999999999999996</v>
      </c>
      <c r="D11278" s="104">
        <f t="shared" si="175"/>
        <v>4.0999999999999995E-2</v>
      </c>
      <c r="F11278" s="5"/>
    </row>
    <row r="11279" spans="2:6" ht="13.8" hidden="1" outlineLevel="1">
      <c r="B11279" s="187">
        <v>38397</v>
      </c>
      <c r="C11279" s="188">
        <v>4.08</v>
      </c>
      <c r="D11279" s="104">
        <f t="shared" si="175"/>
        <v>4.0800000000000003E-2</v>
      </c>
      <c r="F11279" s="5"/>
    </row>
    <row r="11280" spans="2:6" ht="13.8" hidden="1" outlineLevel="1">
      <c r="B11280" s="187">
        <v>38398</v>
      </c>
      <c r="C11280" s="188">
        <v>4.0999999999999996</v>
      </c>
      <c r="D11280" s="104">
        <f t="shared" si="175"/>
        <v>4.0999999999999995E-2</v>
      </c>
      <c r="F11280" s="5"/>
    </row>
    <row r="11281" spans="2:6" ht="13.8" hidden="1" outlineLevel="1">
      <c r="B11281" s="187">
        <v>38399</v>
      </c>
      <c r="C11281" s="188">
        <v>4.16</v>
      </c>
      <c r="D11281" s="104">
        <f t="shared" si="175"/>
        <v>4.1599999999999998E-2</v>
      </c>
      <c r="F11281" s="5"/>
    </row>
    <row r="11282" spans="2:6" ht="13.8" hidden="1" outlineLevel="1">
      <c r="B11282" s="187">
        <v>38400</v>
      </c>
      <c r="C11282" s="188">
        <v>4.1900000000000004</v>
      </c>
      <c r="D11282" s="104">
        <f t="shared" si="175"/>
        <v>4.1900000000000007E-2</v>
      </c>
      <c r="F11282" s="5"/>
    </row>
    <row r="11283" spans="2:6" ht="13.8" hidden="1" outlineLevel="1">
      <c r="B11283" s="187">
        <v>38401</v>
      </c>
      <c r="C11283" s="188">
        <v>4.2699999999999996</v>
      </c>
      <c r="D11283" s="104">
        <f t="shared" si="175"/>
        <v>4.2699999999999995E-2</v>
      </c>
      <c r="F11283" s="5"/>
    </row>
    <row r="11284" spans="2:6" ht="13.8" hidden="1" outlineLevel="1">
      <c r="B11284" s="187">
        <v>38404</v>
      </c>
      <c r="C11284" s="188" t="s">
        <v>380</v>
      </c>
      <c r="D11284" s="104">
        <f t="shared" si="175"/>
        <v>4.2699999999999995E-2</v>
      </c>
      <c r="F11284" s="5"/>
    </row>
    <row r="11285" spans="2:6" ht="13.8" hidden="1" outlineLevel="1">
      <c r="B11285" s="187">
        <v>38405</v>
      </c>
      <c r="C11285" s="188">
        <v>4.29</v>
      </c>
      <c r="D11285" s="104">
        <f t="shared" si="175"/>
        <v>4.2900000000000001E-2</v>
      </c>
      <c r="F11285" s="5"/>
    </row>
    <row r="11286" spans="2:6" ht="13.8" hidden="1" outlineLevel="1">
      <c r="B11286" s="187">
        <v>38406</v>
      </c>
      <c r="C11286" s="188">
        <v>4.2699999999999996</v>
      </c>
      <c r="D11286" s="104">
        <f t="shared" si="175"/>
        <v>4.2699999999999995E-2</v>
      </c>
      <c r="F11286" s="5"/>
    </row>
    <row r="11287" spans="2:6" ht="13.8" hidden="1" outlineLevel="1">
      <c r="B11287" s="187">
        <v>38407</v>
      </c>
      <c r="C11287" s="188">
        <v>4.29</v>
      </c>
      <c r="D11287" s="104">
        <f t="shared" si="175"/>
        <v>4.2900000000000001E-2</v>
      </c>
      <c r="F11287" s="5"/>
    </row>
    <row r="11288" spans="2:6" ht="13.8" hidden="1" outlineLevel="1">
      <c r="B11288" s="187">
        <v>38408</v>
      </c>
      <c r="C11288" s="188">
        <v>4.2699999999999996</v>
      </c>
      <c r="D11288" s="104">
        <f t="shared" si="175"/>
        <v>4.2699999999999995E-2</v>
      </c>
      <c r="F11288" s="5"/>
    </row>
    <row r="11289" spans="2:6" ht="13.8" hidden="1" outlineLevel="1">
      <c r="B11289" s="187">
        <v>38411</v>
      </c>
      <c r="C11289" s="188">
        <v>4.3600000000000003</v>
      </c>
      <c r="D11289" s="104">
        <f t="shared" si="175"/>
        <v>4.36E-2</v>
      </c>
      <c r="F11289" s="5"/>
    </row>
    <row r="11290" spans="2:6" ht="13.8" hidden="1" outlineLevel="1">
      <c r="B11290" s="187">
        <v>38412</v>
      </c>
      <c r="C11290" s="188">
        <v>4.38</v>
      </c>
      <c r="D11290" s="104">
        <f t="shared" si="175"/>
        <v>4.3799999999999999E-2</v>
      </c>
      <c r="F11290" s="5"/>
    </row>
    <row r="11291" spans="2:6" ht="13.8" hidden="1" outlineLevel="1">
      <c r="B11291" s="187">
        <v>38413</v>
      </c>
      <c r="C11291" s="188">
        <v>4.38</v>
      </c>
      <c r="D11291" s="104">
        <f t="shared" si="175"/>
        <v>4.3799999999999999E-2</v>
      </c>
      <c r="F11291" s="5"/>
    </row>
    <row r="11292" spans="2:6" ht="13.8" hidden="1" outlineLevel="1">
      <c r="B11292" s="187">
        <v>38414</v>
      </c>
      <c r="C11292" s="188">
        <v>4.3899999999999997</v>
      </c>
      <c r="D11292" s="104">
        <f t="shared" si="175"/>
        <v>4.3899999999999995E-2</v>
      </c>
      <c r="F11292" s="5"/>
    </row>
    <row r="11293" spans="2:6" ht="13.8" hidden="1" outlineLevel="1">
      <c r="B11293" s="187">
        <v>38415</v>
      </c>
      <c r="C11293" s="188">
        <v>4.32</v>
      </c>
      <c r="D11293" s="104">
        <f t="shared" si="175"/>
        <v>4.3200000000000002E-2</v>
      </c>
      <c r="F11293" s="5"/>
    </row>
    <row r="11294" spans="2:6" ht="13.8" hidden="1" outlineLevel="1">
      <c r="B11294" s="187">
        <v>38418</v>
      </c>
      <c r="C11294" s="188">
        <v>4.3099999999999996</v>
      </c>
      <c r="D11294" s="104">
        <f t="shared" ref="D11294:D11357" si="176">IF( LEN( C11294 ) = 0, #N/A, IF( C11294 = "ND", D11293, C11294 / 100 ) )</f>
        <v>4.3099999999999999E-2</v>
      </c>
      <c r="F11294" s="5"/>
    </row>
    <row r="11295" spans="2:6" ht="13.8" hidden="1" outlineLevel="1">
      <c r="B11295" s="187">
        <v>38419</v>
      </c>
      <c r="C11295" s="188">
        <v>4.38</v>
      </c>
      <c r="D11295" s="104">
        <f t="shared" si="176"/>
        <v>4.3799999999999999E-2</v>
      </c>
      <c r="F11295" s="5"/>
    </row>
    <row r="11296" spans="2:6" ht="13.8" hidden="1" outlineLevel="1">
      <c r="B11296" s="187">
        <v>38420</v>
      </c>
      <c r="C11296" s="188">
        <v>4.5199999999999996</v>
      </c>
      <c r="D11296" s="104">
        <f t="shared" si="176"/>
        <v>4.5199999999999997E-2</v>
      </c>
      <c r="F11296" s="5"/>
    </row>
    <row r="11297" spans="2:6" ht="13.8" hidden="1" outlineLevel="1">
      <c r="B11297" s="187">
        <v>38421</v>
      </c>
      <c r="C11297" s="188">
        <v>4.4800000000000004</v>
      </c>
      <c r="D11297" s="104">
        <f t="shared" si="176"/>
        <v>4.4800000000000006E-2</v>
      </c>
      <c r="F11297" s="5"/>
    </row>
    <row r="11298" spans="2:6" ht="13.8" hidden="1" outlineLevel="1">
      <c r="B11298" s="187">
        <v>38422</v>
      </c>
      <c r="C11298" s="188">
        <v>4.5599999999999996</v>
      </c>
      <c r="D11298" s="104">
        <f t="shared" si="176"/>
        <v>4.5599999999999995E-2</v>
      </c>
      <c r="F11298" s="5"/>
    </row>
    <row r="11299" spans="2:6" ht="13.8" hidden="1" outlineLevel="1">
      <c r="B11299" s="187">
        <v>38425</v>
      </c>
      <c r="C11299" s="188">
        <v>4.5199999999999996</v>
      </c>
      <c r="D11299" s="104">
        <f t="shared" si="176"/>
        <v>4.5199999999999997E-2</v>
      </c>
      <c r="F11299" s="5"/>
    </row>
    <row r="11300" spans="2:6" ht="13.8" hidden="1" outlineLevel="1">
      <c r="B11300" s="187">
        <v>38426</v>
      </c>
      <c r="C11300" s="188">
        <v>4.54</v>
      </c>
      <c r="D11300" s="104">
        <f t="shared" si="176"/>
        <v>4.5400000000000003E-2</v>
      </c>
      <c r="F11300" s="5"/>
    </row>
    <row r="11301" spans="2:6" ht="13.8" hidden="1" outlineLevel="1">
      <c r="B11301" s="187">
        <v>38427</v>
      </c>
      <c r="C11301" s="188">
        <v>4.5199999999999996</v>
      </c>
      <c r="D11301" s="104">
        <f t="shared" si="176"/>
        <v>4.5199999999999997E-2</v>
      </c>
      <c r="F11301" s="5"/>
    </row>
    <row r="11302" spans="2:6" ht="13.8" hidden="1" outlineLevel="1">
      <c r="B11302" s="187">
        <v>38428</v>
      </c>
      <c r="C11302" s="188">
        <v>4.47</v>
      </c>
      <c r="D11302" s="104">
        <f t="shared" si="176"/>
        <v>4.4699999999999997E-2</v>
      </c>
      <c r="F11302" s="5"/>
    </row>
    <row r="11303" spans="2:6" ht="13.8" hidden="1" outlineLevel="1">
      <c r="B11303" s="187">
        <v>38429</v>
      </c>
      <c r="C11303" s="188">
        <v>4.51</v>
      </c>
      <c r="D11303" s="104">
        <f t="shared" si="176"/>
        <v>4.5100000000000001E-2</v>
      </c>
      <c r="F11303" s="5"/>
    </row>
    <row r="11304" spans="2:6" ht="13.8" hidden="1" outlineLevel="1">
      <c r="B11304" s="187">
        <v>38432</v>
      </c>
      <c r="C11304" s="188">
        <v>4.53</v>
      </c>
      <c r="D11304" s="104">
        <f t="shared" si="176"/>
        <v>4.53E-2</v>
      </c>
      <c r="F11304" s="5"/>
    </row>
    <row r="11305" spans="2:6" ht="13.8" hidden="1" outlineLevel="1">
      <c r="B11305" s="187">
        <v>38433</v>
      </c>
      <c r="C11305" s="188">
        <v>4.63</v>
      </c>
      <c r="D11305" s="104">
        <f t="shared" si="176"/>
        <v>4.6300000000000001E-2</v>
      </c>
      <c r="F11305" s="5"/>
    </row>
    <row r="11306" spans="2:6" ht="13.8" hidden="1" outlineLevel="1">
      <c r="B11306" s="187">
        <v>38434</v>
      </c>
      <c r="C11306" s="188">
        <v>4.6100000000000003</v>
      </c>
      <c r="D11306" s="104">
        <f t="shared" si="176"/>
        <v>4.6100000000000002E-2</v>
      </c>
      <c r="F11306" s="5"/>
    </row>
    <row r="11307" spans="2:6" ht="13.8" hidden="1" outlineLevel="1">
      <c r="B11307" s="187">
        <v>38435</v>
      </c>
      <c r="C11307" s="188">
        <v>4.5999999999999996</v>
      </c>
      <c r="D11307" s="104">
        <f t="shared" si="176"/>
        <v>4.5999999999999999E-2</v>
      </c>
      <c r="F11307" s="5"/>
    </row>
    <row r="11308" spans="2:6" ht="13.8" hidden="1" outlineLevel="1">
      <c r="B11308" s="187">
        <v>38436</v>
      </c>
      <c r="C11308" s="188" t="s">
        <v>380</v>
      </c>
      <c r="D11308" s="104">
        <f t="shared" si="176"/>
        <v>4.5999999999999999E-2</v>
      </c>
      <c r="F11308" s="5"/>
    </row>
    <row r="11309" spans="2:6" ht="13.8" hidden="1" outlineLevel="1">
      <c r="B11309" s="187">
        <v>38439</v>
      </c>
      <c r="C11309" s="188">
        <v>4.6399999999999997</v>
      </c>
      <c r="D11309" s="104">
        <f t="shared" si="176"/>
        <v>4.6399999999999997E-2</v>
      </c>
      <c r="F11309" s="5"/>
    </row>
    <row r="11310" spans="2:6" ht="13.8" hidden="1" outlineLevel="1">
      <c r="B11310" s="187">
        <v>38440</v>
      </c>
      <c r="C11310" s="188">
        <v>4.5999999999999996</v>
      </c>
      <c r="D11310" s="104">
        <f t="shared" si="176"/>
        <v>4.5999999999999999E-2</v>
      </c>
      <c r="F11310" s="5"/>
    </row>
    <row r="11311" spans="2:6" ht="13.8" hidden="1" outlineLevel="1">
      <c r="B11311" s="187">
        <v>38441</v>
      </c>
      <c r="C11311" s="188">
        <v>4.5599999999999996</v>
      </c>
      <c r="D11311" s="104">
        <f t="shared" si="176"/>
        <v>4.5599999999999995E-2</v>
      </c>
      <c r="F11311" s="5"/>
    </row>
    <row r="11312" spans="2:6" ht="13.8" hidden="1" outlineLevel="1">
      <c r="B11312" s="187">
        <v>38442</v>
      </c>
      <c r="C11312" s="188">
        <v>4.5</v>
      </c>
      <c r="D11312" s="104">
        <f t="shared" si="176"/>
        <v>4.4999999999999998E-2</v>
      </c>
      <c r="F11312" s="5"/>
    </row>
    <row r="11313" spans="2:6" ht="13.8" hidden="1" outlineLevel="1">
      <c r="B11313" s="187">
        <v>38443</v>
      </c>
      <c r="C11313" s="188">
        <v>4.46</v>
      </c>
      <c r="D11313" s="104">
        <f t="shared" si="176"/>
        <v>4.4600000000000001E-2</v>
      </c>
      <c r="F11313" s="5"/>
    </row>
    <row r="11314" spans="2:6" ht="13.8" hidden="1" outlineLevel="1">
      <c r="B11314" s="187">
        <v>38446</v>
      </c>
      <c r="C11314" s="188">
        <v>4.47</v>
      </c>
      <c r="D11314" s="104">
        <f t="shared" si="176"/>
        <v>4.4699999999999997E-2</v>
      </c>
      <c r="F11314" s="5"/>
    </row>
    <row r="11315" spans="2:6" ht="13.8" hidden="1" outlineLevel="1">
      <c r="B11315" s="187">
        <v>38447</v>
      </c>
      <c r="C11315" s="188">
        <v>4.4800000000000004</v>
      </c>
      <c r="D11315" s="104">
        <f t="shared" si="176"/>
        <v>4.4800000000000006E-2</v>
      </c>
      <c r="F11315" s="5"/>
    </row>
    <row r="11316" spans="2:6" ht="13.8" hidden="1" outlineLevel="1">
      <c r="B11316" s="187">
        <v>38448</v>
      </c>
      <c r="C11316" s="188">
        <v>4.4400000000000004</v>
      </c>
      <c r="D11316" s="104">
        <f t="shared" si="176"/>
        <v>4.4400000000000002E-2</v>
      </c>
      <c r="F11316" s="5"/>
    </row>
    <row r="11317" spans="2:6" ht="13.8" hidden="1" outlineLevel="1">
      <c r="B11317" s="187">
        <v>38449</v>
      </c>
      <c r="C11317" s="188">
        <v>4.49</v>
      </c>
      <c r="D11317" s="104">
        <f t="shared" si="176"/>
        <v>4.4900000000000002E-2</v>
      </c>
      <c r="F11317" s="5"/>
    </row>
    <row r="11318" spans="2:6" ht="13.8" hidden="1" outlineLevel="1">
      <c r="B11318" s="187">
        <v>38450</v>
      </c>
      <c r="C11318" s="188">
        <v>4.5</v>
      </c>
      <c r="D11318" s="104">
        <f t="shared" si="176"/>
        <v>4.4999999999999998E-2</v>
      </c>
      <c r="F11318" s="5"/>
    </row>
    <row r="11319" spans="2:6" ht="13.8" hidden="1" outlineLevel="1">
      <c r="B11319" s="187">
        <v>38453</v>
      </c>
      <c r="C11319" s="188">
        <v>4.45</v>
      </c>
      <c r="D11319" s="104">
        <f t="shared" si="176"/>
        <v>4.4500000000000005E-2</v>
      </c>
      <c r="F11319" s="5"/>
    </row>
    <row r="11320" spans="2:6" ht="13.8" hidden="1" outlineLevel="1">
      <c r="B11320" s="187">
        <v>38454</v>
      </c>
      <c r="C11320" s="188">
        <v>4.38</v>
      </c>
      <c r="D11320" s="104">
        <f t="shared" si="176"/>
        <v>4.3799999999999999E-2</v>
      </c>
      <c r="F11320" s="5"/>
    </row>
    <row r="11321" spans="2:6" ht="13.8" hidden="1" outlineLevel="1">
      <c r="B11321" s="187">
        <v>38455</v>
      </c>
      <c r="C11321" s="188">
        <v>4.38</v>
      </c>
      <c r="D11321" s="104">
        <f t="shared" si="176"/>
        <v>4.3799999999999999E-2</v>
      </c>
      <c r="F11321" s="5"/>
    </row>
    <row r="11322" spans="2:6" ht="13.8" hidden="1" outlineLevel="1">
      <c r="B11322" s="187">
        <v>38456</v>
      </c>
      <c r="C11322" s="188">
        <v>4.37</v>
      </c>
      <c r="D11322" s="104">
        <f t="shared" si="176"/>
        <v>4.3700000000000003E-2</v>
      </c>
      <c r="F11322" s="5"/>
    </row>
    <row r="11323" spans="2:6" ht="13.8" hidden="1" outlineLevel="1">
      <c r="B11323" s="187">
        <v>38457</v>
      </c>
      <c r="C11323" s="188">
        <v>4.2699999999999996</v>
      </c>
      <c r="D11323" s="104">
        <f t="shared" si="176"/>
        <v>4.2699999999999995E-2</v>
      </c>
      <c r="F11323" s="5"/>
    </row>
    <row r="11324" spans="2:6" ht="13.8" hidden="1" outlineLevel="1">
      <c r="B11324" s="187">
        <v>38460</v>
      </c>
      <c r="C11324" s="188">
        <v>4.2699999999999996</v>
      </c>
      <c r="D11324" s="104">
        <f t="shared" si="176"/>
        <v>4.2699999999999995E-2</v>
      </c>
      <c r="F11324" s="5"/>
    </row>
    <row r="11325" spans="2:6" ht="13.8" hidden="1" outlineLevel="1">
      <c r="B11325" s="187">
        <v>38461</v>
      </c>
      <c r="C11325" s="188">
        <v>4.21</v>
      </c>
      <c r="D11325" s="104">
        <f t="shared" si="176"/>
        <v>4.2099999999999999E-2</v>
      </c>
      <c r="F11325" s="5"/>
    </row>
    <row r="11326" spans="2:6" ht="13.8" hidden="1" outlineLevel="1">
      <c r="B11326" s="187">
        <v>38462</v>
      </c>
      <c r="C11326" s="188">
        <v>4.22</v>
      </c>
      <c r="D11326" s="104">
        <f t="shared" si="176"/>
        <v>4.2199999999999994E-2</v>
      </c>
      <c r="F11326" s="5"/>
    </row>
    <row r="11327" spans="2:6" ht="13.8" hidden="1" outlineLevel="1">
      <c r="B11327" s="187">
        <v>38463</v>
      </c>
      <c r="C11327" s="188">
        <v>4.32</v>
      </c>
      <c r="D11327" s="104">
        <f t="shared" si="176"/>
        <v>4.3200000000000002E-2</v>
      </c>
      <c r="F11327" s="5"/>
    </row>
    <row r="11328" spans="2:6" ht="13.8" hidden="1" outlineLevel="1">
      <c r="B11328" s="187">
        <v>38464</v>
      </c>
      <c r="C11328" s="188">
        <v>4.26</v>
      </c>
      <c r="D11328" s="104">
        <f t="shared" si="176"/>
        <v>4.2599999999999999E-2</v>
      </c>
      <c r="F11328" s="5"/>
    </row>
    <row r="11329" spans="2:6" ht="13.8" hidden="1" outlineLevel="1">
      <c r="B11329" s="187">
        <v>38467</v>
      </c>
      <c r="C11329" s="188">
        <v>4.26</v>
      </c>
      <c r="D11329" s="104">
        <f t="shared" si="176"/>
        <v>4.2599999999999999E-2</v>
      </c>
      <c r="F11329" s="5"/>
    </row>
    <row r="11330" spans="2:6" ht="13.8" hidden="1" outlineLevel="1">
      <c r="B11330" s="187">
        <v>38468</v>
      </c>
      <c r="C11330" s="188">
        <v>4.28</v>
      </c>
      <c r="D11330" s="104">
        <f t="shared" si="176"/>
        <v>4.2800000000000005E-2</v>
      </c>
      <c r="F11330" s="5"/>
    </row>
    <row r="11331" spans="2:6" ht="13.8" hidden="1" outlineLevel="1">
      <c r="B11331" s="187">
        <v>38469</v>
      </c>
      <c r="C11331" s="188">
        <v>4.25</v>
      </c>
      <c r="D11331" s="104">
        <f t="shared" si="176"/>
        <v>4.2500000000000003E-2</v>
      </c>
      <c r="F11331" s="5"/>
    </row>
    <row r="11332" spans="2:6" ht="13.8" hidden="1" outlineLevel="1">
      <c r="B11332" s="187">
        <v>38470</v>
      </c>
      <c r="C11332" s="188">
        <v>4.1900000000000004</v>
      </c>
      <c r="D11332" s="104">
        <f t="shared" si="176"/>
        <v>4.1900000000000007E-2</v>
      </c>
      <c r="F11332" s="5"/>
    </row>
    <row r="11333" spans="2:6" ht="13.8" hidden="1" outlineLevel="1">
      <c r="B11333" s="187">
        <v>38471</v>
      </c>
      <c r="C11333" s="188">
        <v>4.21</v>
      </c>
      <c r="D11333" s="104">
        <f t="shared" si="176"/>
        <v>4.2099999999999999E-2</v>
      </c>
      <c r="F11333" s="5"/>
    </row>
    <row r="11334" spans="2:6" ht="13.8" hidden="1" outlineLevel="1">
      <c r="B11334" s="187">
        <v>38474</v>
      </c>
      <c r="C11334" s="188">
        <v>4.21</v>
      </c>
      <c r="D11334" s="104">
        <f t="shared" si="176"/>
        <v>4.2099999999999999E-2</v>
      </c>
      <c r="F11334" s="5"/>
    </row>
    <row r="11335" spans="2:6" ht="13.8" hidden="1" outlineLevel="1">
      <c r="B11335" s="187">
        <v>38475</v>
      </c>
      <c r="C11335" s="188">
        <v>4.21</v>
      </c>
      <c r="D11335" s="104">
        <f t="shared" si="176"/>
        <v>4.2099999999999999E-2</v>
      </c>
      <c r="F11335" s="5"/>
    </row>
    <row r="11336" spans="2:6" ht="13.8" hidden="1" outlineLevel="1">
      <c r="B11336" s="187">
        <v>38476</v>
      </c>
      <c r="C11336" s="188">
        <v>4.2</v>
      </c>
      <c r="D11336" s="104">
        <f t="shared" si="176"/>
        <v>4.2000000000000003E-2</v>
      </c>
      <c r="F11336" s="5"/>
    </row>
    <row r="11337" spans="2:6" ht="13.8" hidden="1" outlineLevel="1">
      <c r="B11337" s="187">
        <v>38477</v>
      </c>
      <c r="C11337" s="188">
        <v>4.1900000000000004</v>
      </c>
      <c r="D11337" s="104">
        <f t="shared" si="176"/>
        <v>4.1900000000000007E-2</v>
      </c>
      <c r="F11337" s="5"/>
    </row>
    <row r="11338" spans="2:6" ht="13.8" hidden="1" outlineLevel="1">
      <c r="B11338" s="187">
        <v>38478</v>
      </c>
      <c r="C11338" s="188">
        <v>4.28</v>
      </c>
      <c r="D11338" s="104">
        <f t="shared" si="176"/>
        <v>4.2800000000000005E-2</v>
      </c>
      <c r="F11338" s="5"/>
    </row>
    <row r="11339" spans="2:6" ht="13.8" hidden="1" outlineLevel="1">
      <c r="B11339" s="187">
        <v>38481</v>
      </c>
      <c r="C11339" s="188">
        <v>4.29</v>
      </c>
      <c r="D11339" s="104">
        <f t="shared" si="176"/>
        <v>4.2900000000000001E-2</v>
      </c>
      <c r="F11339" s="5"/>
    </row>
    <row r="11340" spans="2:6" ht="13.8" hidden="1" outlineLevel="1">
      <c r="B11340" s="187">
        <v>38482</v>
      </c>
      <c r="C11340" s="188">
        <v>4.2300000000000004</v>
      </c>
      <c r="D11340" s="104">
        <f t="shared" si="176"/>
        <v>4.2300000000000004E-2</v>
      </c>
      <c r="F11340" s="5"/>
    </row>
    <row r="11341" spans="2:6" ht="13.8" hidden="1" outlineLevel="1">
      <c r="B11341" s="187">
        <v>38483</v>
      </c>
      <c r="C11341" s="188">
        <v>4.21</v>
      </c>
      <c r="D11341" s="104">
        <f t="shared" si="176"/>
        <v>4.2099999999999999E-2</v>
      </c>
      <c r="F11341" s="5"/>
    </row>
    <row r="11342" spans="2:6" ht="13.8" hidden="1" outlineLevel="1">
      <c r="B11342" s="187">
        <v>38484</v>
      </c>
      <c r="C11342" s="188">
        <v>4.18</v>
      </c>
      <c r="D11342" s="104">
        <f t="shared" si="176"/>
        <v>4.1799999999999997E-2</v>
      </c>
      <c r="F11342" s="5"/>
    </row>
    <row r="11343" spans="2:6" ht="13.8" hidden="1" outlineLevel="1">
      <c r="B11343" s="187">
        <v>38485</v>
      </c>
      <c r="C11343" s="188">
        <v>4.12</v>
      </c>
      <c r="D11343" s="104">
        <f t="shared" si="176"/>
        <v>4.1200000000000001E-2</v>
      </c>
      <c r="F11343" s="5"/>
    </row>
    <row r="11344" spans="2:6" ht="13.8" hidden="1" outlineLevel="1">
      <c r="B11344" s="187">
        <v>38488</v>
      </c>
      <c r="C11344" s="188">
        <v>4.13</v>
      </c>
      <c r="D11344" s="104">
        <f t="shared" si="176"/>
        <v>4.1299999999999996E-2</v>
      </c>
      <c r="F11344" s="5"/>
    </row>
    <row r="11345" spans="2:6" ht="13.8" hidden="1" outlineLevel="1">
      <c r="B11345" s="187">
        <v>38489</v>
      </c>
      <c r="C11345" s="188">
        <v>4.12</v>
      </c>
      <c r="D11345" s="104">
        <f t="shared" si="176"/>
        <v>4.1200000000000001E-2</v>
      </c>
      <c r="F11345" s="5"/>
    </row>
    <row r="11346" spans="2:6" ht="13.8" hidden="1" outlineLevel="1">
      <c r="B11346" s="187">
        <v>38490</v>
      </c>
      <c r="C11346" s="188">
        <v>4.07</v>
      </c>
      <c r="D11346" s="104">
        <f t="shared" si="176"/>
        <v>4.07E-2</v>
      </c>
      <c r="F11346" s="5"/>
    </row>
    <row r="11347" spans="2:6" ht="13.8" hidden="1" outlineLevel="1">
      <c r="B11347" s="187">
        <v>38491</v>
      </c>
      <c r="C11347" s="188">
        <v>4.1100000000000003</v>
      </c>
      <c r="D11347" s="104">
        <f t="shared" si="176"/>
        <v>4.1100000000000005E-2</v>
      </c>
      <c r="F11347" s="5"/>
    </row>
    <row r="11348" spans="2:6" ht="13.8" hidden="1" outlineLevel="1">
      <c r="B11348" s="187">
        <v>38492</v>
      </c>
      <c r="C11348" s="188">
        <v>4.13</v>
      </c>
      <c r="D11348" s="104">
        <f t="shared" si="176"/>
        <v>4.1299999999999996E-2</v>
      </c>
      <c r="F11348" s="5"/>
    </row>
    <row r="11349" spans="2:6" ht="13.8" hidden="1" outlineLevel="1">
      <c r="B11349" s="187">
        <v>38495</v>
      </c>
      <c r="C11349" s="188">
        <v>4.07</v>
      </c>
      <c r="D11349" s="104">
        <f t="shared" si="176"/>
        <v>4.07E-2</v>
      </c>
      <c r="F11349" s="5"/>
    </row>
    <row r="11350" spans="2:6" ht="13.8" hidden="1" outlineLevel="1">
      <c r="B11350" s="187">
        <v>38496</v>
      </c>
      <c r="C11350" s="188">
        <v>4.04</v>
      </c>
      <c r="D11350" s="104">
        <f t="shared" si="176"/>
        <v>4.0399999999999998E-2</v>
      </c>
      <c r="F11350" s="5"/>
    </row>
    <row r="11351" spans="2:6" ht="13.8" hidden="1" outlineLevel="1">
      <c r="B11351" s="187">
        <v>38497</v>
      </c>
      <c r="C11351" s="188">
        <v>4.08</v>
      </c>
      <c r="D11351" s="104">
        <f t="shared" si="176"/>
        <v>4.0800000000000003E-2</v>
      </c>
      <c r="F11351" s="5"/>
    </row>
    <row r="11352" spans="2:6" ht="13.8" hidden="1" outlineLevel="1">
      <c r="B11352" s="187">
        <v>38498</v>
      </c>
      <c r="C11352" s="188">
        <v>4.08</v>
      </c>
      <c r="D11352" s="104">
        <f t="shared" si="176"/>
        <v>4.0800000000000003E-2</v>
      </c>
      <c r="F11352" s="5"/>
    </row>
    <row r="11353" spans="2:6" ht="13.8" hidden="1" outlineLevel="1">
      <c r="B11353" s="187">
        <v>38499</v>
      </c>
      <c r="C11353" s="188">
        <v>4.08</v>
      </c>
      <c r="D11353" s="104">
        <f t="shared" si="176"/>
        <v>4.0800000000000003E-2</v>
      </c>
      <c r="F11353" s="5"/>
    </row>
    <row r="11354" spans="2:6" ht="13.8" hidden="1" outlineLevel="1">
      <c r="B11354" s="187">
        <v>38502</v>
      </c>
      <c r="C11354" s="188" t="s">
        <v>380</v>
      </c>
      <c r="D11354" s="104">
        <f t="shared" si="176"/>
        <v>4.0800000000000003E-2</v>
      </c>
      <c r="F11354" s="5"/>
    </row>
    <row r="11355" spans="2:6" ht="13.8" hidden="1" outlineLevel="1">
      <c r="B11355" s="187">
        <v>38503</v>
      </c>
      <c r="C11355" s="188">
        <v>4</v>
      </c>
      <c r="D11355" s="104">
        <f t="shared" si="176"/>
        <v>0.04</v>
      </c>
      <c r="F11355" s="5"/>
    </row>
    <row r="11356" spans="2:6" ht="13.8" hidden="1" outlineLevel="1">
      <c r="B11356" s="187">
        <v>38504</v>
      </c>
      <c r="C11356" s="188">
        <v>3.91</v>
      </c>
      <c r="D11356" s="104">
        <f t="shared" si="176"/>
        <v>3.9100000000000003E-2</v>
      </c>
      <c r="F11356" s="5"/>
    </row>
    <row r="11357" spans="2:6" ht="13.8" hidden="1" outlineLevel="1">
      <c r="B11357" s="187">
        <v>38505</v>
      </c>
      <c r="C11357" s="188">
        <v>3.89</v>
      </c>
      <c r="D11357" s="104">
        <f t="shared" si="176"/>
        <v>3.8900000000000004E-2</v>
      </c>
      <c r="F11357" s="5"/>
    </row>
    <row r="11358" spans="2:6" ht="13.8" hidden="1" outlineLevel="1">
      <c r="B11358" s="187">
        <v>38506</v>
      </c>
      <c r="C11358" s="188">
        <v>3.98</v>
      </c>
      <c r="D11358" s="104">
        <f t="shared" ref="D11358:D11421" si="177">IF( LEN( C11358 ) = 0, #N/A, IF( C11358 = "ND", D11357, C11358 / 100 ) )</f>
        <v>3.9800000000000002E-2</v>
      </c>
      <c r="F11358" s="5"/>
    </row>
    <row r="11359" spans="2:6" ht="13.8" hidden="1" outlineLevel="1">
      <c r="B11359" s="187">
        <v>38509</v>
      </c>
      <c r="C11359" s="188">
        <v>3.96</v>
      </c>
      <c r="D11359" s="104">
        <f t="shared" si="177"/>
        <v>3.9599999999999996E-2</v>
      </c>
      <c r="F11359" s="5"/>
    </row>
    <row r="11360" spans="2:6" ht="13.8" hidden="1" outlineLevel="1">
      <c r="B11360" s="187">
        <v>38510</v>
      </c>
      <c r="C11360" s="188">
        <v>3.92</v>
      </c>
      <c r="D11360" s="104">
        <f t="shared" si="177"/>
        <v>3.9199999999999999E-2</v>
      </c>
      <c r="F11360" s="5"/>
    </row>
    <row r="11361" spans="2:6" ht="13.8" hidden="1" outlineLevel="1">
      <c r="B11361" s="187">
        <v>38511</v>
      </c>
      <c r="C11361" s="188">
        <v>3.95</v>
      </c>
      <c r="D11361" s="104">
        <f t="shared" si="177"/>
        <v>3.95E-2</v>
      </c>
      <c r="F11361" s="5"/>
    </row>
    <row r="11362" spans="2:6" ht="13.8" hidden="1" outlineLevel="1">
      <c r="B11362" s="187">
        <v>38512</v>
      </c>
      <c r="C11362" s="188">
        <v>3.98</v>
      </c>
      <c r="D11362" s="104">
        <f t="shared" si="177"/>
        <v>3.9800000000000002E-2</v>
      </c>
      <c r="F11362" s="5"/>
    </row>
    <row r="11363" spans="2:6" ht="13.8" hidden="1" outlineLevel="1">
      <c r="B11363" s="187">
        <v>38513</v>
      </c>
      <c r="C11363" s="188">
        <v>4.05</v>
      </c>
      <c r="D11363" s="104">
        <f t="shared" si="177"/>
        <v>4.0500000000000001E-2</v>
      </c>
      <c r="F11363" s="5"/>
    </row>
    <row r="11364" spans="2:6" ht="13.8" hidden="1" outlineLevel="1">
      <c r="B11364" s="187">
        <v>38516</v>
      </c>
      <c r="C11364" s="188">
        <v>4.09</v>
      </c>
      <c r="D11364" s="104">
        <f t="shared" si="177"/>
        <v>4.0899999999999999E-2</v>
      </c>
      <c r="F11364" s="5"/>
    </row>
    <row r="11365" spans="2:6" ht="13.8" hidden="1" outlineLevel="1">
      <c r="B11365" s="187">
        <v>38517</v>
      </c>
      <c r="C11365" s="188">
        <v>4.13</v>
      </c>
      <c r="D11365" s="104">
        <f t="shared" si="177"/>
        <v>4.1299999999999996E-2</v>
      </c>
      <c r="F11365" s="5"/>
    </row>
    <row r="11366" spans="2:6" ht="13.8" hidden="1" outlineLevel="1">
      <c r="B11366" s="187">
        <v>38518</v>
      </c>
      <c r="C11366" s="188">
        <v>4.12</v>
      </c>
      <c r="D11366" s="104">
        <f t="shared" si="177"/>
        <v>4.1200000000000001E-2</v>
      </c>
      <c r="F11366" s="5"/>
    </row>
    <row r="11367" spans="2:6" ht="13.8" hidden="1" outlineLevel="1">
      <c r="B11367" s="187">
        <v>38519</v>
      </c>
      <c r="C11367" s="188">
        <v>4.09</v>
      </c>
      <c r="D11367" s="104">
        <f t="shared" si="177"/>
        <v>4.0899999999999999E-2</v>
      </c>
      <c r="F11367" s="5"/>
    </row>
    <row r="11368" spans="2:6" ht="13.8" hidden="1" outlineLevel="1">
      <c r="B11368" s="187">
        <v>38520</v>
      </c>
      <c r="C11368" s="188">
        <v>4.09</v>
      </c>
      <c r="D11368" s="104">
        <f t="shared" si="177"/>
        <v>4.0899999999999999E-2</v>
      </c>
      <c r="F11368" s="5"/>
    </row>
    <row r="11369" spans="2:6" ht="13.8" hidden="1" outlineLevel="1">
      <c r="B11369" s="187">
        <v>38523</v>
      </c>
      <c r="C11369" s="188">
        <v>4.1100000000000003</v>
      </c>
      <c r="D11369" s="104">
        <f t="shared" si="177"/>
        <v>4.1100000000000005E-2</v>
      </c>
      <c r="F11369" s="5"/>
    </row>
    <row r="11370" spans="2:6" ht="13.8" hidden="1" outlineLevel="1">
      <c r="B11370" s="187">
        <v>38524</v>
      </c>
      <c r="C11370" s="188">
        <v>4.0599999999999996</v>
      </c>
      <c r="D11370" s="104">
        <f t="shared" si="177"/>
        <v>4.0599999999999997E-2</v>
      </c>
      <c r="F11370" s="5"/>
    </row>
    <row r="11371" spans="2:6" ht="13.8" hidden="1" outlineLevel="1">
      <c r="B11371" s="187">
        <v>38525</v>
      </c>
      <c r="C11371" s="188">
        <v>3.95</v>
      </c>
      <c r="D11371" s="104">
        <f t="shared" si="177"/>
        <v>3.95E-2</v>
      </c>
      <c r="F11371" s="5"/>
    </row>
    <row r="11372" spans="2:6" ht="13.8" hidden="1" outlineLevel="1">
      <c r="B11372" s="187">
        <v>38526</v>
      </c>
      <c r="C11372" s="188">
        <v>3.96</v>
      </c>
      <c r="D11372" s="104">
        <f t="shared" si="177"/>
        <v>3.9599999999999996E-2</v>
      </c>
      <c r="F11372" s="5"/>
    </row>
    <row r="11373" spans="2:6" ht="13.8" hidden="1" outlineLevel="1">
      <c r="B11373" s="187">
        <v>38527</v>
      </c>
      <c r="C11373" s="188">
        <v>3.92</v>
      </c>
      <c r="D11373" s="104">
        <f t="shared" si="177"/>
        <v>3.9199999999999999E-2</v>
      </c>
      <c r="F11373" s="5"/>
    </row>
    <row r="11374" spans="2:6" ht="13.8" hidden="1" outlineLevel="1">
      <c r="B11374" s="187">
        <v>38530</v>
      </c>
      <c r="C11374" s="188">
        <v>3.9</v>
      </c>
      <c r="D11374" s="104">
        <f t="shared" si="177"/>
        <v>3.9E-2</v>
      </c>
      <c r="F11374" s="5"/>
    </row>
    <row r="11375" spans="2:6" ht="13.8" hidden="1" outlineLevel="1">
      <c r="B11375" s="187">
        <v>38531</v>
      </c>
      <c r="C11375" s="188">
        <v>3.97</v>
      </c>
      <c r="D11375" s="104">
        <f t="shared" si="177"/>
        <v>3.9699999999999999E-2</v>
      </c>
      <c r="F11375" s="5"/>
    </row>
    <row r="11376" spans="2:6" ht="13.8" hidden="1" outlineLevel="1">
      <c r="B11376" s="187">
        <v>38532</v>
      </c>
      <c r="C11376" s="188">
        <v>3.99</v>
      </c>
      <c r="D11376" s="104">
        <f t="shared" si="177"/>
        <v>3.9900000000000005E-2</v>
      </c>
      <c r="F11376" s="5"/>
    </row>
    <row r="11377" spans="2:6" ht="13.8" hidden="1" outlineLevel="1">
      <c r="B11377" s="187">
        <v>38533</v>
      </c>
      <c r="C11377" s="188">
        <v>3.94</v>
      </c>
      <c r="D11377" s="104">
        <f t="shared" si="177"/>
        <v>3.9399999999999998E-2</v>
      </c>
      <c r="F11377" s="5"/>
    </row>
    <row r="11378" spans="2:6" ht="13.8" hidden="1" outlineLevel="1">
      <c r="B11378" s="187">
        <v>38534</v>
      </c>
      <c r="C11378" s="188">
        <v>4.0599999999999996</v>
      </c>
      <c r="D11378" s="104">
        <f t="shared" si="177"/>
        <v>4.0599999999999997E-2</v>
      </c>
      <c r="F11378" s="5"/>
    </row>
    <row r="11379" spans="2:6" ht="13.8" hidden="1" outlineLevel="1">
      <c r="B11379" s="187">
        <v>38537</v>
      </c>
      <c r="C11379" s="188" t="s">
        <v>380</v>
      </c>
      <c r="D11379" s="104">
        <f t="shared" si="177"/>
        <v>4.0599999999999997E-2</v>
      </c>
      <c r="F11379" s="5"/>
    </row>
    <row r="11380" spans="2:6" ht="13.8" hidden="1" outlineLevel="1">
      <c r="B11380" s="187">
        <v>38538</v>
      </c>
      <c r="C11380" s="188">
        <v>4.1100000000000003</v>
      </c>
      <c r="D11380" s="104">
        <f t="shared" si="177"/>
        <v>4.1100000000000005E-2</v>
      </c>
      <c r="F11380" s="5"/>
    </row>
    <row r="11381" spans="2:6" ht="13.8" hidden="1" outlineLevel="1">
      <c r="B11381" s="187">
        <v>38539</v>
      </c>
      <c r="C11381" s="188">
        <v>4.08</v>
      </c>
      <c r="D11381" s="104">
        <f t="shared" si="177"/>
        <v>4.0800000000000003E-2</v>
      </c>
      <c r="F11381" s="5"/>
    </row>
    <row r="11382" spans="2:6" ht="13.8" hidden="1" outlineLevel="1">
      <c r="B11382" s="187">
        <v>38540</v>
      </c>
      <c r="C11382" s="188">
        <v>4.05</v>
      </c>
      <c r="D11382" s="104">
        <f t="shared" si="177"/>
        <v>4.0500000000000001E-2</v>
      </c>
      <c r="F11382" s="5"/>
    </row>
    <row r="11383" spans="2:6" ht="13.8" hidden="1" outlineLevel="1">
      <c r="B11383" s="187">
        <v>38541</v>
      </c>
      <c r="C11383" s="188">
        <v>4.1100000000000003</v>
      </c>
      <c r="D11383" s="104">
        <f t="shared" si="177"/>
        <v>4.1100000000000005E-2</v>
      </c>
      <c r="F11383" s="5"/>
    </row>
    <row r="11384" spans="2:6" ht="13.8" hidden="1" outlineLevel="1">
      <c r="B11384" s="187">
        <v>38544</v>
      </c>
      <c r="C11384" s="188">
        <v>4.1100000000000003</v>
      </c>
      <c r="D11384" s="104">
        <f t="shared" si="177"/>
        <v>4.1100000000000005E-2</v>
      </c>
      <c r="F11384" s="5"/>
    </row>
    <row r="11385" spans="2:6" ht="13.8" hidden="1" outlineLevel="1">
      <c r="B11385" s="187">
        <v>38545</v>
      </c>
      <c r="C11385" s="188">
        <v>4.1500000000000004</v>
      </c>
      <c r="D11385" s="104">
        <f t="shared" si="177"/>
        <v>4.1500000000000002E-2</v>
      </c>
      <c r="F11385" s="5"/>
    </row>
    <row r="11386" spans="2:6" ht="13.8" hidden="1" outlineLevel="1">
      <c r="B11386" s="187">
        <v>38546</v>
      </c>
      <c r="C11386" s="188">
        <v>4.17</v>
      </c>
      <c r="D11386" s="104">
        <f t="shared" si="177"/>
        <v>4.1700000000000001E-2</v>
      </c>
      <c r="F11386" s="5"/>
    </row>
    <row r="11387" spans="2:6" ht="13.8" hidden="1" outlineLevel="1">
      <c r="B11387" s="187">
        <v>38547</v>
      </c>
      <c r="C11387" s="188">
        <v>4.1900000000000004</v>
      </c>
      <c r="D11387" s="104">
        <f t="shared" si="177"/>
        <v>4.1900000000000007E-2</v>
      </c>
      <c r="F11387" s="5"/>
    </row>
    <row r="11388" spans="2:6" ht="13.8" hidden="1" outlineLevel="1">
      <c r="B11388" s="187">
        <v>38548</v>
      </c>
      <c r="C11388" s="188">
        <v>4.18</v>
      </c>
      <c r="D11388" s="104">
        <f t="shared" si="177"/>
        <v>4.1799999999999997E-2</v>
      </c>
      <c r="F11388" s="5"/>
    </row>
    <row r="11389" spans="2:6" ht="13.8" hidden="1" outlineLevel="1">
      <c r="B11389" s="187">
        <v>38551</v>
      </c>
      <c r="C11389" s="188">
        <v>4.22</v>
      </c>
      <c r="D11389" s="104">
        <f t="shared" si="177"/>
        <v>4.2199999999999994E-2</v>
      </c>
      <c r="F11389" s="5"/>
    </row>
    <row r="11390" spans="2:6" ht="13.8" hidden="1" outlineLevel="1">
      <c r="B11390" s="187">
        <v>38552</v>
      </c>
      <c r="C11390" s="188">
        <v>4.2</v>
      </c>
      <c r="D11390" s="104">
        <f t="shared" si="177"/>
        <v>4.2000000000000003E-2</v>
      </c>
      <c r="F11390" s="5"/>
    </row>
    <row r="11391" spans="2:6" ht="13.8" hidden="1" outlineLevel="1">
      <c r="B11391" s="187">
        <v>38553</v>
      </c>
      <c r="C11391" s="188">
        <v>4.17</v>
      </c>
      <c r="D11391" s="104">
        <f t="shared" si="177"/>
        <v>4.1700000000000001E-2</v>
      </c>
      <c r="F11391" s="5"/>
    </row>
    <row r="11392" spans="2:6" ht="13.8" hidden="1" outlineLevel="1">
      <c r="B11392" s="187">
        <v>38554</v>
      </c>
      <c r="C11392" s="188">
        <v>4.28</v>
      </c>
      <c r="D11392" s="104">
        <f t="shared" si="177"/>
        <v>4.2800000000000005E-2</v>
      </c>
      <c r="F11392" s="5"/>
    </row>
    <row r="11393" spans="2:6" ht="13.8" hidden="1" outlineLevel="1">
      <c r="B11393" s="187">
        <v>38555</v>
      </c>
      <c r="C11393" s="188">
        <v>4.2300000000000004</v>
      </c>
      <c r="D11393" s="104">
        <f t="shared" si="177"/>
        <v>4.2300000000000004E-2</v>
      </c>
      <c r="F11393" s="5"/>
    </row>
    <row r="11394" spans="2:6" ht="13.8" hidden="1" outlineLevel="1">
      <c r="B11394" s="187">
        <v>38558</v>
      </c>
      <c r="C11394" s="188">
        <v>4.25</v>
      </c>
      <c r="D11394" s="104">
        <f t="shared" si="177"/>
        <v>4.2500000000000003E-2</v>
      </c>
      <c r="F11394" s="5"/>
    </row>
    <row r="11395" spans="2:6" ht="13.8" hidden="1" outlineLevel="1">
      <c r="B11395" s="187">
        <v>38559</v>
      </c>
      <c r="C11395" s="188">
        <v>4.24</v>
      </c>
      <c r="D11395" s="104">
        <f t="shared" si="177"/>
        <v>4.24E-2</v>
      </c>
      <c r="F11395" s="5"/>
    </row>
    <row r="11396" spans="2:6" ht="13.8" hidden="1" outlineLevel="1">
      <c r="B11396" s="187">
        <v>38560</v>
      </c>
      <c r="C11396" s="188">
        <v>4.2699999999999996</v>
      </c>
      <c r="D11396" s="104">
        <f t="shared" si="177"/>
        <v>4.2699999999999995E-2</v>
      </c>
      <c r="F11396" s="5"/>
    </row>
    <row r="11397" spans="2:6" ht="13.8" hidden="1" outlineLevel="1">
      <c r="B11397" s="187">
        <v>38561</v>
      </c>
      <c r="C11397" s="188">
        <v>4.2</v>
      </c>
      <c r="D11397" s="104">
        <f t="shared" si="177"/>
        <v>4.2000000000000003E-2</v>
      </c>
      <c r="F11397" s="5"/>
    </row>
    <row r="11398" spans="2:6" ht="13.8" hidden="1" outlineLevel="1">
      <c r="B11398" s="187">
        <v>38562</v>
      </c>
      <c r="C11398" s="188">
        <v>4.28</v>
      </c>
      <c r="D11398" s="104">
        <f t="shared" si="177"/>
        <v>4.2800000000000005E-2</v>
      </c>
      <c r="F11398" s="5"/>
    </row>
    <row r="11399" spans="2:6" ht="13.8" hidden="1" outlineLevel="1">
      <c r="B11399" s="187">
        <v>38565</v>
      </c>
      <c r="C11399" s="188">
        <v>4.32</v>
      </c>
      <c r="D11399" s="104">
        <f t="shared" si="177"/>
        <v>4.3200000000000002E-2</v>
      </c>
      <c r="F11399" s="5"/>
    </row>
    <row r="11400" spans="2:6" ht="13.8" hidden="1" outlineLevel="1">
      <c r="B11400" s="187">
        <v>38566</v>
      </c>
      <c r="C11400" s="188">
        <v>4.34</v>
      </c>
      <c r="D11400" s="104">
        <f t="shared" si="177"/>
        <v>4.3400000000000001E-2</v>
      </c>
      <c r="F11400" s="5"/>
    </row>
    <row r="11401" spans="2:6" ht="13.8" hidden="1" outlineLevel="1">
      <c r="B11401" s="187">
        <v>38567</v>
      </c>
      <c r="C11401" s="188">
        <v>4.3</v>
      </c>
      <c r="D11401" s="104">
        <f t="shared" si="177"/>
        <v>4.2999999999999997E-2</v>
      </c>
      <c r="F11401" s="5"/>
    </row>
    <row r="11402" spans="2:6" ht="13.8" hidden="1" outlineLevel="1">
      <c r="B11402" s="187">
        <v>38568</v>
      </c>
      <c r="C11402" s="188">
        <v>4.32</v>
      </c>
      <c r="D11402" s="104">
        <f t="shared" si="177"/>
        <v>4.3200000000000002E-2</v>
      </c>
      <c r="F11402" s="5"/>
    </row>
    <row r="11403" spans="2:6" ht="13.8" hidden="1" outlineLevel="1">
      <c r="B11403" s="187">
        <v>38569</v>
      </c>
      <c r="C11403" s="188">
        <v>4.4000000000000004</v>
      </c>
      <c r="D11403" s="104">
        <f t="shared" si="177"/>
        <v>4.4000000000000004E-2</v>
      </c>
      <c r="F11403" s="5"/>
    </row>
    <row r="11404" spans="2:6" ht="13.8" hidden="1" outlineLevel="1">
      <c r="B11404" s="187">
        <v>38572</v>
      </c>
      <c r="C11404" s="188">
        <v>4.42</v>
      </c>
      <c r="D11404" s="104">
        <f t="shared" si="177"/>
        <v>4.4199999999999996E-2</v>
      </c>
      <c r="F11404" s="5"/>
    </row>
    <row r="11405" spans="2:6" ht="13.8" hidden="1" outlineLevel="1">
      <c r="B11405" s="187">
        <v>38573</v>
      </c>
      <c r="C11405" s="188">
        <v>4.41</v>
      </c>
      <c r="D11405" s="104">
        <f t="shared" si="177"/>
        <v>4.41E-2</v>
      </c>
      <c r="F11405" s="5"/>
    </row>
    <row r="11406" spans="2:6" ht="13.8" hidden="1" outlineLevel="1">
      <c r="B11406" s="187">
        <v>38574</v>
      </c>
      <c r="C11406" s="188">
        <v>4.4000000000000004</v>
      </c>
      <c r="D11406" s="104">
        <f t="shared" si="177"/>
        <v>4.4000000000000004E-2</v>
      </c>
      <c r="F11406" s="5"/>
    </row>
    <row r="11407" spans="2:6" ht="13.8" hidden="1" outlineLevel="1">
      <c r="B11407" s="187">
        <v>38575</v>
      </c>
      <c r="C11407" s="188">
        <v>4.32</v>
      </c>
      <c r="D11407" s="104">
        <f t="shared" si="177"/>
        <v>4.3200000000000002E-2</v>
      </c>
      <c r="F11407" s="5"/>
    </row>
    <row r="11408" spans="2:6" ht="13.8" hidden="1" outlineLevel="1">
      <c r="B11408" s="187">
        <v>38576</v>
      </c>
      <c r="C11408" s="188">
        <v>4.24</v>
      </c>
      <c r="D11408" s="104">
        <f t="shared" si="177"/>
        <v>4.24E-2</v>
      </c>
      <c r="F11408" s="5"/>
    </row>
    <row r="11409" spans="2:6" ht="13.8" hidden="1" outlineLevel="1">
      <c r="B11409" s="187">
        <v>38579</v>
      </c>
      <c r="C11409" s="188">
        <v>4.2699999999999996</v>
      </c>
      <c r="D11409" s="104">
        <f t="shared" si="177"/>
        <v>4.2699999999999995E-2</v>
      </c>
      <c r="F11409" s="5"/>
    </row>
    <row r="11410" spans="2:6" ht="13.8" hidden="1" outlineLevel="1">
      <c r="B11410" s="187">
        <v>38580</v>
      </c>
      <c r="C11410" s="188">
        <v>4.2300000000000004</v>
      </c>
      <c r="D11410" s="104">
        <f t="shared" si="177"/>
        <v>4.2300000000000004E-2</v>
      </c>
      <c r="F11410" s="5"/>
    </row>
    <row r="11411" spans="2:6" ht="13.8" hidden="1" outlineLevel="1">
      <c r="B11411" s="187">
        <v>38581</v>
      </c>
      <c r="C11411" s="188">
        <v>4.28</v>
      </c>
      <c r="D11411" s="104">
        <f t="shared" si="177"/>
        <v>4.2800000000000005E-2</v>
      </c>
      <c r="F11411" s="5"/>
    </row>
    <row r="11412" spans="2:6" ht="13.8" hidden="1" outlineLevel="1">
      <c r="B11412" s="187">
        <v>38582</v>
      </c>
      <c r="C11412" s="188">
        <v>4.21</v>
      </c>
      <c r="D11412" s="104">
        <f t="shared" si="177"/>
        <v>4.2099999999999999E-2</v>
      </c>
      <c r="F11412" s="5"/>
    </row>
    <row r="11413" spans="2:6" ht="13.8" hidden="1" outlineLevel="1">
      <c r="B11413" s="187">
        <v>38583</v>
      </c>
      <c r="C11413" s="188">
        <v>4.21</v>
      </c>
      <c r="D11413" s="104">
        <f t="shared" si="177"/>
        <v>4.2099999999999999E-2</v>
      </c>
      <c r="F11413" s="5"/>
    </row>
    <row r="11414" spans="2:6" ht="13.8" hidden="1" outlineLevel="1">
      <c r="B11414" s="187">
        <v>38586</v>
      </c>
      <c r="C11414" s="188">
        <v>4.22</v>
      </c>
      <c r="D11414" s="104">
        <f t="shared" si="177"/>
        <v>4.2199999999999994E-2</v>
      </c>
      <c r="F11414" s="5"/>
    </row>
    <row r="11415" spans="2:6" ht="13.8" hidden="1" outlineLevel="1">
      <c r="B11415" s="187">
        <v>38587</v>
      </c>
      <c r="C11415" s="188">
        <v>4.2</v>
      </c>
      <c r="D11415" s="104">
        <f t="shared" si="177"/>
        <v>4.2000000000000003E-2</v>
      </c>
      <c r="F11415" s="5"/>
    </row>
    <row r="11416" spans="2:6" ht="13.8" hidden="1" outlineLevel="1">
      <c r="B11416" s="187">
        <v>38588</v>
      </c>
      <c r="C11416" s="188">
        <v>4.1900000000000004</v>
      </c>
      <c r="D11416" s="104">
        <f t="shared" si="177"/>
        <v>4.1900000000000007E-2</v>
      </c>
      <c r="F11416" s="5"/>
    </row>
    <row r="11417" spans="2:6" ht="13.8" hidden="1" outlineLevel="1">
      <c r="B11417" s="187">
        <v>38589</v>
      </c>
      <c r="C11417" s="188">
        <v>4.18</v>
      </c>
      <c r="D11417" s="104">
        <f t="shared" si="177"/>
        <v>4.1799999999999997E-2</v>
      </c>
      <c r="F11417" s="5"/>
    </row>
    <row r="11418" spans="2:6" ht="13.8" hidden="1" outlineLevel="1">
      <c r="B11418" s="187">
        <v>38590</v>
      </c>
      <c r="C11418" s="188">
        <v>4.2</v>
      </c>
      <c r="D11418" s="104">
        <f t="shared" si="177"/>
        <v>4.2000000000000003E-2</v>
      </c>
      <c r="F11418" s="5"/>
    </row>
    <row r="11419" spans="2:6" ht="13.8" hidden="1" outlineLevel="1">
      <c r="B11419" s="187">
        <v>38593</v>
      </c>
      <c r="C11419" s="188">
        <v>4.2</v>
      </c>
      <c r="D11419" s="104">
        <f t="shared" si="177"/>
        <v>4.2000000000000003E-2</v>
      </c>
      <c r="F11419" s="5"/>
    </row>
    <row r="11420" spans="2:6" ht="13.8" hidden="1" outlineLevel="1">
      <c r="B11420" s="187">
        <v>38594</v>
      </c>
      <c r="C11420" s="188">
        <v>4.16</v>
      </c>
      <c r="D11420" s="104">
        <f t="shared" si="177"/>
        <v>4.1599999999999998E-2</v>
      </c>
      <c r="F11420" s="5"/>
    </row>
    <row r="11421" spans="2:6" ht="13.8" hidden="1" outlineLevel="1">
      <c r="B11421" s="187">
        <v>38595</v>
      </c>
      <c r="C11421" s="188">
        <v>4.0199999999999996</v>
      </c>
      <c r="D11421" s="104">
        <f t="shared" si="177"/>
        <v>4.0199999999999993E-2</v>
      </c>
      <c r="F11421" s="5"/>
    </row>
    <row r="11422" spans="2:6" ht="13.8" hidden="1" outlineLevel="1">
      <c r="B11422" s="187">
        <v>38596</v>
      </c>
      <c r="C11422" s="188">
        <v>4.0199999999999996</v>
      </c>
      <c r="D11422" s="104">
        <f t="shared" ref="D11422:D11485" si="178">IF( LEN( C11422 ) = 0, #N/A, IF( C11422 = "ND", D11421, C11422 / 100 ) )</f>
        <v>4.0199999999999993E-2</v>
      </c>
      <c r="F11422" s="5"/>
    </row>
    <row r="11423" spans="2:6" ht="13.8" hidden="1" outlineLevel="1">
      <c r="B11423" s="187">
        <v>38597</v>
      </c>
      <c r="C11423" s="188">
        <v>4.03</v>
      </c>
      <c r="D11423" s="104">
        <f t="shared" si="178"/>
        <v>4.0300000000000002E-2</v>
      </c>
      <c r="F11423" s="5"/>
    </row>
    <row r="11424" spans="2:6" ht="13.8" hidden="1" outlineLevel="1">
      <c r="B11424" s="187">
        <v>38600</v>
      </c>
      <c r="C11424" s="188" t="s">
        <v>380</v>
      </c>
      <c r="D11424" s="104">
        <f t="shared" si="178"/>
        <v>4.0300000000000002E-2</v>
      </c>
      <c r="F11424" s="5"/>
    </row>
    <row r="11425" spans="2:6" ht="13.8" hidden="1" outlineLevel="1">
      <c r="B11425" s="187">
        <v>38601</v>
      </c>
      <c r="C11425" s="188">
        <v>4.09</v>
      </c>
      <c r="D11425" s="104">
        <f t="shared" si="178"/>
        <v>4.0899999999999999E-2</v>
      </c>
      <c r="F11425" s="5"/>
    </row>
    <row r="11426" spans="2:6" ht="13.8" hidden="1" outlineLevel="1">
      <c r="B11426" s="187">
        <v>38602</v>
      </c>
      <c r="C11426" s="188">
        <v>4.1500000000000004</v>
      </c>
      <c r="D11426" s="104">
        <f t="shared" si="178"/>
        <v>4.1500000000000002E-2</v>
      </c>
      <c r="F11426" s="5"/>
    </row>
    <row r="11427" spans="2:6" ht="13.8" hidden="1" outlineLevel="1">
      <c r="B11427" s="187">
        <v>38603</v>
      </c>
      <c r="C11427" s="188">
        <v>4.1500000000000004</v>
      </c>
      <c r="D11427" s="104">
        <f t="shared" si="178"/>
        <v>4.1500000000000002E-2</v>
      </c>
      <c r="F11427" s="5"/>
    </row>
    <row r="11428" spans="2:6" ht="13.8" hidden="1" outlineLevel="1">
      <c r="B11428" s="187">
        <v>38604</v>
      </c>
      <c r="C11428" s="188">
        <v>4.1399999999999997</v>
      </c>
      <c r="D11428" s="104">
        <f t="shared" si="178"/>
        <v>4.1399999999999999E-2</v>
      </c>
      <c r="F11428" s="5"/>
    </row>
    <row r="11429" spans="2:6" ht="13.8" hidden="1" outlineLevel="1">
      <c r="B11429" s="187">
        <v>38607</v>
      </c>
      <c r="C11429" s="188">
        <v>4.18</v>
      </c>
      <c r="D11429" s="104">
        <f t="shared" si="178"/>
        <v>4.1799999999999997E-2</v>
      </c>
      <c r="F11429" s="5"/>
    </row>
    <row r="11430" spans="2:6" ht="13.8" hidden="1" outlineLevel="1">
      <c r="B11430" s="187">
        <v>38608</v>
      </c>
      <c r="C11430" s="188">
        <v>4.1399999999999997</v>
      </c>
      <c r="D11430" s="104">
        <f t="shared" si="178"/>
        <v>4.1399999999999999E-2</v>
      </c>
      <c r="F11430" s="5"/>
    </row>
    <row r="11431" spans="2:6" ht="13.8" hidden="1" outlineLevel="1">
      <c r="B11431" s="187">
        <v>38609</v>
      </c>
      <c r="C11431" s="188">
        <v>4.17</v>
      </c>
      <c r="D11431" s="104">
        <f t="shared" si="178"/>
        <v>4.1700000000000001E-2</v>
      </c>
      <c r="F11431" s="5"/>
    </row>
    <row r="11432" spans="2:6" ht="13.8" hidden="1" outlineLevel="1">
      <c r="B11432" s="187">
        <v>38610</v>
      </c>
      <c r="C11432" s="188">
        <v>4.22</v>
      </c>
      <c r="D11432" s="104">
        <f t="shared" si="178"/>
        <v>4.2199999999999994E-2</v>
      </c>
      <c r="F11432" s="5"/>
    </row>
    <row r="11433" spans="2:6" ht="13.8" hidden="1" outlineLevel="1">
      <c r="B11433" s="187">
        <v>38611</v>
      </c>
      <c r="C11433" s="188">
        <v>4.26</v>
      </c>
      <c r="D11433" s="104">
        <f t="shared" si="178"/>
        <v>4.2599999999999999E-2</v>
      </c>
      <c r="F11433" s="5"/>
    </row>
    <row r="11434" spans="2:6" ht="13.8" hidden="1" outlineLevel="1">
      <c r="B11434" s="187">
        <v>38614</v>
      </c>
      <c r="C11434" s="188">
        <v>4.25</v>
      </c>
      <c r="D11434" s="104">
        <f t="shared" si="178"/>
        <v>4.2500000000000003E-2</v>
      </c>
      <c r="F11434" s="5"/>
    </row>
    <row r="11435" spans="2:6" ht="13.8" hidden="1" outlineLevel="1">
      <c r="B11435" s="187">
        <v>38615</v>
      </c>
      <c r="C11435" s="188">
        <v>4.26</v>
      </c>
      <c r="D11435" s="104">
        <f t="shared" si="178"/>
        <v>4.2599999999999999E-2</v>
      </c>
      <c r="F11435" s="5"/>
    </row>
    <row r="11436" spans="2:6" ht="13.8" hidden="1" outlineLevel="1">
      <c r="B11436" s="187">
        <v>38616</v>
      </c>
      <c r="C11436" s="188">
        <v>4.1900000000000004</v>
      </c>
      <c r="D11436" s="104">
        <f t="shared" si="178"/>
        <v>4.1900000000000007E-2</v>
      </c>
      <c r="F11436" s="5"/>
    </row>
    <row r="11437" spans="2:6" ht="13.8" hidden="1" outlineLevel="1">
      <c r="B11437" s="187">
        <v>38617</v>
      </c>
      <c r="C11437" s="188">
        <v>4.1900000000000004</v>
      </c>
      <c r="D11437" s="104">
        <f t="shared" si="178"/>
        <v>4.1900000000000007E-2</v>
      </c>
      <c r="F11437" s="5"/>
    </row>
    <row r="11438" spans="2:6" ht="13.8" hidden="1" outlineLevel="1">
      <c r="B11438" s="187">
        <v>38618</v>
      </c>
      <c r="C11438" s="188">
        <v>4.25</v>
      </c>
      <c r="D11438" s="104">
        <f t="shared" si="178"/>
        <v>4.2500000000000003E-2</v>
      </c>
      <c r="F11438" s="5"/>
    </row>
    <row r="11439" spans="2:6" ht="13.8" hidden="1" outlineLevel="1">
      <c r="B11439" s="187">
        <v>38621</v>
      </c>
      <c r="C11439" s="188">
        <v>4.3</v>
      </c>
      <c r="D11439" s="104">
        <f t="shared" si="178"/>
        <v>4.2999999999999997E-2</v>
      </c>
      <c r="F11439" s="5"/>
    </row>
    <row r="11440" spans="2:6" ht="13.8" hidden="1" outlineLevel="1">
      <c r="B11440" s="187">
        <v>38622</v>
      </c>
      <c r="C11440" s="188">
        <v>4.3</v>
      </c>
      <c r="D11440" s="104">
        <f t="shared" si="178"/>
        <v>4.2999999999999997E-2</v>
      </c>
      <c r="F11440" s="5"/>
    </row>
    <row r="11441" spans="2:6" ht="13.8" hidden="1" outlineLevel="1">
      <c r="B11441" s="187">
        <v>38623</v>
      </c>
      <c r="C11441" s="188">
        <v>4.26</v>
      </c>
      <c r="D11441" s="104">
        <f t="shared" si="178"/>
        <v>4.2599999999999999E-2</v>
      </c>
      <c r="F11441" s="5"/>
    </row>
    <row r="11442" spans="2:6" ht="13.8" hidden="1" outlineLevel="1">
      <c r="B11442" s="187">
        <v>38624</v>
      </c>
      <c r="C11442" s="188">
        <v>4.29</v>
      </c>
      <c r="D11442" s="104">
        <f t="shared" si="178"/>
        <v>4.2900000000000001E-2</v>
      </c>
      <c r="F11442" s="5"/>
    </row>
    <row r="11443" spans="2:6" ht="13.8" hidden="1" outlineLevel="1">
      <c r="B11443" s="187">
        <v>38625</v>
      </c>
      <c r="C11443" s="188">
        <v>4.34</v>
      </c>
      <c r="D11443" s="104">
        <f t="shared" si="178"/>
        <v>4.3400000000000001E-2</v>
      </c>
      <c r="F11443" s="5"/>
    </row>
    <row r="11444" spans="2:6" ht="13.8" hidden="1" outlineLevel="1">
      <c r="B11444" s="187">
        <v>38628</v>
      </c>
      <c r="C11444" s="188">
        <v>4.3899999999999997</v>
      </c>
      <c r="D11444" s="104">
        <f t="shared" si="178"/>
        <v>4.3899999999999995E-2</v>
      </c>
      <c r="F11444" s="5"/>
    </row>
    <row r="11445" spans="2:6" ht="13.8" hidden="1" outlineLevel="1">
      <c r="B11445" s="187">
        <v>38629</v>
      </c>
      <c r="C11445" s="188">
        <v>4.38</v>
      </c>
      <c r="D11445" s="104">
        <f t="shared" si="178"/>
        <v>4.3799999999999999E-2</v>
      </c>
      <c r="F11445" s="5"/>
    </row>
    <row r="11446" spans="2:6" ht="13.8" hidden="1" outlineLevel="1">
      <c r="B11446" s="187">
        <v>38630</v>
      </c>
      <c r="C11446" s="188">
        <v>4.3600000000000003</v>
      </c>
      <c r="D11446" s="104">
        <f t="shared" si="178"/>
        <v>4.36E-2</v>
      </c>
      <c r="F11446" s="5"/>
    </row>
    <row r="11447" spans="2:6" ht="13.8" hidden="1" outlineLevel="1">
      <c r="B11447" s="187">
        <v>38631</v>
      </c>
      <c r="C11447" s="188">
        <v>4.37</v>
      </c>
      <c r="D11447" s="104">
        <f t="shared" si="178"/>
        <v>4.3700000000000003E-2</v>
      </c>
      <c r="F11447" s="5"/>
    </row>
    <row r="11448" spans="2:6" ht="13.8" hidden="1" outlineLevel="1">
      <c r="B11448" s="187">
        <v>38632</v>
      </c>
      <c r="C11448" s="188">
        <v>4.3499999999999996</v>
      </c>
      <c r="D11448" s="104">
        <f t="shared" si="178"/>
        <v>4.3499999999999997E-2</v>
      </c>
      <c r="F11448" s="5"/>
    </row>
    <row r="11449" spans="2:6" ht="13.8" hidden="1" outlineLevel="1">
      <c r="B11449" s="187">
        <v>38635</v>
      </c>
      <c r="C11449" s="188" t="s">
        <v>380</v>
      </c>
      <c r="D11449" s="104">
        <f t="shared" si="178"/>
        <v>4.3499999999999997E-2</v>
      </c>
      <c r="F11449" s="5"/>
    </row>
    <row r="11450" spans="2:6" ht="13.8" hidden="1" outlineLevel="1">
      <c r="B11450" s="187">
        <v>38636</v>
      </c>
      <c r="C11450" s="188">
        <v>4.3899999999999997</v>
      </c>
      <c r="D11450" s="104">
        <f t="shared" si="178"/>
        <v>4.3899999999999995E-2</v>
      </c>
      <c r="F11450" s="5"/>
    </row>
    <row r="11451" spans="2:6" ht="13.8" hidden="1" outlineLevel="1">
      <c r="B11451" s="187">
        <v>38637</v>
      </c>
      <c r="C11451" s="188">
        <v>4.45</v>
      </c>
      <c r="D11451" s="104">
        <f t="shared" si="178"/>
        <v>4.4500000000000005E-2</v>
      </c>
      <c r="F11451" s="5"/>
    </row>
    <row r="11452" spans="2:6" ht="13.8" hidden="1" outlineLevel="1">
      <c r="B11452" s="187">
        <v>38638</v>
      </c>
      <c r="C11452" s="188">
        <v>4.4800000000000004</v>
      </c>
      <c r="D11452" s="104">
        <f t="shared" si="178"/>
        <v>4.4800000000000006E-2</v>
      </c>
      <c r="F11452" s="5"/>
    </row>
    <row r="11453" spans="2:6" ht="13.8" hidden="1" outlineLevel="1">
      <c r="B11453" s="187">
        <v>38639</v>
      </c>
      <c r="C11453" s="188">
        <v>4.4800000000000004</v>
      </c>
      <c r="D11453" s="104">
        <f t="shared" si="178"/>
        <v>4.4800000000000006E-2</v>
      </c>
      <c r="F11453" s="5"/>
    </row>
    <row r="11454" spans="2:6" ht="13.8" hidden="1" outlineLevel="1">
      <c r="B11454" s="187">
        <v>38642</v>
      </c>
      <c r="C11454" s="188">
        <v>4.5</v>
      </c>
      <c r="D11454" s="104">
        <f t="shared" si="178"/>
        <v>4.4999999999999998E-2</v>
      </c>
      <c r="F11454" s="5"/>
    </row>
    <row r="11455" spans="2:6" ht="13.8" hidden="1" outlineLevel="1">
      <c r="B11455" s="187">
        <v>38643</v>
      </c>
      <c r="C11455" s="188">
        <v>4.49</v>
      </c>
      <c r="D11455" s="104">
        <f t="shared" si="178"/>
        <v>4.4900000000000002E-2</v>
      </c>
      <c r="F11455" s="5"/>
    </row>
    <row r="11456" spans="2:6" ht="13.8" hidden="1" outlineLevel="1">
      <c r="B11456" s="187">
        <v>38644</v>
      </c>
      <c r="C11456" s="188">
        <v>4.47</v>
      </c>
      <c r="D11456" s="104">
        <f t="shared" si="178"/>
        <v>4.4699999999999997E-2</v>
      </c>
      <c r="F11456" s="5"/>
    </row>
    <row r="11457" spans="2:6" ht="13.8" hidden="1" outlineLevel="1">
      <c r="B11457" s="187">
        <v>38645</v>
      </c>
      <c r="C11457" s="188">
        <v>4.46</v>
      </c>
      <c r="D11457" s="104">
        <f t="shared" si="178"/>
        <v>4.4600000000000001E-2</v>
      </c>
      <c r="F11457" s="5"/>
    </row>
    <row r="11458" spans="2:6" ht="13.8" hidden="1" outlineLevel="1">
      <c r="B11458" s="187">
        <v>38646</v>
      </c>
      <c r="C11458" s="188">
        <v>4.3899999999999997</v>
      </c>
      <c r="D11458" s="104">
        <f t="shared" si="178"/>
        <v>4.3899999999999995E-2</v>
      </c>
      <c r="F11458" s="5"/>
    </row>
    <row r="11459" spans="2:6" ht="13.8" hidden="1" outlineLevel="1">
      <c r="B11459" s="187">
        <v>38649</v>
      </c>
      <c r="C11459" s="188">
        <v>4.45</v>
      </c>
      <c r="D11459" s="104">
        <f t="shared" si="178"/>
        <v>4.4500000000000005E-2</v>
      </c>
      <c r="F11459" s="5"/>
    </row>
    <row r="11460" spans="2:6" ht="13.8" hidden="1" outlineLevel="1">
      <c r="B11460" s="187">
        <v>38650</v>
      </c>
      <c r="C11460" s="188">
        <v>4.54</v>
      </c>
      <c r="D11460" s="104">
        <f t="shared" si="178"/>
        <v>4.5400000000000003E-2</v>
      </c>
      <c r="F11460" s="5"/>
    </row>
    <row r="11461" spans="2:6" ht="13.8" hidden="1" outlineLevel="1">
      <c r="B11461" s="187">
        <v>38651</v>
      </c>
      <c r="C11461" s="188">
        <v>4.5999999999999996</v>
      </c>
      <c r="D11461" s="104">
        <f t="shared" si="178"/>
        <v>4.5999999999999999E-2</v>
      </c>
      <c r="F11461" s="5"/>
    </row>
    <row r="11462" spans="2:6" ht="13.8" hidden="1" outlineLevel="1">
      <c r="B11462" s="187">
        <v>38652</v>
      </c>
      <c r="C11462" s="188">
        <v>4.57</v>
      </c>
      <c r="D11462" s="104">
        <f t="shared" si="178"/>
        <v>4.5700000000000005E-2</v>
      </c>
      <c r="F11462" s="5"/>
    </row>
    <row r="11463" spans="2:6" ht="13.8" hidden="1" outlineLevel="1">
      <c r="B11463" s="187">
        <v>38653</v>
      </c>
      <c r="C11463" s="188">
        <v>4.58</v>
      </c>
      <c r="D11463" s="104">
        <f t="shared" si="178"/>
        <v>4.58E-2</v>
      </c>
      <c r="F11463" s="5"/>
    </row>
    <row r="11464" spans="2:6" ht="13.8" hidden="1" outlineLevel="1">
      <c r="B11464" s="187">
        <v>38656</v>
      </c>
      <c r="C11464" s="188">
        <v>4.57</v>
      </c>
      <c r="D11464" s="104">
        <f t="shared" si="178"/>
        <v>4.5700000000000005E-2</v>
      </c>
      <c r="F11464" s="5"/>
    </row>
    <row r="11465" spans="2:6" ht="13.8" hidden="1" outlineLevel="1">
      <c r="B11465" s="187">
        <v>38657</v>
      </c>
      <c r="C11465" s="188">
        <v>4.58</v>
      </c>
      <c r="D11465" s="104">
        <f t="shared" si="178"/>
        <v>4.58E-2</v>
      </c>
      <c r="F11465" s="5"/>
    </row>
    <row r="11466" spans="2:6" ht="13.8" hidden="1" outlineLevel="1">
      <c r="B11466" s="187">
        <v>38658</v>
      </c>
      <c r="C11466" s="188">
        <v>4.6100000000000003</v>
      </c>
      <c r="D11466" s="104">
        <f t="shared" si="178"/>
        <v>4.6100000000000002E-2</v>
      </c>
      <c r="F11466" s="5"/>
    </row>
    <row r="11467" spans="2:6" ht="13.8" hidden="1" outlineLevel="1">
      <c r="B11467" s="187">
        <v>38659</v>
      </c>
      <c r="C11467" s="188">
        <v>4.6500000000000004</v>
      </c>
      <c r="D11467" s="104">
        <f t="shared" si="178"/>
        <v>4.6500000000000007E-2</v>
      </c>
      <c r="F11467" s="5"/>
    </row>
    <row r="11468" spans="2:6" ht="13.8" hidden="1" outlineLevel="1">
      <c r="B11468" s="187">
        <v>38660</v>
      </c>
      <c r="C11468" s="188">
        <v>4.66</v>
      </c>
      <c r="D11468" s="104">
        <f t="shared" si="178"/>
        <v>4.6600000000000003E-2</v>
      </c>
      <c r="F11468" s="5"/>
    </row>
    <row r="11469" spans="2:6" ht="13.8" hidden="1" outlineLevel="1">
      <c r="B11469" s="187">
        <v>38663</v>
      </c>
      <c r="C11469" s="188">
        <v>4.6500000000000004</v>
      </c>
      <c r="D11469" s="104">
        <f t="shared" si="178"/>
        <v>4.6500000000000007E-2</v>
      </c>
      <c r="F11469" s="5"/>
    </row>
    <row r="11470" spans="2:6" ht="13.8" hidden="1" outlineLevel="1">
      <c r="B11470" s="187">
        <v>38664</v>
      </c>
      <c r="C11470" s="188">
        <v>4.57</v>
      </c>
      <c r="D11470" s="104">
        <f t="shared" si="178"/>
        <v>4.5700000000000005E-2</v>
      </c>
      <c r="F11470" s="5"/>
    </row>
    <row r="11471" spans="2:6" ht="13.8" hidden="1" outlineLevel="1">
      <c r="B11471" s="187">
        <v>38665</v>
      </c>
      <c r="C11471" s="188">
        <v>4.6399999999999997</v>
      </c>
      <c r="D11471" s="104">
        <f t="shared" si="178"/>
        <v>4.6399999999999997E-2</v>
      </c>
      <c r="F11471" s="5"/>
    </row>
    <row r="11472" spans="2:6" ht="13.8" hidden="1" outlineLevel="1">
      <c r="B11472" s="187">
        <v>38666</v>
      </c>
      <c r="C11472" s="188">
        <v>4.55</v>
      </c>
      <c r="D11472" s="104">
        <f t="shared" si="178"/>
        <v>4.5499999999999999E-2</v>
      </c>
      <c r="F11472" s="5"/>
    </row>
    <row r="11473" spans="2:6" ht="13.8" hidden="1" outlineLevel="1">
      <c r="B11473" s="187">
        <v>38667</v>
      </c>
      <c r="C11473" s="188" t="s">
        <v>380</v>
      </c>
      <c r="D11473" s="104">
        <f t="shared" si="178"/>
        <v>4.5499999999999999E-2</v>
      </c>
      <c r="F11473" s="5"/>
    </row>
    <row r="11474" spans="2:6" ht="13.8" hidden="1" outlineLevel="1">
      <c r="B11474" s="187">
        <v>38670</v>
      </c>
      <c r="C11474" s="188">
        <v>4.6100000000000003</v>
      </c>
      <c r="D11474" s="104">
        <f t="shared" si="178"/>
        <v>4.6100000000000002E-2</v>
      </c>
      <c r="F11474" s="5"/>
    </row>
    <row r="11475" spans="2:6" ht="13.8" hidden="1" outlineLevel="1">
      <c r="B11475" s="187">
        <v>38671</v>
      </c>
      <c r="C11475" s="188">
        <v>4.5599999999999996</v>
      </c>
      <c r="D11475" s="104">
        <f t="shared" si="178"/>
        <v>4.5599999999999995E-2</v>
      </c>
      <c r="F11475" s="5"/>
    </row>
    <row r="11476" spans="2:6" ht="13.8" hidden="1" outlineLevel="1">
      <c r="B11476" s="187">
        <v>38672</v>
      </c>
      <c r="C11476" s="188">
        <v>4.49</v>
      </c>
      <c r="D11476" s="104">
        <f t="shared" si="178"/>
        <v>4.4900000000000002E-2</v>
      </c>
      <c r="F11476" s="5"/>
    </row>
    <row r="11477" spans="2:6" ht="13.8" hidden="1" outlineLevel="1">
      <c r="B11477" s="187">
        <v>38673</v>
      </c>
      <c r="C11477" s="188">
        <v>4.46</v>
      </c>
      <c r="D11477" s="104">
        <f t="shared" si="178"/>
        <v>4.4600000000000001E-2</v>
      </c>
      <c r="F11477" s="5"/>
    </row>
    <row r="11478" spans="2:6" ht="13.8" hidden="1" outlineLevel="1">
      <c r="B11478" s="187">
        <v>38674</v>
      </c>
      <c r="C11478" s="188">
        <v>4.5</v>
      </c>
      <c r="D11478" s="104">
        <f t="shared" si="178"/>
        <v>4.4999999999999998E-2</v>
      </c>
      <c r="F11478" s="5"/>
    </row>
    <row r="11479" spans="2:6" ht="13.8" hidden="1" outlineLevel="1">
      <c r="B11479" s="187">
        <v>38677</v>
      </c>
      <c r="C11479" s="188">
        <v>4.46</v>
      </c>
      <c r="D11479" s="104">
        <f t="shared" si="178"/>
        <v>4.4600000000000001E-2</v>
      </c>
      <c r="F11479" s="5"/>
    </row>
    <row r="11480" spans="2:6" ht="13.8" hidden="1" outlineLevel="1">
      <c r="B11480" s="187">
        <v>38678</v>
      </c>
      <c r="C11480" s="188">
        <v>4.43</v>
      </c>
      <c r="D11480" s="104">
        <f t="shared" si="178"/>
        <v>4.4299999999999999E-2</v>
      </c>
      <c r="F11480" s="5"/>
    </row>
    <row r="11481" spans="2:6" ht="13.8" hidden="1" outlineLevel="1">
      <c r="B11481" s="187">
        <v>38679</v>
      </c>
      <c r="C11481" s="188">
        <v>4.47</v>
      </c>
      <c r="D11481" s="104">
        <f t="shared" si="178"/>
        <v>4.4699999999999997E-2</v>
      </c>
      <c r="F11481" s="5"/>
    </row>
    <row r="11482" spans="2:6" ht="13.8" hidden="1" outlineLevel="1">
      <c r="B11482" s="187">
        <v>38680</v>
      </c>
      <c r="C11482" s="188" t="s">
        <v>380</v>
      </c>
      <c r="D11482" s="104">
        <f t="shared" si="178"/>
        <v>4.4699999999999997E-2</v>
      </c>
      <c r="F11482" s="5"/>
    </row>
    <row r="11483" spans="2:6" ht="13.8" hidden="1" outlineLevel="1">
      <c r="B11483" s="187">
        <v>38681</v>
      </c>
      <c r="C11483" s="188">
        <v>4.43</v>
      </c>
      <c r="D11483" s="104">
        <f t="shared" si="178"/>
        <v>4.4299999999999999E-2</v>
      </c>
      <c r="F11483" s="5"/>
    </row>
    <row r="11484" spans="2:6" ht="13.8" hidden="1" outlineLevel="1">
      <c r="B11484" s="187">
        <v>38684</v>
      </c>
      <c r="C11484" s="188">
        <v>4.41</v>
      </c>
      <c r="D11484" s="104">
        <f t="shared" si="178"/>
        <v>4.41E-2</v>
      </c>
      <c r="F11484" s="5"/>
    </row>
    <row r="11485" spans="2:6" ht="13.8" hidden="1" outlineLevel="1">
      <c r="B11485" s="187">
        <v>38685</v>
      </c>
      <c r="C11485" s="188">
        <v>4.4800000000000004</v>
      </c>
      <c r="D11485" s="104">
        <f t="shared" si="178"/>
        <v>4.4800000000000006E-2</v>
      </c>
      <c r="F11485" s="5"/>
    </row>
    <row r="11486" spans="2:6" ht="13.8" hidden="1" outlineLevel="1">
      <c r="B11486" s="187">
        <v>38686</v>
      </c>
      <c r="C11486" s="188">
        <v>4.49</v>
      </c>
      <c r="D11486" s="104">
        <f t="shared" ref="D11486:D11549" si="179">IF( LEN( C11486 ) = 0, #N/A, IF( C11486 = "ND", D11485, C11486 / 100 ) )</f>
        <v>4.4900000000000002E-2</v>
      </c>
      <c r="F11486" s="5"/>
    </row>
    <row r="11487" spans="2:6" ht="13.8" hidden="1" outlineLevel="1">
      <c r="B11487" s="187">
        <v>38687</v>
      </c>
      <c r="C11487" s="188">
        <v>4.5199999999999996</v>
      </c>
      <c r="D11487" s="104">
        <f t="shared" si="179"/>
        <v>4.5199999999999997E-2</v>
      </c>
      <c r="F11487" s="5"/>
    </row>
    <row r="11488" spans="2:6" ht="13.8" hidden="1" outlineLevel="1">
      <c r="B11488" s="187">
        <v>38688</v>
      </c>
      <c r="C11488" s="188">
        <v>4.5199999999999996</v>
      </c>
      <c r="D11488" s="104">
        <f t="shared" si="179"/>
        <v>4.5199999999999997E-2</v>
      </c>
      <c r="F11488" s="5"/>
    </row>
    <row r="11489" spans="2:6" ht="13.8" hidden="1" outlineLevel="1">
      <c r="B11489" s="187">
        <v>38691</v>
      </c>
      <c r="C11489" s="188">
        <v>4.57</v>
      </c>
      <c r="D11489" s="104">
        <f t="shared" si="179"/>
        <v>4.5700000000000005E-2</v>
      </c>
      <c r="F11489" s="5"/>
    </row>
    <row r="11490" spans="2:6" ht="13.8" hidden="1" outlineLevel="1">
      <c r="B11490" s="187">
        <v>38692</v>
      </c>
      <c r="C11490" s="188">
        <v>4.49</v>
      </c>
      <c r="D11490" s="104">
        <f t="shared" si="179"/>
        <v>4.4900000000000002E-2</v>
      </c>
      <c r="F11490" s="5"/>
    </row>
    <row r="11491" spans="2:6" ht="13.8" hidden="1" outlineLevel="1">
      <c r="B11491" s="187">
        <v>38693</v>
      </c>
      <c r="C11491" s="188">
        <v>4.5199999999999996</v>
      </c>
      <c r="D11491" s="104">
        <f t="shared" si="179"/>
        <v>4.5199999999999997E-2</v>
      </c>
      <c r="F11491" s="5"/>
    </row>
    <row r="11492" spans="2:6" ht="13.8" hidden="1" outlineLevel="1">
      <c r="B11492" s="187">
        <v>38694</v>
      </c>
      <c r="C11492" s="188">
        <v>4.47</v>
      </c>
      <c r="D11492" s="104">
        <f t="shared" si="179"/>
        <v>4.4699999999999997E-2</v>
      </c>
      <c r="F11492" s="5"/>
    </row>
    <row r="11493" spans="2:6" ht="13.8" hidden="1" outlineLevel="1">
      <c r="B11493" s="187">
        <v>38695</v>
      </c>
      <c r="C11493" s="188">
        <v>4.54</v>
      </c>
      <c r="D11493" s="104">
        <f t="shared" si="179"/>
        <v>4.5400000000000003E-2</v>
      </c>
      <c r="F11493" s="5"/>
    </row>
    <row r="11494" spans="2:6" ht="13.8" hidden="1" outlineLevel="1">
      <c r="B11494" s="187">
        <v>38698</v>
      </c>
      <c r="C11494" s="188">
        <v>4.5599999999999996</v>
      </c>
      <c r="D11494" s="104">
        <f t="shared" si="179"/>
        <v>4.5599999999999995E-2</v>
      </c>
      <c r="F11494" s="5"/>
    </row>
    <row r="11495" spans="2:6" ht="13.8" hidden="1" outlineLevel="1">
      <c r="B11495" s="187">
        <v>38699</v>
      </c>
      <c r="C11495" s="188">
        <v>4.54</v>
      </c>
      <c r="D11495" s="104">
        <f t="shared" si="179"/>
        <v>4.5400000000000003E-2</v>
      </c>
      <c r="F11495" s="5"/>
    </row>
    <row r="11496" spans="2:6" ht="13.8" hidden="1" outlineLevel="1">
      <c r="B11496" s="187">
        <v>38700</v>
      </c>
      <c r="C11496" s="188">
        <v>4.45</v>
      </c>
      <c r="D11496" s="104">
        <f t="shared" si="179"/>
        <v>4.4500000000000005E-2</v>
      </c>
      <c r="F11496" s="5"/>
    </row>
    <row r="11497" spans="2:6" ht="13.8" hidden="1" outlineLevel="1">
      <c r="B11497" s="187">
        <v>38701</v>
      </c>
      <c r="C11497" s="188">
        <v>4.47</v>
      </c>
      <c r="D11497" s="104">
        <f t="shared" si="179"/>
        <v>4.4699999999999997E-2</v>
      </c>
      <c r="F11497" s="5"/>
    </row>
    <row r="11498" spans="2:6" ht="13.8" hidden="1" outlineLevel="1">
      <c r="B11498" s="187">
        <v>38702</v>
      </c>
      <c r="C11498" s="188">
        <v>4.45</v>
      </c>
      <c r="D11498" s="104">
        <f t="shared" si="179"/>
        <v>4.4500000000000005E-2</v>
      </c>
      <c r="F11498" s="5"/>
    </row>
    <row r="11499" spans="2:6" ht="13.8" hidden="1" outlineLevel="1">
      <c r="B11499" s="187">
        <v>38705</v>
      </c>
      <c r="C11499" s="188">
        <v>4.45</v>
      </c>
      <c r="D11499" s="104">
        <f t="shared" si="179"/>
        <v>4.4500000000000005E-2</v>
      </c>
      <c r="F11499" s="5"/>
    </row>
    <row r="11500" spans="2:6" ht="13.8" hidden="1" outlineLevel="1">
      <c r="B11500" s="187">
        <v>38706</v>
      </c>
      <c r="C11500" s="188">
        <v>4.47</v>
      </c>
      <c r="D11500" s="104">
        <f t="shared" si="179"/>
        <v>4.4699999999999997E-2</v>
      </c>
      <c r="F11500" s="5"/>
    </row>
    <row r="11501" spans="2:6" ht="13.8" hidden="1" outlineLevel="1">
      <c r="B11501" s="187">
        <v>38707</v>
      </c>
      <c r="C11501" s="188">
        <v>4.49</v>
      </c>
      <c r="D11501" s="104">
        <f t="shared" si="179"/>
        <v>4.4900000000000002E-2</v>
      </c>
      <c r="F11501" s="5"/>
    </row>
    <row r="11502" spans="2:6" ht="13.8" hidden="1" outlineLevel="1">
      <c r="B11502" s="187">
        <v>38708</v>
      </c>
      <c r="C11502" s="188">
        <v>4.4400000000000004</v>
      </c>
      <c r="D11502" s="104">
        <f t="shared" si="179"/>
        <v>4.4400000000000002E-2</v>
      </c>
      <c r="F11502" s="5"/>
    </row>
    <row r="11503" spans="2:6" ht="13.8" hidden="1" outlineLevel="1">
      <c r="B11503" s="187">
        <v>38709</v>
      </c>
      <c r="C11503" s="188">
        <v>4.38</v>
      </c>
      <c r="D11503" s="104">
        <f t="shared" si="179"/>
        <v>4.3799999999999999E-2</v>
      </c>
      <c r="F11503" s="5"/>
    </row>
    <row r="11504" spans="2:6" ht="13.8" hidden="1" outlineLevel="1">
      <c r="B11504" s="187">
        <v>38712</v>
      </c>
      <c r="C11504" s="188" t="s">
        <v>380</v>
      </c>
      <c r="D11504" s="104">
        <f t="shared" si="179"/>
        <v>4.3799999999999999E-2</v>
      </c>
      <c r="F11504" s="5"/>
    </row>
    <row r="11505" spans="2:6" ht="13.8" hidden="1" outlineLevel="1">
      <c r="B11505" s="187">
        <v>38713</v>
      </c>
      <c r="C11505" s="188">
        <v>4.34</v>
      </c>
      <c r="D11505" s="104">
        <f t="shared" si="179"/>
        <v>4.3400000000000001E-2</v>
      </c>
      <c r="F11505" s="5"/>
    </row>
    <row r="11506" spans="2:6" ht="13.8" hidden="1" outlineLevel="1">
      <c r="B11506" s="187">
        <v>38714</v>
      </c>
      <c r="C11506" s="188">
        <v>4.38</v>
      </c>
      <c r="D11506" s="104">
        <f t="shared" si="179"/>
        <v>4.3799999999999999E-2</v>
      </c>
      <c r="F11506" s="5"/>
    </row>
    <row r="11507" spans="2:6" ht="13.8" hidden="1" outlineLevel="1">
      <c r="B11507" s="187">
        <v>38715</v>
      </c>
      <c r="C11507" s="188">
        <v>4.37</v>
      </c>
      <c r="D11507" s="104">
        <f t="shared" si="179"/>
        <v>4.3700000000000003E-2</v>
      </c>
      <c r="F11507" s="5"/>
    </row>
    <row r="11508" spans="2:6" ht="13.8" hidden="1" outlineLevel="1">
      <c r="B11508" s="187">
        <v>38716</v>
      </c>
      <c r="C11508" s="188">
        <v>4.3899999999999997</v>
      </c>
      <c r="D11508" s="104">
        <f t="shared" si="179"/>
        <v>4.3899999999999995E-2</v>
      </c>
      <c r="F11508" s="5"/>
    </row>
    <row r="11509" spans="2:6" ht="13.8" hidden="1" outlineLevel="1">
      <c r="B11509" s="187">
        <v>38719</v>
      </c>
      <c r="C11509" s="188" t="s">
        <v>380</v>
      </c>
      <c r="D11509" s="104">
        <f t="shared" si="179"/>
        <v>4.3899999999999995E-2</v>
      </c>
      <c r="F11509" s="5"/>
    </row>
    <row r="11510" spans="2:6" ht="13.8" hidden="1" outlineLevel="1">
      <c r="B11510" s="187">
        <v>38720</v>
      </c>
      <c r="C11510" s="188">
        <v>4.37</v>
      </c>
      <c r="D11510" s="104">
        <f t="shared" si="179"/>
        <v>4.3700000000000003E-2</v>
      </c>
      <c r="F11510" s="5"/>
    </row>
    <row r="11511" spans="2:6" ht="13.8" hidden="1" outlineLevel="1">
      <c r="B11511" s="187">
        <v>38721</v>
      </c>
      <c r="C11511" s="188">
        <v>4.3600000000000003</v>
      </c>
      <c r="D11511" s="104">
        <f t="shared" si="179"/>
        <v>4.36E-2</v>
      </c>
      <c r="F11511" s="5"/>
    </row>
    <row r="11512" spans="2:6" ht="13.8" hidden="1" outlineLevel="1">
      <c r="B11512" s="187">
        <v>38722</v>
      </c>
      <c r="C11512" s="188">
        <v>4.3600000000000003</v>
      </c>
      <c r="D11512" s="104">
        <f t="shared" si="179"/>
        <v>4.36E-2</v>
      </c>
      <c r="F11512" s="5"/>
    </row>
    <row r="11513" spans="2:6" ht="13.8" hidden="1" outlineLevel="1">
      <c r="B11513" s="187">
        <v>38723</v>
      </c>
      <c r="C11513" s="188">
        <v>4.38</v>
      </c>
      <c r="D11513" s="104">
        <f t="shared" si="179"/>
        <v>4.3799999999999999E-2</v>
      </c>
      <c r="F11513" s="5"/>
    </row>
    <row r="11514" spans="2:6" ht="13.8" hidden="1" outlineLevel="1">
      <c r="B11514" s="187">
        <v>38726</v>
      </c>
      <c r="C11514" s="188">
        <v>4.38</v>
      </c>
      <c r="D11514" s="104">
        <f t="shared" si="179"/>
        <v>4.3799999999999999E-2</v>
      </c>
      <c r="F11514" s="5"/>
    </row>
    <row r="11515" spans="2:6" ht="13.8" hidden="1" outlineLevel="1">
      <c r="B11515" s="187">
        <v>38727</v>
      </c>
      <c r="C11515" s="188">
        <v>4.43</v>
      </c>
      <c r="D11515" s="104">
        <f t="shared" si="179"/>
        <v>4.4299999999999999E-2</v>
      </c>
      <c r="F11515" s="5"/>
    </row>
    <row r="11516" spans="2:6" ht="13.8" hidden="1" outlineLevel="1">
      <c r="B11516" s="187">
        <v>38728</v>
      </c>
      <c r="C11516" s="188">
        <v>4.46</v>
      </c>
      <c r="D11516" s="104">
        <f t="shared" si="179"/>
        <v>4.4600000000000001E-2</v>
      </c>
      <c r="F11516" s="5"/>
    </row>
    <row r="11517" spans="2:6" ht="13.8" hidden="1" outlineLevel="1">
      <c r="B11517" s="187">
        <v>38729</v>
      </c>
      <c r="C11517" s="188">
        <v>4.42</v>
      </c>
      <c r="D11517" s="104">
        <f t="shared" si="179"/>
        <v>4.4199999999999996E-2</v>
      </c>
      <c r="F11517" s="5"/>
    </row>
    <row r="11518" spans="2:6" ht="13.8" hidden="1" outlineLevel="1">
      <c r="B11518" s="187">
        <v>38730</v>
      </c>
      <c r="C11518" s="188">
        <v>4.3600000000000003</v>
      </c>
      <c r="D11518" s="104">
        <f t="shared" si="179"/>
        <v>4.36E-2</v>
      </c>
      <c r="F11518" s="5"/>
    </row>
    <row r="11519" spans="2:6" ht="13.8" hidden="1" outlineLevel="1">
      <c r="B11519" s="187">
        <v>38733</v>
      </c>
      <c r="C11519" s="188" t="s">
        <v>380</v>
      </c>
      <c r="D11519" s="104">
        <f t="shared" si="179"/>
        <v>4.36E-2</v>
      </c>
      <c r="F11519" s="5"/>
    </row>
    <row r="11520" spans="2:6" ht="13.8" hidden="1" outlineLevel="1">
      <c r="B11520" s="187">
        <v>38734</v>
      </c>
      <c r="C11520" s="188">
        <v>4.34</v>
      </c>
      <c r="D11520" s="104">
        <f t="shared" si="179"/>
        <v>4.3400000000000001E-2</v>
      </c>
      <c r="F11520" s="5"/>
    </row>
    <row r="11521" spans="2:6" ht="13.8" hidden="1" outlineLevel="1">
      <c r="B11521" s="187">
        <v>38735</v>
      </c>
      <c r="C11521" s="188">
        <v>4.34</v>
      </c>
      <c r="D11521" s="104">
        <f t="shared" si="179"/>
        <v>4.3400000000000001E-2</v>
      </c>
      <c r="F11521" s="5"/>
    </row>
    <row r="11522" spans="2:6" ht="13.8" hidden="1" outlineLevel="1">
      <c r="B11522" s="187">
        <v>38736</v>
      </c>
      <c r="C11522" s="188">
        <v>4.38</v>
      </c>
      <c r="D11522" s="104">
        <f t="shared" si="179"/>
        <v>4.3799999999999999E-2</v>
      </c>
      <c r="F11522" s="5"/>
    </row>
    <row r="11523" spans="2:6" ht="13.8" hidden="1" outlineLevel="1">
      <c r="B11523" s="187">
        <v>38737</v>
      </c>
      <c r="C11523" s="188">
        <v>4.37</v>
      </c>
      <c r="D11523" s="104">
        <f t="shared" si="179"/>
        <v>4.3700000000000003E-2</v>
      </c>
      <c r="F11523" s="5"/>
    </row>
    <row r="11524" spans="2:6" ht="13.8" hidden="1" outlineLevel="1">
      <c r="B11524" s="187">
        <v>38740</v>
      </c>
      <c r="C11524" s="188">
        <v>4.3600000000000003</v>
      </c>
      <c r="D11524" s="104">
        <f t="shared" si="179"/>
        <v>4.36E-2</v>
      </c>
      <c r="F11524" s="5"/>
    </row>
    <row r="11525" spans="2:6" ht="13.8" hidden="1" outlineLevel="1">
      <c r="B11525" s="187">
        <v>38741</v>
      </c>
      <c r="C11525" s="188">
        <v>4.4000000000000004</v>
      </c>
      <c r="D11525" s="104">
        <f t="shared" si="179"/>
        <v>4.4000000000000004E-2</v>
      </c>
      <c r="F11525" s="5"/>
    </row>
    <row r="11526" spans="2:6" ht="13.8" hidden="1" outlineLevel="1">
      <c r="B11526" s="187">
        <v>38742</v>
      </c>
      <c r="C11526" s="188">
        <v>4.49</v>
      </c>
      <c r="D11526" s="104">
        <f t="shared" si="179"/>
        <v>4.4900000000000002E-2</v>
      </c>
      <c r="F11526" s="5"/>
    </row>
    <row r="11527" spans="2:6" ht="13.8" hidden="1" outlineLevel="1">
      <c r="B11527" s="187">
        <v>38743</v>
      </c>
      <c r="C11527" s="188">
        <v>4.53</v>
      </c>
      <c r="D11527" s="104">
        <f t="shared" si="179"/>
        <v>4.53E-2</v>
      </c>
      <c r="F11527" s="5"/>
    </row>
    <row r="11528" spans="2:6" ht="13.8" hidden="1" outlineLevel="1">
      <c r="B11528" s="187">
        <v>38744</v>
      </c>
      <c r="C11528" s="188">
        <v>4.5199999999999996</v>
      </c>
      <c r="D11528" s="104">
        <f t="shared" si="179"/>
        <v>4.5199999999999997E-2</v>
      </c>
      <c r="F11528" s="5"/>
    </row>
    <row r="11529" spans="2:6" ht="13.8" hidden="1" outlineLevel="1">
      <c r="B11529" s="187">
        <v>38747</v>
      </c>
      <c r="C11529" s="188">
        <v>4.54</v>
      </c>
      <c r="D11529" s="104">
        <f t="shared" si="179"/>
        <v>4.5400000000000003E-2</v>
      </c>
      <c r="F11529" s="5"/>
    </row>
    <row r="11530" spans="2:6" ht="13.8" hidden="1" outlineLevel="1">
      <c r="B11530" s="187">
        <v>38748</v>
      </c>
      <c r="C11530" s="188">
        <v>4.53</v>
      </c>
      <c r="D11530" s="104">
        <f t="shared" si="179"/>
        <v>4.53E-2</v>
      </c>
      <c r="F11530" s="5"/>
    </row>
    <row r="11531" spans="2:6" ht="13.8" hidden="1" outlineLevel="1">
      <c r="B11531" s="187">
        <v>38749</v>
      </c>
      <c r="C11531" s="188">
        <v>4.57</v>
      </c>
      <c r="D11531" s="104">
        <f t="shared" si="179"/>
        <v>4.5700000000000005E-2</v>
      </c>
      <c r="F11531" s="5"/>
    </row>
    <row r="11532" spans="2:6" ht="13.8" hidden="1" outlineLevel="1">
      <c r="B11532" s="187">
        <v>38750</v>
      </c>
      <c r="C11532" s="188">
        <v>4.57</v>
      </c>
      <c r="D11532" s="104">
        <f t="shared" si="179"/>
        <v>4.5700000000000005E-2</v>
      </c>
      <c r="F11532" s="5"/>
    </row>
    <row r="11533" spans="2:6" ht="13.8" hidden="1" outlineLevel="1">
      <c r="B11533" s="187">
        <v>38751</v>
      </c>
      <c r="C11533" s="188">
        <v>4.54</v>
      </c>
      <c r="D11533" s="104">
        <f t="shared" si="179"/>
        <v>4.5400000000000003E-2</v>
      </c>
      <c r="F11533" s="5"/>
    </row>
    <row r="11534" spans="2:6" ht="13.8" hidden="1" outlineLevel="1">
      <c r="B11534" s="187">
        <v>38754</v>
      </c>
      <c r="C11534" s="188">
        <v>4.55</v>
      </c>
      <c r="D11534" s="104">
        <f t="shared" si="179"/>
        <v>4.5499999999999999E-2</v>
      </c>
      <c r="F11534" s="5"/>
    </row>
    <row r="11535" spans="2:6" ht="13.8" hidden="1" outlineLevel="1">
      <c r="B11535" s="187">
        <v>38755</v>
      </c>
      <c r="C11535" s="188">
        <v>4.57</v>
      </c>
      <c r="D11535" s="104">
        <f t="shared" si="179"/>
        <v>4.5700000000000005E-2</v>
      </c>
      <c r="F11535" s="5"/>
    </row>
    <row r="11536" spans="2:6" ht="13.8" hidden="1" outlineLevel="1">
      <c r="B11536" s="187">
        <v>38756</v>
      </c>
      <c r="C11536" s="188">
        <v>4.5599999999999996</v>
      </c>
      <c r="D11536" s="104">
        <f t="shared" si="179"/>
        <v>4.5599999999999995E-2</v>
      </c>
      <c r="F11536" s="5"/>
    </row>
    <row r="11537" spans="2:6" ht="13.8" hidden="1" outlineLevel="1">
      <c r="B11537" s="187">
        <v>38757</v>
      </c>
      <c r="C11537" s="188">
        <v>4.54</v>
      </c>
      <c r="D11537" s="104">
        <f t="shared" si="179"/>
        <v>4.5400000000000003E-2</v>
      </c>
      <c r="F11537" s="5"/>
    </row>
    <row r="11538" spans="2:6" ht="13.8" hidden="1" outlineLevel="1">
      <c r="B11538" s="187">
        <v>38758</v>
      </c>
      <c r="C11538" s="188">
        <v>4.59</v>
      </c>
      <c r="D11538" s="104">
        <f t="shared" si="179"/>
        <v>4.5899999999999996E-2</v>
      </c>
      <c r="F11538" s="5"/>
    </row>
    <row r="11539" spans="2:6" ht="13.8" hidden="1" outlineLevel="1">
      <c r="B11539" s="187">
        <v>38761</v>
      </c>
      <c r="C11539" s="188">
        <v>4.58</v>
      </c>
      <c r="D11539" s="104">
        <f t="shared" si="179"/>
        <v>4.58E-2</v>
      </c>
      <c r="F11539" s="5"/>
    </row>
    <row r="11540" spans="2:6" ht="13.8" hidden="1" outlineLevel="1">
      <c r="B11540" s="187">
        <v>38762</v>
      </c>
      <c r="C11540" s="188">
        <v>4.62</v>
      </c>
      <c r="D11540" s="104">
        <f t="shared" si="179"/>
        <v>4.6199999999999998E-2</v>
      </c>
      <c r="F11540" s="5"/>
    </row>
    <row r="11541" spans="2:6" ht="13.8" hidden="1" outlineLevel="1">
      <c r="B11541" s="187">
        <v>38763</v>
      </c>
      <c r="C11541" s="188">
        <v>4.6100000000000003</v>
      </c>
      <c r="D11541" s="104">
        <f t="shared" si="179"/>
        <v>4.6100000000000002E-2</v>
      </c>
      <c r="F11541" s="5"/>
    </row>
    <row r="11542" spans="2:6" ht="13.8" hidden="1" outlineLevel="1">
      <c r="B11542" s="187">
        <v>38764</v>
      </c>
      <c r="C11542" s="188">
        <v>4.59</v>
      </c>
      <c r="D11542" s="104">
        <f t="shared" si="179"/>
        <v>4.5899999999999996E-2</v>
      </c>
      <c r="F11542" s="5"/>
    </row>
    <row r="11543" spans="2:6" ht="13.8" hidden="1" outlineLevel="1">
      <c r="B11543" s="187">
        <v>38765</v>
      </c>
      <c r="C11543" s="188">
        <v>4.54</v>
      </c>
      <c r="D11543" s="104">
        <f t="shared" si="179"/>
        <v>4.5400000000000003E-2</v>
      </c>
      <c r="F11543" s="5"/>
    </row>
    <row r="11544" spans="2:6" ht="13.8" hidden="1" outlineLevel="1">
      <c r="B11544" s="187">
        <v>38768</v>
      </c>
      <c r="C11544" s="188" t="s">
        <v>380</v>
      </c>
      <c r="D11544" s="104">
        <f t="shared" si="179"/>
        <v>4.5400000000000003E-2</v>
      </c>
      <c r="F11544" s="5"/>
    </row>
    <row r="11545" spans="2:6" ht="13.8" hidden="1" outlineLevel="1">
      <c r="B11545" s="187">
        <v>38769</v>
      </c>
      <c r="C11545" s="188">
        <v>4.57</v>
      </c>
      <c r="D11545" s="104">
        <f t="shared" si="179"/>
        <v>4.5700000000000005E-2</v>
      </c>
      <c r="F11545" s="5"/>
    </row>
    <row r="11546" spans="2:6" ht="13.8" hidden="1" outlineLevel="1">
      <c r="B11546" s="187">
        <v>38770</v>
      </c>
      <c r="C11546" s="188">
        <v>4.53</v>
      </c>
      <c r="D11546" s="104">
        <f t="shared" si="179"/>
        <v>4.53E-2</v>
      </c>
      <c r="F11546" s="5"/>
    </row>
    <row r="11547" spans="2:6" ht="13.8" hidden="1" outlineLevel="1">
      <c r="B11547" s="187">
        <v>38771</v>
      </c>
      <c r="C11547" s="188">
        <v>4.5599999999999996</v>
      </c>
      <c r="D11547" s="104">
        <f t="shared" si="179"/>
        <v>4.5599999999999995E-2</v>
      </c>
      <c r="F11547" s="5"/>
    </row>
    <row r="11548" spans="2:6" ht="13.8" hidden="1" outlineLevel="1">
      <c r="B11548" s="187">
        <v>38772</v>
      </c>
      <c r="C11548" s="188">
        <v>4.58</v>
      </c>
      <c r="D11548" s="104">
        <f t="shared" si="179"/>
        <v>4.58E-2</v>
      </c>
      <c r="F11548" s="5"/>
    </row>
    <row r="11549" spans="2:6" ht="13.8" hidden="1" outlineLevel="1">
      <c r="B11549" s="187">
        <v>38775</v>
      </c>
      <c r="C11549" s="188">
        <v>4.59</v>
      </c>
      <c r="D11549" s="104">
        <f t="shared" si="179"/>
        <v>4.5899999999999996E-2</v>
      </c>
      <c r="F11549" s="5"/>
    </row>
    <row r="11550" spans="2:6" ht="13.8" hidden="1" outlineLevel="1">
      <c r="B11550" s="187">
        <v>38776</v>
      </c>
      <c r="C11550" s="188">
        <v>4.55</v>
      </c>
      <c r="D11550" s="104">
        <f t="shared" ref="D11550:D11613" si="180">IF( LEN( C11550 ) = 0, #N/A, IF( C11550 = "ND", D11549, C11550 / 100 ) )</f>
        <v>4.5499999999999999E-2</v>
      </c>
      <c r="F11550" s="5"/>
    </row>
    <row r="11551" spans="2:6" ht="13.8" hidden="1" outlineLevel="1">
      <c r="B11551" s="187">
        <v>38777</v>
      </c>
      <c r="C11551" s="188">
        <v>4.59</v>
      </c>
      <c r="D11551" s="104">
        <f t="shared" si="180"/>
        <v>4.5899999999999996E-2</v>
      </c>
      <c r="F11551" s="5"/>
    </row>
    <row r="11552" spans="2:6" ht="13.8" hidden="1" outlineLevel="1">
      <c r="B11552" s="187">
        <v>38778</v>
      </c>
      <c r="C11552" s="188">
        <v>4.6399999999999997</v>
      </c>
      <c r="D11552" s="104">
        <f t="shared" si="180"/>
        <v>4.6399999999999997E-2</v>
      </c>
      <c r="F11552" s="5"/>
    </row>
    <row r="11553" spans="2:6" ht="13.8" hidden="1" outlineLevel="1">
      <c r="B11553" s="187">
        <v>38779</v>
      </c>
      <c r="C11553" s="188">
        <v>4.68</v>
      </c>
      <c r="D11553" s="104">
        <f t="shared" si="180"/>
        <v>4.6799999999999994E-2</v>
      </c>
      <c r="F11553" s="5"/>
    </row>
    <row r="11554" spans="2:6" ht="13.8" hidden="1" outlineLevel="1">
      <c r="B11554" s="187">
        <v>38782</v>
      </c>
      <c r="C11554" s="188">
        <v>4.74</v>
      </c>
      <c r="D11554" s="104">
        <f t="shared" si="180"/>
        <v>4.7400000000000005E-2</v>
      </c>
      <c r="F11554" s="5"/>
    </row>
    <row r="11555" spans="2:6" ht="13.8" hidden="1" outlineLevel="1">
      <c r="B11555" s="187">
        <v>38783</v>
      </c>
      <c r="C11555" s="188">
        <v>4.74</v>
      </c>
      <c r="D11555" s="104">
        <f t="shared" si="180"/>
        <v>4.7400000000000005E-2</v>
      </c>
      <c r="F11555" s="5"/>
    </row>
    <row r="11556" spans="2:6" ht="13.8" hidden="1" outlineLevel="1">
      <c r="B11556" s="187">
        <v>38784</v>
      </c>
      <c r="C11556" s="188">
        <v>4.7300000000000004</v>
      </c>
      <c r="D11556" s="104">
        <f t="shared" si="180"/>
        <v>4.7300000000000002E-2</v>
      </c>
      <c r="F11556" s="5"/>
    </row>
    <row r="11557" spans="2:6" ht="13.8" hidden="1" outlineLevel="1">
      <c r="B11557" s="187">
        <v>38785</v>
      </c>
      <c r="C11557" s="188">
        <v>4.74</v>
      </c>
      <c r="D11557" s="104">
        <f t="shared" si="180"/>
        <v>4.7400000000000005E-2</v>
      </c>
      <c r="F11557" s="5"/>
    </row>
    <row r="11558" spans="2:6" ht="13.8" hidden="1" outlineLevel="1">
      <c r="B11558" s="187">
        <v>38786</v>
      </c>
      <c r="C11558" s="188">
        <v>4.76</v>
      </c>
      <c r="D11558" s="104">
        <f t="shared" si="180"/>
        <v>4.7599999999999996E-2</v>
      </c>
      <c r="F11558" s="5"/>
    </row>
    <row r="11559" spans="2:6" ht="13.8" hidden="1" outlineLevel="1">
      <c r="B11559" s="187">
        <v>38789</v>
      </c>
      <c r="C11559" s="188">
        <v>4.7699999999999996</v>
      </c>
      <c r="D11559" s="104">
        <f t="shared" si="180"/>
        <v>4.7699999999999992E-2</v>
      </c>
      <c r="F11559" s="5"/>
    </row>
    <row r="11560" spans="2:6" ht="13.8" hidden="1" outlineLevel="1">
      <c r="B11560" s="187">
        <v>38790</v>
      </c>
      <c r="C11560" s="188">
        <v>4.71</v>
      </c>
      <c r="D11560" s="104">
        <f t="shared" si="180"/>
        <v>4.7100000000000003E-2</v>
      </c>
      <c r="F11560" s="5"/>
    </row>
    <row r="11561" spans="2:6" ht="13.8" hidden="1" outlineLevel="1">
      <c r="B11561" s="187">
        <v>38791</v>
      </c>
      <c r="C11561" s="188">
        <v>4.7300000000000004</v>
      </c>
      <c r="D11561" s="104">
        <f t="shared" si="180"/>
        <v>4.7300000000000002E-2</v>
      </c>
      <c r="F11561" s="5"/>
    </row>
    <row r="11562" spans="2:6" ht="13.8" hidden="1" outlineLevel="1">
      <c r="B11562" s="187">
        <v>38792</v>
      </c>
      <c r="C11562" s="188">
        <v>4.6500000000000004</v>
      </c>
      <c r="D11562" s="104">
        <f t="shared" si="180"/>
        <v>4.6500000000000007E-2</v>
      </c>
      <c r="F11562" s="5"/>
    </row>
    <row r="11563" spans="2:6" ht="13.8" hidden="1" outlineLevel="1">
      <c r="B11563" s="187">
        <v>38793</v>
      </c>
      <c r="C11563" s="188">
        <v>4.68</v>
      </c>
      <c r="D11563" s="104">
        <f t="shared" si="180"/>
        <v>4.6799999999999994E-2</v>
      </c>
      <c r="F11563" s="5"/>
    </row>
    <row r="11564" spans="2:6" ht="13.8" hidden="1" outlineLevel="1">
      <c r="B11564" s="187">
        <v>38796</v>
      </c>
      <c r="C11564" s="188">
        <v>4.66</v>
      </c>
      <c r="D11564" s="104">
        <f t="shared" si="180"/>
        <v>4.6600000000000003E-2</v>
      </c>
      <c r="F11564" s="5"/>
    </row>
    <row r="11565" spans="2:6" ht="13.8" hidden="1" outlineLevel="1">
      <c r="B11565" s="187">
        <v>38797</v>
      </c>
      <c r="C11565" s="188">
        <v>4.71</v>
      </c>
      <c r="D11565" s="104">
        <f t="shared" si="180"/>
        <v>4.7100000000000003E-2</v>
      </c>
      <c r="F11565" s="5"/>
    </row>
    <row r="11566" spans="2:6" ht="13.8" hidden="1" outlineLevel="1">
      <c r="B11566" s="187">
        <v>38798</v>
      </c>
      <c r="C11566" s="188">
        <v>4.7</v>
      </c>
      <c r="D11566" s="104">
        <f t="shared" si="180"/>
        <v>4.7E-2</v>
      </c>
      <c r="F11566" s="5"/>
    </row>
    <row r="11567" spans="2:6" ht="13.8" hidden="1" outlineLevel="1">
      <c r="B11567" s="187">
        <v>38799</v>
      </c>
      <c r="C11567" s="188">
        <v>4.7300000000000004</v>
      </c>
      <c r="D11567" s="104">
        <f t="shared" si="180"/>
        <v>4.7300000000000002E-2</v>
      </c>
      <c r="F11567" s="5"/>
    </row>
    <row r="11568" spans="2:6" ht="13.8" hidden="1" outlineLevel="1">
      <c r="B11568" s="187">
        <v>38800</v>
      </c>
      <c r="C11568" s="188">
        <v>4.67</v>
      </c>
      <c r="D11568" s="104">
        <f t="shared" si="180"/>
        <v>4.6699999999999998E-2</v>
      </c>
      <c r="F11568" s="5"/>
    </row>
    <row r="11569" spans="2:6" ht="13.8" hidden="1" outlineLevel="1">
      <c r="B11569" s="187">
        <v>38803</v>
      </c>
      <c r="C11569" s="188">
        <v>4.7</v>
      </c>
      <c r="D11569" s="104">
        <f t="shared" si="180"/>
        <v>4.7E-2</v>
      </c>
      <c r="F11569" s="5"/>
    </row>
    <row r="11570" spans="2:6" ht="13.8" hidden="1" outlineLevel="1">
      <c r="B11570" s="187">
        <v>38804</v>
      </c>
      <c r="C11570" s="188">
        <v>4.79</v>
      </c>
      <c r="D11570" s="104">
        <f t="shared" si="180"/>
        <v>4.7899999999999998E-2</v>
      </c>
      <c r="F11570" s="5"/>
    </row>
    <row r="11571" spans="2:6" ht="13.8" hidden="1" outlineLevel="1">
      <c r="B11571" s="187">
        <v>38805</v>
      </c>
      <c r="C11571" s="188">
        <v>4.8099999999999996</v>
      </c>
      <c r="D11571" s="104">
        <f t="shared" si="180"/>
        <v>4.8099999999999997E-2</v>
      </c>
      <c r="F11571" s="5"/>
    </row>
    <row r="11572" spans="2:6" ht="13.8" hidden="1" outlineLevel="1">
      <c r="B11572" s="187">
        <v>38806</v>
      </c>
      <c r="C11572" s="188">
        <v>4.8600000000000003</v>
      </c>
      <c r="D11572" s="104">
        <f t="shared" si="180"/>
        <v>4.8600000000000004E-2</v>
      </c>
      <c r="F11572" s="5"/>
    </row>
    <row r="11573" spans="2:6" ht="13.8" hidden="1" outlineLevel="1">
      <c r="B11573" s="187">
        <v>38807</v>
      </c>
      <c r="C11573" s="188">
        <v>4.8600000000000003</v>
      </c>
      <c r="D11573" s="104">
        <f t="shared" si="180"/>
        <v>4.8600000000000004E-2</v>
      </c>
      <c r="F11573" s="5"/>
    </row>
    <row r="11574" spans="2:6" ht="13.8" hidden="1" outlineLevel="1">
      <c r="B11574" s="187">
        <v>38810</v>
      </c>
      <c r="C11574" s="188">
        <v>4.88</v>
      </c>
      <c r="D11574" s="104">
        <f t="shared" si="180"/>
        <v>4.8799999999999996E-2</v>
      </c>
      <c r="F11574" s="5"/>
    </row>
    <row r="11575" spans="2:6" ht="13.8" hidden="1" outlineLevel="1">
      <c r="B11575" s="187">
        <v>38811</v>
      </c>
      <c r="C11575" s="188">
        <v>4.87</v>
      </c>
      <c r="D11575" s="104">
        <f t="shared" si="180"/>
        <v>4.87E-2</v>
      </c>
      <c r="F11575" s="5"/>
    </row>
    <row r="11576" spans="2:6" ht="13.8" hidden="1" outlineLevel="1">
      <c r="B11576" s="187">
        <v>38812</v>
      </c>
      <c r="C11576" s="188">
        <v>4.84</v>
      </c>
      <c r="D11576" s="104">
        <f t="shared" si="180"/>
        <v>4.8399999999999999E-2</v>
      </c>
      <c r="F11576" s="5"/>
    </row>
    <row r="11577" spans="2:6" ht="13.8" hidden="1" outlineLevel="1">
      <c r="B11577" s="187">
        <v>38813</v>
      </c>
      <c r="C11577" s="188">
        <v>4.9000000000000004</v>
      </c>
      <c r="D11577" s="104">
        <f t="shared" si="180"/>
        <v>4.9000000000000002E-2</v>
      </c>
      <c r="F11577" s="5"/>
    </row>
    <row r="11578" spans="2:6" ht="13.8" hidden="1" outlineLevel="1">
      <c r="B11578" s="187">
        <v>38814</v>
      </c>
      <c r="C11578" s="188">
        <v>4.97</v>
      </c>
      <c r="D11578" s="104">
        <f t="shared" si="180"/>
        <v>4.9699999999999994E-2</v>
      </c>
      <c r="F11578" s="5"/>
    </row>
    <row r="11579" spans="2:6" ht="13.8" hidden="1" outlineLevel="1">
      <c r="B11579" s="187">
        <v>38817</v>
      </c>
      <c r="C11579" s="188">
        <v>4.97</v>
      </c>
      <c r="D11579" s="104">
        <f t="shared" si="180"/>
        <v>4.9699999999999994E-2</v>
      </c>
      <c r="F11579" s="5"/>
    </row>
    <row r="11580" spans="2:6" ht="13.8" hidden="1" outlineLevel="1">
      <c r="B11580" s="187">
        <v>38818</v>
      </c>
      <c r="C11580" s="188">
        <v>4.93</v>
      </c>
      <c r="D11580" s="104">
        <f t="shared" si="180"/>
        <v>4.9299999999999997E-2</v>
      </c>
      <c r="F11580" s="5"/>
    </row>
    <row r="11581" spans="2:6" ht="13.8" hidden="1" outlineLevel="1">
      <c r="B11581" s="187">
        <v>38819</v>
      </c>
      <c r="C11581" s="188">
        <v>4.9800000000000004</v>
      </c>
      <c r="D11581" s="104">
        <f t="shared" si="180"/>
        <v>4.9800000000000004E-2</v>
      </c>
      <c r="F11581" s="5"/>
    </row>
    <row r="11582" spans="2:6" ht="13.8" hidden="1" outlineLevel="1">
      <c r="B11582" s="187">
        <v>38820</v>
      </c>
      <c r="C11582" s="188">
        <v>5.05</v>
      </c>
      <c r="D11582" s="104">
        <f t="shared" si="180"/>
        <v>5.0499999999999996E-2</v>
      </c>
      <c r="F11582" s="5"/>
    </row>
    <row r="11583" spans="2:6" ht="13.8" hidden="1" outlineLevel="1">
      <c r="B11583" s="187">
        <v>38821</v>
      </c>
      <c r="C11583" s="188" t="s">
        <v>380</v>
      </c>
      <c r="D11583" s="104">
        <f t="shared" si="180"/>
        <v>5.0499999999999996E-2</v>
      </c>
      <c r="F11583" s="5"/>
    </row>
    <row r="11584" spans="2:6" ht="13.8" hidden="1" outlineLevel="1">
      <c r="B11584" s="187">
        <v>38824</v>
      </c>
      <c r="C11584" s="188">
        <v>5.01</v>
      </c>
      <c r="D11584" s="104">
        <f t="shared" si="180"/>
        <v>5.0099999999999999E-2</v>
      </c>
      <c r="F11584" s="5"/>
    </row>
    <row r="11585" spans="2:6" ht="13.8" hidden="1" outlineLevel="1">
      <c r="B11585" s="187">
        <v>38825</v>
      </c>
      <c r="C11585" s="188">
        <v>4.99</v>
      </c>
      <c r="D11585" s="104">
        <f t="shared" si="180"/>
        <v>4.99E-2</v>
      </c>
      <c r="F11585" s="5"/>
    </row>
    <row r="11586" spans="2:6" ht="13.8" hidden="1" outlineLevel="1">
      <c r="B11586" s="187">
        <v>38826</v>
      </c>
      <c r="C11586" s="188">
        <v>5.04</v>
      </c>
      <c r="D11586" s="104">
        <f t="shared" si="180"/>
        <v>5.04E-2</v>
      </c>
      <c r="F11586" s="5"/>
    </row>
    <row r="11587" spans="2:6" ht="13.8" hidden="1" outlineLevel="1">
      <c r="B11587" s="187">
        <v>38827</v>
      </c>
      <c r="C11587" s="188">
        <v>5.04</v>
      </c>
      <c r="D11587" s="104">
        <f t="shared" si="180"/>
        <v>5.04E-2</v>
      </c>
      <c r="F11587" s="5"/>
    </row>
    <row r="11588" spans="2:6" ht="13.8" hidden="1" outlineLevel="1">
      <c r="B11588" s="187">
        <v>38828</v>
      </c>
      <c r="C11588" s="188">
        <v>5.01</v>
      </c>
      <c r="D11588" s="104">
        <f t="shared" si="180"/>
        <v>5.0099999999999999E-2</v>
      </c>
      <c r="F11588" s="5"/>
    </row>
    <row r="11589" spans="2:6" ht="13.8" hidden="1" outlineLevel="1">
      <c r="B11589" s="187">
        <v>38831</v>
      </c>
      <c r="C11589" s="188">
        <v>4.99</v>
      </c>
      <c r="D11589" s="104">
        <f t="shared" si="180"/>
        <v>4.99E-2</v>
      </c>
      <c r="F11589" s="5"/>
    </row>
    <row r="11590" spans="2:6" ht="13.8" hidden="1" outlineLevel="1">
      <c r="B11590" s="187">
        <v>38832</v>
      </c>
      <c r="C11590" s="188">
        <v>5.07</v>
      </c>
      <c r="D11590" s="104">
        <f t="shared" si="180"/>
        <v>5.0700000000000002E-2</v>
      </c>
      <c r="F11590" s="5"/>
    </row>
    <row r="11591" spans="2:6" ht="13.8" hidden="1" outlineLevel="1">
      <c r="B11591" s="187">
        <v>38833</v>
      </c>
      <c r="C11591" s="188">
        <v>5.12</v>
      </c>
      <c r="D11591" s="104">
        <f t="shared" si="180"/>
        <v>5.1200000000000002E-2</v>
      </c>
      <c r="F11591" s="5"/>
    </row>
    <row r="11592" spans="2:6" ht="13.8" hidden="1" outlineLevel="1">
      <c r="B11592" s="187">
        <v>38834</v>
      </c>
      <c r="C11592" s="188">
        <v>5.09</v>
      </c>
      <c r="D11592" s="104">
        <f t="shared" si="180"/>
        <v>5.0900000000000001E-2</v>
      </c>
      <c r="F11592" s="5"/>
    </row>
    <row r="11593" spans="2:6" ht="13.8" hidden="1" outlineLevel="1">
      <c r="B11593" s="187">
        <v>38835</v>
      </c>
      <c r="C11593" s="188">
        <v>5.07</v>
      </c>
      <c r="D11593" s="104">
        <f t="shared" si="180"/>
        <v>5.0700000000000002E-2</v>
      </c>
      <c r="F11593" s="5"/>
    </row>
    <row r="11594" spans="2:6" ht="13.8" hidden="1" outlineLevel="1">
      <c r="B11594" s="187">
        <v>38838</v>
      </c>
      <c r="C11594" s="188">
        <v>5.14</v>
      </c>
      <c r="D11594" s="104">
        <f t="shared" si="180"/>
        <v>5.1399999999999994E-2</v>
      </c>
      <c r="F11594" s="5"/>
    </row>
    <row r="11595" spans="2:6" ht="13.8" hidden="1" outlineLevel="1">
      <c r="B11595" s="187">
        <v>38839</v>
      </c>
      <c r="C11595" s="188">
        <v>5.12</v>
      </c>
      <c r="D11595" s="104">
        <f t="shared" si="180"/>
        <v>5.1200000000000002E-2</v>
      </c>
      <c r="F11595" s="5"/>
    </row>
    <row r="11596" spans="2:6" ht="13.8" hidden="1" outlineLevel="1">
      <c r="B11596" s="187">
        <v>38840</v>
      </c>
      <c r="C11596" s="188">
        <v>5.15</v>
      </c>
      <c r="D11596" s="104">
        <f t="shared" si="180"/>
        <v>5.1500000000000004E-2</v>
      </c>
      <c r="F11596" s="5"/>
    </row>
    <row r="11597" spans="2:6" ht="13.8" hidden="1" outlineLevel="1">
      <c r="B11597" s="187">
        <v>38841</v>
      </c>
      <c r="C11597" s="188">
        <v>5.16</v>
      </c>
      <c r="D11597" s="104">
        <f t="shared" si="180"/>
        <v>5.16E-2</v>
      </c>
      <c r="F11597" s="5"/>
    </row>
    <row r="11598" spans="2:6" ht="13.8" hidden="1" outlineLevel="1">
      <c r="B11598" s="187">
        <v>38842</v>
      </c>
      <c r="C11598" s="188">
        <v>5.12</v>
      </c>
      <c r="D11598" s="104">
        <f t="shared" si="180"/>
        <v>5.1200000000000002E-2</v>
      </c>
      <c r="F11598" s="5"/>
    </row>
    <row r="11599" spans="2:6" ht="13.8" hidden="1" outlineLevel="1">
      <c r="B11599" s="187">
        <v>38845</v>
      </c>
      <c r="C11599" s="188">
        <v>5.12</v>
      </c>
      <c r="D11599" s="104">
        <f t="shared" si="180"/>
        <v>5.1200000000000002E-2</v>
      </c>
      <c r="F11599" s="5"/>
    </row>
    <row r="11600" spans="2:6" ht="13.8" hidden="1" outlineLevel="1">
      <c r="B11600" s="187">
        <v>38846</v>
      </c>
      <c r="C11600" s="188">
        <v>5.13</v>
      </c>
      <c r="D11600" s="104">
        <f t="shared" si="180"/>
        <v>5.1299999999999998E-2</v>
      </c>
      <c r="F11600" s="5"/>
    </row>
    <row r="11601" spans="2:6" ht="13.8" hidden="1" outlineLevel="1">
      <c r="B11601" s="187">
        <v>38847</v>
      </c>
      <c r="C11601" s="188">
        <v>5.13</v>
      </c>
      <c r="D11601" s="104">
        <f t="shared" si="180"/>
        <v>5.1299999999999998E-2</v>
      </c>
      <c r="F11601" s="5"/>
    </row>
    <row r="11602" spans="2:6" ht="13.8" hidden="1" outlineLevel="1">
      <c r="B11602" s="187">
        <v>38848</v>
      </c>
      <c r="C11602" s="188">
        <v>5.14</v>
      </c>
      <c r="D11602" s="104">
        <f t="shared" si="180"/>
        <v>5.1399999999999994E-2</v>
      </c>
      <c r="F11602" s="5"/>
    </row>
    <row r="11603" spans="2:6" ht="13.8" hidden="1" outlineLevel="1">
      <c r="B11603" s="187">
        <v>38849</v>
      </c>
      <c r="C11603" s="188">
        <v>5.19</v>
      </c>
      <c r="D11603" s="104">
        <f t="shared" si="180"/>
        <v>5.1900000000000002E-2</v>
      </c>
      <c r="F11603" s="5"/>
    </row>
    <row r="11604" spans="2:6" ht="13.8" hidden="1" outlineLevel="1">
      <c r="B11604" s="187">
        <v>38852</v>
      </c>
      <c r="C11604" s="188">
        <v>5.15</v>
      </c>
      <c r="D11604" s="104">
        <f t="shared" si="180"/>
        <v>5.1500000000000004E-2</v>
      </c>
      <c r="F11604" s="5"/>
    </row>
    <row r="11605" spans="2:6" ht="13.8" hidden="1" outlineLevel="1">
      <c r="B11605" s="187">
        <v>38853</v>
      </c>
      <c r="C11605" s="188">
        <v>5.0999999999999996</v>
      </c>
      <c r="D11605" s="104">
        <f t="shared" si="180"/>
        <v>5.0999999999999997E-2</v>
      </c>
      <c r="F11605" s="5"/>
    </row>
    <row r="11606" spans="2:6" ht="13.8" hidden="1" outlineLevel="1">
      <c r="B11606" s="187">
        <v>38854</v>
      </c>
      <c r="C11606" s="188">
        <v>5.16</v>
      </c>
      <c r="D11606" s="104">
        <f t="shared" si="180"/>
        <v>5.16E-2</v>
      </c>
      <c r="F11606" s="5"/>
    </row>
    <row r="11607" spans="2:6" ht="13.8" hidden="1" outlineLevel="1">
      <c r="B11607" s="187">
        <v>38855</v>
      </c>
      <c r="C11607" s="188">
        <v>5.08</v>
      </c>
      <c r="D11607" s="104">
        <f t="shared" si="180"/>
        <v>5.0799999999999998E-2</v>
      </c>
      <c r="F11607" s="5"/>
    </row>
    <row r="11608" spans="2:6" ht="13.8" hidden="1" outlineLevel="1">
      <c r="B11608" s="187">
        <v>38856</v>
      </c>
      <c r="C11608" s="188">
        <v>5.05</v>
      </c>
      <c r="D11608" s="104">
        <f t="shared" si="180"/>
        <v>5.0499999999999996E-2</v>
      </c>
      <c r="F11608" s="5"/>
    </row>
    <row r="11609" spans="2:6" ht="13.8" hidden="1" outlineLevel="1">
      <c r="B11609" s="187">
        <v>38859</v>
      </c>
      <c r="C11609" s="188">
        <v>5.04</v>
      </c>
      <c r="D11609" s="104">
        <f t="shared" si="180"/>
        <v>5.04E-2</v>
      </c>
      <c r="F11609" s="5"/>
    </row>
    <row r="11610" spans="2:6" ht="13.8" hidden="1" outlineLevel="1">
      <c r="B11610" s="187">
        <v>38860</v>
      </c>
      <c r="C11610" s="188">
        <v>5.07</v>
      </c>
      <c r="D11610" s="104">
        <f t="shared" si="180"/>
        <v>5.0700000000000002E-2</v>
      </c>
      <c r="F11610" s="5"/>
    </row>
    <row r="11611" spans="2:6" ht="13.8" hidden="1" outlineLevel="1">
      <c r="B11611" s="187">
        <v>38861</v>
      </c>
      <c r="C11611" s="188">
        <v>5.03</v>
      </c>
      <c r="D11611" s="104">
        <f t="shared" si="180"/>
        <v>5.0300000000000004E-2</v>
      </c>
      <c r="F11611" s="5"/>
    </row>
    <row r="11612" spans="2:6" ht="13.8" hidden="1" outlineLevel="1">
      <c r="B11612" s="187">
        <v>38862</v>
      </c>
      <c r="C11612" s="188">
        <v>5.07</v>
      </c>
      <c r="D11612" s="104">
        <f t="shared" si="180"/>
        <v>5.0700000000000002E-2</v>
      </c>
      <c r="F11612" s="5"/>
    </row>
    <row r="11613" spans="2:6" ht="13.8" hidden="1" outlineLevel="1">
      <c r="B11613" s="187">
        <v>38863</v>
      </c>
      <c r="C11613" s="188">
        <v>5.0599999999999996</v>
      </c>
      <c r="D11613" s="104">
        <f t="shared" si="180"/>
        <v>5.0599999999999999E-2</v>
      </c>
      <c r="F11613" s="5"/>
    </row>
    <row r="11614" spans="2:6" ht="13.8" hidden="1" outlineLevel="1">
      <c r="B11614" s="187">
        <v>38866</v>
      </c>
      <c r="C11614" s="188" t="s">
        <v>380</v>
      </c>
      <c r="D11614" s="104">
        <f t="shared" ref="D11614:D11677" si="181">IF( LEN( C11614 ) = 0, #N/A, IF( C11614 = "ND", D11613, C11614 / 100 ) )</f>
        <v>5.0599999999999999E-2</v>
      </c>
      <c r="F11614" s="5"/>
    </row>
    <row r="11615" spans="2:6" ht="13.8" hidden="1" outlineLevel="1">
      <c r="B11615" s="187">
        <v>38867</v>
      </c>
      <c r="C11615" s="188">
        <v>5.09</v>
      </c>
      <c r="D11615" s="104">
        <f t="shared" si="181"/>
        <v>5.0900000000000001E-2</v>
      </c>
      <c r="F11615" s="5"/>
    </row>
    <row r="11616" spans="2:6" ht="13.8" hidden="1" outlineLevel="1">
      <c r="B11616" s="187">
        <v>38868</v>
      </c>
      <c r="C11616" s="188">
        <v>5.12</v>
      </c>
      <c r="D11616" s="104">
        <f t="shared" si="181"/>
        <v>5.1200000000000002E-2</v>
      </c>
      <c r="F11616" s="5"/>
    </row>
    <row r="11617" spans="2:6" ht="13.8" hidden="1" outlineLevel="1">
      <c r="B11617" s="187">
        <v>38869</v>
      </c>
      <c r="C11617" s="188">
        <v>5.1100000000000003</v>
      </c>
      <c r="D11617" s="104">
        <f t="shared" si="181"/>
        <v>5.1100000000000007E-2</v>
      </c>
      <c r="F11617" s="5"/>
    </row>
    <row r="11618" spans="2:6" ht="13.8" hidden="1" outlineLevel="1">
      <c r="B11618" s="187">
        <v>38870</v>
      </c>
      <c r="C11618" s="188">
        <v>5</v>
      </c>
      <c r="D11618" s="104">
        <f t="shared" si="181"/>
        <v>0.05</v>
      </c>
      <c r="F11618" s="5"/>
    </row>
    <row r="11619" spans="2:6" ht="13.8" hidden="1" outlineLevel="1">
      <c r="B11619" s="187">
        <v>38873</v>
      </c>
      <c r="C11619" s="188">
        <v>5.0199999999999996</v>
      </c>
      <c r="D11619" s="104">
        <f t="shared" si="181"/>
        <v>5.0199999999999995E-2</v>
      </c>
      <c r="F11619" s="5"/>
    </row>
    <row r="11620" spans="2:6" ht="13.8" hidden="1" outlineLevel="1">
      <c r="B11620" s="187">
        <v>38874</v>
      </c>
      <c r="C11620" s="188">
        <v>5.01</v>
      </c>
      <c r="D11620" s="104">
        <f t="shared" si="181"/>
        <v>5.0099999999999999E-2</v>
      </c>
      <c r="F11620" s="5"/>
    </row>
    <row r="11621" spans="2:6" ht="13.8" hidden="1" outlineLevel="1">
      <c r="B11621" s="187">
        <v>38875</v>
      </c>
      <c r="C11621" s="188">
        <v>5.0199999999999996</v>
      </c>
      <c r="D11621" s="104">
        <f t="shared" si="181"/>
        <v>5.0199999999999995E-2</v>
      </c>
      <c r="F11621" s="5"/>
    </row>
    <row r="11622" spans="2:6" ht="13.8" hidden="1" outlineLevel="1">
      <c r="B11622" s="187">
        <v>38876</v>
      </c>
      <c r="C11622" s="188">
        <v>5</v>
      </c>
      <c r="D11622" s="104">
        <f t="shared" si="181"/>
        <v>0.05</v>
      </c>
      <c r="F11622" s="5"/>
    </row>
    <row r="11623" spans="2:6" ht="13.8" hidden="1" outlineLevel="1">
      <c r="B11623" s="187">
        <v>38877</v>
      </c>
      <c r="C11623" s="188">
        <v>4.9800000000000004</v>
      </c>
      <c r="D11623" s="104">
        <f t="shared" si="181"/>
        <v>4.9800000000000004E-2</v>
      </c>
      <c r="F11623" s="5"/>
    </row>
    <row r="11624" spans="2:6" ht="13.8" hidden="1" outlineLevel="1">
      <c r="B11624" s="187">
        <v>38880</v>
      </c>
      <c r="C11624" s="188">
        <v>4.99</v>
      </c>
      <c r="D11624" s="104">
        <f t="shared" si="181"/>
        <v>4.99E-2</v>
      </c>
      <c r="F11624" s="5"/>
    </row>
    <row r="11625" spans="2:6" ht="13.8" hidden="1" outlineLevel="1">
      <c r="B11625" s="187">
        <v>38881</v>
      </c>
      <c r="C11625" s="188">
        <v>4.97</v>
      </c>
      <c r="D11625" s="104">
        <f t="shared" si="181"/>
        <v>4.9699999999999994E-2</v>
      </c>
      <c r="F11625" s="5"/>
    </row>
    <row r="11626" spans="2:6" ht="13.8" hidden="1" outlineLevel="1">
      <c r="B11626" s="187">
        <v>38882</v>
      </c>
      <c r="C11626" s="188">
        <v>5.05</v>
      </c>
      <c r="D11626" s="104">
        <f t="shared" si="181"/>
        <v>5.0499999999999996E-2</v>
      </c>
      <c r="F11626" s="5"/>
    </row>
    <row r="11627" spans="2:6" ht="13.8" hidden="1" outlineLevel="1">
      <c r="B11627" s="187">
        <v>38883</v>
      </c>
      <c r="C11627" s="188">
        <v>5.0999999999999996</v>
      </c>
      <c r="D11627" s="104">
        <f t="shared" si="181"/>
        <v>5.0999999999999997E-2</v>
      </c>
      <c r="F11627" s="5"/>
    </row>
    <row r="11628" spans="2:6" ht="13.8" hidden="1" outlineLevel="1">
      <c r="B11628" s="187">
        <v>38884</v>
      </c>
      <c r="C11628" s="188">
        <v>5.13</v>
      </c>
      <c r="D11628" s="104">
        <f t="shared" si="181"/>
        <v>5.1299999999999998E-2</v>
      </c>
      <c r="F11628" s="5"/>
    </row>
    <row r="11629" spans="2:6" ht="13.8" hidden="1" outlineLevel="1">
      <c r="B11629" s="187">
        <v>38887</v>
      </c>
      <c r="C11629" s="188">
        <v>5.14</v>
      </c>
      <c r="D11629" s="104">
        <f t="shared" si="181"/>
        <v>5.1399999999999994E-2</v>
      </c>
      <c r="F11629" s="5"/>
    </row>
    <row r="11630" spans="2:6" ht="13.8" hidden="1" outlineLevel="1">
      <c r="B11630" s="187">
        <v>38888</v>
      </c>
      <c r="C11630" s="188">
        <v>5.15</v>
      </c>
      <c r="D11630" s="104">
        <f t="shared" si="181"/>
        <v>5.1500000000000004E-2</v>
      </c>
      <c r="F11630" s="5"/>
    </row>
    <row r="11631" spans="2:6" ht="13.8" hidden="1" outlineLevel="1">
      <c r="B11631" s="187">
        <v>38889</v>
      </c>
      <c r="C11631" s="188">
        <v>5.16</v>
      </c>
      <c r="D11631" s="104">
        <f t="shared" si="181"/>
        <v>5.16E-2</v>
      </c>
      <c r="F11631" s="5"/>
    </row>
    <row r="11632" spans="2:6" ht="13.8" hidden="1" outlineLevel="1">
      <c r="B11632" s="187">
        <v>38890</v>
      </c>
      <c r="C11632" s="188">
        <v>5.2</v>
      </c>
      <c r="D11632" s="104">
        <f t="shared" si="181"/>
        <v>5.2000000000000005E-2</v>
      </c>
      <c r="F11632" s="5"/>
    </row>
    <row r="11633" spans="2:6" ht="13.8" hidden="1" outlineLevel="1">
      <c r="B11633" s="187">
        <v>38891</v>
      </c>
      <c r="C11633" s="188">
        <v>5.23</v>
      </c>
      <c r="D11633" s="104">
        <f t="shared" si="181"/>
        <v>5.2300000000000006E-2</v>
      </c>
      <c r="F11633" s="5"/>
    </row>
    <row r="11634" spans="2:6" ht="13.8" hidden="1" outlineLevel="1">
      <c r="B11634" s="187">
        <v>38894</v>
      </c>
      <c r="C11634" s="188">
        <v>5.25</v>
      </c>
      <c r="D11634" s="104">
        <f t="shared" si="181"/>
        <v>5.2499999999999998E-2</v>
      </c>
      <c r="F11634" s="5"/>
    </row>
    <row r="11635" spans="2:6" ht="13.8" hidden="1" outlineLevel="1">
      <c r="B11635" s="187">
        <v>38895</v>
      </c>
      <c r="C11635" s="188">
        <v>5.21</v>
      </c>
      <c r="D11635" s="104">
        <f t="shared" si="181"/>
        <v>5.21E-2</v>
      </c>
      <c r="F11635" s="5"/>
    </row>
    <row r="11636" spans="2:6" ht="13.8" hidden="1" outlineLevel="1">
      <c r="B11636" s="187">
        <v>38896</v>
      </c>
      <c r="C11636" s="188">
        <v>5.25</v>
      </c>
      <c r="D11636" s="104">
        <f t="shared" si="181"/>
        <v>5.2499999999999998E-2</v>
      </c>
      <c r="F11636" s="5"/>
    </row>
    <row r="11637" spans="2:6" ht="13.8" hidden="1" outlineLevel="1">
      <c r="B11637" s="187">
        <v>38897</v>
      </c>
      <c r="C11637" s="188">
        <v>5.22</v>
      </c>
      <c r="D11637" s="104">
        <f t="shared" si="181"/>
        <v>5.2199999999999996E-2</v>
      </c>
      <c r="F11637" s="5"/>
    </row>
    <row r="11638" spans="2:6" ht="13.8" hidden="1" outlineLevel="1">
      <c r="B11638" s="187">
        <v>38898</v>
      </c>
      <c r="C11638" s="188">
        <v>5.15</v>
      </c>
      <c r="D11638" s="104">
        <f t="shared" si="181"/>
        <v>5.1500000000000004E-2</v>
      </c>
      <c r="F11638" s="5"/>
    </row>
    <row r="11639" spans="2:6" ht="13.8" hidden="1" outlineLevel="1">
      <c r="B11639" s="187">
        <v>38901</v>
      </c>
      <c r="C11639" s="188">
        <v>5.15</v>
      </c>
      <c r="D11639" s="104">
        <f t="shared" si="181"/>
        <v>5.1500000000000004E-2</v>
      </c>
      <c r="F11639" s="5"/>
    </row>
    <row r="11640" spans="2:6" ht="13.8" hidden="1" outlineLevel="1">
      <c r="B11640" s="187">
        <v>38902</v>
      </c>
      <c r="C11640" s="188" t="s">
        <v>380</v>
      </c>
      <c r="D11640" s="104">
        <f t="shared" si="181"/>
        <v>5.1500000000000004E-2</v>
      </c>
      <c r="F11640" s="5"/>
    </row>
    <row r="11641" spans="2:6" ht="13.8" hidden="1" outlineLevel="1">
      <c r="B11641" s="187">
        <v>38903</v>
      </c>
      <c r="C11641" s="188">
        <v>5.23</v>
      </c>
      <c r="D11641" s="104">
        <f t="shared" si="181"/>
        <v>5.2300000000000006E-2</v>
      </c>
      <c r="F11641" s="5"/>
    </row>
    <row r="11642" spans="2:6" ht="13.8" hidden="1" outlineLevel="1">
      <c r="B11642" s="187">
        <v>38904</v>
      </c>
      <c r="C11642" s="188">
        <v>5.19</v>
      </c>
      <c r="D11642" s="104">
        <f t="shared" si="181"/>
        <v>5.1900000000000002E-2</v>
      </c>
      <c r="F11642" s="5"/>
    </row>
    <row r="11643" spans="2:6" ht="13.8" hidden="1" outlineLevel="1">
      <c r="B11643" s="187">
        <v>38905</v>
      </c>
      <c r="C11643" s="188">
        <v>5.14</v>
      </c>
      <c r="D11643" s="104">
        <f t="shared" si="181"/>
        <v>5.1399999999999994E-2</v>
      </c>
      <c r="F11643" s="5"/>
    </row>
    <row r="11644" spans="2:6" ht="13.8" hidden="1" outlineLevel="1">
      <c r="B11644" s="187">
        <v>38908</v>
      </c>
      <c r="C11644" s="188">
        <v>5.13</v>
      </c>
      <c r="D11644" s="104">
        <f t="shared" si="181"/>
        <v>5.1299999999999998E-2</v>
      </c>
      <c r="F11644" s="5"/>
    </row>
    <row r="11645" spans="2:6" ht="13.8" hidden="1" outlineLevel="1">
      <c r="B11645" s="187">
        <v>38909</v>
      </c>
      <c r="C11645" s="188">
        <v>5.0999999999999996</v>
      </c>
      <c r="D11645" s="104">
        <f t="shared" si="181"/>
        <v>5.0999999999999997E-2</v>
      </c>
      <c r="F11645" s="5"/>
    </row>
    <row r="11646" spans="2:6" ht="13.8" hidden="1" outlineLevel="1">
      <c r="B11646" s="187">
        <v>38910</v>
      </c>
      <c r="C11646" s="188">
        <v>5.0999999999999996</v>
      </c>
      <c r="D11646" s="104">
        <f t="shared" si="181"/>
        <v>5.0999999999999997E-2</v>
      </c>
      <c r="F11646" s="5"/>
    </row>
    <row r="11647" spans="2:6" ht="13.8" hidden="1" outlineLevel="1">
      <c r="B11647" s="187">
        <v>38911</v>
      </c>
      <c r="C11647" s="188">
        <v>5.08</v>
      </c>
      <c r="D11647" s="104">
        <f t="shared" si="181"/>
        <v>5.0799999999999998E-2</v>
      </c>
      <c r="F11647" s="5"/>
    </row>
    <row r="11648" spans="2:6" ht="13.8" hidden="1" outlineLevel="1">
      <c r="B11648" s="187">
        <v>38912</v>
      </c>
      <c r="C11648" s="188">
        <v>5.07</v>
      </c>
      <c r="D11648" s="104">
        <f t="shared" si="181"/>
        <v>5.0700000000000002E-2</v>
      </c>
      <c r="F11648" s="5"/>
    </row>
    <row r="11649" spans="2:6" ht="13.8" hidden="1" outlineLevel="1">
      <c r="B11649" s="187">
        <v>38915</v>
      </c>
      <c r="C11649" s="188">
        <v>5.07</v>
      </c>
      <c r="D11649" s="104">
        <f t="shared" si="181"/>
        <v>5.0700000000000002E-2</v>
      </c>
      <c r="F11649" s="5"/>
    </row>
    <row r="11650" spans="2:6" ht="13.8" hidden="1" outlineLevel="1">
      <c r="B11650" s="187">
        <v>38916</v>
      </c>
      <c r="C11650" s="188">
        <v>5.13</v>
      </c>
      <c r="D11650" s="104">
        <f t="shared" si="181"/>
        <v>5.1299999999999998E-2</v>
      </c>
      <c r="F11650" s="5"/>
    </row>
    <row r="11651" spans="2:6" ht="13.8" hidden="1" outlineLevel="1">
      <c r="B11651" s="187">
        <v>38917</v>
      </c>
      <c r="C11651" s="188">
        <v>5.0599999999999996</v>
      </c>
      <c r="D11651" s="104">
        <f t="shared" si="181"/>
        <v>5.0599999999999999E-2</v>
      </c>
      <c r="F11651" s="5"/>
    </row>
    <row r="11652" spans="2:6" ht="13.8" hidden="1" outlineLevel="1">
      <c r="B11652" s="187">
        <v>38918</v>
      </c>
      <c r="C11652" s="188">
        <v>5.03</v>
      </c>
      <c r="D11652" s="104">
        <f t="shared" si="181"/>
        <v>5.0300000000000004E-2</v>
      </c>
      <c r="F11652" s="5"/>
    </row>
    <row r="11653" spans="2:6" ht="13.8" hidden="1" outlineLevel="1">
      <c r="B11653" s="187">
        <v>38919</v>
      </c>
      <c r="C11653" s="188">
        <v>5.05</v>
      </c>
      <c r="D11653" s="104">
        <f t="shared" si="181"/>
        <v>5.0499999999999996E-2</v>
      </c>
      <c r="F11653" s="5"/>
    </row>
    <row r="11654" spans="2:6" ht="13.8" hidden="1" outlineLevel="1">
      <c r="B11654" s="187">
        <v>38922</v>
      </c>
      <c r="C11654" s="188">
        <v>5.05</v>
      </c>
      <c r="D11654" s="104">
        <f t="shared" si="181"/>
        <v>5.0499999999999996E-2</v>
      </c>
      <c r="F11654" s="5"/>
    </row>
    <row r="11655" spans="2:6" ht="13.8" hidden="1" outlineLevel="1">
      <c r="B11655" s="187">
        <v>38923</v>
      </c>
      <c r="C11655" s="188">
        <v>5.07</v>
      </c>
      <c r="D11655" s="104">
        <f t="shared" si="181"/>
        <v>5.0700000000000002E-2</v>
      </c>
      <c r="F11655" s="5"/>
    </row>
    <row r="11656" spans="2:6" ht="13.8" hidden="1" outlineLevel="1">
      <c r="B11656" s="187">
        <v>38924</v>
      </c>
      <c r="C11656" s="188">
        <v>5.04</v>
      </c>
      <c r="D11656" s="104">
        <f t="shared" si="181"/>
        <v>5.04E-2</v>
      </c>
      <c r="F11656" s="5"/>
    </row>
    <row r="11657" spans="2:6" ht="13.8" hidden="1" outlineLevel="1">
      <c r="B11657" s="187">
        <v>38925</v>
      </c>
      <c r="C11657" s="188">
        <v>5.07</v>
      </c>
      <c r="D11657" s="104">
        <f t="shared" si="181"/>
        <v>5.0700000000000002E-2</v>
      </c>
      <c r="F11657" s="5"/>
    </row>
    <row r="11658" spans="2:6" ht="13.8" hidden="1" outlineLevel="1">
      <c r="B11658" s="187">
        <v>38926</v>
      </c>
      <c r="C11658" s="188">
        <v>5</v>
      </c>
      <c r="D11658" s="104">
        <f t="shared" si="181"/>
        <v>0.05</v>
      </c>
      <c r="F11658" s="5"/>
    </row>
    <row r="11659" spans="2:6" ht="13.8" hidden="1" outlineLevel="1">
      <c r="B11659" s="187">
        <v>38929</v>
      </c>
      <c r="C11659" s="188">
        <v>4.99</v>
      </c>
      <c r="D11659" s="104">
        <f t="shared" si="181"/>
        <v>4.99E-2</v>
      </c>
      <c r="F11659" s="5"/>
    </row>
    <row r="11660" spans="2:6" ht="13.8" hidden="1" outlineLevel="1">
      <c r="B11660" s="187">
        <v>38930</v>
      </c>
      <c r="C11660" s="188">
        <v>4.99</v>
      </c>
      <c r="D11660" s="104">
        <f t="shared" si="181"/>
        <v>4.99E-2</v>
      </c>
      <c r="F11660" s="5"/>
    </row>
    <row r="11661" spans="2:6" ht="13.8" hidden="1" outlineLevel="1">
      <c r="B11661" s="187">
        <v>38931</v>
      </c>
      <c r="C11661" s="188">
        <v>4.96</v>
      </c>
      <c r="D11661" s="104">
        <f t="shared" si="181"/>
        <v>4.9599999999999998E-2</v>
      </c>
      <c r="F11661" s="5"/>
    </row>
    <row r="11662" spans="2:6" ht="13.8" hidden="1" outlineLevel="1">
      <c r="B11662" s="187">
        <v>38932</v>
      </c>
      <c r="C11662" s="188">
        <v>4.96</v>
      </c>
      <c r="D11662" s="104">
        <f t="shared" si="181"/>
        <v>4.9599999999999998E-2</v>
      </c>
      <c r="F11662" s="5"/>
    </row>
    <row r="11663" spans="2:6" ht="13.8" hidden="1" outlineLevel="1">
      <c r="B11663" s="187">
        <v>38933</v>
      </c>
      <c r="C11663" s="188">
        <v>4.91</v>
      </c>
      <c r="D11663" s="104">
        <f t="shared" si="181"/>
        <v>4.9100000000000005E-2</v>
      </c>
      <c r="F11663" s="5"/>
    </row>
    <row r="11664" spans="2:6" ht="13.8" hidden="1" outlineLevel="1">
      <c r="B11664" s="187">
        <v>38936</v>
      </c>
      <c r="C11664" s="188">
        <v>4.93</v>
      </c>
      <c r="D11664" s="104">
        <f t="shared" si="181"/>
        <v>4.9299999999999997E-2</v>
      </c>
      <c r="F11664" s="5"/>
    </row>
    <row r="11665" spans="2:6" ht="13.8" hidden="1" outlineLevel="1">
      <c r="B11665" s="187">
        <v>38937</v>
      </c>
      <c r="C11665" s="188">
        <v>4.93</v>
      </c>
      <c r="D11665" s="104">
        <f t="shared" si="181"/>
        <v>4.9299999999999997E-2</v>
      </c>
      <c r="F11665" s="5"/>
    </row>
    <row r="11666" spans="2:6" ht="13.8" hidden="1" outlineLevel="1">
      <c r="B11666" s="187">
        <v>38938</v>
      </c>
      <c r="C11666" s="188">
        <v>4.92</v>
      </c>
      <c r="D11666" s="104">
        <f t="shared" si="181"/>
        <v>4.9200000000000001E-2</v>
      </c>
      <c r="F11666" s="5"/>
    </row>
    <row r="11667" spans="2:6" ht="13.8" hidden="1" outlineLevel="1">
      <c r="B11667" s="187">
        <v>38939</v>
      </c>
      <c r="C11667" s="188">
        <v>4.93</v>
      </c>
      <c r="D11667" s="104">
        <f t="shared" si="181"/>
        <v>4.9299999999999997E-2</v>
      </c>
      <c r="F11667" s="5"/>
    </row>
    <row r="11668" spans="2:6" ht="13.8" hidden="1" outlineLevel="1">
      <c r="B11668" s="187">
        <v>38940</v>
      </c>
      <c r="C11668" s="188">
        <v>4.97</v>
      </c>
      <c r="D11668" s="104">
        <f t="shared" si="181"/>
        <v>4.9699999999999994E-2</v>
      </c>
      <c r="F11668" s="5"/>
    </row>
    <row r="11669" spans="2:6" ht="13.8" hidden="1" outlineLevel="1">
      <c r="B11669" s="187">
        <v>38943</v>
      </c>
      <c r="C11669" s="188">
        <v>5</v>
      </c>
      <c r="D11669" s="104">
        <f t="shared" si="181"/>
        <v>0.05</v>
      </c>
      <c r="F11669" s="5"/>
    </row>
    <row r="11670" spans="2:6" ht="13.8" hidden="1" outlineLevel="1">
      <c r="B11670" s="187">
        <v>38944</v>
      </c>
      <c r="C11670" s="188">
        <v>4.93</v>
      </c>
      <c r="D11670" s="104">
        <f t="shared" si="181"/>
        <v>4.9299999999999997E-2</v>
      </c>
      <c r="F11670" s="5"/>
    </row>
    <row r="11671" spans="2:6" ht="13.8" hidden="1" outlineLevel="1">
      <c r="B11671" s="187">
        <v>38945</v>
      </c>
      <c r="C11671" s="188">
        <v>4.87</v>
      </c>
      <c r="D11671" s="104">
        <f t="shared" si="181"/>
        <v>4.87E-2</v>
      </c>
      <c r="F11671" s="5"/>
    </row>
    <row r="11672" spans="2:6" ht="13.8" hidden="1" outlineLevel="1">
      <c r="B11672" s="187">
        <v>38946</v>
      </c>
      <c r="C11672" s="188">
        <v>4.87</v>
      </c>
      <c r="D11672" s="104">
        <f t="shared" si="181"/>
        <v>4.87E-2</v>
      </c>
      <c r="F11672" s="5"/>
    </row>
    <row r="11673" spans="2:6" ht="13.8" hidden="1" outlineLevel="1">
      <c r="B11673" s="187">
        <v>38947</v>
      </c>
      <c r="C11673" s="188">
        <v>4.84</v>
      </c>
      <c r="D11673" s="104">
        <f t="shared" si="181"/>
        <v>4.8399999999999999E-2</v>
      </c>
      <c r="F11673" s="5"/>
    </row>
    <row r="11674" spans="2:6" ht="13.8" hidden="1" outlineLevel="1">
      <c r="B11674" s="187">
        <v>38950</v>
      </c>
      <c r="C11674" s="188">
        <v>4.82</v>
      </c>
      <c r="D11674" s="104">
        <f t="shared" si="181"/>
        <v>4.82E-2</v>
      </c>
      <c r="F11674" s="5"/>
    </row>
    <row r="11675" spans="2:6" ht="13.8" hidden="1" outlineLevel="1">
      <c r="B11675" s="187">
        <v>38951</v>
      </c>
      <c r="C11675" s="188">
        <v>4.82</v>
      </c>
      <c r="D11675" s="104">
        <f t="shared" si="181"/>
        <v>4.82E-2</v>
      </c>
      <c r="F11675" s="5"/>
    </row>
    <row r="11676" spans="2:6" ht="13.8" hidden="1" outlineLevel="1">
      <c r="B11676" s="187">
        <v>38952</v>
      </c>
      <c r="C11676" s="188">
        <v>4.82</v>
      </c>
      <c r="D11676" s="104">
        <f t="shared" si="181"/>
        <v>4.82E-2</v>
      </c>
      <c r="F11676" s="5"/>
    </row>
    <row r="11677" spans="2:6" ht="13.8" hidden="1" outlineLevel="1">
      <c r="B11677" s="187">
        <v>38953</v>
      </c>
      <c r="C11677" s="188">
        <v>4.8099999999999996</v>
      </c>
      <c r="D11677" s="104">
        <f t="shared" si="181"/>
        <v>4.8099999999999997E-2</v>
      </c>
      <c r="F11677" s="5"/>
    </row>
    <row r="11678" spans="2:6" ht="13.8" hidden="1" outlineLevel="1">
      <c r="B11678" s="187">
        <v>38954</v>
      </c>
      <c r="C11678" s="188">
        <v>4.79</v>
      </c>
      <c r="D11678" s="104">
        <f t="shared" ref="D11678:D11741" si="182">IF( LEN( C11678 ) = 0, #N/A, IF( C11678 = "ND", D11677, C11678 / 100 ) )</f>
        <v>4.7899999999999998E-2</v>
      </c>
      <c r="F11678" s="5"/>
    </row>
    <row r="11679" spans="2:6" ht="13.8" hidden="1" outlineLevel="1">
      <c r="B11679" s="187">
        <v>38957</v>
      </c>
      <c r="C11679" s="188">
        <v>4.8</v>
      </c>
      <c r="D11679" s="104">
        <f t="shared" si="182"/>
        <v>4.8000000000000001E-2</v>
      </c>
      <c r="F11679" s="5"/>
    </row>
    <row r="11680" spans="2:6" ht="13.8" hidden="1" outlineLevel="1">
      <c r="B11680" s="187">
        <v>38958</v>
      </c>
      <c r="C11680" s="188">
        <v>4.79</v>
      </c>
      <c r="D11680" s="104">
        <f t="shared" si="182"/>
        <v>4.7899999999999998E-2</v>
      </c>
      <c r="F11680" s="5"/>
    </row>
    <row r="11681" spans="2:6" ht="13.8" hidden="1" outlineLevel="1">
      <c r="B11681" s="187">
        <v>38959</v>
      </c>
      <c r="C11681" s="188">
        <v>4.76</v>
      </c>
      <c r="D11681" s="104">
        <f t="shared" si="182"/>
        <v>4.7599999999999996E-2</v>
      </c>
      <c r="F11681" s="5"/>
    </row>
    <row r="11682" spans="2:6" ht="13.8" hidden="1" outlineLevel="1">
      <c r="B11682" s="187">
        <v>38960</v>
      </c>
      <c r="C11682" s="188">
        <v>4.74</v>
      </c>
      <c r="D11682" s="104">
        <f t="shared" si="182"/>
        <v>4.7400000000000005E-2</v>
      </c>
      <c r="F11682" s="5"/>
    </row>
    <row r="11683" spans="2:6" ht="13.8" hidden="1" outlineLevel="1">
      <c r="B11683" s="187">
        <v>38961</v>
      </c>
      <c r="C11683" s="188">
        <v>4.7300000000000004</v>
      </c>
      <c r="D11683" s="104">
        <f t="shared" si="182"/>
        <v>4.7300000000000002E-2</v>
      </c>
      <c r="F11683" s="5"/>
    </row>
    <row r="11684" spans="2:6" ht="13.8" hidden="1" outlineLevel="1">
      <c r="B11684" s="187">
        <v>38964</v>
      </c>
      <c r="C11684" s="188" t="s">
        <v>380</v>
      </c>
      <c r="D11684" s="104">
        <f t="shared" si="182"/>
        <v>4.7300000000000002E-2</v>
      </c>
      <c r="F11684" s="5"/>
    </row>
    <row r="11685" spans="2:6" ht="13.8" hidden="1" outlineLevel="1">
      <c r="B11685" s="187">
        <v>38965</v>
      </c>
      <c r="C11685" s="188">
        <v>4.78</v>
      </c>
      <c r="D11685" s="104">
        <f t="shared" si="182"/>
        <v>4.7800000000000002E-2</v>
      </c>
      <c r="F11685" s="5"/>
    </row>
    <row r="11686" spans="2:6" ht="13.8" hidden="1" outlineLevel="1">
      <c r="B11686" s="187">
        <v>38966</v>
      </c>
      <c r="C11686" s="188">
        <v>4.8</v>
      </c>
      <c r="D11686" s="104">
        <f t="shared" si="182"/>
        <v>4.8000000000000001E-2</v>
      </c>
      <c r="F11686" s="5"/>
    </row>
    <row r="11687" spans="2:6" ht="13.8" hidden="1" outlineLevel="1">
      <c r="B11687" s="187">
        <v>38967</v>
      </c>
      <c r="C11687" s="188">
        <v>4.8</v>
      </c>
      <c r="D11687" s="104">
        <f t="shared" si="182"/>
        <v>4.8000000000000001E-2</v>
      </c>
      <c r="F11687" s="5"/>
    </row>
    <row r="11688" spans="2:6" ht="13.8" hidden="1" outlineLevel="1">
      <c r="B11688" s="187">
        <v>38968</v>
      </c>
      <c r="C11688" s="188">
        <v>4.78</v>
      </c>
      <c r="D11688" s="104">
        <f t="shared" si="182"/>
        <v>4.7800000000000002E-2</v>
      </c>
      <c r="F11688" s="5"/>
    </row>
    <row r="11689" spans="2:6" ht="13.8" hidden="1" outlineLevel="1">
      <c r="B11689" s="187">
        <v>38971</v>
      </c>
      <c r="C11689" s="188">
        <v>4.8</v>
      </c>
      <c r="D11689" s="104">
        <f t="shared" si="182"/>
        <v>4.8000000000000001E-2</v>
      </c>
      <c r="F11689" s="5"/>
    </row>
    <row r="11690" spans="2:6" ht="13.8" hidden="1" outlineLevel="1">
      <c r="B11690" s="187">
        <v>38972</v>
      </c>
      <c r="C11690" s="188">
        <v>4.78</v>
      </c>
      <c r="D11690" s="104">
        <f t="shared" si="182"/>
        <v>4.7800000000000002E-2</v>
      </c>
      <c r="F11690" s="5"/>
    </row>
    <row r="11691" spans="2:6" ht="13.8" hidden="1" outlineLevel="1">
      <c r="B11691" s="187">
        <v>38973</v>
      </c>
      <c r="C11691" s="188">
        <v>4.7699999999999996</v>
      </c>
      <c r="D11691" s="104">
        <f t="shared" si="182"/>
        <v>4.7699999999999992E-2</v>
      </c>
      <c r="F11691" s="5"/>
    </row>
    <row r="11692" spans="2:6" ht="13.8" hidden="1" outlineLevel="1">
      <c r="B11692" s="187">
        <v>38974</v>
      </c>
      <c r="C11692" s="188">
        <v>4.79</v>
      </c>
      <c r="D11692" s="104">
        <f t="shared" si="182"/>
        <v>4.7899999999999998E-2</v>
      </c>
      <c r="F11692" s="5"/>
    </row>
    <row r="11693" spans="2:6" ht="13.8" hidden="1" outlineLevel="1">
      <c r="B11693" s="187">
        <v>38975</v>
      </c>
      <c r="C11693" s="188">
        <v>4.8</v>
      </c>
      <c r="D11693" s="104">
        <f t="shared" si="182"/>
        <v>4.8000000000000001E-2</v>
      </c>
      <c r="F11693" s="5"/>
    </row>
    <row r="11694" spans="2:6" ht="13.8" hidden="1" outlineLevel="1">
      <c r="B11694" s="187">
        <v>38978</v>
      </c>
      <c r="C11694" s="188">
        <v>4.8099999999999996</v>
      </c>
      <c r="D11694" s="104">
        <f t="shared" si="182"/>
        <v>4.8099999999999997E-2</v>
      </c>
      <c r="F11694" s="5"/>
    </row>
    <row r="11695" spans="2:6" ht="13.8" hidden="1" outlineLevel="1">
      <c r="B11695" s="187">
        <v>38979</v>
      </c>
      <c r="C11695" s="188">
        <v>4.74</v>
      </c>
      <c r="D11695" s="104">
        <f t="shared" si="182"/>
        <v>4.7400000000000005E-2</v>
      </c>
      <c r="F11695" s="5"/>
    </row>
    <row r="11696" spans="2:6" ht="13.8" hidden="1" outlineLevel="1">
      <c r="B11696" s="187">
        <v>38980</v>
      </c>
      <c r="C11696" s="188">
        <v>4.7300000000000004</v>
      </c>
      <c r="D11696" s="104">
        <f t="shared" si="182"/>
        <v>4.7300000000000002E-2</v>
      </c>
      <c r="F11696" s="5"/>
    </row>
    <row r="11697" spans="2:6" ht="13.8" hidden="1" outlineLevel="1">
      <c r="B11697" s="187">
        <v>38981</v>
      </c>
      <c r="C11697" s="188">
        <v>4.6500000000000004</v>
      </c>
      <c r="D11697" s="104">
        <f t="shared" si="182"/>
        <v>4.6500000000000007E-2</v>
      </c>
      <c r="F11697" s="5"/>
    </row>
    <row r="11698" spans="2:6" ht="13.8" hidden="1" outlineLevel="1">
      <c r="B11698" s="187">
        <v>38982</v>
      </c>
      <c r="C11698" s="188">
        <v>4.5999999999999996</v>
      </c>
      <c r="D11698" s="104">
        <f t="shared" si="182"/>
        <v>4.5999999999999999E-2</v>
      </c>
      <c r="F11698" s="5"/>
    </row>
    <row r="11699" spans="2:6" ht="13.8" hidden="1" outlineLevel="1">
      <c r="B11699" s="187">
        <v>38985</v>
      </c>
      <c r="C11699" s="188">
        <v>4.5599999999999996</v>
      </c>
      <c r="D11699" s="104">
        <f t="shared" si="182"/>
        <v>4.5599999999999995E-2</v>
      </c>
      <c r="F11699" s="5"/>
    </row>
    <row r="11700" spans="2:6" ht="13.8" hidden="1" outlineLevel="1">
      <c r="B11700" s="187">
        <v>38986</v>
      </c>
      <c r="C11700" s="188">
        <v>4.59</v>
      </c>
      <c r="D11700" s="104">
        <f t="shared" si="182"/>
        <v>4.5899999999999996E-2</v>
      </c>
      <c r="F11700" s="5"/>
    </row>
    <row r="11701" spans="2:6" ht="13.8" hidden="1" outlineLevel="1">
      <c r="B11701" s="187">
        <v>38987</v>
      </c>
      <c r="C11701" s="188">
        <v>4.5999999999999996</v>
      </c>
      <c r="D11701" s="104">
        <f t="shared" si="182"/>
        <v>4.5999999999999999E-2</v>
      </c>
      <c r="F11701" s="5"/>
    </row>
    <row r="11702" spans="2:6" ht="13.8" hidden="1" outlineLevel="1">
      <c r="B11702" s="187">
        <v>38988</v>
      </c>
      <c r="C11702" s="188">
        <v>4.63</v>
      </c>
      <c r="D11702" s="104">
        <f t="shared" si="182"/>
        <v>4.6300000000000001E-2</v>
      </c>
      <c r="F11702" s="5"/>
    </row>
    <row r="11703" spans="2:6" ht="13.8" hidden="1" outlineLevel="1">
      <c r="B11703" s="187">
        <v>38989</v>
      </c>
      <c r="C11703" s="188">
        <v>4.6399999999999997</v>
      </c>
      <c r="D11703" s="104">
        <f t="shared" si="182"/>
        <v>4.6399999999999997E-2</v>
      </c>
      <c r="F11703" s="5"/>
    </row>
    <row r="11704" spans="2:6" ht="13.8" hidden="1" outlineLevel="1">
      <c r="B11704" s="187">
        <v>38992</v>
      </c>
      <c r="C11704" s="188">
        <v>4.62</v>
      </c>
      <c r="D11704" s="104">
        <f t="shared" si="182"/>
        <v>4.6199999999999998E-2</v>
      </c>
      <c r="F11704" s="5"/>
    </row>
    <row r="11705" spans="2:6" ht="13.8" hidden="1" outlineLevel="1">
      <c r="B11705" s="187">
        <v>38993</v>
      </c>
      <c r="C11705" s="188">
        <v>4.62</v>
      </c>
      <c r="D11705" s="104">
        <f t="shared" si="182"/>
        <v>4.6199999999999998E-2</v>
      </c>
      <c r="F11705" s="5"/>
    </row>
    <row r="11706" spans="2:6" ht="13.8" hidden="1" outlineLevel="1">
      <c r="B11706" s="187">
        <v>38994</v>
      </c>
      <c r="C11706" s="188">
        <v>4.57</v>
      </c>
      <c r="D11706" s="104">
        <f t="shared" si="182"/>
        <v>4.5700000000000005E-2</v>
      </c>
      <c r="F11706" s="5"/>
    </row>
    <row r="11707" spans="2:6" ht="13.8" hidden="1" outlineLevel="1">
      <c r="B11707" s="187">
        <v>38995</v>
      </c>
      <c r="C11707" s="188">
        <v>4.6100000000000003</v>
      </c>
      <c r="D11707" s="104">
        <f t="shared" si="182"/>
        <v>4.6100000000000002E-2</v>
      </c>
      <c r="F11707" s="5"/>
    </row>
    <row r="11708" spans="2:6" ht="13.8" hidden="1" outlineLevel="1">
      <c r="B11708" s="187">
        <v>38996</v>
      </c>
      <c r="C11708" s="188">
        <v>4.7</v>
      </c>
      <c r="D11708" s="104">
        <f t="shared" si="182"/>
        <v>4.7E-2</v>
      </c>
      <c r="F11708" s="5"/>
    </row>
    <row r="11709" spans="2:6" ht="13.8" hidden="1" outlineLevel="1">
      <c r="B11709" s="187">
        <v>38999</v>
      </c>
      <c r="C11709" s="188" t="s">
        <v>380</v>
      </c>
      <c r="D11709" s="104">
        <f t="shared" si="182"/>
        <v>4.7E-2</v>
      </c>
      <c r="F11709" s="5"/>
    </row>
    <row r="11710" spans="2:6" ht="13.8" hidden="1" outlineLevel="1">
      <c r="B11710" s="187">
        <v>39000</v>
      </c>
      <c r="C11710" s="188">
        <v>4.75</v>
      </c>
      <c r="D11710" s="104">
        <f t="shared" si="182"/>
        <v>4.7500000000000001E-2</v>
      </c>
      <c r="F11710" s="5"/>
    </row>
    <row r="11711" spans="2:6" ht="13.8" hidden="1" outlineLevel="1">
      <c r="B11711" s="187">
        <v>39001</v>
      </c>
      <c r="C11711" s="188">
        <v>4.78</v>
      </c>
      <c r="D11711" s="104">
        <f t="shared" si="182"/>
        <v>4.7800000000000002E-2</v>
      </c>
      <c r="F11711" s="5"/>
    </row>
    <row r="11712" spans="2:6" ht="13.8" hidden="1" outlineLevel="1">
      <c r="B11712" s="187">
        <v>39002</v>
      </c>
      <c r="C11712" s="188">
        <v>4.79</v>
      </c>
      <c r="D11712" s="104">
        <f t="shared" si="182"/>
        <v>4.7899999999999998E-2</v>
      </c>
      <c r="F11712" s="5"/>
    </row>
    <row r="11713" spans="2:6" ht="13.8" hidden="1" outlineLevel="1">
      <c r="B11713" s="187">
        <v>39003</v>
      </c>
      <c r="C11713" s="188">
        <v>4.8099999999999996</v>
      </c>
      <c r="D11713" s="104">
        <f t="shared" si="182"/>
        <v>4.8099999999999997E-2</v>
      </c>
      <c r="F11713" s="5"/>
    </row>
    <row r="11714" spans="2:6" ht="13.8" hidden="1" outlineLevel="1">
      <c r="B11714" s="187">
        <v>39006</v>
      </c>
      <c r="C11714" s="188">
        <v>4.79</v>
      </c>
      <c r="D11714" s="104">
        <f t="shared" si="182"/>
        <v>4.7899999999999998E-2</v>
      </c>
      <c r="F11714" s="5"/>
    </row>
    <row r="11715" spans="2:6" ht="13.8" hidden="1" outlineLevel="1">
      <c r="B11715" s="187">
        <v>39007</v>
      </c>
      <c r="C11715" s="188">
        <v>4.78</v>
      </c>
      <c r="D11715" s="104">
        <f t="shared" si="182"/>
        <v>4.7800000000000002E-2</v>
      </c>
      <c r="F11715" s="5"/>
    </row>
    <row r="11716" spans="2:6" ht="13.8" hidden="1" outlineLevel="1">
      <c r="B11716" s="187">
        <v>39008</v>
      </c>
      <c r="C11716" s="188">
        <v>4.7699999999999996</v>
      </c>
      <c r="D11716" s="104">
        <f t="shared" si="182"/>
        <v>4.7699999999999992E-2</v>
      </c>
      <c r="F11716" s="5"/>
    </row>
    <row r="11717" spans="2:6" ht="13.8" hidden="1" outlineLevel="1">
      <c r="B11717" s="187">
        <v>39009</v>
      </c>
      <c r="C11717" s="188">
        <v>4.79</v>
      </c>
      <c r="D11717" s="104">
        <f t="shared" si="182"/>
        <v>4.7899999999999998E-2</v>
      </c>
      <c r="F11717" s="5"/>
    </row>
    <row r="11718" spans="2:6" ht="13.8" hidden="1" outlineLevel="1">
      <c r="B11718" s="187">
        <v>39010</v>
      </c>
      <c r="C11718" s="188">
        <v>4.79</v>
      </c>
      <c r="D11718" s="104">
        <f t="shared" si="182"/>
        <v>4.7899999999999998E-2</v>
      </c>
      <c r="F11718" s="5"/>
    </row>
    <row r="11719" spans="2:6" ht="13.8" hidden="1" outlineLevel="1">
      <c r="B11719" s="187">
        <v>39013</v>
      </c>
      <c r="C11719" s="188">
        <v>4.83</v>
      </c>
      <c r="D11719" s="104">
        <f t="shared" si="182"/>
        <v>4.8300000000000003E-2</v>
      </c>
      <c r="F11719" s="5"/>
    </row>
    <row r="11720" spans="2:6" ht="13.8" hidden="1" outlineLevel="1">
      <c r="B11720" s="187">
        <v>39014</v>
      </c>
      <c r="C11720" s="188">
        <v>4.83</v>
      </c>
      <c r="D11720" s="104">
        <f t="shared" si="182"/>
        <v>4.8300000000000003E-2</v>
      </c>
      <c r="F11720" s="5"/>
    </row>
    <row r="11721" spans="2:6" ht="13.8" hidden="1" outlineLevel="1">
      <c r="B11721" s="187">
        <v>39015</v>
      </c>
      <c r="C11721" s="188">
        <v>4.78</v>
      </c>
      <c r="D11721" s="104">
        <f t="shared" si="182"/>
        <v>4.7800000000000002E-2</v>
      </c>
      <c r="F11721" s="5"/>
    </row>
    <row r="11722" spans="2:6" ht="13.8" hidden="1" outlineLevel="1">
      <c r="B11722" s="187">
        <v>39016</v>
      </c>
      <c r="C11722" s="188">
        <v>4.7300000000000004</v>
      </c>
      <c r="D11722" s="104">
        <f t="shared" si="182"/>
        <v>4.7300000000000002E-2</v>
      </c>
      <c r="F11722" s="5"/>
    </row>
    <row r="11723" spans="2:6" ht="13.8" hidden="1" outlineLevel="1">
      <c r="B11723" s="187">
        <v>39017</v>
      </c>
      <c r="C11723" s="188">
        <v>4.68</v>
      </c>
      <c r="D11723" s="104">
        <f t="shared" si="182"/>
        <v>4.6799999999999994E-2</v>
      </c>
      <c r="F11723" s="5"/>
    </row>
    <row r="11724" spans="2:6" ht="13.8" hidden="1" outlineLevel="1">
      <c r="B11724" s="187">
        <v>39020</v>
      </c>
      <c r="C11724" s="188">
        <v>4.68</v>
      </c>
      <c r="D11724" s="104">
        <f t="shared" si="182"/>
        <v>4.6799999999999994E-2</v>
      </c>
      <c r="F11724" s="5"/>
    </row>
    <row r="11725" spans="2:6" ht="13.8" hidden="1" outlineLevel="1">
      <c r="B11725" s="187">
        <v>39021</v>
      </c>
      <c r="C11725" s="188">
        <v>4.6100000000000003</v>
      </c>
      <c r="D11725" s="104">
        <f t="shared" si="182"/>
        <v>4.6100000000000002E-2</v>
      </c>
      <c r="F11725" s="5"/>
    </row>
    <row r="11726" spans="2:6" ht="13.8" hidden="1" outlineLevel="1">
      <c r="B11726" s="187">
        <v>39022</v>
      </c>
      <c r="C11726" s="188">
        <v>4.57</v>
      </c>
      <c r="D11726" s="104">
        <f t="shared" si="182"/>
        <v>4.5700000000000005E-2</v>
      </c>
      <c r="F11726" s="5"/>
    </row>
    <row r="11727" spans="2:6" ht="13.8" hidden="1" outlineLevel="1">
      <c r="B11727" s="187">
        <v>39023</v>
      </c>
      <c r="C11727" s="188">
        <v>4.5999999999999996</v>
      </c>
      <c r="D11727" s="104">
        <f t="shared" si="182"/>
        <v>4.5999999999999999E-2</v>
      </c>
      <c r="F11727" s="5"/>
    </row>
    <row r="11728" spans="2:6" ht="13.8" hidden="1" outlineLevel="1">
      <c r="B11728" s="187">
        <v>39024</v>
      </c>
      <c r="C11728" s="188">
        <v>4.72</v>
      </c>
      <c r="D11728" s="104">
        <f t="shared" si="182"/>
        <v>4.7199999999999999E-2</v>
      </c>
      <c r="F11728" s="5"/>
    </row>
    <row r="11729" spans="2:6" ht="13.8" hidden="1" outlineLevel="1">
      <c r="B11729" s="187">
        <v>39027</v>
      </c>
      <c r="C11729" s="188">
        <v>4.71</v>
      </c>
      <c r="D11729" s="104">
        <f t="shared" si="182"/>
        <v>4.7100000000000003E-2</v>
      </c>
      <c r="F11729" s="5"/>
    </row>
    <row r="11730" spans="2:6" ht="13.8" hidden="1" outlineLevel="1">
      <c r="B11730" s="187">
        <v>39028</v>
      </c>
      <c r="C11730" s="188">
        <v>4.66</v>
      </c>
      <c r="D11730" s="104">
        <f t="shared" si="182"/>
        <v>4.6600000000000003E-2</v>
      </c>
      <c r="F11730" s="5"/>
    </row>
    <row r="11731" spans="2:6" ht="13.8" hidden="1" outlineLevel="1">
      <c r="B11731" s="187">
        <v>39029</v>
      </c>
      <c r="C11731" s="188">
        <v>4.6399999999999997</v>
      </c>
      <c r="D11731" s="104">
        <f t="shared" si="182"/>
        <v>4.6399999999999997E-2</v>
      </c>
      <c r="F11731" s="5"/>
    </row>
    <row r="11732" spans="2:6" ht="13.8" hidden="1" outlineLevel="1">
      <c r="B11732" s="187">
        <v>39030</v>
      </c>
      <c r="C11732" s="188">
        <v>4.62</v>
      </c>
      <c r="D11732" s="104">
        <f t="shared" si="182"/>
        <v>4.6199999999999998E-2</v>
      </c>
      <c r="F11732" s="5"/>
    </row>
    <row r="11733" spans="2:6" ht="13.8" hidden="1" outlineLevel="1">
      <c r="B11733" s="187">
        <v>39031</v>
      </c>
      <c r="C11733" s="188">
        <v>4.59</v>
      </c>
      <c r="D11733" s="104">
        <f t="shared" si="182"/>
        <v>4.5899999999999996E-2</v>
      </c>
      <c r="F11733" s="5"/>
    </row>
    <row r="11734" spans="2:6" ht="13.8" hidden="1" outlineLevel="1">
      <c r="B11734" s="187">
        <v>39034</v>
      </c>
      <c r="C11734" s="188">
        <v>4.6100000000000003</v>
      </c>
      <c r="D11734" s="104">
        <f t="shared" si="182"/>
        <v>4.6100000000000002E-2</v>
      </c>
      <c r="F11734" s="5"/>
    </row>
    <row r="11735" spans="2:6" ht="13.8" hidden="1" outlineLevel="1">
      <c r="B11735" s="187">
        <v>39035</v>
      </c>
      <c r="C11735" s="188">
        <v>4.57</v>
      </c>
      <c r="D11735" s="104">
        <f t="shared" si="182"/>
        <v>4.5700000000000005E-2</v>
      </c>
      <c r="F11735" s="5"/>
    </row>
    <row r="11736" spans="2:6" ht="13.8" hidden="1" outlineLevel="1">
      <c r="B11736" s="187">
        <v>39036</v>
      </c>
      <c r="C11736" s="188">
        <v>4.6100000000000003</v>
      </c>
      <c r="D11736" s="104">
        <f t="shared" si="182"/>
        <v>4.6100000000000002E-2</v>
      </c>
      <c r="F11736" s="5"/>
    </row>
    <row r="11737" spans="2:6" ht="13.8" hidden="1" outlineLevel="1">
      <c r="B11737" s="187">
        <v>39037</v>
      </c>
      <c r="C11737" s="188">
        <v>4.66</v>
      </c>
      <c r="D11737" s="104">
        <f t="shared" si="182"/>
        <v>4.6600000000000003E-2</v>
      </c>
      <c r="F11737" s="5"/>
    </row>
    <row r="11738" spans="2:6" ht="13.8" hidden="1" outlineLevel="1">
      <c r="B11738" s="187">
        <v>39038</v>
      </c>
      <c r="C11738" s="188">
        <v>4.6100000000000003</v>
      </c>
      <c r="D11738" s="104">
        <f t="shared" si="182"/>
        <v>4.6100000000000002E-2</v>
      </c>
      <c r="F11738" s="5"/>
    </row>
    <row r="11739" spans="2:6" ht="13.8" hidden="1" outlineLevel="1">
      <c r="B11739" s="187">
        <v>39041</v>
      </c>
      <c r="C11739" s="188">
        <v>4.5999999999999996</v>
      </c>
      <c r="D11739" s="104">
        <f t="shared" si="182"/>
        <v>4.5999999999999999E-2</v>
      </c>
      <c r="F11739" s="5"/>
    </row>
    <row r="11740" spans="2:6" ht="13.8" hidden="1" outlineLevel="1">
      <c r="B11740" s="187">
        <v>39042</v>
      </c>
      <c r="C11740" s="188">
        <v>4.58</v>
      </c>
      <c r="D11740" s="104">
        <f t="shared" si="182"/>
        <v>4.58E-2</v>
      </c>
      <c r="F11740" s="5"/>
    </row>
    <row r="11741" spans="2:6" ht="13.8" hidden="1" outlineLevel="1">
      <c r="B11741" s="187">
        <v>39043</v>
      </c>
      <c r="C11741" s="188">
        <v>4.57</v>
      </c>
      <c r="D11741" s="104">
        <f t="shared" si="182"/>
        <v>4.5700000000000005E-2</v>
      </c>
      <c r="F11741" s="5"/>
    </row>
    <row r="11742" spans="2:6" ht="13.8" hidden="1" outlineLevel="1">
      <c r="B11742" s="187">
        <v>39044</v>
      </c>
      <c r="C11742" s="188" t="s">
        <v>380</v>
      </c>
      <c r="D11742" s="104">
        <f t="shared" ref="D11742:D11763" si="183">IF( LEN( C11742 ) = 0, #N/A, IF( C11742 = "ND", D11741, C11742 / 100 ) )</f>
        <v>4.5700000000000005E-2</v>
      </c>
      <c r="F11742" s="5"/>
    </row>
    <row r="11743" spans="2:6" ht="13.8" hidden="1" outlineLevel="1">
      <c r="B11743" s="187">
        <v>39045</v>
      </c>
      <c r="C11743" s="188">
        <v>4.55</v>
      </c>
      <c r="D11743" s="104">
        <f t="shared" si="183"/>
        <v>4.5499999999999999E-2</v>
      </c>
      <c r="F11743" s="5"/>
    </row>
    <row r="11744" spans="2:6" ht="13.8" hidden="1" outlineLevel="1">
      <c r="B11744" s="187">
        <v>39048</v>
      </c>
      <c r="C11744" s="188">
        <v>4.54</v>
      </c>
      <c r="D11744" s="104">
        <f t="shared" si="183"/>
        <v>4.5400000000000003E-2</v>
      </c>
      <c r="F11744" s="5"/>
    </row>
    <row r="11745" spans="2:6" ht="13.8" hidden="1" outlineLevel="1">
      <c r="B11745" s="187">
        <v>39049</v>
      </c>
      <c r="C11745" s="188">
        <v>4.51</v>
      </c>
      <c r="D11745" s="104">
        <f t="shared" si="183"/>
        <v>4.5100000000000001E-2</v>
      </c>
      <c r="F11745" s="5"/>
    </row>
    <row r="11746" spans="2:6" ht="13.8" hidden="1" outlineLevel="1">
      <c r="B11746" s="187">
        <v>39050</v>
      </c>
      <c r="C11746" s="188">
        <v>4.5199999999999996</v>
      </c>
      <c r="D11746" s="104">
        <f t="shared" si="183"/>
        <v>4.5199999999999997E-2</v>
      </c>
      <c r="F11746" s="5"/>
    </row>
    <row r="11747" spans="2:6" ht="13.8" hidden="1" outlineLevel="1">
      <c r="B11747" s="187">
        <v>39051</v>
      </c>
      <c r="C11747" s="188">
        <v>4.46</v>
      </c>
      <c r="D11747" s="104">
        <f t="shared" si="183"/>
        <v>4.4600000000000001E-2</v>
      </c>
      <c r="F11747" s="5"/>
    </row>
    <row r="11748" spans="2:6" ht="13.8" hidden="1" outlineLevel="1">
      <c r="B11748" s="187">
        <v>39052</v>
      </c>
      <c r="C11748" s="188">
        <v>4.43</v>
      </c>
      <c r="D11748" s="104">
        <f t="shared" si="183"/>
        <v>4.4299999999999999E-2</v>
      </c>
      <c r="F11748" s="5"/>
    </row>
    <row r="11749" spans="2:6" ht="13.8" hidden="1" outlineLevel="1">
      <c r="B11749" s="187">
        <v>39055</v>
      </c>
      <c r="C11749" s="188">
        <v>4.43</v>
      </c>
      <c r="D11749" s="104">
        <f t="shared" si="183"/>
        <v>4.4299999999999999E-2</v>
      </c>
      <c r="F11749" s="5"/>
    </row>
    <row r="11750" spans="2:6" ht="13.8" hidden="1" outlineLevel="1">
      <c r="B11750" s="187">
        <v>39056</v>
      </c>
      <c r="C11750" s="188">
        <v>4.45</v>
      </c>
      <c r="D11750" s="104">
        <f t="shared" si="183"/>
        <v>4.4500000000000005E-2</v>
      </c>
      <c r="F11750" s="5"/>
    </row>
    <row r="11751" spans="2:6" ht="13.8" hidden="1" outlineLevel="1">
      <c r="B11751" s="187">
        <v>39057</v>
      </c>
      <c r="C11751" s="188">
        <v>4.4800000000000004</v>
      </c>
      <c r="D11751" s="104">
        <f t="shared" si="183"/>
        <v>4.4800000000000006E-2</v>
      </c>
      <c r="F11751" s="5"/>
    </row>
    <row r="11752" spans="2:6" ht="13.8" hidden="1" outlineLevel="1">
      <c r="B11752" s="187">
        <v>39058</v>
      </c>
      <c r="C11752" s="188">
        <v>4.49</v>
      </c>
      <c r="D11752" s="104">
        <f t="shared" si="183"/>
        <v>4.4900000000000002E-2</v>
      </c>
      <c r="F11752" s="5"/>
    </row>
    <row r="11753" spans="2:6" ht="13.8" hidden="1" outlineLevel="1">
      <c r="B11753" s="187">
        <v>39059</v>
      </c>
      <c r="C11753" s="188">
        <v>4.5599999999999996</v>
      </c>
      <c r="D11753" s="104">
        <f t="shared" si="183"/>
        <v>4.5599999999999995E-2</v>
      </c>
      <c r="F11753" s="5"/>
    </row>
    <row r="11754" spans="2:6" ht="13.8" hidden="1" outlineLevel="1">
      <c r="B11754" s="187">
        <v>39062</v>
      </c>
      <c r="C11754" s="188">
        <v>4.5199999999999996</v>
      </c>
      <c r="D11754" s="104">
        <f t="shared" si="183"/>
        <v>4.5199999999999997E-2</v>
      </c>
      <c r="F11754" s="5"/>
    </row>
    <row r="11755" spans="2:6" ht="13.8" hidden="1" outlineLevel="1">
      <c r="B11755" s="187">
        <v>39063</v>
      </c>
      <c r="C11755" s="188">
        <v>4.49</v>
      </c>
      <c r="D11755" s="104">
        <f t="shared" si="183"/>
        <v>4.4900000000000002E-2</v>
      </c>
      <c r="F11755" s="5"/>
    </row>
    <row r="11756" spans="2:6" ht="13.8" hidden="1" outlineLevel="1">
      <c r="B11756" s="187">
        <v>39064</v>
      </c>
      <c r="C11756" s="188">
        <v>4.58</v>
      </c>
      <c r="D11756" s="104">
        <f t="shared" si="183"/>
        <v>4.58E-2</v>
      </c>
      <c r="F11756" s="5"/>
    </row>
    <row r="11757" spans="2:6" ht="13.8" hidden="1" outlineLevel="1">
      <c r="B11757" s="187">
        <v>39065</v>
      </c>
      <c r="C11757" s="188">
        <v>4.5999999999999996</v>
      </c>
      <c r="D11757" s="104">
        <f t="shared" si="183"/>
        <v>4.5999999999999999E-2</v>
      </c>
      <c r="F11757" s="5"/>
    </row>
    <row r="11758" spans="2:6" ht="13.8" hidden="1" outlineLevel="1">
      <c r="B11758" s="187">
        <v>39066</v>
      </c>
      <c r="C11758" s="188">
        <v>4.5999999999999996</v>
      </c>
      <c r="D11758" s="104">
        <f t="shared" si="183"/>
        <v>4.5999999999999999E-2</v>
      </c>
      <c r="F11758" s="5"/>
    </row>
    <row r="11759" spans="2:6" ht="13.8" hidden="1" outlineLevel="1">
      <c r="B11759" s="187">
        <v>39069</v>
      </c>
      <c r="C11759" s="188">
        <v>4.5999999999999996</v>
      </c>
      <c r="D11759" s="104">
        <f t="shared" si="183"/>
        <v>4.5999999999999999E-2</v>
      </c>
      <c r="F11759" s="5"/>
    </row>
    <row r="11760" spans="2:6" ht="13.8" hidden="1" outlineLevel="1">
      <c r="B11760" s="187">
        <v>39070</v>
      </c>
      <c r="C11760" s="188">
        <v>4.5999999999999996</v>
      </c>
      <c r="D11760" s="104">
        <f t="shared" si="183"/>
        <v>4.5999999999999999E-2</v>
      </c>
      <c r="F11760" s="5"/>
    </row>
    <row r="11761" spans="2:6" ht="13.8" hidden="1" outlineLevel="1">
      <c r="B11761" s="187">
        <v>39071</v>
      </c>
      <c r="C11761" s="188">
        <v>4.5999999999999996</v>
      </c>
      <c r="D11761" s="104">
        <f t="shared" si="183"/>
        <v>4.5999999999999999E-2</v>
      </c>
      <c r="F11761" s="5"/>
    </row>
    <row r="11762" spans="2:6" ht="13.8" hidden="1" outlineLevel="1">
      <c r="B11762" s="187">
        <v>39072</v>
      </c>
      <c r="C11762" s="188">
        <v>4.55</v>
      </c>
      <c r="D11762" s="104">
        <f t="shared" si="183"/>
        <v>4.5499999999999999E-2</v>
      </c>
      <c r="F11762" s="5"/>
    </row>
    <row r="11763" spans="2:6" ht="13.8" hidden="1" outlineLevel="1">
      <c r="B11763" s="187">
        <v>39073</v>
      </c>
      <c r="C11763" s="188">
        <v>4.63</v>
      </c>
      <c r="D11763" s="104">
        <f t="shared" si="183"/>
        <v>4.6300000000000001E-2</v>
      </c>
      <c r="F11763" s="5"/>
    </row>
    <row r="11764" spans="2:6" ht="13.8" hidden="1" outlineLevel="1">
      <c r="B11764" s="187">
        <v>39076</v>
      </c>
      <c r="C11764" s="188" t="s">
        <v>380</v>
      </c>
      <c r="D11764" s="104">
        <f>IF( LEN( C11764 ) = 0, #N/A, IF( C11764 = "ND", D11763, C11764 / 100 ) )</f>
        <v>4.6300000000000001E-2</v>
      </c>
      <c r="F11764" s="5"/>
    </row>
    <row r="11765" spans="2:6" ht="13.8" hidden="1" outlineLevel="1">
      <c r="B11765" s="187">
        <v>39077</v>
      </c>
      <c r="C11765" s="188">
        <v>4.6100000000000003</v>
      </c>
      <c r="D11765" s="104">
        <f t="shared" ref="D11765:D11828" si="184">IF( LEN( C11765 ) = 0, #N/A, IF( C11765 = "ND", D11764, C11765 / 100 ) )</f>
        <v>4.6100000000000002E-2</v>
      </c>
      <c r="F11765" s="5"/>
    </row>
    <row r="11766" spans="2:6" ht="13.8" hidden="1" outlineLevel="1">
      <c r="B11766" s="187">
        <v>39078</v>
      </c>
      <c r="C11766" s="188">
        <v>4.66</v>
      </c>
      <c r="D11766" s="104">
        <f t="shared" si="184"/>
        <v>4.6600000000000003E-2</v>
      </c>
      <c r="F11766" s="5"/>
    </row>
    <row r="11767" spans="2:6" ht="13.8" hidden="1" outlineLevel="1">
      <c r="B11767" s="187">
        <v>39079</v>
      </c>
      <c r="C11767" s="188">
        <v>4.7</v>
      </c>
      <c r="D11767" s="104">
        <f t="shared" si="184"/>
        <v>4.7E-2</v>
      </c>
      <c r="F11767" s="5"/>
    </row>
    <row r="11768" spans="2:6" ht="13.8" hidden="1" outlineLevel="1">
      <c r="B11768" s="187">
        <v>39080</v>
      </c>
      <c r="C11768" s="188">
        <v>4.71</v>
      </c>
      <c r="D11768" s="104">
        <f t="shared" si="184"/>
        <v>4.7100000000000003E-2</v>
      </c>
      <c r="F11768" s="5"/>
    </row>
    <row r="11769" spans="2:6" ht="13.8" hidden="1" outlineLevel="1" collapsed="1">
      <c r="B11769" s="187">
        <v>39083</v>
      </c>
      <c r="C11769" s="188">
        <v>4.68</v>
      </c>
      <c r="D11769" s="104">
        <f>IF( LEN( C11769 ) = 0, #N/A, IF( C11769 = "ND",#REF!, C11769 / 100 ) )</f>
        <v>4.6799999999999994E-2</v>
      </c>
    </row>
    <row r="11770" spans="2:6" ht="13.8" hidden="1" outlineLevel="1">
      <c r="B11770" s="187">
        <v>39084</v>
      </c>
      <c r="C11770" s="189">
        <v>4.68</v>
      </c>
      <c r="D11770" s="104">
        <f t="shared" si="184"/>
        <v>4.6799999999999994E-2</v>
      </c>
    </row>
    <row r="11771" spans="2:6" ht="13.8" hidden="1" outlineLevel="1">
      <c r="B11771" s="187">
        <v>39085</v>
      </c>
      <c r="C11771" s="189">
        <v>4.67</v>
      </c>
      <c r="D11771" s="104">
        <f t="shared" si="184"/>
        <v>4.6699999999999998E-2</v>
      </c>
    </row>
    <row r="11772" spans="2:6" ht="13.8" hidden="1" outlineLevel="1">
      <c r="B11772" s="187">
        <v>39086</v>
      </c>
      <c r="C11772" s="189">
        <v>4.62</v>
      </c>
      <c r="D11772" s="104">
        <f t="shared" si="184"/>
        <v>4.6199999999999998E-2</v>
      </c>
    </row>
    <row r="11773" spans="2:6" ht="13.8" hidden="1" outlineLevel="1">
      <c r="B11773" s="187">
        <v>39087</v>
      </c>
      <c r="C11773" s="189">
        <v>4.6500000000000004</v>
      </c>
      <c r="D11773" s="104">
        <f t="shared" si="184"/>
        <v>4.6500000000000007E-2</v>
      </c>
    </row>
    <row r="11774" spans="2:6" ht="13.8" hidden="1" outlineLevel="1">
      <c r="B11774" s="187">
        <v>39090</v>
      </c>
      <c r="C11774" s="189">
        <v>4.66</v>
      </c>
      <c r="D11774" s="104">
        <f t="shared" si="184"/>
        <v>4.6600000000000003E-2</v>
      </c>
    </row>
    <row r="11775" spans="2:6" ht="13.8" hidden="1" outlineLevel="1">
      <c r="B11775" s="187">
        <v>39091</v>
      </c>
      <c r="C11775" s="189">
        <v>4.66</v>
      </c>
      <c r="D11775" s="104">
        <f t="shared" si="184"/>
        <v>4.6600000000000003E-2</v>
      </c>
    </row>
    <row r="11776" spans="2:6" ht="13.8" hidden="1" outlineLevel="1">
      <c r="B11776" s="187">
        <v>39092</v>
      </c>
      <c r="C11776" s="189">
        <v>4.6900000000000004</v>
      </c>
      <c r="D11776" s="104">
        <f t="shared" si="184"/>
        <v>4.6900000000000004E-2</v>
      </c>
    </row>
    <row r="11777" spans="2:4" ht="13.8" hidden="1" outlineLevel="1">
      <c r="B11777" s="187">
        <v>39093</v>
      </c>
      <c r="C11777" s="189">
        <v>4.74</v>
      </c>
      <c r="D11777" s="104">
        <f t="shared" si="184"/>
        <v>4.7400000000000005E-2</v>
      </c>
    </row>
    <row r="11778" spans="2:4" ht="13.8" hidden="1" outlineLevel="1">
      <c r="B11778" s="187">
        <v>39094</v>
      </c>
      <c r="C11778" s="189">
        <v>4.7699999999999996</v>
      </c>
      <c r="D11778" s="104">
        <f t="shared" si="184"/>
        <v>4.7699999999999992E-2</v>
      </c>
    </row>
    <row r="11779" spans="2:4" ht="13.8" hidden="1" outlineLevel="1">
      <c r="B11779" s="187">
        <v>39097</v>
      </c>
      <c r="C11779" s="189">
        <v>4.7699999999999996</v>
      </c>
      <c r="D11779" s="104">
        <f t="shared" si="184"/>
        <v>4.7699999999999992E-2</v>
      </c>
    </row>
    <row r="11780" spans="2:4" ht="13.8" hidden="1" outlineLevel="1">
      <c r="B11780" s="187">
        <v>39098</v>
      </c>
      <c r="C11780" s="189">
        <v>4.75</v>
      </c>
      <c r="D11780" s="104">
        <f t="shared" si="184"/>
        <v>4.7500000000000001E-2</v>
      </c>
    </row>
    <row r="11781" spans="2:4" ht="13.8" hidden="1" outlineLevel="1">
      <c r="B11781" s="187">
        <v>39099</v>
      </c>
      <c r="C11781" s="189">
        <v>4.79</v>
      </c>
      <c r="D11781" s="104">
        <f t="shared" si="184"/>
        <v>4.7899999999999998E-2</v>
      </c>
    </row>
    <row r="11782" spans="2:4" ht="13.8" hidden="1" outlineLevel="1">
      <c r="B11782" s="187">
        <v>39100</v>
      </c>
      <c r="C11782" s="189">
        <v>4.75</v>
      </c>
      <c r="D11782" s="104">
        <f t="shared" si="184"/>
        <v>4.7500000000000001E-2</v>
      </c>
    </row>
    <row r="11783" spans="2:4" ht="13.8" hidden="1" outlineLevel="1">
      <c r="B11783" s="187">
        <v>39101</v>
      </c>
      <c r="C11783" s="189">
        <v>4.78</v>
      </c>
      <c r="D11783" s="104">
        <f t="shared" si="184"/>
        <v>4.7800000000000002E-2</v>
      </c>
    </row>
    <row r="11784" spans="2:4" ht="13.8" hidden="1" outlineLevel="1">
      <c r="B11784" s="187">
        <v>39104</v>
      </c>
      <c r="C11784" s="189">
        <v>4.76</v>
      </c>
      <c r="D11784" s="104">
        <f t="shared" si="184"/>
        <v>4.7599999999999996E-2</v>
      </c>
    </row>
    <row r="11785" spans="2:4" ht="13.8" hidden="1" outlineLevel="1">
      <c r="B11785" s="187">
        <v>39105</v>
      </c>
      <c r="C11785" s="189">
        <v>4.8099999999999996</v>
      </c>
      <c r="D11785" s="104">
        <f t="shared" si="184"/>
        <v>4.8099999999999997E-2</v>
      </c>
    </row>
    <row r="11786" spans="2:4" ht="13.8" hidden="1" outlineLevel="1">
      <c r="B11786" s="187">
        <v>39106</v>
      </c>
      <c r="C11786" s="189">
        <v>4.8099999999999996</v>
      </c>
      <c r="D11786" s="104">
        <f t="shared" si="184"/>
        <v>4.8099999999999997E-2</v>
      </c>
    </row>
    <row r="11787" spans="2:4" ht="13.8" hidden="1" outlineLevel="1">
      <c r="B11787" s="187">
        <v>39107</v>
      </c>
      <c r="C11787" s="189">
        <v>4.87</v>
      </c>
      <c r="D11787" s="104">
        <f t="shared" si="184"/>
        <v>4.87E-2</v>
      </c>
    </row>
    <row r="11788" spans="2:4" ht="13.8" hidden="1" outlineLevel="1">
      <c r="B11788" s="187">
        <v>39108</v>
      </c>
      <c r="C11788" s="189">
        <v>4.88</v>
      </c>
      <c r="D11788" s="104">
        <f t="shared" si="184"/>
        <v>4.8799999999999996E-2</v>
      </c>
    </row>
    <row r="11789" spans="2:4" ht="13.8" hidden="1" outlineLevel="1">
      <c r="B11789" s="187">
        <v>39111</v>
      </c>
      <c r="C11789" s="189">
        <v>4.9000000000000004</v>
      </c>
      <c r="D11789" s="104">
        <f t="shared" si="184"/>
        <v>4.9000000000000002E-2</v>
      </c>
    </row>
    <row r="11790" spans="2:4" ht="13.8" hidden="1" outlineLevel="1">
      <c r="B11790" s="187">
        <v>39112</v>
      </c>
      <c r="C11790" s="189">
        <v>4.88</v>
      </c>
      <c r="D11790" s="104">
        <f t="shared" si="184"/>
        <v>4.8799999999999996E-2</v>
      </c>
    </row>
    <row r="11791" spans="2:4" ht="13.8" hidden="1" outlineLevel="1">
      <c r="B11791" s="187">
        <v>39113</v>
      </c>
      <c r="C11791" s="189">
        <v>4.83</v>
      </c>
      <c r="D11791" s="104">
        <f t="shared" si="184"/>
        <v>4.8300000000000003E-2</v>
      </c>
    </row>
    <row r="11792" spans="2:4" ht="13.8" hidden="1" outlineLevel="1">
      <c r="B11792" s="187">
        <v>39114</v>
      </c>
      <c r="C11792" s="189">
        <v>4.84</v>
      </c>
      <c r="D11792" s="104">
        <f t="shared" si="184"/>
        <v>4.8399999999999999E-2</v>
      </c>
    </row>
    <row r="11793" spans="2:4" ht="13.8" hidden="1" outlineLevel="1">
      <c r="B11793" s="187">
        <v>39115</v>
      </c>
      <c r="C11793" s="189">
        <v>4.83</v>
      </c>
      <c r="D11793" s="104">
        <f t="shared" si="184"/>
        <v>4.8300000000000003E-2</v>
      </c>
    </row>
    <row r="11794" spans="2:4" ht="13.8" hidden="1" outlineLevel="1">
      <c r="B11794" s="187">
        <v>39118</v>
      </c>
      <c r="C11794" s="189">
        <v>4.8099999999999996</v>
      </c>
      <c r="D11794" s="104">
        <f t="shared" si="184"/>
        <v>4.8099999999999997E-2</v>
      </c>
    </row>
    <row r="11795" spans="2:4" ht="13.8" hidden="1" outlineLevel="1">
      <c r="B11795" s="187">
        <v>39119</v>
      </c>
      <c r="C11795" s="189">
        <v>4.7699999999999996</v>
      </c>
      <c r="D11795" s="104">
        <f t="shared" si="184"/>
        <v>4.7699999999999992E-2</v>
      </c>
    </row>
    <row r="11796" spans="2:4" ht="13.8" hidden="1" outlineLevel="1">
      <c r="B11796" s="187">
        <v>39120</v>
      </c>
      <c r="C11796" s="189">
        <v>4.74</v>
      </c>
      <c r="D11796" s="104">
        <f t="shared" si="184"/>
        <v>4.7400000000000005E-2</v>
      </c>
    </row>
    <row r="11797" spans="2:4" ht="13.8" hidden="1" outlineLevel="1">
      <c r="B11797" s="187">
        <v>39121</v>
      </c>
      <c r="C11797" s="189">
        <v>4.7300000000000004</v>
      </c>
      <c r="D11797" s="104">
        <f t="shared" si="184"/>
        <v>4.7300000000000002E-2</v>
      </c>
    </row>
    <row r="11798" spans="2:4" ht="13.8" hidden="1" outlineLevel="1">
      <c r="B11798" s="187">
        <v>39122</v>
      </c>
      <c r="C11798" s="189">
        <v>4.79</v>
      </c>
      <c r="D11798" s="104">
        <f t="shared" si="184"/>
        <v>4.7899999999999998E-2</v>
      </c>
    </row>
    <row r="11799" spans="2:4" ht="13.8" hidden="1" outlineLevel="1">
      <c r="B11799" s="187">
        <v>39125</v>
      </c>
      <c r="C11799" s="189">
        <v>4.8</v>
      </c>
      <c r="D11799" s="104">
        <f t="shared" si="184"/>
        <v>4.8000000000000001E-2</v>
      </c>
    </row>
    <row r="11800" spans="2:4" ht="13.8" hidden="1" outlineLevel="1">
      <c r="B11800" s="187">
        <v>39126</v>
      </c>
      <c r="C11800" s="189">
        <v>4.82</v>
      </c>
      <c r="D11800" s="104">
        <f t="shared" si="184"/>
        <v>4.82E-2</v>
      </c>
    </row>
    <row r="11801" spans="2:4" ht="13.8" hidden="1" outlineLevel="1">
      <c r="B11801" s="187">
        <v>39127</v>
      </c>
      <c r="C11801" s="189">
        <v>4.74</v>
      </c>
      <c r="D11801" s="104">
        <f t="shared" si="184"/>
        <v>4.7400000000000005E-2</v>
      </c>
    </row>
    <row r="11802" spans="2:4" ht="13.8" hidden="1" outlineLevel="1">
      <c r="B11802" s="187">
        <v>39128</v>
      </c>
      <c r="C11802" s="189">
        <v>4.7</v>
      </c>
      <c r="D11802" s="104">
        <f t="shared" si="184"/>
        <v>4.7E-2</v>
      </c>
    </row>
    <row r="11803" spans="2:4" ht="13.8" hidden="1" outlineLevel="1">
      <c r="B11803" s="187">
        <v>39129</v>
      </c>
      <c r="C11803" s="189">
        <v>4.6900000000000004</v>
      </c>
      <c r="D11803" s="104">
        <f t="shared" si="184"/>
        <v>4.6900000000000004E-2</v>
      </c>
    </row>
    <row r="11804" spans="2:4" ht="13.8" hidden="1" outlineLevel="1">
      <c r="B11804" s="187">
        <v>39132</v>
      </c>
      <c r="C11804" s="189">
        <v>4.6900000000000004</v>
      </c>
      <c r="D11804" s="104">
        <f t="shared" si="184"/>
        <v>4.6900000000000004E-2</v>
      </c>
    </row>
    <row r="11805" spans="2:4" ht="13.8" hidden="1" outlineLevel="1">
      <c r="B11805" s="187">
        <v>39133</v>
      </c>
      <c r="C11805" s="189">
        <v>4.68</v>
      </c>
      <c r="D11805" s="104">
        <f t="shared" si="184"/>
        <v>4.6799999999999994E-2</v>
      </c>
    </row>
    <row r="11806" spans="2:4" ht="13.8" hidden="1" outlineLevel="1">
      <c r="B11806" s="187">
        <v>39134</v>
      </c>
      <c r="C11806" s="189">
        <v>4.6900000000000004</v>
      </c>
      <c r="D11806" s="104">
        <f t="shared" si="184"/>
        <v>4.6900000000000004E-2</v>
      </c>
    </row>
    <row r="11807" spans="2:4" ht="13.8" hidden="1" outlineLevel="1">
      <c r="B11807" s="187">
        <v>39135</v>
      </c>
      <c r="C11807" s="189">
        <v>4.7300000000000004</v>
      </c>
      <c r="D11807" s="104">
        <f t="shared" si="184"/>
        <v>4.7300000000000002E-2</v>
      </c>
    </row>
    <row r="11808" spans="2:4" ht="13.8" hidden="1" outlineLevel="1">
      <c r="B11808" s="187">
        <v>39136</v>
      </c>
      <c r="C11808" s="189">
        <v>4.68</v>
      </c>
      <c r="D11808" s="104">
        <f t="shared" si="184"/>
        <v>4.6799999999999994E-2</v>
      </c>
    </row>
    <row r="11809" spans="2:4" ht="13.8" hidden="1" outlineLevel="1">
      <c r="B11809" s="187">
        <v>39139</v>
      </c>
      <c r="C11809" s="189">
        <v>4.63</v>
      </c>
      <c r="D11809" s="104">
        <f t="shared" si="184"/>
        <v>4.6300000000000001E-2</v>
      </c>
    </row>
    <row r="11810" spans="2:4" ht="13.8" hidden="1" outlineLevel="1">
      <c r="B11810" s="187">
        <v>39140</v>
      </c>
      <c r="C11810" s="189">
        <v>4.5</v>
      </c>
      <c r="D11810" s="104">
        <f t="shared" si="184"/>
        <v>4.4999999999999998E-2</v>
      </c>
    </row>
    <row r="11811" spans="2:4" ht="13.8" hidden="1" outlineLevel="1">
      <c r="B11811" s="187">
        <v>39141</v>
      </c>
      <c r="C11811" s="189">
        <v>4.5599999999999996</v>
      </c>
      <c r="D11811" s="104">
        <f t="shared" si="184"/>
        <v>4.5599999999999995E-2</v>
      </c>
    </row>
    <row r="11812" spans="2:4" ht="13.8" hidden="1" outlineLevel="1">
      <c r="B11812" s="187">
        <v>39142</v>
      </c>
      <c r="C11812" s="189">
        <v>4.5599999999999996</v>
      </c>
      <c r="D11812" s="104">
        <f t="shared" si="184"/>
        <v>4.5599999999999995E-2</v>
      </c>
    </row>
    <row r="11813" spans="2:4" ht="13.8" hidden="1" outlineLevel="1">
      <c r="B11813" s="187">
        <v>39143</v>
      </c>
      <c r="C11813" s="189">
        <v>4.5199999999999996</v>
      </c>
      <c r="D11813" s="104">
        <f t="shared" si="184"/>
        <v>4.5199999999999997E-2</v>
      </c>
    </row>
    <row r="11814" spans="2:4" ht="13.8" hidden="1" outlineLevel="1">
      <c r="B11814" s="187">
        <v>39146</v>
      </c>
      <c r="C11814" s="189">
        <v>4.51</v>
      </c>
      <c r="D11814" s="104">
        <f t="shared" si="184"/>
        <v>4.5100000000000001E-2</v>
      </c>
    </row>
    <row r="11815" spans="2:4" ht="13.8" hidden="1" outlineLevel="1">
      <c r="B11815" s="187">
        <v>39147</v>
      </c>
      <c r="C11815" s="189">
        <v>4.53</v>
      </c>
      <c r="D11815" s="104">
        <f t="shared" si="184"/>
        <v>4.53E-2</v>
      </c>
    </row>
    <row r="11816" spans="2:4" ht="13.8" hidden="1" outlineLevel="1">
      <c r="B11816" s="187">
        <v>39148</v>
      </c>
      <c r="C11816" s="189">
        <v>4.5</v>
      </c>
      <c r="D11816" s="104">
        <f t="shared" si="184"/>
        <v>4.4999999999999998E-2</v>
      </c>
    </row>
    <row r="11817" spans="2:4" ht="13.8" hidden="1" outlineLevel="1">
      <c r="B11817" s="187">
        <v>39149</v>
      </c>
      <c r="C11817" s="189">
        <v>4.51</v>
      </c>
      <c r="D11817" s="104">
        <f t="shared" si="184"/>
        <v>4.5100000000000001E-2</v>
      </c>
    </row>
    <row r="11818" spans="2:4" ht="13.8" hidden="1" outlineLevel="1">
      <c r="B11818" s="187">
        <v>39150</v>
      </c>
      <c r="C11818" s="189">
        <v>4.59</v>
      </c>
      <c r="D11818" s="104">
        <f t="shared" si="184"/>
        <v>4.5899999999999996E-2</v>
      </c>
    </row>
    <row r="11819" spans="2:4" ht="13.8" hidden="1" outlineLevel="1">
      <c r="B11819" s="187">
        <v>39153</v>
      </c>
      <c r="C11819" s="189">
        <v>4.5599999999999996</v>
      </c>
      <c r="D11819" s="104">
        <f t="shared" si="184"/>
        <v>4.5599999999999995E-2</v>
      </c>
    </row>
    <row r="11820" spans="2:4" ht="13.8" hidden="1" outlineLevel="1">
      <c r="B11820" s="187">
        <v>39154</v>
      </c>
      <c r="C11820" s="189">
        <v>4.5</v>
      </c>
      <c r="D11820" s="104">
        <f t="shared" si="184"/>
        <v>4.4999999999999998E-2</v>
      </c>
    </row>
    <row r="11821" spans="2:4" ht="13.8" hidden="1" outlineLevel="1">
      <c r="B11821" s="187">
        <v>39155</v>
      </c>
      <c r="C11821" s="189">
        <v>4.53</v>
      </c>
      <c r="D11821" s="104">
        <f t="shared" si="184"/>
        <v>4.53E-2</v>
      </c>
    </row>
    <row r="11822" spans="2:4" ht="13.8" hidden="1" outlineLevel="1">
      <c r="B11822" s="187">
        <v>39156</v>
      </c>
      <c r="C11822" s="189">
        <v>4.54</v>
      </c>
      <c r="D11822" s="104">
        <f t="shared" si="184"/>
        <v>4.5400000000000003E-2</v>
      </c>
    </row>
    <row r="11823" spans="2:4" ht="13.8" hidden="1" outlineLevel="1">
      <c r="B11823" s="187">
        <v>39157</v>
      </c>
      <c r="C11823" s="189">
        <v>4.55</v>
      </c>
      <c r="D11823" s="104">
        <f t="shared" si="184"/>
        <v>4.5499999999999999E-2</v>
      </c>
    </row>
    <row r="11824" spans="2:4" ht="13.8" hidden="1" outlineLevel="1">
      <c r="B11824" s="187">
        <v>39160</v>
      </c>
      <c r="C11824" s="189">
        <v>4.58</v>
      </c>
      <c r="D11824" s="104">
        <f t="shared" si="184"/>
        <v>4.58E-2</v>
      </c>
    </row>
    <row r="11825" spans="2:4" ht="13.8" hidden="1" outlineLevel="1">
      <c r="B11825" s="187">
        <v>39161</v>
      </c>
      <c r="C11825" s="189">
        <v>4.5599999999999996</v>
      </c>
      <c r="D11825" s="104">
        <f t="shared" si="184"/>
        <v>4.5599999999999995E-2</v>
      </c>
    </row>
    <row r="11826" spans="2:4" ht="13.8" hidden="1" outlineLevel="1">
      <c r="B11826" s="187">
        <v>39162</v>
      </c>
      <c r="C11826" s="189">
        <v>4.53</v>
      </c>
      <c r="D11826" s="104">
        <f t="shared" si="184"/>
        <v>4.53E-2</v>
      </c>
    </row>
    <row r="11827" spans="2:4" ht="13.8" hidden="1" outlineLevel="1">
      <c r="B11827" s="187">
        <v>39163</v>
      </c>
      <c r="C11827" s="189">
        <v>4.5999999999999996</v>
      </c>
      <c r="D11827" s="104">
        <f t="shared" si="184"/>
        <v>4.5999999999999999E-2</v>
      </c>
    </row>
    <row r="11828" spans="2:4" ht="13.8" hidden="1" outlineLevel="1">
      <c r="B11828" s="187">
        <v>39164</v>
      </c>
      <c r="C11828" s="189">
        <v>4.62</v>
      </c>
      <c r="D11828" s="104">
        <f t="shared" si="184"/>
        <v>4.6199999999999998E-2</v>
      </c>
    </row>
    <row r="11829" spans="2:4" ht="13.8" hidden="1" outlineLevel="1">
      <c r="B11829" s="187">
        <v>39167</v>
      </c>
      <c r="C11829" s="189">
        <v>4.5999999999999996</v>
      </c>
      <c r="D11829" s="104">
        <f t="shared" ref="D11829:D11892" si="185">IF( LEN( C11829 ) = 0, #N/A, IF( C11829 = "ND", D11828, C11829 / 100 ) )</f>
        <v>4.5999999999999999E-2</v>
      </c>
    </row>
    <row r="11830" spans="2:4" ht="13.8" hidden="1" outlineLevel="1">
      <c r="B11830" s="187">
        <v>39168</v>
      </c>
      <c r="C11830" s="189">
        <v>4.62</v>
      </c>
      <c r="D11830" s="104">
        <f t="shared" si="185"/>
        <v>4.6199999999999998E-2</v>
      </c>
    </row>
    <row r="11831" spans="2:4" ht="13.8" hidden="1" outlineLevel="1">
      <c r="B11831" s="187">
        <v>39169</v>
      </c>
      <c r="C11831" s="189">
        <v>4.62</v>
      </c>
      <c r="D11831" s="104">
        <f t="shared" si="185"/>
        <v>4.6199999999999998E-2</v>
      </c>
    </row>
    <row r="11832" spans="2:4" ht="13.8" hidden="1" outlineLevel="1">
      <c r="B11832" s="187">
        <v>39170</v>
      </c>
      <c r="C11832" s="189">
        <v>4.6399999999999997</v>
      </c>
      <c r="D11832" s="104">
        <f t="shared" si="185"/>
        <v>4.6399999999999997E-2</v>
      </c>
    </row>
    <row r="11833" spans="2:4" ht="13.8" hidden="1" outlineLevel="1">
      <c r="B11833" s="187">
        <v>39171</v>
      </c>
      <c r="C11833" s="189">
        <v>4.6500000000000004</v>
      </c>
      <c r="D11833" s="104">
        <f t="shared" si="185"/>
        <v>4.6500000000000007E-2</v>
      </c>
    </row>
    <row r="11834" spans="2:4" ht="13.8" hidden="1" outlineLevel="1">
      <c r="B11834" s="187">
        <v>39174</v>
      </c>
      <c r="C11834" s="189">
        <v>4.6500000000000004</v>
      </c>
      <c r="D11834" s="104">
        <f t="shared" si="185"/>
        <v>4.6500000000000007E-2</v>
      </c>
    </row>
    <row r="11835" spans="2:4" ht="13.8" hidden="1" outlineLevel="1">
      <c r="B11835" s="187">
        <v>39175</v>
      </c>
      <c r="C11835" s="189">
        <v>4.67</v>
      </c>
      <c r="D11835" s="104">
        <f t="shared" si="185"/>
        <v>4.6699999999999998E-2</v>
      </c>
    </row>
    <row r="11836" spans="2:4" ht="13.8" hidden="1" outlineLevel="1">
      <c r="B11836" s="187">
        <v>39176</v>
      </c>
      <c r="C11836" s="189">
        <v>4.66</v>
      </c>
      <c r="D11836" s="104">
        <f t="shared" si="185"/>
        <v>4.6600000000000003E-2</v>
      </c>
    </row>
    <row r="11837" spans="2:4" ht="13.8" hidden="1" outlineLevel="1">
      <c r="B11837" s="187">
        <v>39177</v>
      </c>
      <c r="C11837" s="189">
        <v>4.68</v>
      </c>
      <c r="D11837" s="104">
        <f t="shared" si="185"/>
        <v>4.6799999999999994E-2</v>
      </c>
    </row>
    <row r="11838" spans="2:4" ht="13.8" hidden="1" outlineLevel="1">
      <c r="B11838" s="187">
        <v>39178</v>
      </c>
      <c r="C11838" s="189">
        <v>4.76</v>
      </c>
      <c r="D11838" s="104">
        <f t="shared" si="185"/>
        <v>4.7599999999999996E-2</v>
      </c>
    </row>
    <row r="11839" spans="2:4" ht="13.8" hidden="1" outlineLevel="1">
      <c r="B11839" s="187">
        <v>39181</v>
      </c>
      <c r="C11839" s="189">
        <v>4.75</v>
      </c>
      <c r="D11839" s="104">
        <f t="shared" si="185"/>
        <v>4.7500000000000001E-2</v>
      </c>
    </row>
    <row r="11840" spans="2:4" ht="13.8" hidden="1" outlineLevel="1">
      <c r="B11840" s="187">
        <v>39182</v>
      </c>
      <c r="C11840" s="189">
        <v>4.7300000000000004</v>
      </c>
      <c r="D11840" s="104">
        <f t="shared" si="185"/>
        <v>4.7300000000000002E-2</v>
      </c>
    </row>
    <row r="11841" spans="2:4" ht="13.8" hidden="1" outlineLevel="1">
      <c r="B11841" s="187">
        <v>39183</v>
      </c>
      <c r="C11841" s="189">
        <v>4.74</v>
      </c>
      <c r="D11841" s="104">
        <f t="shared" si="185"/>
        <v>4.7400000000000005E-2</v>
      </c>
    </row>
    <row r="11842" spans="2:4" ht="13.8" hidden="1" outlineLevel="1">
      <c r="B11842" s="187">
        <v>39184</v>
      </c>
      <c r="C11842" s="189">
        <v>4.74</v>
      </c>
      <c r="D11842" s="104">
        <f t="shared" si="185"/>
        <v>4.7400000000000005E-2</v>
      </c>
    </row>
    <row r="11843" spans="2:4" ht="13.8" hidden="1" outlineLevel="1">
      <c r="B11843" s="187">
        <v>39185</v>
      </c>
      <c r="C11843" s="189">
        <v>4.76</v>
      </c>
      <c r="D11843" s="104">
        <f t="shared" si="185"/>
        <v>4.7599999999999996E-2</v>
      </c>
    </row>
    <row r="11844" spans="2:4" ht="13.8" hidden="1" outlineLevel="1">
      <c r="B11844" s="187">
        <v>39188</v>
      </c>
      <c r="C11844" s="189">
        <v>4.74</v>
      </c>
      <c r="D11844" s="104">
        <f t="shared" si="185"/>
        <v>4.7400000000000005E-2</v>
      </c>
    </row>
    <row r="11845" spans="2:4" ht="13.8" hidden="1" outlineLevel="1">
      <c r="B11845" s="187">
        <v>39189</v>
      </c>
      <c r="C11845" s="189">
        <v>4.6900000000000004</v>
      </c>
      <c r="D11845" s="104">
        <f t="shared" si="185"/>
        <v>4.6900000000000004E-2</v>
      </c>
    </row>
    <row r="11846" spans="2:4" ht="13.8" hidden="1" outlineLevel="1">
      <c r="B11846" s="187">
        <v>39190</v>
      </c>
      <c r="C11846" s="189">
        <v>4.66</v>
      </c>
      <c r="D11846" s="104">
        <f t="shared" si="185"/>
        <v>4.6600000000000003E-2</v>
      </c>
    </row>
    <row r="11847" spans="2:4" ht="13.8" hidden="1" outlineLevel="1">
      <c r="B11847" s="187">
        <v>39191</v>
      </c>
      <c r="C11847" s="189">
        <v>4.68</v>
      </c>
      <c r="D11847" s="104">
        <f t="shared" si="185"/>
        <v>4.6799999999999994E-2</v>
      </c>
    </row>
    <row r="11848" spans="2:4" ht="13.8" hidden="1" outlineLevel="1">
      <c r="B11848" s="187">
        <v>39192</v>
      </c>
      <c r="C11848" s="189">
        <v>4.68</v>
      </c>
      <c r="D11848" s="104">
        <f t="shared" si="185"/>
        <v>4.6799999999999994E-2</v>
      </c>
    </row>
    <row r="11849" spans="2:4" ht="13.8" hidden="1" outlineLevel="1">
      <c r="B11849" s="187">
        <v>39195</v>
      </c>
      <c r="C11849" s="189">
        <v>4.66</v>
      </c>
      <c r="D11849" s="104">
        <f t="shared" si="185"/>
        <v>4.6600000000000003E-2</v>
      </c>
    </row>
    <row r="11850" spans="2:4" ht="13.8" hidden="1" outlineLevel="1">
      <c r="B11850" s="187">
        <v>39196</v>
      </c>
      <c r="C11850" s="189">
        <v>4.63</v>
      </c>
      <c r="D11850" s="104">
        <f t="shared" si="185"/>
        <v>4.6300000000000001E-2</v>
      </c>
    </row>
    <row r="11851" spans="2:4" ht="13.8" hidden="1" outlineLevel="1">
      <c r="B11851" s="187">
        <v>39197</v>
      </c>
      <c r="C11851" s="189">
        <v>4.66</v>
      </c>
      <c r="D11851" s="104">
        <f t="shared" si="185"/>
        <v>4.6600000000000003E-2</v>
      </c>
    </row>
    <row r="11852" spans="2:4" ht="13.8" hidden="1" outlineLevel="1">
      <c r="B11852" s="187">
        <v>39198</v>
      </c>
      <c r="C11852" s="189">
        <v>4.6900000000000004</v>
      </c>
      <c r="D11852" s="104">
        <f t="shared" si="185"/>
        <v>4.6900000000000004E-2</v>
      </c>
    </row>
    <row r="11853" spans="2:4" ht="13.8" hidden="1" outlineLevel="1">
      <c r="B11853" s="187">
        <v>39199</v>
      </c>
      <c r="C11853" s="189">
        <v>4.71</v>
      </c>
      <c r="D11853" s="104">
        <f t="shared" si="185"/>
        <v>4.7100000000000003E-2</v>
      </c>
    </row>
    <row r="11854" spans="2:4" ht="13.8" hidden="1" outlineLevel="1">
      <c r="B11854" s="187">
        <v>39202</v>
      </c>
      <c r="C11854" s="189">
        <v>4.63</v>
      </c>
      <c r="D11854" s="104">
        <f t="shared" si="185"/>
        <v>4.6300000000000001E-2</v>
      </c>
    </row>
    <row r="11855" spans="2:4" ht="13.8" hidden="1" outlineLevel="1">
      <c r="B11855" s="187">
        <v>39203</v>
      </c>
      <c r="C11855" s="189">
        <v>4.6399999999999997</v>
      </c>
      <c r="D11855" s="104">
        <f t="shared" si="185"/>
        <v>4.6399999999999997E-2</v>
      </c>
    </row>
    <row r="11856" spans="2:4" ht="13.8" hidden="1" outlineLevel="1">
      <c r="B11856" s="187">
        <v>39204</v>
      </c>
      <c r="C11856" s="189">
        <v>4.6500000000000004</v>
      </c>
      <c r="D11856" s="104">
        <f t="shared" si="185"/>
        <v>4.6500000000000007E-2</v>
      </c>
    </row>
    <row r="11857" spans="2:4" ht="13.8" hidden="1" outlineLevel="1">
      <c r="B11857" s="187">
        <v>39205</v>
      </c>
      <c r="C11857" s="189">
        <v>4.68</v>
      </c>
      <c r="D11857" s="104">
        <f t="shared" si="185"/>
        <v>4.6799999999999994E-2</v>
      </c>
    </row>
    <row r="11858" spans="2:4" ht="13.8" hidden="1" outlineLevel="1">
      <c r="B11858" s="187">
        <v>39206</v>
      </c>
      <c r="C11858" s="189">
        <v>4.6500000000000004</v>
      </c>
      <c r="D11858" s="104">
        <f t="shared" si="185"/>
        <v>4.6500000000000007E-2</v>
      </c>
    </row>
    <row r="11859" spans="2:4" ht="13.8" hidden="1" outlineLevel="1">
      <c r="B11859" s="187">
        <v>39209</v>
      </c>
      <c r="C11859" s="189">
        <v>4.6399999999999997</v>
      </c>
      <c r="D11859" s="104">
        <f t="shared" si="185"/>
        <v>4.6399999999999997E-2</v>
      </c>
    </row>
    <row r="11860" spans="2:4" ht="13.8" hidden="1" outlineLevel="1">
      <c r="B11860" s="187">
        <v>39210</v>
      </c>
      <c r="C11860" s="189">
        <v>4.63</v>
      </c>
      <c r="D11860" s="104">
        <f t="shared" si="185"/>
        <v>4.6300000000000001E-2</v>
      </c>
    </row>
    <row r="11861" spans="2:4" ht="13.8" hidden="1" outlineLevel="1">
      <c r="B11861" s="187">
        <v>39211</v>
      </c>
      <c r="C11861" s="189">
        <v>4.67</v>
      </c>
      <c r="D11861" s="104">
        <f t="shared" si="185"/>
        <v>4.6699999999999998E-2</v>
      </c>
    </row>
    <row r="11862" spans="2:4" ht="13.8" hidden="1" outlineLevel="1">
      <c r="B11862" s="187">
        <v>39212</v>
      </c>
      <c r="C11862" s="189">
        <v>4.6500000000000004</v>
      </c>
      <c r="D11862" s="104">
        <f t="shared" si="185"/>
        <v>4.6500000000000007E-2</v>
      </c>
    </row>
    <row r="11863" spans="2:4" ht="13.8" hidden="1" outlineLevel="1">
      <c r="B11863" s="187">
        <v>39213</v>
      </c>
      <c r="C11863" s="189">
        <v>4.67</v>
      </c>
      <c r="D11863" s="104">
        <f t="shared" si="185"/>
        <v>4.6699999999999998E-2</v>
      </c>
    </row>
    <row r="11864" spans="2:4" ht="13.8" hidden="1" outlineLevel="1">
      <c r="B11864" s="187">
        <v>39216</v>
      </c>
      <c r="C11864" s="189">
        <v>4.6900000000000004</v>
      </c>
      <c r="D11864" s="104">
        <f t="shared" si="185"/>
        <v>4.6900000000000004E-2</v>
      </c>
    </row>
    <row r="11865" spans="2:4" ht="13.8" hidden="1" outlineLevel="1">
      <c r="B11865" s="187">
        <v>39217</v>
      </c>
      <c r="C11865" s="189">
        <v>4.71</v>
      </c>
      <c r="D11865" s="104">
        <f t="shared" si="185"/>
        <v>4.7100000000000003E-2</v>
      </c>
    </row>
    <row r="11866" spans="2:4" ht="13.8" hidden="1" outlineLevel="1">
      <c r="B11866" s="187">
        <v>39218</v>
      </c>
      <c r="C11866" s="189">
        <v>4.71</v>
      </c>
      <c r="D11866" s="104">
        <f t="shared" si="185"/>
        <v>4.7100000000000003E-2</v>
      </c>
    </row>
    <row r="11867" spans="2:4" ht="13.8" hidden="1" outlineLevel="1">
      <c r="B11867" s="187">
        <v>39219</v>
      </c>
      <c r="C11867" s="189">
        <v>4.76</v>
      </c>
      <c r="D11867" s="104">
        <f t="shared" si="185"/>
        <v>4.7599999999999996E-2</v>
      </c>
    </row>
    <row r="11868" spans="2:4" ht="13.8" hidden="1" outlineLevel="1">
      <c r="B11868" s="187">
        <v>39220</v>
      </c>
      <c r="C11868" s="189">
        <v>4.8099999999999996</v>
      </c>
      <c r="D11868" s="104">
        <f t="shared" si="185"/>
        <v>4.8099999999999997E-2</v>
      </c>
    </row>
    <row r="11869" spans="2:4" ht="13.8" hidden="1" outlineLevel="1">
      <c r="B11869" s="187">
        <v>39223</v>
      </c>
      <c r="C11869" s="189">
        <v>4.79</v>
      </c>
      <c r="D11869" s="104">
        <f t="shared" si="185"/>
        <v>4.7899999999999998E-2</v>
      </c>
    </row>
    <row r="11870" spans="2:4" ht="13.8" hidden="1" outlineLevel="1">
      <c r="B11870" s="187">
        <v>39224</v>
      </c>
      <c r="C11870" s="189">
        <v>4.83</v>
      </c>
      <c r="D11870" s="104">
        <f t="shared" si="185"/>
        <v>4.8300000000000003E-2</v>
      </c>
    </row>
    <row r="11871" spans="2:4" ht="13.8" hidden="1" outlineLevel="1">
      <c r="B11871" s="187">
        <v>39225</v>
      </c>
      <c r="C11871" s="189">
        <v>4.8600000000000003</v>
      </c>
      <c r="D11871" s="104">
        <f t="shared" si="185"/>
        <v>4.8600000000000004E-2</v>
      </c>
    </row>
    <row r="11872" spans="2:4" ht="13.8" hidden="1" outlineLevel="1">
      <c r="B11872" s="187">
        <v>39226</v>
      </c>
      <c r="C11872" s="189">
        <v>4.8600000000000003</v>
      </c>
      <c r="D11872" s="104">
        <f t="shared" si="185"/>
        <v>4.8600000000000004E-2</v>
      </c>
    </row>
    <row r="11873" spans="2:4" ht="13.8" hidden="1" outlineLevel="1">
      <c r="B11873" s="187">
        <v>39227</v>
      </c>
      <c r="C11873" s="189">
        <v>4.8600000000000003</v>
      </c>
      <c r="D11873" s="104">
        <f t="shared" si="185"/>
        <v>4.8600000000000004E-2</v>
      </c>
    </row>
    <row r="11874" spans="2:4" ht="13.8" hidden="1" outlineLevel="1">
      <c r="B11874" s="187">
        <v>39230</v>
      </c>
      <c r="C11874" s="189">
        <v>4.8600000000000003</v>
      </c>
      <c r="D11874" s="104">
        <f t="shared" si="185"/>
        <v>4.8600000000000004E-2</v>
      </c>
    </row>
    <row r="11875" spans="2:4" ht="13.8" hidden="1" outlineLevel="1">
      <c r="B11875" s="187">
        <v>39231</v>
      </c>
      <c r="C11875" s="189">
        <v>4.88</v>
      </c>
      <c r="D11875" s="104">
        <f t="shared" si="185"/>
        <v>4.8799999999999996E-2</v>
      </c>
    </row>
    <row r="11876" spans="2:4" ht="13.8" hidden="1" outlineLevel="1">
      <c r="B11876" s="187">
        <v>39232</v>
      </c>
      <c r="C11876" s="189">
        <v>4.88</v>
      </c>
      <c r="D11876" s="104">
        <f t="shared" si="185"/>
        <v>4.8799999999999996E-2</v>
      </c>
    </row>
    <row r="11877" spans="2:4" ht="13.8" hidden="1" outlineLevel="1">
      <c r="B11877" s="187">
        <v>39233</v>
      </c>
      <c r="C11877" s="189">
        <v>4.9000000000000004</v>
      </c>
      <c r="D11877" s="104">
        <f t="shared" si="185"/>
        <v>4.9000000000000002E-2</v>
      </c>
    </row>
    <row r="11878" spans="2:4" ht="13.8" hidden="1" outlineLevel="1">
      <c r="B11878" s="187">
        <v>39234</v>
      </c>
      <c r="C11878" s="189">
        <v>4.95</v>
      </c>
      <c r="D11878" s="104">
        <f t="shared" si="185"/>
        <v>4.9500000000000002E-2</v>
      </c>
    </row>
    <row r="11879" spans="2:4" ht="13.8" hidden="1" outlineLevel="1">
      <c r="B11879" s="187">
        <v>39237</v>
      </c>
      <c r="C11879" s="189">
        <v>4.93</v>
      </c>
      <c r="D11879" s="104">
        <f t="shared" si="185"/>
        <v>4.9299999999999997E-2</v>
      </c>
    </row>
    <row r="11880" spans="2:4" ht="13.8" hidden="1" outlineLevel="1">
      <c r="B11880" s="187">
        <v>39238</v>
      </c>
      <c r="C11880" s="189">
        <v>4.9800000000000004</v>
      </c>
      <c r="D11880" s="104">
        <f t="shared" si="185"/>
        <v>4.9800000000000004E-2</v>
      </c>
    </row>
    <row r="11881" spans="2:4" ht="13.8" hidden="1" outlineLevel="1">
      <c r="B11881" s="187">
        <v>39239</v>
      </c>
      <c r="C11881" s="189">
        <v>4.97</v>
      </c>
      <c r="D11881" s="104">
        <f t="shared" si="185"/>
        <v>4.9699999999999994E-2</v>
      </c>
    </row>
    <row r="11882" spans="2:4" ht="13.8" hidden="1" outlineLevel="1">
      <c r="B11882" s="187">
        <v>39240</v>
      </c>
      <c r="C11882" s="189">
        <v>5.1100000000000003</v>
      </c>
      <c r="D11882" s="104">
        <f t="shared" si="185"/>
        <v>5.1100000000000007E-2</v>
      </c>
    </row>
    <row r="11883" spans="2:4" ht="13.8" hidden="1" outlineLevel="1">
      <c r="B11883" s="187">
        <v>39241</v>
      </c>
      <c r="C11883" s="189">
        <v>5.12</v>
      </c>
      <c r="D11883" s="104">
        <f t="shared" si="185"/>
        <v>5.1200000000000002E-2</v>
      </c>
    </row>
    <row r="11884" spans="2:4" ht="13.8" hidden="1" outlineLevel="1">
      <c r="B11884" s="187">
        <v>39244</v>
      </c>
      <c r="C11884" s="189">
        <v>5.14</v>
      </c>
      <c r="D11884" s="104">
        <f t="shared" si="185"/>
        <v>5.1399999999999994E-2</v>
      </c>
    </row>
    <row r="11885" spans="2:4" ht="13.8" hidden="1" outlineLevel="1">
      <c r="B11885" s="187">
        <v>39245</v>
      </c>
      <c r="C11885" s="189">
        <v>5.26</v>
      </c>
      <c r="D11885" s="104">
        <f t="shared" si="185"/>
        <v>5.2600000000000001E-2</v>
      </c>
    </row>
    <row r="11886" spans="2:4" ht="13.8" hidden="1" outlineLevel="1">
      <c r="B11886" s="187">
        <v>39246</v>
      </c>
      <c r="C11886" s="189">
        <v>5.2</v>
      </c>
      <c r="D11886" s="104">
        <f t="shared" si="185"/>
        <v>5.2000000000000005E-2</v>
      </c>
    </row>
    <row r="11887" spans="2:4" ht="13.8" hidden="1" outlineLevel="1">
      <c r="B11887" s="187">
        <v>39247</v>
      </c>
      <c r="C11887" s="189">
        <v>5.23</v>
      </c>
      <c r="D11887" s="104">
        <f t="shared" si="185"/>
        <v>5.2300000000000006E-2</v>
      </c>
    </row>
    <row r="11888" spans="2:4" ht="13.8" hidden="1" outlineLevel="1">
      <c r="B11888" s="187">
        <v>39248</v>
      </c>
      <c r="C11888" s="189">
        <v>5.16</v>
      </c>
      <c r="D11888" s="104">
        <f t="shared" si="185"/>
        <v>5.16E-2</v>
      </c>
    </row>
    <row r="11889" spans="2:4" ht="13.8" hidden="1" outlineLevel="1">
      <c r="B11889" s="187">
        <v>39251</v>
      </c>
      <c r="C11889" s="189">
        <v>5.15</v>
      </c>
      <c r="D11889" s="104">
        <f t="shared" si="185"/>
        <v>5.1500000000000004E-2</v>
      </c>
    </row>
    <row r="11890" spans="2:4" ht="13.8" hidden="1" outlineLevel="1">
      <c r="B11890" s="187">
        <v>39252</v>
      </c>
      <c r="C11890" s="189">
        <v>5.09</v>
      </c>
      <c r="D11890" s="104">
        <f t="shared" si="185"/>
        <v>5.0900000000000001E-2</v>
      </c>
    </row>
    <row r="11891" spans="2:4" ht="13.8" hidden="1" outlineLevel="1">
      <c r="B11891" s="187">
        <v>39253</v>
      </c>
      <c r="C11891" s="189">
        <v>5.14</v>
      </c>
      <c r="D11891" s="104">
        <f t="shared" si="185"/>
        <v>5.1399999999999994E-2</v>
      </c>
    </row>
    <row r="11892" spans="2:4" ht="13.8" hidden="1" outlineLevel="1">
      <c r="B11892" s="187">
        <v>39254</v>
      </c>
      <c r="C11892" s="189">
        <v>5.16</v>
      </c>
      <c r="D11892" s="104">
        <f t="shared" si="185"/>
        <v>5.16E-2</v>
      </c>
    </row>
    <row r="11893" spans="2:4" ht="13.8" hidden="1" outlineLevel="1">
      <c r="B11893" s="187">
        <v>39255</v>
      </c>
      <c r="C11893" s="189">
        <v>5.14</v>
      </c>
      <c r="D11893" s="104">
        <f t="shared" ref="D11893:D11956" si="186">IF( LEN( C11893 ) = 0, #N/A, IF( C11893 = "ND", D11892, C11893 / 100 ) )</f>
        <v>5.1399999999999994E-2</v>
      </c>
    </row>
    <row r="11894" spans="2:4" ht="13.8" hidden="1" outlineLevel="1">
      <c r="B11894" s="187">
        <v>39258</v>
      </c>
      <c r="C11894" s="189">
        <v>5.09</v>
      </c>
      <c r="D11894" s="104">
        <f t="shared" si="186"/>
        <v>5.0900000000000001E-2</v>
      </c>
    </row>
    <row r="11895" spans="2:4" ht="13.8" hidden="1" outlineLevel="1">
      <c r="B11895" s="187">
        <v>39259</v>
      </c>
      <c r="C11895" s="189">
        <v>5.0999999999999996</v>
      </c>
      <c r="D11895" s="104">
        <f t="shared" si="186"/>
        <v>5.0999999999999997E-2</v>
      </c>
    </row>
    <row r="11896" spans="2:4" ht="13.8" hidden="1" outlineLevel="1">
      <c r="B11896" s="187">
        <v>39260</v>
      </c>
      <c r="C11896" s="189">
        <v>5.09</v>
      </c>
      <c r="D11896" s="104">
        <f t="shared" si="186"/>
        <v>5.0900000000000001E-2</v>
      </c>
    </row>
    <row r="11897" spans="2:4" ht="13.8" hidden="1" outlineLevel="1">
      <c r="B11897" s="187">
        <v>39261</v>
      </c>
      <c r="C11897" s="189">
        <v>5.12</v>
      </c>
      <c r="D11897" s="104">
        <f t="shared" si="186"/>
        <v>5.1200000000000002E-2</v>
      </c>
    </row>
    <row r="11898" spans="2:4" ht="13.8" hidden="1" outlineLevel="1">
      <c r="B11898" s="187">
        <v>39262</v>
      </c>
      <c r="C11898" s="189">
        <v>5.03</v>
      </c>
      <c r="D11898" s="104">
        <f t="shared" si="186"/>
        <v>5.0300000000000004E-2</v>
      </c>
    </row>
    <row r="11899" spans="2:4" ht="13.8" hidden="1" outlineLevel="1">
      <c r="B11899" s="187">
        <v>39265</v>
      </c>
      <c r="C11899" s="189">
        <v>5</v>
      </c>
      <c r="D11899" s="104">
        <f t="shared" si="186"/>
        <v>0.05</v>
      </c>
    </row>
    <row r="11900" spans="2:4" ht="13.8" hidden="1" outlineLevel="1">
      <c r="B11900" s="187">
        <v>39266</v>
      </c>
      <c r="C11900" s="189">
        <v>5.05</v>
      </c>
      <c r="D11900" s="104">
        <f t="shared" si="186"/>
        <v>5.0499999999999996E-2</v>
      </c>
    </row>
    <row r="11901" spans="2:4" ht="13.8" hidden="1" outlineLevel="1">
      <c r="B11901" s="187">
        <v>39267</v>
      </c>
      <c r="C11901" s="189">
        <v>5.05</v>
      </c>
      <c r="D11901" s="104">
        <f t="shared" si="186"/>
        <v>5.0499999999999996E-2</v>
      </c>
    </row>
    <row r="11902" spans="2:4" ht="13.8" hidden="1" outlineLevel="1">
      <c r="B11902" s="187">
        <v>39268</v>
      </c>
      <c r="C11902" s="189">
        <v>5.16</v>
      </c>
      <c r="D11902" s="104">
        <f t="shared" si="186"/>
        <v>5.16E-2</v>
      </c>
    </row>
    <row r="11903" spans="2:4" ht="13.8" hidden="1" outlineLevel="1">
      <c r="B11903" s="187">
        <v>39269</v>
      </c>
      <c r="C11903" s="189">
        <v>5.19</v>
      </c>
      <c r="D11903" s="104">
        <f t="shared" si="186"/>
        <v>5.1900000000000002E-2</v>
      </c>
    </row>
    <row r="11904" spans="2:4" ht="13.8" hidden="1" outlineLevel="1">
      <c r="B11904" s="187">
        <v>39272</v>
      </c>
      <c r="C11904" s="189">
        <v>5.16</v>
      </c>
      <c r="D11904" s="104">
        <f t="shared" si="186"/>
        <v>5.16E-2</v>
      </c>
    </row>
    <row r="11905" spans="2:4" ht="13.8" hidden="1" outlineLevel="1">
      <c r="B11905" s="187">
        <v>39273</v>
      </c>
      <c r="C11905" s="189">
        <v>5.03</v>
      </c>
      <c r="D11905" s="104">
        <f t="shared" si="186"/>
        <v>5.0300000000000004E-2</v>
      </c>
    </row>
    <row r="11906" spans="2:4" ht="13.8" hidden="1" outlineLevel="1">
      <c r="B11906" s="187">
        <v>39274</v>
      </c>
      <c r="C11906" s="189">
        <v>5.09</v>
      </c>
      <c r="D11906" s="104">
        <f t="shared" si="186"/>
        <v>5.0900000000000001E-2</v>
      </c>
    </row>
    <row r="11907" spans="2:4" ht="13.8" hidden="1" outlineLevel="1">
      <c r="B11907" s="187">
        <v>39275</v>
      </c>
      <c r="C11907" s="189">
        <v>5.13</v>
      </c>
      <c r="D11907" s="104">
        <f t="shared" si="186"/>
        <v>5.1299999999999998E-2</v>
      </c>
    </row>
    <row r="11908" spans="2:4" ht="13.8" hidden="1" outlineLevel="1">
      <c r="B11908" s="187">
        <v>39276</v>
      </c>
      <c r="C11908" s="189">
        <v>5.1100000000000003</v>
      </c>
      <c r="D11908" s="104">
        <f t="shared" si="186"/>
        <v>5.1100000000000007E-2</v>
      </c>
    </row>
    <row r="11909" spans="2:4" ht="13.8" hidden="1" outlineLevel="1">
      <c r="B11909" s="187">
        <v>39279</v>
      </c>
      <c r="C11909" s="189">
        <v>5.05</v>
      </c>
      <c r="D11909" s="104">
        <f t="shared" si="186"/>
        <v>5.0499999999999996E-2</v>
      </c>
    </row>
    <row r="11910" spans="2:4" ht="13.8" hidden="1" outlineLevel="1">
      <c r="B11910" s="187">
        <v>39280</v>
      </c>
      <c r="C11910" s="189">
        <v>5.08</v>
      </c>
      <c r="D11910" s="104">
        <f t="shared" si="186"/>
        <v>5.0799999999999998E-2</v>
      </c>
    </row>
    <row r="11911" spans="2:4" ht="13.8" hidden="1" outlineLevel="1">
      <c r="B11911" s="187">
        <v>39281</v>
      </c>
      <c r="C11911" s="189">
        <v>5.0199999999999996</v>
      </c>
      <c r="D11911" s="104">
        <f t="shared" si="186"/>
        <v>5.0199999999999995E-2</v>
      </c>
    </row>
    <row r="11912" spans="2:4" ht="13.8" hidden="1" outlineLevel="1">
      <c r="B11912" s="187">
        <v>39282</v>
      </c>
      <c r="C11912" s="189">
        <v>5.04</v>
      </c>
      <c r="D11912" s="104">
        <f t="shared" si="186"/>
        <v>5.04E-2</v>
      </c>
    </row>
    <row r="11913" spans="2:4" ht="13.8" hidden="1" outlineLevel="1">
      <c r="B11913" s="187">
        <v>39283</v>
      </c>
      <c r="C11913" s="189">
        <v>4.96</v>
      </c>
      <c r="D11913" s="104">
        <f t="shared" si="186"/>
        <v>4.9599999999999998E-2</v>
      </c>
    </row>
    <row r="11914" spans="2:4" ht="13.8" hidden="1" outlineLevel="1">
      <c r="B11914" s="187">
        <v>39286</v>
      </c>
      <c r="C11914" s="189">
        <v>4.97</v>
      </c>
      <c r="D11914" s="104">
        <f t="shared" si="186"/>
        <v>4.9699999999999994E-2</v>
      </c>
    </row>
    <row r="11915" spans="2:4" ht="13.8" hidden="1" outlineLevel="1">
      <c r="B11915" s="187">
        <v>39287</v>
      </c>
      <c r="C11915" s="189">
        <v>4.9400000000000004</v>
      </c>
      <c r="D11915" s="104">
        <f t="shared" si="186"/>
        <v>4.9400000000000006E-2</v>
      </c>
    </row>
    <row r="11916" spans="2:4" ht="13.8" hidden="1" outlineLevel="1">
      <c r="B11916" s="187">
        <v>39288</v>
      </c>
      <c r="C11916" s="189">
        <v>4.92</v>
      </c>
      <c r="D11916" s="104">
        <f t="shared" si="186"/>
        <v>4.9200000000000001E-2</v>
      </c>
    </row>
    <row r="11917" spans="2:4" ht="13.8" hidden="1" outlineLevel="1">
      <c r="B11917" s="187">
        <v>39289</v>
      </c>
      <c r="C11917" s="189">
        <v>4.79</v>
      </c>
      <c r="D11917" s="104">
        <f t="shared" si="186"/>
        <v>4.7899999999999998E-2</v>
      </c>
    </row>
    <row r="11918" spans="2:4" ht="13.8" hidden="1" outlineLevel="1">
      <c r="B11918" s="187">
        <v>39290</v>
      </c>
      <c r="C11918" s="189">
        <v>4.8</v>
      </c>
      <c r="D11918" s="104">
        <f t="shared" si="186"/>
        <v>4.8000000000000001E-2</v>
      </c>
    </row>
    <row r="11919" spans="2:4" ht="13.8" hidden="1" outlineLevel="1">
      <c r="B11919" s="187">
        <v>39293</v>
      </c>
      <c r="C11919" s="189">
        <v>4.82</v>
      </c>
      <c r="D11919" s="104">
        <f t="shared" si="186"/>
        <v>4.82E-2</v>
      </c>
    </row>
    <row r="11920" spans="2:4" ht="13.8" hidden="1" outlineLevel="1">
      <c r="B11920" s="187">
        <v>39294</v>
      </c>
      <c r="C11920" s="189">
        <v>4.78</v>
      </c>
      <c r="D11920" s="104">
        <f t="shared" si="186"/>
        <v>4.7800000000000002E-2</v>
      </c>
    </row>
    <row r="11921" spans="2:4" ht="13.8" hidden="1" outlineLevel="1">
      <c r="B11921" s="187">
        <v>39295</v>
      </c>
      <c r="C11921" s="189">
        <v>4.76</v>
      </c>
      <c r="D11921" s="104">
        <f t="shared" si="186"/>
        <v>4.7599999999999996E-2</v>
      </c>
    </row>
    <row r="11922" spans="2:4" ht="13.8" hidden="1" outlineLevel="1">
      <c r="B11922" s="187">
        <v>39296</v>
      </c>
      <c r="C11922" s="189">
        <v>4.7699999999999996</v>
      </c>
      <c r="D11922" s="104">
        <f t="shared" si="186"/>
        <v>4.7699999999999992E-2</v>
      </c>
    </row>
    <row r="11923" spans="2:4" ht="13.8" hidden="1" outlineLevel="1">
      <c r="B11923" s="187">
        <v>39297</v>
      </c>
      <c r="C11923" s="189">
        <v>4.71</v>
      </c>
      <c r="D11923" s="104">
        <f t="shared" si="186"/>
        <v>4.7100000000000003E-2</v>
      </c>
    </row>
    <row r="11924" spans="2:4" ht="13.8" hidden="1" outlineLevel="1">
      <c r="B11924" s="187">
        <v>39300</v>
      </c>
      <c r="C11924" s="189">
        <v>4.72</v>
      </c>
      <c r="D11924" s="104">
        <f t="shared" si="186"/>
        <v>4.7199999999999999E-2</v>
      </c>
    </row>
    <row r="11925" spans="2:4" ht="13.8" hidden="1" outlineLevel="1">
      <c r="B11925" s="187">
        <v>39301</v>
      </c>
      <c r="C11925" s="189">
        <v>4.7699999999999996</v>
      </c>
      <c r="D11925" s="104">
        <f t="shared" si="186"/>
        <v>4.7699999999999992E-2</v>
      </c>
    </row>
    <row r="11926" spans="2:4" ht="13.8" hidden="1" outlineLevel="1">
      <c r="B11926" s="187">
        <v>39302</v>
      </c>
      <c r="C11926" s="189">
        <v>4.84</v>
      </c>
      <c r="D11926" s="104">
        <f t="shared" si="186"/>
        <v>4.8399999999999999E-2</v>
      </c>
    </row>
    <row r="11927" spans="2:4" ht="13.8" hidden="1" outlineLevel="1">
      <c r="B11927" s="187">
        <v>39303</v>
      </c>
      <c r="C11927" s="189">
        <v>4.79</v>
      </c>
      <c r="D11927" s="104">
        <f t="shared" si="186"/>
        <v>4.7899999999999998E-2</v>
      </c>
    </row>
    <row r="11928" spans="2:4" ht="13.8" hidden="1" outlineLevel="1">
      <c r="B11928" s="187">
        <v>39304</v>
      </c>
      <c r="C11928" s="189">
        <v>4.8099999999999996</v>
      </c>
      <c r="D11928" s="104">
        <f t="shared" si="186"/>
        <v>4.8099999999999997E-2</v>
      </c>
    </row>
    <row r="11929" spans="2:4" ht="13.8" hidden="1" outlineLevel="1">
      <c r="B11929" s="187">
        <v>39307</v>
      </c>
      <c r="C11929" s="189">
        <v>4.78</v>
      </c>
      <c r="D11929" s="104">
        <f t="shared" si="186"/>
        <v>4.7800000000000002E-2</v>
      </c>
    </row>
    <row r="11930" spans="2:4" ht="13.8" hidden="1" outlineLevel="1">
      <c r="B11930" s="187">
        <v>39308</v>
      </c>
      <c r="C11930" s="189">
        <v>4.7300000000000004</v>
      </c>
      <c r="D11930" s="104">
        <f t="shared" si="186"/>
        <v>4.7300000000000002E-2</v>
      </c>
    </row>
    <row r="11931" spans="2:4" ht="13.8" hidden="1" outlineLevel="1">
      <c r="B11931" s="187">
        <v>39309</v>
      </c>
      <c r="C11931" s="189">
        <v>4.6900000000000004</v>
      </c>
      <c r="D11931" s="104">
        <f t="shared" si="186"/>
        <v>4.6900000000000004E-2</v>
      </c>
    </row>
    <row r="11932" spans="2:4" ht="13.8" hidden="1" outlineLevel="1">
      <c r="B11932" s="187">
        <v>39310</v>
      </c>
      <c r="C11932" s="189">
        <v>4.5999999999999996</v>
      </c>
      <c r="D11932" s="104">
        <f t="shared" si="186"/>
        <v>4.5999999999999999E-2</v>
      </c>
    </row>
    <row r="11933" spans="2:4" ht="13.8" hidden="1" outlineLevel="1">
      <c r="B11933" s="187">
        <v>39311</v>
      </c>
      <c r="C11933" s="189">
        <v>4.68</v>
      </c>
      <c r="D11933" s="104">
        <f t="shared" si="186"/>
        <v>4.6799999999999994E-2</v>
      </c>
    </row>
    <row r="11934" spans="2:4" ht="13.8" hidden="1" outlineLevel="1">
      <c r="B11934" s="187">
        <v>39314</v>
      </c>
      <c r="C11934" s="189">
        <v>4.6399999999999997</v>
      </c>
      <c r="D11934" s="104">
        <f t="shared" si="186"/>
        <v>4.6399999999999997E-2</v>
      </c>
    </row>
    <row r="11935" spans="2:4" ht="13.8" hidden="1" outlineLevel="1">
      <c r="B11935" s="187">
        <v>39315</v>
      </c>
      <c r="C11935" s="189">
        <v>4.5999999999999996</v>
      </c>
      <c r="D11935" s="104">
        <f t="shared" si="186"/>
        <v>4.5999999999999999E-2</v>
      </c>
    </row>
    <row r="11936" spans="2:4" ht="13.8" hidden="1" outlineLevel="1">
      <c r="B11936" s="187">
        <v>39316</v>
      </c>
      <c r="C11936" s="189">
        <v>4.63</v>
      </c>
      <c r="D11936" s="104">
        <f t="shared" si="186"/>
        <v>4.6300000000000001E-2</v>
      </c>
    </row>
    <row r="11937" spans="2:4" ht="13.8" hidden="1" outlineLevel="1">
      <c r="B11937" s="187">
        <v>39317</v>
      </c>
      <c r="C11937" s="189">
        <v>4.62</v>
      </c>
      <c r="D11937" s="104">
        <f t="shared" si="186"/>
        <v>4.6199999999999998E-2</v>
      </c>
    </row>
    <row r="11938" spans="2:4" ht="13.8" hidden="1" outlineLevel="1">
      <c r="B11938" s="187">
        <v>39318</v>
      </c>
      <c r="C11938" s="189">
        <v>4.63</v>
      </c>
      <c r="D11938" s="104">
        <f t="shared" si="186"/>
        <v>4.6300000000000001E-2</v>
      </c>
    </row>
    <row r="11939" spans="2:4" ht="13.8" hidden="1" outlineLevel="1">
      <c r="B11939" s="187">
        <v>39321</v>
      </c>
      <c r="C11939" s="189">
        <v>4.5999999999999996</v>
      </c>
      <c r="D11939" s="104">
        <f t="shared" si="186"/>
        <v>4.5999999999999999E-2</v>
      </c>
    </row>
    <row r="11940" spans="2:4" ht="13.8" hidden="1" outlineLevel="1">
      <c r="B11940" s="187">
        <v>39322</v>
      </c>
      <c r="C11940" s="189">
        <v>4.53</v>
      </c>
      <c r="D11940" s="104">
        <f t="shared" si="186"/>
        <v>4.53E-2</v>
      </c>
    </row>
    <row r="11941" spans="2:4" ht="13.8" hidden="1" outlineLevel="1">
      <c r="B11941" s="187">
        <v>39323</v>
      </c>
      <c r="C11941" s="189">
        <v>4.57</v>
      </c>
      <c r="D11941" s="104">
        <f t="shared" si="186"/>
        <v>4.5700000000000005E-2</v>
      </c>
    </row>
    <row r="11942" spans="2:4" ht="13.8" hidden="1" outlineLevel="1">
      <c r="B11942" s="187">
        <v>39324</v>
      </c>
      <c r="C11942" s="189">
        <v>4.51</v>
      </c>
      <c r="D11942" s="104">
        <f t="shared" si="186"/>
        <v>4.5100000000000001E-2</v>
      </c>
    </row>
    <row r="11943" spans="2:4" ht="13.8" hidden="1" outlineLevel="1">
      <c r="B11943" s="187">
        <v>39325</v>
      </c>
      <c r="C11943" s="189">
        <v>4.54</v>
      </c>
      <c r="D11943" s="104">
        <f t="shared" si="186"/>
        <v>4.5400000000000003E-2</v>
      </c>
    </row>
    <row r="11944" spans="2:4" ht="13.8" hidden="1" outlineLevel="1">
      <c r="B11944" s="187">
        <v>39328</v>
      </c>
      <c r="C11944" s="189">
        <v>4.54</v>
      </c>
      <c r="D11944" s="104">
        <f t="shared" si="186"/>
        <v>4.5400000000000003E-2</v>
      </c>
    </row>
    <row r="11945" spans="2:4" ht="13.8" hidden="1" outlineLevel="1">
      <c r="B11945" s="187">
        <v>39329</v>
      </c>
      <c r="C11945" s="189">
        <v>4.5599999999999996</v>
      </c>
      <c r="D11945" s="104">
        <f t="shared" si="186"/>
        <v>4.5599999999999995E-2</v>
      </c>
    </row>
    <row r="11946" spans="2:4" ht="13.8" hidden="1" outlineLevel="1">
      <c r="B11946" s="187">
        <v>39330</v>
      </c>
      <c r="C11946" s="189">
        <v>4.4800000000000004</v>
      </c>
      <c r="D11946" s="104">
        <f t="shared" si="186"/>
        <v>4.4800000000000006E-2</v>
      </c>
    </row>
    <row r="11947" spans="2:4" ht="13.8" hidden="1" outlineLevel="1">
      <c r="B11947" s="187">
        <v>39331</v>
      </c>
      <c r="C11947" s="189">
        <v>4.51</v>
      </c>
      <c r="D11947" s="104">
        <f t="shared" si="186"/>
        <v>4.5100000000000001E-2</v>
      </c>
    </row>
    <row r="11948" spans="2:4" ht="13.8" hidden="1" outlineLevel="1">
      <c r="B11948" s="187">
        <v>39332</v>
      </c>
      <c r="C11948" s="189">
        <v>4.38</v>
      </c>
      <c r="D11948" s="104">
        <f t="shared" si="186"/>
        <v>4.3799999999999999E-2</v>
      </c>
    </row>
    <row r="11949" spans="2:4" ht="13.8" hidden="1" outlineLevel="1">
      <c r="B11949" s="187">
        <v>39335</v>
      </c>
      <c r="C11949" s="189">
        <v>4.34</v>
      </c>
      <c r="D11949" s="104">
        <f t="shared" si="186"/>
        <v>4.3400000000000001E-2</v>
      </c>
    </row>
    <row r="11950" spans="2:4" ht="13.8" hidden="1" outlineLevel="1">
      <c r="B11950" s="187">
        <v>39336</v>
      </c>
      <c r="C11950" s="189">
        <v>4.37</v>
      </c>
      <c r="D11950" s="104">
        <f t="shared" si="186"/>
        <v>4.3700000000000003E-2</v>
      </c>
    </row>
    <row r="11951" spans="2:4" ht="13.8" hidden="1" outlineLevel="1">
      <c r="B11951" s="187">
        <v>39337</v>
      </c>
      <c r="C11951" s="189">
        <v>4.41</v>
      </c>
      <c r="D11951" s="104">
        <f t="shared" si="186"/>
        <v>4.41E-2</v>
      </c>
    </row>
    <row r="11952" spans="2:4" ht="13.8" hidden="1" outlineLevel="1">
      <c r="B11952" s="187">
        <v>39338</v>
      </c>
      <c r="C11952" s="189">
        <v>4.49</v>
      </c>
      <c r="D11952" s="104">
        <f t="shared" si="186"/>
        <v>4.4900000000000002E-2</v>
      </c>
    </row>
    <row r="11953" spans="2:4" ht="13.8" hidden="1" outlineLevel="1">
      <c r="B11953" s="187">
        <v>39339</v>
      </c>
      <c r="C11953" s="189">
        <v>4.47</v>
      </c>
      <c r="D11953" s="104">
        <f t="shared" si="186"/>
        <v>4.4699999999999997E-2</v>
      </c>
    </row>
    <row r="11954" spans="2:4" ht="13.8" hidden="1" outlineLevel="1">
      <c r="B11954" s="187">
        <v>39342</v>
      </c>
      <c r="C11954" s="189">
        <v>4.4800000000000004</v>
      </c>
      <c r="D11954" s="104">
        <f t="shared" si="186"/>
        <v>4.4800000000000006E-2</v>
      </c>
    </row>
    <row r="11955" spans="2:4" ht="13.8" hidden="1" outlineLevel="1">
      <c r="B11955" s="187">
        <v>39343</v>
      </c>
      <c r="C11955" s="189">
        <v>4.5</v>
      </c>
      <c r="D11955" s="104">
        <f t="shared" si="186"/>
        <v>4.4999999999999998E-2</v>
      </c>
    </row>
    <row r="11956" spans="2:4" ht="13.8" hidden="1" outlineLevel="1">
      <c r="B11956" s="187">
        <v>39344</v>
      </c>
      <c r="C11956" s="189">
        <v>4.53</v>
      </c>
      <c r="D11956" s="104">
        <f t="shared" si="186"/>
        <v>4.53E-2</v>
      </c>
    </row>
    <row r="11957" spans="2:4" ht="13.8" hidden="1" outlineLevel="1">
      <c r="B11957" s="187">
        <v>39345</v>
      </c>
      <c r="C11957" s="189">
        <v>4.6900000000000004</v>
      </c>
      <c r="D11957" s="104">
        <f t="shared" ref="D11957:D12020" si="187">IF( LEN( C11957 ) = 0, #N/A, IF( C11957 = "ND", D11956, C11957 / 100 ) )</f>
        <v>4.6900000000000004E-2</v>
      </c>
    </row>
    <row r="11958" spans="2:4" ht="13.8" hidden="1" outlineLevel="1">
      <c r="B11958" s="187">
        <v>39346</v>
      </c>
      <c r="C11958" s="189">
        <v>4.6399999999999997</v>
      </c>
      <c r="D11958" s="104">
        <f t="shared" si="187"/>
        <v>4.6399999999999997E-2</v>
      </c>
    </row>
    <row r="11959" spans="2:4" ht="13.8" hidden="1" outlineLevel="1">
      <c r="B11959" s="187">
        <v>39349</v>
      </c>
      <c r="C11959" s="189">
        <v>4.63</v>
      </c>
      <c r="D11959" s="104">
        <f t="shared" si="187"/>
        <v>4.6300000000000001E-2</v>
      </c>
    </row>
    <row r="11960" spans="2:4" ht="13.8" hidden="1" outlineLevel="1">
      <c r="B11960" s="187">
        <v>39350</v>
      </c>
      <c r="C11960" s="189">
        <v>4.63</v>
      </c>
      <c r="D11960" s="104">
        <f t="shared" si="187"/>
        <v>4.6300000000000001E-2</v>
      </c>
    </row>
    <row r="11961" spans="2:4" ht="13.8" hidden="1" outlineLevel="1">
      <c r="B11961" s="187">
        <v>39351</v>
      </c>
      <c r="C11961" s="189">
        <v>4.63</v>
      </c>
      <c r="D11961" s="104">
        <f t="shared" si="187"/>
        <v>4.6300000000000001E-2</v>
      </c>
    </row>
    <row r="11962" spans="2:4" ht="13.8" hidden="1" outlineLevel="1">
      <c r="B11962" s="187">
        <v>39352</v>
      </c>
      <c r="C11962" s="189">
        <v>4.58</v>
      </c>
      <c r="D11962" s="104">
        <f t="shared" si="187"/>
        <v>4.58E-2</v>
      </c>
    </row>
    <row r="11963" spans="2:4" ht="13.8" hidden="1" outlineLevel="1">
      <c r="B11963" s="187">
        <v>39353</v>
      </c>
      <c r="C11963" s="189">
        <v>4.59</v>
      </c>
      <c r="D11963" s="104">
        <f t="shared" si="187"/>
        <v>4.5899999999999996E-2</v>
      </c>
    </row>
    <row r="11964" spans="2:4" ht="13.8" hidden="1" outlineLevel="1">
      <c r="B11964" s="187">
        <v>39356</v>
      </c>
      <c r="C11964" s="189">
        <v>4.5599999999999996</v>
      </c>
      <c r="D11964" s="104">
        <f t="shared" si="187"/>
        <v>4.5599999999999995E-2</v>
      </c>
    </row>
    <row r="11965" spans="2:4" ht="13.8" hidden="1" outlineLevel="1">
      <c r="B11965" s="187">
        <v>39357</v>
      </c>
      <c r="C11965" s="189">
        <v>4.54</v>
      </c>
      <c r="D11965" s="104">
        <f t="shared" si="187"/>
        <v>4.5400000000000003E-2</v>
      </c>
    </row>
    <row r="11966" spans="2:4" ht="13.8" hidden="1" outlineLevel="1">
      <c r="B11966" s="187">
        <v>39358</v>
      </c>
      <c r="C11966" s="189">
        <v>4.55</v>
      </c>
      <c r="D11966" s="104">
        <f t="shared" si="187"/>
        <v>4.5499999999999999E-2</v>
      </c>
    </row>
    <row r="11967" spans="2:4" ht="13.8" hidden="1" outlineLevel="1">
      <c r="B11967" s="187">
        <v>39359</v>
      </c>
      <c r="C11967" s="189">
        <v>4.54</v>
      </c>
      <c r="D11967" s="104">
        <f t="shared" si="187"/>
        <v>4.5400000000000003E-2</v>
      </c>
    </row>
    <row r="11968" spans="2:4" ht="13.8" hidden="1" outlineLevel="1">
      <c r="B11968" s="187">
        <v>39360</v>
      </c>
      <c r="C11968" s="189">
        <v>4.6500000000000004</v>
      </c>
      <c r="D11968" s="104">
        <f t="shared" si="187"/>
        <v>4.6500000000000007E-2</v>
      </c>
    </row>
    <row r="11969" spans="2:4" ht="13.8" hidden="1" outlineLevel="1">
      <c r="B11969" s="187">
        <v>39364</v>
      </c>
      <c r="C11969" s="189">
        <v>4.67</v>
      </c>
      <c r="D11969" s="104">
        <f t="shared" si="187"/>
        <v>4.6699999999999998E-2</v>
      </c>
    </row>
    <row r="11970" spans="2:4" ht="13.8" hidden="1" outlineLevel="1">
      <c r="B11970" s="187">
        <v>39365</v>
      </c>
      <c r="C11970" s="189">
        <v>4.6500000000000004</v>
      </c>
      <c r="D11970" s="104">
        <f t="shared" si="187"/>
        <v>4.6500000000000007E-2</v>
      </c>
    </row>
    <row r="11971" spans="2:4" ht="13.8" hidden="1" outlineLevel="1">
      <c r="B11971" s="187">
        <v>39366</v>
      </c>
      <c r="C11971" s="189">
        <v>4.66</v>
      </c>
      <c r="D11971" s="104">
        <f t="shared" si="187"/>
        <v>4.6600000000000003E-2</v>
      </c>
    </row>
    <row r="11972" spans="2:4" ht="13.8" hidden="1" outlineLevel="1">
      <c r="B11972" s="187">
        <v>39367</v>
      </c>
      <c r="C11972" s="189">
        <v>4.7</v>
      </c>
      <c r="D11972" s="104">
        <f t="shared" si="187"/>
        <v>4.7E-2</v>
      </c>
    </row>
    <row r="11973" spans="2:4" ht="13.8" hidden="1" outlineLevel="1">
      <c r="B11973" s="187">
        <v>39370</v>
      </c>
      <c r="C11973" s="189">
        <v>4.6900000000000004</v>
      </c>
      <c r="D11973" s="104">
        <f t="shared" si="187"/>
        <v>4.6900000000000004E-2</v>
      </c>
    </row>
    <row r="11974" spans="2:4" ht="13.8" hidden="1" outlineLevel="1">
      <c r="B11974" s="187">
        <v>39371</v>
      </c>
      <c r="C11974" s="189">
        <v>4.66</v>
      </c>
      <c r="D11974" s="104">
        <f t="shared" si="187"/>
        <v>4.6600000000000003E-2</v>
      </c>
    </row>
    <row r="11975" spans="2:4" ht="13.8" hidden="1" outlineLevel="1">
      <c r="B11975" s="187">
        <v>39372</v>
      </c>
      <c r="C11975" s="189">
        <v>4.57</v>
      </c>
      <c r="D11975" s="104">
        <f t="shared" si="187"/>
        <v>4.5700000000000005E-2</v>
      </c>
    </row>
    <row r="11976" spans="2:4" ht="13.8" hidden="1" outlineLevel="1">
      <c r="B11976" s="187">
        <v>39373</v>
      </c>
      <c r="C11976" s="189">
        <v>4.5199999999999996</v>
      </c>
      <c r="D11976" s="104">
        <f t="shared" si="187"/>
        <v>4.5199999999999997E-2</v>
      </c>
    </row>
    <row r="11977" spans="2:4" ht="13.8" hidden="1" outlineLevel="1">
      <c r="B11977" s="187">
        <v>39374</v>
      </c>
      <c r="C11977" s="189">
        <v>4.41</v>
      </c>
      <c r="D11977" s="104">
        <f t="shared" si="187"/>
        <v>4.41E-2</v>
      </c>
    </row>
    <row r="11978" spans="2:4" ht="13.8" hidden="1" outlineLevel="1">
      <c r="B11978" s="187">
        <v>39377</v>
      </c>
      <c r="C11978" s="189">
        <v>4.42</v>
      </c>
      <c r="D11978" s="104">
        <f t="shared" si="187"/>
        <v>4.4199999999999996E-2</v>
      </c>
    </row>
    <row r="11979" spans="2:4" ht="13.8" hidden="1" outlineLevel="1">
      <c r="B11979" s="187">
        <v>39378</v>
      </c>
      <c r="C11979" s="189">
        <v>4.41</v>
      </c>
      <c r="D11979" s="104">
        <f t="shared" si="187"/>
        <v>4.41E-2</v>
      </c>
    </row>
    <row r="11980" spans="2:4" ht="13.8" hidden="1" outlineLevel="1">
      <c r="B11980" s="187">
        <v>39379</v>
      </c>
      <c r="C11980" s="189">
        <v>4.3600000000000003</v>
      </c>
      <c r="D11980" s="104">
        <f t="shared" si="187"/>
        <v>4.36E-2</v>
      </c>
    </row>
    <row r="11981" spans="2:4" ht="13.8" hidden="1" outlineLevel="1">
      <c r="B11981" s="187">
        <v>39380</v>
      </c>
      <c r="C11981" s="189">
        <v>4.37</v>
      </c>
      <c r="D11981" s="104">
        <f t="shared" si="187"/>
        <v>4.3700000000000003E-2</v>
      </c>
    </row>
    <row r="11982" spans="2:4" ht="13.8" hidden="1" outlineLevel="1">
      <c r="B11982" s="187">
        <v>39381</v>
      </c>
      <c r="C11982" s="189">
        <v>4.41</v>
      </c>
      <c r="D11982" s="104">
        <f t="shared" si="187"/>
        <v>4.41E-2</v>
      </c>
    </row>
    <row r="11983" spans="2:4" ht="13.8" hidden="1" outlineLevel="1">
      <c r="B11983" s="187">
        <v>39384</v>
      </c>
      <c r="C11983" s="189">
        <v>4.3899999999999997</v>
      </c>
      <c r="D11983" s="104">
        <f t="shared" si="187"/>
        <v>4.3899999999999995E-2</v>
      </c>
    </row>
    <row r="11984" spans="2:4" ht="13.8" hidden="1" outlineLevel="1">
      <c r="B11984" s="187">
        <v>39385</v>
      </c>
      <c r="C11984" s="189">
        <v>4.4000000000000004</v>
      </c>
      <c r="D11984" s="104">
        <f t="shared" si="187"/>
        <v>4.4000000000000004E-2</v>
      </c>
    </row>
    <row r="11985" spans="2:4" ht="13.8" hidden="1" outlineLevel="1">
      <c r="B11985" s="187">
        <v>39386</v>
      </c>
      <c r="C11985" s="189">
        <v>4.4800000000000004</v>
      </c>
      <c r="D11985" s="104">
        <f t="shared" si="187"/>
        <v>4.4800000000000006E-2</v>
      </c>
    </row>
    <row r="11986" spans="2:4" ht="13.8" hidden="1" outlineLevel="1">
      <c r="B11986" s="187">
        <v>39387</v>
      </c>
      <c r="C11986" s="189">
        <v>4.3600000000000003</v>
      </c>
      <c r="D11986" s="104">
        <f t="shared" si="187"/>
        <v>4.36E-2</v>
      </c>
    </row>
    <row r="11987" spans="2:4" ht="13.8" hidden="1" outlineLevel="1">
      <c r="B11987" s="187">
        <v>39388</v>
      </c>
      <c r="C11987" s="189">
        <v>4.3099999999999996</v>
      </c>
      <c r="D11987" s="104">
        <f t="shared" si="187"/>
        <v>4.3099999999999999E-2</v>
      </c>
    </row>
    <row r="11988" spans="2:4" ht="13.8" hidden="1" outlineLevel="1">
      <c r="B11988" s="187">
        <v>39391</v>
      </c>
      <c r="C11988" s="189">
        <v>4.3499999999999996</v>
      </c>
      <c r="D11988" s="104">
        <f t="shared" si="187"/>
        <v>4.3499999999999997E-2</v>
      </c>
    </row>
    <row r="11989" spans="2:4" ht="13.8" hidden="1" outlineLevel="1">
      <c r="B11989" s="187">
        <v>39392</v>
      </c>
      <c r="C11989" s="189">
        <v>4.38</v>
      </c>
      <c r="D11989" s="104">
        <f t="shared" si="187"/>
        <v>4.3799999999999999E-2</v>
      </c>
    </row>
    <row r="11990" spans="2:4" ht="13.8" hidden="1" outlineLevel="1">
      <c r="B11990" s="187">
        <v>39393</v>
      </c>
      <c r="C11990" s="189">
        <v>4.34</v>
      </c>
      <c r="D11990" s="104">
        <f t="shared" si="187"/>
        <v>4.3400000000000001E-2</v>
      </c>
    </row>
    <row r="11991" spans="2:4" ht="13.8" hidden="1" outlineLevel="1">
      <c r="B11991" s="187">
        <v>39394</v>
      </c>
      <c r="C11991" s="189">
        <v>4.28</v>
      </c>
      <c r="D11991" s="104">
        <f t="shared" si="187"/>
        <v>4.2800000000000005E-2</v>
      </c>
    </row>
    <row r="11992" spans="2:4" ht="13.8" hidden="1" outlineLevel="1">
      <c r="B11992" s="187">
        <v>39395</v>
      </c>
      <c r="C11992" s="189">
        <v>4.2300000000000004</v>
      </c>
      <c r="D11992" s="104">
        <f t="shared" si="187"/>
        <v>4.2300000000000004E-2</v>
      </c>
    </row>
    <row r="11993" spans="2:4" ht="13.8" hidden="1" outlineLevel="1">
      <c r="B11993" s="187">
        <v>39398</v>
      </c>
      <c r="C11993" s="189">
        <v>4.2300000000000004</v>
      </c>
      <c r="D11993" s="104">
        <f t="shared" si="187"/>
        <v>4.2300000000000004E-2</v>
      </c>
    </row>
    <row r="11994" spans="2:4" ht="13.8" hidden="1" outlineLevel="1">
      <c r="B11994" s="187">
        <v>39399</v>
      </c>
      <c r="C11994" s="189">
        <v>4.26</v>
      </c>
      <c r="D11994" s="104">
        <f t="shared" si="187"/>
        <v>4.2599999999999999E-2</v>
      </c>
    </row>
    <row r="11995" spans="2:4" ht="13.8" hidden="1" outlineLevel="1">
      <c r="B11995" s="187">
        <v>39400</v>
      </c>
      <c r="C11995" s="189">
        <v>4.28</v>
      </c>
      <c r="D11995" s="104">
        <f t="shared" si="187"/>
        <v>4.2800000000000005E-2</v>
      </c>
    </row>
    <row r="11996" spans="2:4" ht="13.8" hidden="1" outlineLevel="1">
      <c r="B11996" s="187">
        <v>39401</v>
      </c>
      <c r="C11996" s="189">
        <v>4.17</v>
      </c>
      <c r="D11996" s="104">
        <f t="shared" si="187"/>
        <v>4.1700000000000001E-2</v>
      </c>
    </row>
    <row r="11997" spans="2:4" ht="13.8" hidden="1" outlineLevel="1">
      <c r="B11997" s="187">
        <v>39402</v>
      </c>
      <c r="C11997" s="189">
        <v>4.1500000000000004</v>
      </c>
      <c r="D11997" s="104">
        <f t="shared" si="187"/>
        <v>4.1500000000000002E-2</v>
      </c>
    </row>
    <row r="11998" spans="2:4" ht="13.8" hidden="1" outlineLevel="1">
      <c r="B11998" s="187">
        <v>39405</v>
      </c>
      <c r="C11998" s="189">
        <v>4.07</v>
      </c>
      <c r="D11998" s="104">
        <f t="shared" si="187"/>
        <v>4.07E-2</v>
      </c>
    </row>
    <row r="11999" spans="2:4" ht="13.8" hidden="1" outlineLevel="1">
      <c r="B11999" s="187">
        <v>39406</v>
      </c>
      <c r="C11999" s="189">
        <v>4.0599999999999996</v>
      </c>
      <c r="D11999" s="104">
        <f t="shared" si="187"/>
        <v>4.0599999999999997E-2</v>
      </c>
    </row>
    <row r="12000" spans="2:4" ht="13.8" hidden="1" outlineLevel="1">
      <c r="B12000" s="187">
        <v>39407</v>
      </c>
      <c r="C12000" s="189">
        <v>4</v>
      </c>
      <c r="D12000" s="104">
        <f t="shared" si="187"/>
        <v>0.04</v>
      </c>
    </row>
    <row r="12001" spans="2:4" ht="13.8" hidden="1" outlineLevel="1">
      <c r="B12001" s="187">
        <v>39409</v>
      </c>
      <c r="C12001" s="189">
        <v>4.01</v>
      </c>
      <c r="D12001" s="104">
        <f t="shared" si="187"/>
        <v>4.0099999999999997E-2</v>
      </c>
    </row>
    <row r="12002" spans="2:4" ht="13.8" hidden="1" outlineLevel="1">
      <c r="B12002" s="187">
        <v>39412</v>
      </c>
      <c r="C12002" s="189">
        <v>3.83</v>
      </c>
      <c r="D12002" s="104">
        <f t="shared" si="187"/>
        <v>3.8300000000000001E-2</v>
      </c>
    </row>
    <row r="12003" spans="2:4" ht="13.8" hidden="1" outlineLevel="1">
      <c r="B12003" s="187">
        <v>39413</v>
      </c>
      <c r="C12003" s="189">
        <v>3.95</v>
      </c>
      <c r="D12003" s="104">
        <f t="shared" si="187"/>
        <v>3.95E-2</v>
      </c>
    </row>
    <row r="12004" spans="2:4" ht="13.8" hidden="1" outlineLevel="1">
      <c r="B12004" s="187">
        <v>39414</v>
      </c>
      <c r="C12004" s="189">
        <v>4.03</v>
      </c>
      <c r="D12004" s="104">
        <f t="shared" si="187"/>
        <v>4.0300000000000002E-2</v>
      </c>
    </row>
    <row r="12005" spans="2:4" ht="13.8" hidden="1" outlineLevel="1">
      <c r="B12005" s="187">
        <v>39415</v>
      </c>
      <c r="C12005" s="189">
        <v>3.94</v>
      </c>
      <c r="D12005" s="104">
        <f t="shared" si="187"/>
        <v>3.9399999999999998E-2</v>
      </c>
    </row>
    <row r="12006" spans="2:4" ht="13.8" hidden="1" outlineLevel="1">
      <c r="B12006" s="187">
        <v>39416</v>
      </c>
      <c r="C12006" s="189">
        <v>3.97</v>
      </c>
      <c r="D12006" s="104">
        <f t="shared" si="187"/>
        <v>3.9699999999999999E-2</v>
      </c>
    </row>
    <row r="12007" spans="2:4" ht="13.8" hidden="1" outlineLevel="1">
      <c r="B12007" s="187">
        <v>39419</v>
      </c>
      <c r="C12007" s="189">
        <v>3.89</v>
      </c>
      <c r="D12007" s="104">
        <f t="shared" si="187"/>
        <v>3.8900000000000004E-2</v>
      </c>
    </row>
    <row r="12008" spans="2:4" ht="13.8" hidden="1" outlineLevel="1">
      <c r="B12008" s="187">
        <v>39420</v>
      </c>
      <c r="C12008" s="189">
        <v>3.89</v>
      </c>
      <c r="D12008" s="104">
        <f t="shared" si="187"/>
        <v>3.8900000000000004E-2</v>
      </c>
    </row>
    <row r="12009" spans="2:4" ht="13.8" hidden="1" outlineLevel="1">
      <c r="B12009" s="187">
        <v>39421</v>
      </c>
      <c r="C12009" s="189">
        <v>3.92</v>
      </c>
      <c r="D12009" s="104">
        <f t="shared" si="187"/>
        <v>3.9199999999999999E-2</v>
      </c>
    </row>
    <row r="12010" spans="2:4" ht="13.8" hidden="1" outlineLevel="1">
      <c r="B12010" s="187">
        <v>39422</v>
      </c>
      <c r="C12010" s="189">
        <v>4.0199999999999996</v>
      </c>
      <c r="D12010" s="104">
        <f t="shared" si="187"/>
        <v>4.0199999999999993E-2</v>
      </c>
    </row>
    <row r="12011" spans="2:4" ht="13.8" hidden="1" outlineLevel="1">
      <c r="B12011" s="187">
        <v>39423</v>
      </c>
      <c r="C12011" s="189">
        <v>4.12</v>
      </c>
      <c r="D12011" s="104">
        <f t="shared" si="187"/>
        <v>4.1200000000000001E-2</v>
      </c>
    </row>
    <row r="12012" spans="2:4" ht="13.8" hidden="1" outlineLevel="1">
      <c r="B12012" s="187">
        <v>39426</v>
      </c>
      <c r="C12012" s="189">
        <v>4.1500000000000004</v>
      </c>
      <c r="D12012" s="104">
        <f t="shared" si="187"/>
        <v>4.1500000000000002E-2</v>
      </c>
    </row>
    <row r="12013" spans="2:4" ht="13.8" hidden="1" outlineLevel="1">
      <c r="B12013" s="187">
        <v>39427</v>
      </c>
      <c r="C12013" s="189">
        <v>3.98</v>
      </c>
      <c r="D12013" s="104">
        <f t="shared" si="187"/>
        <v>3.9800000000000002E-2</v>
      </c>
    </row>
    <row r="12014" spans="2:4" ht="13.8" hidden="1" outlineLevel="1">
      <c r="B12014" s="187">
        <v>39428</v>
      </c>
      <c r="C12014" s="189">
        <v>4.05</v>
      </c>
      <c r="D12014" s="104">
        <f t="shared" si="187"/>
        <v>4.0500000000000001E-2</v>
      </c>
    </row>
    <row r="12015" spans="2:4" ht="13.8" hidden="1" outlineLevel="1">
      <c r="B12015" s="187">
        <v>39429</v>
      </c>
      <c r="C12015" s="189">
        <v>4.18</v>
      </c>
      <c r="D12015" s="104">
        <f t="shared" si="187"/>
        <v>4.1799999999999997E-2</v>
      </c>
    </row>
    <row r="12016" spans="2:4" ht="13.8" hidden="1" outlineLevel="1">
      <c r="B12016" s="187">
        <v>39430</v>
      </c>
      <c r="C12016" s="189">
        <v>4.24</v>
      </c>
      <c r="D12016" s="104">
        <f t="shared" si="187"/>
        <v>4.24E-2</v>
      </c>
    </row>
    <row r="12017" spans="2:4" ht="13.8" hidden="1" outlineLevel="1">
      <c r="B12017" s="187">
        <v>39433</v>
      </c>
      <c r="C12017" s="189">
        <v>4.2</v>
      </c>
      <c r="D12017" s="104">
        <f t="shared" si="187"/>
        <v>4.2000000000000003E-2</v>
      </c>
    </row>
    <row r="12018" spans="2:4" ht="13.8" hidden="1" outlineLevel="1">
      <c r="B12018" s="187">
        <v>39434</v>
      </c>
      <c r="C12018" s="189">
        <v>4.1399999999999997</v>
      </c>
      <c r="D12018" s="104">
        <f t="shared" si="187"/>
        <v>4.1399999999999999E-2</v>
      </c>
    </row>
    <row r="12019" spans="2:4" ht="13.8" hidden="1" outlineLevel="1">
      <c r="B12019" s="187">
        <v>39435</v>
      </c>
      <c r="C12019" s="189">
        <v>4.0599999999999996</v>
      </c>
      <c r="D12019" s="104">
        <f t="shared" si="187"/>
        <v>4.0599999999999997E-2</v>
      </c>
    </row>
    <row r="12020" spans="2:4" ht="13.8" hidden="1" outlineLevel="1">
      <c r="B12020" s="187">
        <v>39436</v>
      </c>
      <c r="C12020" s="189">
        <v>4.04</v>
      </c>
      <c r="D12020" s="104">
        <f t="shared" si="187"/>
        <v>4.0399999999999998E-2</v>
      </c>
    </row>
    <row r="12021" spans="2:4" ht="13.8" hidden="1" outlineLevel="1">
      <c r="B12021" s="187">
        <v>39437</v>
      </c>
      <c r="C12021" s="189">
        <v>4.18</v>
      </c>
      <c r="D12021" s="104">
        <f t="shared" ref="D12021:D12084" si="188">IF( LEN( C12021 ) = 0, #N/A, IF( C12021 = "ND", D12020, C12021 / 100 ) )</f>
        <v>4.1799999999999997E-2</v>
      </c>
    </row>
    <row r="12022" spans="2:4" ht="13.8" hidden="1" outlineLevel="1">
      <c r="B12022" s="187">
        <v>39440</v>
      </c>
      <c r="C12022" s="189">
        <v>4.2300000000000004</v>
      </c>
      <c r="D12022" s="104">
        <f t="shared" si="188"/>
        <v>4.2300000000000004E-2</v>
      </c>
    </row>
    <row r="12023" spans="2:4" ht="13.8" hidden="1" outlineLevel="1">
      <c r="B12023" s="187">
        <v>39441</v>
      </c>
      <c r="C12023" s="189">
        <v>4.2300000000000004</v>
      </c>
      <c r="D12023" s="104">
        <f t="shared" si="188"/>
        <v>4.2300000000000004E-2</v>
      </c>
    </row>
    <row r="12024" spans="2:4" ht="13.8" hidden="1" outlineLevel="1">
      <c r="B12024" s="187">
        <v>39442</v>
      </c>
      <c r="C12024" s="189">
        <v>4.3</v>
      </c>
      <c r="D12024" s="104">
        <f t="shared" si="188"/>
        <v>4.2999999999999997E-2</v>
      </c>
    </row>
    <row r="12025" spans="2:4" ht="13.8" hidden="1" outlineLevel="1">
      <c r="B12025" s="187">
        <v>39443</v>
      </c>
      <c r="C12025" s="189">
        <v>4.21</v>
      </c>
      <c r="D12025" s="104">
        <f t="shared" si="188"/>
        <v>4.2099999999999999E-2</v>
      </c>
    </row>
    <row r="12026" spans="2:4" ht="13.8" hidden="1" outlineLevel="1">
      <c r="B12026" s="187">
        <v>39444</v>
      </c>
      <c r="C12026" s="189">
        <v>4.1100000000000003</v>
      </c>
      <c r="D12026" s="104">
        <f t="shared" si="188"/>
        <v>4.1100000000000005E-2</v>
      </c>
    </row>
    <row r="12027" spans="2:4" ht="13.8" hidden="1" outlineLevel="1">
      <c r="B12027" s="187">
        <v>39447</v>
      </c>
      <c r="C12027" s="189">
        <v>4.04</v>
      </c>
      <c r="D12027" s="104">
        <f t="shared" si="188"/>
        <v>4.0399999999999998E-2</v>
      </c>
    </row>
    <row r="12028" spans="2:4" ht="13.8" hidden="1" outlineLevel="1">
      <c r="B12028" s="187">
        <v>39448</v>
      </c>
      <c r="C12028" s="189">
        <v>4.04</v>
      </c>
      <c r="D12028" s="104">
        <f t="shared" si="188"/>
        <v>4.0399999999999998E-2</v>
      </c>
    </row>
    <row r="12029" spans="2:4" ht="13.8" hidden="1" outlineLevel="1">
      <c r="B12029" s="187">
        <v>39449</v>
      </c>
      <c r="C12029" s="189">
        <v>3.91</v>
      </c>
      <c r="D12029" s="104">
        <f t="shared" si="188"/>
        <v>3.9100000000000003E-2</v>
      </c>
    </row>
    <row r="12030" spans="2:4" ht="13.8" hidden="1" outlineLevel="1">
      <c r="B12030" s="187">
        <v>39450</v>
      </c>
      <c r="C12030" s="189">
        <v>3.91</v>
      </c>
      <c r="D12030" s="104">
        <f t="shared" si="188"/>
        <v>3.9100000000000003E-2</v>
      </c>
    </row>
    <row r="12031" spans="2:4" ht="13.8" hidden="1" outlineLevel="1">
      <c r="B12031" s="187">
        <v>39451</v>
      </c>
      <c r="C12031" s="189">
        <v>3.88</v>
      </c>
      <c r="D12031" s="104">
        <f t="shared" si="188"/>
        <v>3.8800000000000001E-2</v>
      </c>
    </row>
    <row r="12032" spans="2:4" ht="13.8" hidden="1" outlineLevel="1">
      <c r="B12032" s="187">
        <v>39454</v>
      </c>
      <c r="C12032" s="189">
        <v>3.86</v>
      </c>
      <c r="D12032" s="104">
        <f t="shared" si="188"/>
        <v>3.8599999999999995E-2</v>
      </c>
    </row>
    <row r="12033" spans="2:4" ht="13.8" hidden="1" outlineLevel="1">
      <c r="B12033" s="187">
        <v>39455</v>
      </c>
      <c r="C12033" s="189">
        <v>3.86</v>
      </c>
      <c r="D12033" s="104">
        <f t="shared" si="188"/>
        <v>3.8599999999999995E-2</v>
      </c>
    </row>
    <row r="12034" spans="2:4" ht="13.8" hidden="1" outlineLevel="1">
      <c r="B12034" s="187">
        <v>39456</v>
      </c>
      <c r="C12034" s="189">
        <v>3.82</v>
      </c>
      <c r="D12034" s="104">
        <f t="shared" si="188"/>
        <v>3.8199999999999998E-2</v>
      </c>
    </row>
    <row r="12035" spans="2:4" ht="13.8" hidden="1" outlineLevel="1">
      <c r="B12035" s="187">
        <v>39457</v>
      </c>
      <c r="C12035" s="189">
        <v>3.91</v>
      </c>
      <c r="D12035" s="104">
        <f t="shared" si="188"/>
        <v>3.9100000000000003E-2</v>
      </c>
    </row>
    <row r="12036" spans="2:4" ht="13.8" hidden="1" outlineLevel="1">
      <c r="B12036" s="187">
        <v>39458</v>
      </c>
      <c r="C12036" s="189">
        <v>3.82</v>
      </c>
      <c r="D12036" s="104">
        <f t="shared" si="188"/>
        <v>3.8199999999999998E-2</v>
      </c>
    </row>
    <row r="12037" spans="2:4" ht="13.8" hidden="1" outlineLevel="1">
      <c r="B12037" s="187">
        <v>39461</v>
      </c>
      <c r="C12037" s="189">
        <v>3.81</v>
      </c>
      <c r="D12037" s="104">
        <f t="shared" si="188"/>
        <v>3.8100000000000002E-2</v>
      </c>
    </row>
    <row r="12038" spans="2:4" ht="13.8" hidden="1" outlineLevel="1">
      <c r="B12038" s="187">
        <v>39462</v>
      </c>
      <c r="C12038" s="189">
        <v>3.72</v>
      </c>
      <c r="D12038" s="104">
        <f t="shared" si="188"/>
        <v>3.7200000000000004E-2</v>
      </c>
    </row>
    <row r="12039" spans="2:4" ht="13.8" hidden="1" outlineLevel="1">
      <c r="B12039" s="187">
        <v>39463</v>
      </c>
      <c r="C12039" s="189">
        <v>3.74</v>
      </c>
      <c r="D12039" s="104">
        <f t="shared" si="188"/>
        <v>3.7400000000000003E-2</v>
      </c>
    </row>
    <row r="12040" spans="2:4" ht="13.8" hidden="1" outlineLevel="1">
      <c r="B12040" s="187">
        <v>39464</v>
      </c>
      <c r="C12040" s="189">
        <v>3.66</v>
      </c>
      <c r="D12040" s="104">
        <f t="shared" si="188"/>
        <v>3.6600000000000001E-2</v>
      </c>
    </row>
    <row r="12041" spans="2:4" ht="13.8" hidden="1" outlineLevel="1">
      <c r="B12041" s="187">
        <v>39465</v>
      </c>
      <c r="C12041" s="189">
        <v>3.66</v>
      </c>
      <c r="D12041" s="104">
        <f t="shared" si="188"/>
        <v>3.6600000000000001E-2</v>
      </c>
    </row>
    <row r="12042" spans="2:4" ht="13.8" hidden="1" outlineLevel="1">
      <c r="B12042" s="187">
        <v>39468</v>
      </c>
      <c r="C12042" s="189">
        <v>3.66</v>
      </c>
      <c r="D12042" s="104">
        <f t="shared" si="188"/>
        <v>3.6600000000000001E-2</v>
      </c>
    </row>
    <row r="12043" spans="2:4" ht="13.8" hidden="1" outlineLevel="1">
      <c r="B12043" s="187">
        <v>39469</v>
      </c>
      <c r="C12043" s="189">
        <v>3.52</v>
      </c>
      <c r="D12043" s="104">
        <f t="shared" si="188"/>
        <v>3.5200000000000002E-2</v>
      </c>
    </row>
    <row r="12044" spans="2:4" ht="13.8" hidden="1" outlineLevel="1">
      <c r="B12044" s="187">
        <v>39470</v>
      </c>
      <c r="C12044" s="189">
        <v>3.51</v>
      </c>
      <c r="D12044" s="104">
        <f t="shared" si="188"/>
        <v>3.5099999999999999E-2</v>
      </c>
    </row>
    <row r="12045" spans="2:4" ht="13.8" hidden="1" outlineLevel="1">
      <c r="B12045" s="187">
        <v>39471</v>
      </c>
      <c r="C12045" s="189">
        <v>3.68</v>
      </c>
      <c r="D12045" s="104">
        <f t="shared" si="188"/>
        <v>3.6799999999999999E-2</v>
      </c>
    </row>
    <row r="12046" spans="2:4" ht="13.8" hidden="1" outlineLevel="1">
      <c r="B12046" s="187">
        <v>39472</v>
      </c>
      <c r="C12046" s="189">
        <v>3.61</v>
      </c>
      <c r="D12046" s="104">
        <f t="shared" si="188"/>
        <v>3.61E-2</v>
      </c>
    </row>
    <row r="12047" spans="2:4" ht="13.8" hidden="1" outlineLevel="1">
      <c r="B12047" s="187">
        <v>39475</v>
      </c>
      <c r="C12047" s="189">
        <v>3.61</v>
      </c>
      <c r="D12047" s="104">
        <f t="shared" si="188"/>
        <v>3.61E-2</v>
      </c>
    </row>
    <row r="12048" spans="2:4" ht="13.8" hidden="1" outlineLevel="1">
      <c r="B12048" s="187">
        <v>39476</v>
      </c>
      <c r="C12048" s="189">
        <v>3.69</v>
      </c>
      <c r="D12048" s="104">
        <f t="shared" si="188"/>
        <v>3.6900000000000002E-2</v>
      </c>
    </row>
    <row r="12049" spans="2:4" ht="13.8" hidden="1" outlineLevel="1">
      <c r="B12049" s="187">
        <v>39477</v>
      </c>
      <c r="C12049" s="189">
        <v>3.78</v>
      </c>
      <c r="D12049" s="104">
        <f t="shared" si="188"/>
        <v>3.78E-2</v>
      </c>
    </row>
    <row r="12050" spans="2:4" ht="13.8" hidden="1" outlineLevel="1">
      <c r="B12050" s="187">
        <v>39478</v>
      </c>
      <c r="C12050" s="189">
        <v>3.67</v>
      </c>
      <c r="D12050" s="104">
        <f t="shared" si="188"/>
        <v>3.6699999999999997E-2</v>
      </c>
    </row>
    <row r="12051" spans="2:4" ht="13.8" hidden="1" outlineLevel="1">
      <c r="B12051" s="187">
        <v>39479</v>
      </c>
      <c r="C12051" s="189">
        <v>3.62</v>
      </c>
      <c r="D12051" s="104">
        <f t="shared" si="188"/>
        <v>3.6200000000000003E-2</v>
      </c>
    </row>
    <row r="12052" spans="2:4" ht="13.8" hidden="1" outlineLevel="1">
      <c r="B12052" s="187">
        <v>39482</v>
      </c>
      <c r="C12052" s="189">
        <v>3.68</v>
      </c>
      <c r="D12052" s="104">
        <f t="shared" si="188"/>
        <v>3.6799999999999999E-2</v>
      </c>
    </row>
    <row r="12053" spans="2:4" ht="13.8" hidden="1" outlineLevel="1">
      <c r="B12053" s="187">
        <v>39483</v>
      </c>
      <c r="C12053" s="189">
        <v>3.61</v>
      </c>
      <c r="D12053" s="104">
        <f t="shared" si="188"/>
        <v>3.61E-2</v>
      </c>
    </row>
    <row r="12054" spans="2:4" ht="13.8" hidden="1" outlineLevel="1">
      <c r="B12054" s="187">
        <v>39484</v>
      </c>
      <c r="C12054" s="189">
        <v>3.61</v>
      </c>
      <c r="D12054" s="104">
        <f t="shared" si="188"/>
        <v>3.61E-2</v>
      </c>
    </row>
    <row r="12055" spans="2:4" ht="13.8" hidden="1" outlineLevel="1">
      <c r="B12055" s="187">
        <v>39485</v>
      </c>
      <c r="C12055" s="189">
        <v>3.74</v>
      </c>
      <c r="D12055" s="104">
        <f t="shared" si="188"/>
        <v>3.7400000000000003E-2</v>
      </c>
    </row>
    <row r="12056" spans="2:4" ht="13.8" hidden="1" outlineLevel="1">
      <c r="B12056" s="187">
        <v>39486</v>
      </c>
      <c r="C12056" s="189">
        <v>3.64</v>
      </c>
      <c r="D12056" s="104">
        <f t="shared" si="188"/>
        <v>3.6400000000000002E-2</v>
      </c>
    </row>
    <row r="12057" spans="2:4" ht="13.8" hidden="1" outlineLevel="1">
      <c r="B12057" s="187">
        <v>39489</v>
      </c>
      <c r="C12057" s="189">
        <v>3.62</v>
      </c>
      <c r="D12057" s="104">
        <f t="shared" si="188"/>
        <v>3.6200000000000003E-2</v>
      </c>
    </row>
    <row r="12058" spans="2:4" ht="13.8" hidden="1" outlineLevel="1">
      <c r="B12058" s="187">
        <v>39490</v>
      </c>
      <c r="C12058" s="189">
        <v>3.66</v>
      </c>
      <c r="D12058" s="104">
        <f t="shared" si="188"/>
        <v>3.6600000000000001E-2</v>
      </c>
    </row>
    <row r="12059" spans="2:4" ht="13.8" hidden="1" outlineLevel="1">
      <c r="B12059" s="187">
        <v>39491</v>
      </c>
      <c r="C12059" s="189">
        <v>3.7</v>
      </c>
      <c r="D12059" s="104">
        <f t="shared" si="188"/>
        <v>3.7000000000000005E-2</v>
      </c>
    </row>
    <row r="12060" spans="2:4" ht="13.8" hidden="1" outlineLevel="1">
      <c r="B12060" s="187">
        <v>39492</v>
      </c>
      <c r="C12060" s="189">
        <v>3.85</v>
      </c>
      <c r="D12060" s="104">
        <f t="shared" si="188"/>
        <v>3.85E-2</v>
      </c>
    </row>
    <row r="12061" spans="2:4" ht="13.8" hidden="1" outlineLevel="1">
      <c r="B12061" s="187">
        <v>39493</v>
      </c>
      <c r="C12061" s="189">
        <v>3.76</v>
      </c>
      <c r="D12061" s="104">
        <f t="shared" si="188"/>
        <v>3.7599999999999995E-2</v>
      </c>
    </row>
    <row r="12062" spans="2:4" ht="13.8" hidden="1" outlineLevel="1">
      <c r="B12062" s="187">
        <v>39496</v>
      </c>
      <c r="C12062" s="189">
        <v>3.76</v>
      </c>
      <c r="D12062" s="104">
        <f t="shared" si="188"/>
        <v>3.7599999999999995E-2</v>
      </c>
    </row>
    <row r="12063" spans="2:4" ht="13.8" hidden="1" outlineLevel="1">
      <c r="B12063" s="187">
        <v>39497</v>
      </c>
      <c r="C12063" s="189">
        <v>3.89</v>
      </c>
      <c r="D12063" s="104">
        <f t="shared" si="188"/>
        <v>3.8900000000000004E-2</v>
      </c>
    </row>
    <row r="12064" spans="2:4" ht="13.8" hidden="1" outlineLevel="1">
      <c r="B12064" s="187">
        <v>39498</v>
      </c>
      <c r="C12064" s="189">
        <v>3.93</v>
      </c>
      <c r="D12064" s="104">
        <f t="shared" si="188"/>
        <v>3.9300000000000002E-2</v>
      </c>
    </row>
    <row r="12065" spans="2:4" ht="13.8" hidden="1" outlineLevel="1">
      <c r="B12065" s="187">
        <v>39499</v>
      </c>
      <c r="C12065" s="189">
        <v>3.77</v>
      </c>
      <c r="D12065" s="104">
        <f t="shared" si="188"/>
        <v>3.7699999999999997E-2</v>
      </c>
    </row>
    <row r="12066" spans="2:4" ht="13.8" hidden="1" outlineLevel="1">
      <c r="B12066" s="187">
        <v>39500</v>
      </c>
      <c r="C12066" s="189">
        <v>3.79</v>
      </c>
      <c r="D12066" s="104">
        <f t="shared" si="188"/>
        <v>3.7900000000000003E-2</v>
      </c>
    </row>
    <row r="12067" spans="2:4" ht="13.8" hidden="1" outlineLevel="1">
      <c r="B12067" s="187">
        <v>39503</v>
      </c>
      <c r="C12067" s="189">
        <v>3.91</v>
      </c>
      <c r="D12067" s="104">
        <f t="shared" si="188"/>
        <v>3.9100000000000003E-2</v>
      </c>
    </row>
    <row r="12068" spans="2:4" ht="13.8" hidden="1" outlineLevel="1">
      <c r="B12068" s="187">
        <v>39504</v>
      </c>
      <c r="C12068" s="189">
        <v>3.88</v>
      </c>
      <c r="D12068" s="104">
        <f t="shared" si="188"/>
        <v>3.8800000000000001E-2</v>
      </c>
    </row>
    <row r="12069" spans="2:4" ht="13.8" hidden="1" outlineLevel="1">
      <c r="B12069" s="187">
        <v>39505</v>
      </c>
      <c r="C12069" s="189">
        <v>3.85</v>
      </c>
      <c r="D12069" s="104">
        <f t="shared" si="188"/>
        <v>3.85E-2</v>
      </c>
    </row>
    <row r="12070" spans="2:4" ht="13.8" hidden="1" outlineLevel="1">
      <c r="B12070" s="187">
        <v>39506</v>
      </c>
      <c r="C12070" s="189">
        <v>3.71</v>
      </c>
      <c r="D12070" s="104">
        <f t="shared" si="188"/>
        <v>3.7100000000000001E-2</v>
      </c>
    </row>
    <row r="12071" spans="2:4" ht="13.8" hidden="1" outlineLevel="1">
      <c r="B12071" s="187">
        <v>39507</v>
      </c>
      <c r="C12071" s="189">
        <v>3.53</v>
      </c>
      <c r="D12071" s="104">
        <f t="shared" si="188"/>
        <v>3.5299999999999998E-2</v>
      </c>
    </row>
    <row r="12072" spans="2:4" ht="13.8" hidden="1" outlineLevel="1">
      <c r="B12072" s="187">
        <v>39510</v>
      </c>
      <c r="C12072" s="189">
        <v>3.54</v>
      </c>
      <c r="D12072" s="104">
        <f t="shared" si="188"/>
        <v>3.5400000000000001E-2</v>
      </c>
    </row>
    <row r="12073" spans="2:4" ht="13.8" hidden="1" outlineLevel="1">
      <c r="B12073" s="187">
        <v>39511</v>
      </c>
      <c r="C12073" s="189">
        <v>3.63</v>
      </c>
      <c r="D12073" s="104">
        <f t="shared" si="188"/>
        <v>3.6299999999999999E-2</v>
      </c>
    </row>
    <row r="12074" spans="2:4" ht="13.8" hidden="1" outlineLevel="1">
      <c r="B12074" s="187">
        <v>39512</v>
      </c>
      <c r="C12074" s="189">
        <v>3.7</v>
      </c>
      <c r="D12074" s="104">
        <f t="shared" si="188"/>
        <v>3.7000000000000005E-2</v>
      </c>
    </row>
    <row r="12075" spans="2:4" ht="13.8" hidden="1" outlineLevel="1">
      <c r="B12075" s="187">
        <v>39513</v>
      </c>
      <c r="C12075" s="189">
        <v>3.62</v>
      </c>
      <c r="D12075" s="104">
        <f t="shared" si="188"/>
        <v>3.6200000000000003E-2</v>
      </c>
    </row>
    <row r="12076" spans="2:4" ht="13.8" hidden="1" outlineLevel="1">
      <c r="B12076" s="187">
        <v>39514</v>
      </c>
      <c r="C12076" s="189">
        <v>3.56</v>
      </c>
      <c r="D12076" s="104">
        <f t="shared" si="188"/>
        <v>3.56E-2</v>
      </c>
    </row>
    <row r="12077" spans="2:4" ht="13.8" hidden="1" outlineLevel="1">
      <c r="B12077" s="187">
        <v>39517</v>
      </c>
      <c r="C12077" s="189">
        <v>3.46</v>
      </c>
      <c r="D12077" s="104">
        <f t="shared" si="188"/>
        <v>3.4599999999999999E-2</v>
      </c>
    </row>
    <row r="12078" spans="2:4" ht="13.8" hidden="1" outlineLevel="1">
      <c r="B12078" s="187">
        <v>39518</v>
      </c>
      <c r="C12078" s="189">
        <v>3.6</v>
      </c>
      <c r="D12078" s="104">
        <f t="shared" si="188"/>
        <v>3.6000000000000004E-2</v>
      </c>
    </row>
    <row r="12079" spans="2:4" ht="13.8" hidden="1" outlineLevel="1">
      <c r="B12079" s="187">
        <v>39519</v>
      </c>
      <c r="C12079" s="189">
        <v>3.49</v>
      </c>
      <c r="D12079" s="104">
        <f t="shared" si="188"/>
        <v>3.49E-2</v>
      </c>
    </row>
    <row r="12080" spans="2:4" ht="13.8" hidden="1" outlineLevel="1">
      <c r="B12080" s="187">
        <v>39520</v>
      </c>
      <c r="C12080" s="189">
        <v>3.56</v>
      </c>
      <c r="D12080" s="104">
        <f t="shared" si="188"/>
        <v>3.56E-2</v>
      </c>
    </row>
    <row r="12081" spans="2:4" ht="13.8" hidden="1" outlineLevel="1">
      <c r="B12081" s="187">
        <v>39521</v>
      </c>
      <c r="C12081" s="189">
        <v>3.44</v>
      </c>
      <c r="D12081" s="104">
        <f t="shared" si="188"/>
        <v>3.44E-2</v>
      </c>
    </row>
    <row r="12082" spans="2:4" ht="13.8" hidden="1" outlineLevel="1">
      <c r="B12082" s="187">
        <v>39524</v>
      </c>
      <c r="C12082" s="189">
        <v>3.34</v>
      </c>
      <c r="D12082" s="104">
        <f t="shared" si="188"/>
        <v>3.3399999999999999E-2</v>
      </c>
    </row>
    <row r="12083" spans="2:4" ht="13.8" hidden="1" outlineLevel="1">
      <c r="B12083" s="187">
        <v>39525</v>
      </c>
      <c r="C12083" s="189">
        <v>3.48</v>
      </c>
      <c r="D12083" s="104">
        <f t="shared" si="188"/>
        <v>3.4799999999999998E-2</v>
      </c>
    </row>
    <row r="12084" spans="2:4" ht="13.8" hidden="1" outlineLevel="1">
      <c r="B12084" s="187">
        <v>39526</v>
      </c>
      <c r="C12084" s="189">
        <v>3.38</v>
      </c>
      <c r="D12084" s="104">
        <f t="shared" si="188"/>
        <v>3.3799999999999997E-2</v>
      </c>
    </row>
    <row r="12085" spans="2:4" ht="13.8" hidden="1" outlineLevel="1">
      <c r="B12085" s="187">
        <v>39527</v>
      </c>
      <c r="C12085" s="189">
        <v>3.34</v>
      </c>
      <c r="D12085" s="104">
        <f t="shared" ref="D12085:D12148" si="189">IF( LEN( C12085 ) = 0, #N/A, IF( C12085 = "ND", D12084, C12085 / 100 ) )</f>
        <v>3.3399999999999999E-2</v>
      </c>
    </row>
    <row r="12086" spans="2:4" ht="13.8" hidden="1" outlineLevel="1">
      <c r="B12086" s="187">
        <v>39528</v>
      </c>
      <c r="C12086" s="189">
        <v>3.34</v>
      </c>
      <c r="D12086" s="104">
        <f t="shared" si="189"/>
        <v>3.3399999999999999E-2</v>
      </c>
    </row>
    <row r="12087" spans="2:4" ht="13.8" hidden="1" outlineLevel="1">
      <c r="B12087" s="187">
        <v>39531</v>
      </c>
      <c r="C12087" s="189">
        <v>3.56</v>
      </c>
      <c r="D12087" s="104">
        <f t="shared" si="189"/>
        <v>3.56E-2</v>
      </c>
    </row>
    <row r="12088" spans="2:4" ht="13.8" hidden="1" outlineLevel="1">
      <c r="B12088" s="187">
        <v>39532</v>
      </c>
      <c r="C12088" s="189">
        <v>3.51</v>
      </c>
      <c r="D12088" s="104">
        <f t="shared" si="189"/>
        <v>3.5099999999999999E-2</v>
      </c>
    </row>
    <row r="12089" spans="2:4" ht="13.8" hidden="1" outlineLevel="1">
      <c r="B12089" s="187">
        <v>39533</v>
      </c>
      <c r="C12089" s="189">
        <v>3.51</v>
      </c>
      <c r="D12089" s="104">
        <f t="shared" si="189"/>
        <v>3.5099999999999999E-2</v>
      </c>
    </row>
    <row r="12090" spans="2:4" ht="13.8" hidden="1" outlineLevel="1">
      <c r="B12090" s="187">
        <v>39534</v>
      </c>
      <c r="C12090" s="189">
        <v>3.56</v>
      </c>
      <c r="D12090" s="104">
        <f t="shared" si="189"/>
        <v>3.56E-2</v>
      </c>
    </row>
    <row r="12091" spans="2:4" ht="13.8" hidden="1" outlineLevel="1">
      <c r="B12091" s="187">
        <v>39535</v>
      </c>
      <c r="C12091" s="189">
        <v>3.47</v>
      </c>
      <c r="D12091" s="104">
        <f t="shared" si="189"/>
        <v>3.4700000000000002E-2</v>
      </c>
    </row>
    <row r="12092" spans="2:4" ht="13.8" hidden="1" outlineLevel="1">
      <c r="B12092" s="187">
        <v>39538</v>
      </c>
      <c r="C12092" s="189">
        <v>3.45</v>
      </c>
      <c r="D12092" s="104">
        <f t="shared" si="189"/>
        <v>3.4500000000000003E-2</v>
      </c>
    </row>
    <row r="12093" spans="2:4" ht="13.8" hidden="1" outlineLevel="1">
      <c r="B12093" s="187">
        <v>39539</v>
      </c>
      <c r="C12093" s="189">
        <v>3.57</v>
      </c>
      <c r="D12093" s="104">
        <f t="shared" si="189"/>
        <v>3.5699999999999996E-2</v>
      </c>
    </row>
    <row r="12094" spans="2:4" ht="13.8" hidden="1" outlineLevel="1">
      <c r="B12094" s="187">
        <v>39540</v>
      </c>
      <c r="C12094" s="189">
        <v>3.6</v>
      </c>
      <c r="D12094" s="104">
        <f t="shared" si="189"/>
        <v>3.6000000000000004E-2</v>
      </c>
    </row>
    <row r="12095" spans="2:4" ht="13.8" hidden="1" outlineLevel="1">
      <c r="B12095" s="187">
        <v>39541</v>
      </c>
      <c r="C12095" s="189">
        <v>3.61</v>
      </c>
      <c r="D12095" s="104">
        <f t="shared" si="189"/>
        <v>3.61E-2</v>
      </c>
    </row>
    <row r="12096" spans="2:4" ht="13.8" hidden="1" outlineLevel="1">
      <c r="B12096" s="187">
        <v>39542</v>
      </c>
      <c r="C12096" s="189">
        <v>3.5</v>
      </c>
      <c r="D12096" s="104">
        <f t="shared" si="189"/>
        <v>3.5000000000000003E-2</v>
      </c>
    </row>
    <row r="12097" spans="2:4" ht="13.8" hidden="1" outlineLevel="1">
      <c r="B12097" s="187">
        <v>39545</v>
      </c>
      <c r="C12097" s="189">
        <v>3.57</v>
      </c>
      <c r="D12097" s="104">
        <f t="shared" si="189"/>
        <v>3.5699999999999996E-2</v>
      </c>
    </row>
    <row r="12098" spans="2:4" ht="13.8" hidden="1" outlineLevel="1">
      <c r="B12098" s="187">
        <v>39546</v>
      </c>
      <c r="C12098" s="189">
        <v>3.58</v>
      </c>
      <c r="D12098" s="104">
        <f t="shared" si="189"/>
        <v>3.5799999999999998E-2</v>
      </c>
    </row>
    <row r="12099" spans="2:4" ht="13.8" hidden="1" outlineLevel="1">
      <c r="B12099" s="187">
        <v>39547</v>
      </c>
      <c r="C12099" s="189">
        <v>3.49</v>
      </c>
      <c r="D12099" s="104">
        <f t="shared" si="189"/>
        <v>3.49E-2</v>
      </c>
    </row>
    <row r="12100" spans="2:4" ht="13.8" hidden="1" outlineLevel="1">
      <c r="B12100" s="187">
        <v>39548</v>
      </c>
      <c r="C12100" s="189">
        <v>3.55</v>
      </c>
      <c r="D12100" s="104">
        <f t="shared" si="189"/>
        <v>3.5499999999999997E-2</v>
      </c>
    </row>
    <row r="12101" spans="2:4" ht="13.8" hidden="1" outlineLevel="1">
      <c r="B12101" s="187">
        <v>39549</v>
      </c>
      <c r="C12101" s="189">
        <v>3.49</v>
      </c>
      <c r="D12101" s="104">
        <f t="shared" si="189"/>
        <v>3.49E-2</v>
      </c>
    </row>
    <row r="12102" spans="2:4" ht="13.8" hidden="1" outlineLevel="1">
      <c r="B12102" s="187">
        <v>39552</v>
      </c>
      <c r="C12102" s="189">
        <v>3.53</v>
      </c>
      <c r="D12102" s="104">
        <f t="shared" si="189"/>
        <v>3.5299999999999998E-2</v>
      </c>
    </row>
    <row r="12103" spans="2:4" ht="13.8" hidden="1" outlineLevel="1">
      <c r="B12103" s="187">
        <v>39553</v>
      </c>
      <c r="C12103" s="189">
        <v>3.6</v>
      </c>
      <c r="D12103" s="104">
        <f t="shared" si="189"/>
        <v>3.6000000000000004E-2</v>
      </c>
    </row>
    <row r="12104" spans="2:4" ht="13.8" hidden="1" outlineLevel="1">
      <c r="B12104" s="187">
        <v>39554</v>
      </c>
      <c r="C12104" s="189">
        <v>3.72</v>
      </c>
      <c r="D12104" s="104">
        <f t="shared" si="189"/>
        <v>3.7200000000000004E-2</v>
      </c>
    </row>
    <row r="12105" spans="2:4" ht="13.8" hidden="1" outlineLevel="1">
      <c r="B12105" s="187">
        <v>39555</v>
      </c>
      <c r="C12105" s="189">
        <v>3.75</v>
      </c>
      <c r="D12105" s="104">
        <f t="shared" si="189"/>
        <v>3.7499999999999999E-2</v>
      </c>
    </row>
    <row r="12106" spans="2:4" ht="13.8" hidden="1" outlineLevel="1">
      <c r="B12106" s="187">
        <v>39556</v>
      </c>
      <c r="C12106" s="189">
        <v>3.77</v>
      </c>
      <c r="D12106" s="104">
        <f t="shared" si="189"/>
        <v>3.7699999999999997E-2</v>
      </c>
    </row>
    <row r="12107" spans="2:4" ht="13.8" hidden="1" outlineLevel="1">
      <c r="B12107" s="187">
        <v>39559</v>
      </c>
      <c r="C12107" s="189">
        <v>3.75</v>
      </c>
      <c r="D12107" s="104">
        <f t="shared" si="189"/>
        <v>3.7499999999999999E-2</v>
      </c>
    </row>
    <row r="12108" spans="2:4" ht="13.8" hidden="1" outlineLevel="1">
      <c r="B12108" s="187">
        <v>39560</v>
      </c>
      <c r="C12108" s="189">
        <v>3.74</v>
      </c>
      <c r="D12108" s="104">
        <f t="shared" si="189"/>
        <v>3.7400000000000003E-2</v>
      </c>
    </row>
    <row r="12109" spans="2:4" ht="13.8" hidden="1" outlineLevel="1">
      <c r="B12109" s="187">
        <v>39561</v>
      </c>
      <c r="C12109" s="189">
        <v>3.77</v>
      </c>
      <c r="D12109" s="104">
        <f t="shared" si="189"/>
        <v>3.7699999999999997E-2</v>
      </c>
    </row>
    <row r="12110" spans="2:4" ht="13.8" hidden="1" outlineLevel="1">
      <c r="B12110" s="187">
        <v>39562</v>
      </c>
      <c r="C12110" s="189">
        <v>3.87</v>
      </c>
      <c r="D12110" s="104">
        <f t="shared" si="189"/>
        <v>3.8699999999999998E-2</v>
      </c>
    </row>
    <row r="12111" spans="2:4" ht="13.8" hidden="1" outlineLevel="1">
      <c r="B12111" s="187">
        <v>39563</v>
      </c>
      <c r="C12111" s="189">
        <v>3.91</v>
      </c>
      <c r="D12111" s="104">
        <f t="shared" si="189"/>
        <v>3.9100000000000003E-2</v>
      </c>
    </row>
    <row r="12112" spans="2:4" ht="13.8" hidden="1" outlineLevel="1">
      <c r="B12112" s="187">
        <v>39566</v>
      </c>
      <c r="C12112" s="189">
        <v>3.86</v>
      </c>
      <c r="D12112" s="104">
        <f t="shared" si="189"/>
        <v>3.8599999999999995E-2</v>
      </c>
    </row>
    <row r="12113" spans="2:4" ht="13.8" hidden="1" outlineLevel="1">
      <c r="B12113" s="187">
        <v>39567</v>
      </c>
      <c r="C12113" s="189">
        <v>3.85</v>
      </c>
      <c r="D12113" s="104">
        <f t="shared" si="189"/>
        <v>3.85E-2</v>
      </c>
    </row>
    <row r="12114" spans="2:4" ht="13.8" hidden="1" outlineLevel="1">
      <c r="B12114" s="187">
        <v>39568</v>
      </c>
      <c r="C12114" s="189">
        <v>3.77</v>
      </c>
      <c r="D12114" s="104">
        <f t="shared" si="189"/>
        <v>3.7699999999999997E-2</v>
      </c>
    </row>
    <row r="12115" spans="2:4" ht="13.8" hidden="1" outlineLevel="1">
      <c r="B12115" s="187">
        <v>39569</v>
      </c>
      <c r="C12115" s="189">
        <v>3.78</v>
      </c>
      <c r="D12115" s="104">
        <f t="shared" si="189"/>
        <v>3.78E-2</v>
      </c>
    </row>
    <row r="12116" spans="2:4" ht="13.8" hidden="1" outlineLevel="1">
      <c r="B12116" s="187">
        <v>39570</v>
      </c>
      <c r="C12116" s="189">
        <v>3.89</v>
      </c>
      <c r="D12116" s="104">
        <f t="shared" si="189"/>
        <v>3.8900000000000004E-2</v>
      </c>
    </row>
    <row r="12117" spans="2:4" ht="13.8" hidden="1" outlineLevel="1">
      <c r="B12117" s="187">
        <v>39573</v>
      </c>
      <c r="C12117" s="189">
        <v>3.88</v>
      </c>
      <c r="D12117" s="104">
        <f t="shared" si="189"/>
        <v>3.8800000000000001E-2</v>
      </c>
    </row>
    <row r="12118" spans="2:4" ht="13.8" hidden="1" outlineLevel="1">
      <c r="B12118" s="187">
        <v>39574</v>
      </c>
      <c r="C12118" s="189">
        <v>3.93</v>
      </c>
      <c r="D12118" s="104">
        <f t="shared" si="189"/>
        <v>3.9300000000000002E-2</v>
      </c>
    </row>
    <row r="12119" spans="2:4" ht="13.8" hidden="1" outlineLevel="1">
      <c r="B12119" s="187">
        <v>39575</v>
      </c>
      <c r="C12119" s="189">
        <v>3.87</v>
      </c>
      <c r="D12119" s="104">
        <f t="shared" si="189"/>
        <v>3.8699999999999998E-2</v>
      </c>
    </row>
    <row r="12120" spans="2:4" ht="13.8" hidden="1" outlineLevel="1">
      <c r="B12120" s="187">
        <v>39576</v>
      </c>
      <c r="C12120" s="189">
        <v>3.79</v>
      </c>
      <c r="D12120" s="104">
        <f t="shared" si="189"/>
        <v>3.7900000000000003E-2</v>
      </c>
    </row>
    <row r="12121" spans="2:4" ht="13.8" hidden="1" outlineLevel="1">
      <c r="B12121" s="187">
        <v>39577</v>
      </c>
      <c r="C12121" s="189">
        <v>3.77</v>
      </c>
      <c r="D12121" s="104">
        <f t="shared" si="189"/>
        <v>3.7699999999999997E-2</v>
      </c>
    </row>
    <row r="12122" spans="2:4" ht="13.8" hidden="1" outlineLevel="1">
      <c r="B12122" s="187">
        <v>39580</v>
      </c>
      <c r="C12122" s="189">
        <v>3.78</v>
      </c>
      <c r="D12122" s="104">
        <f t="shared" si="189"/>
        <v>3.78E-2</v>
      </c>
    </row>
    <row r="12123" spans="2:4" ht="13.8" hidden="1" outlineLevel="1">
      <c r="B12123" s="187">
        <v>39581</v>
      </c>
      <c r="C12123" s="189">
        <v>3.9</v>
      </c>
      <c r="D12123" s="104">
        <f t="shared" si="189"/>
        <v>3.9E-2</v>
      </c>
    </row>
    <row r="12124" spans="2:4" ht="13.8" hidden="1" outlineLevel="1">
      <c r="B12124" s="187">
        <v>39582</v>
      </c>
      <c r="C12124" s="189">
        <v>3.92</v>
      </c>
      <c r="D12124" s="104">
        <f t="shared" si="189"/>
        <v>3.9199999999999999E-2</v>
      </c>
    </row>
    <row r="12125" spans="2:4" ht="13.8" hidden="1" outlineLevel="1">
      <c r="B12125" s="187">
        <v>39583</v>
      </c>
      <c r="C12125" s="189">
        <v>3.83</v>
      </c>
      <c r="D12125" s="104">
        <f t="shared" si="189"/>
        <v>3.8300000000000001E-2</v>
      </c>
    </row>
    <row r="12126" spans="2:4" ht="13.8" hidden="1" outlineLevel="1">
      <c r="B12126" s="187">
        <v>39584</v>
      </c>
      <c r="C12126" s="189">
        <v>3.85</v>
      </c>
      <c r="D12126" s="104">
        <f t="shared" si="189"/>
        <v>3.85E-2</v>
      </c>
    </row>
    <row r="12127" spans="2:4" ht="13.8" hidden="1" outlineLevel="1">
      <c r="B12127" s="187">
        <v>39587</v>
      </c>
      <c r="C12127" s="189">
        <v>3.83</v>
      </c>
      <c r="D12127" s="104">
        <f t="shared" si="189"/>
        <v>3.8300000000000001E-2</v>
      </c>
    </row>
    <row r="12128" spans="2:4" ht="13.8" hidden="1" outlineLevel="1">
      <c r="B12128" s="187">
        <v>39588</v>
      </c>
      <c r="C12128" s="189">
        <v>3.78</v>
      </c>
      <c r="D12128" s="104">
        <f t="shared" si="189"/>
        <v>3.78E-2</v>
      </c>
    </row>
    <row r="12129" spans="2:4" ht="13.8" hidden="1" outlineLevel="1">
      <c r="B12129" s="187">
        <v>39589</v>
      </c>
      <c r="C12129" s="189">
        <v>3.81</v>
      </c>
      <c r="D12129" s="104">
        <f t="shared" si="189"/>
        <v>3.8100000000000002E-2</v>
      </c>
    </row>
    <row r="12130" spans="2:4" ht="13.8" hidden="1" outlineLevel="1">
      <c r="B12130" s="187">
        <v>39590</v>
      </c>
      <c r="C12130" s="189">
        <v>3.92</v>
      </c>
      <c r="D12130" s="104">
        <f t="shared" si="189"/>
        <v>3.9199999999999999E-2</v>
      </c>
    </row>
    <row r="12131" spans="2:4" ht="13.8" hidden="1" outlineLevel="1">
      <c r="B12131" s="187">
        <v>39591</v>
      </c>
      <c r="C12131" s="189">
        <v>3.85</v>
      </c>
      <c r="D12131" s="104">
        <f t="shared" si="189"/>
        <v>3.85E-2</v>
      </c>
    </row>
    <row r="12132" spans="2:4" ht="13.8" hidden="1" outlineLevel="1">
      <c r="B12132" s="187">
        <v>39594</v>
      </c>
      <c r="C12132" s="189">
        <v>3.85</v>
      </c>
      <c r="D12132" s="104">
        <f t="shared" si="189"/>
        <v>3.85E-2</v>
      </c>
    </row>
    <row r="12133" spans="2:4" ht="13.8" hidden="1" outlineLevel="1">
      <c r="B12133" s="187">
        <v>39595</v>
      </c>
      <c r="C12133" s="189">
        <v>3.93</v>
      </c>
      <c r="D12133" s="104">
        <f t="shared" si="189"/>
        <v>3.9300000000000002E-2</v>
      </c>
    </row>
    <row r="12134" spans="2:4" ht="13.8" hidden="1" outlineLevel="1">
      <c r="B12134" s="187">
        <v>39596</v>
      </c>
      <c r="C12134" s="189">
        <v>4.03</v>
      </c>
      <c r="D12134" s="104">
        <f t="shared" si="189"/>
        <v>4.0300000000000002E-2</v>
      </c>
    </row>
    <row r="12135" spans="2:4" ht="13.8" hidden="1" outlineLevel="1">
      <c r="B12135" s="187">
        <v>39597</v>
      </c>
      <c r="C12135" s="189">
        <v>4.08</v>
      </c>
      <c r="D12135" s="104">
        <f t="shared" si="189"/>
        <v>4.0800000000000003E-2</v>
      </c>
    </row>
    <row r="12136" spans="2:4" ht="13.8" hidden="1" outlineLevel="1">
      <c r="B12136" s="187">
        <v>39598</v>
      </c>
      <c r="C12136" s="189">
        <v>4.0599999999999996</v>
      </c>
      <c r="D12136" s="104">
        <f t="shared" si="189"/>
        <v>4.0599999999999997E-2</v>
      </c>
    </row>
    <row r="12137" spans="2:4" ht="13.8" hidden="1" outlineLevel="1">
      <c r="B12137" s="187">
        <v>39601</v>
      </c>
      <c r="C12137" s="189">
        <v>3.98</v>
      </c>
      <c r="D12137" s="104">
        <f t="shared" si="189"/>
        <v>3.9800000000000002E-2</v>
      </c>
    </row>
    <row r="12138" spans="2:4" ht="13.8" hidden="1" outlineLevel="1">
      <c r="B12138" s="187">
        <v>39602</v>
      </c>
      <c r="C12138" s="189">
        <v>3.92</v>
      </c>
      <c r="D12138" s="104">
        <f t="shared" si="189"/>
        <v>3.9199999999999999E-2</v>
      </c>
    </row>
    <row r="12139" spans="2:4" ht="13.8" hidden="1" outlineLevel="1">
      <c r="B12139" s="187">
        <v>39603</v>
      </c>
      <c r="C12139" s="189">
        <v>3.98</v>
      </c>
      <c r="D12139" s="104">
        <f t="shared" si="189"/>
        <v>3.9800000000000002E-2</v>
      </c>
    </row>
    <row r="12140" spans="2:4" ht="13.8" hidden="1" outlineLevel="1">
      <c r="B12140" s="187">
        <v>39604</v>
      </c>
      <c r="C12140" s="189">
        <v>4.0599999999999996</v>
      </c>
      <c r="D12140" s="104">
        <f t="shared" si="189"/>
        <v>4.0599999999999997E-2</v>
      </c>
    </row>
    <row r="12141" spans="2:4" ht="13.8" hidden="1" outlineLevel="1">
      <c r="B12141" s="187">
        <v>39605</v>
      </c>
      <c r="C12141" s="189">
        <v>3.94</v>
      </c>
      <c r="D12141" s="104">
        <f t="shared" si="189"/>
        <v>3.9399999999999998E-2</v>
      </c>
    </row>
    <row r="12142" spans="2:4" ht="13.8" hidden="1" outlineLevel="1">
      <c r="B12142" s="187">
        <v>39608</v>
      </c>
      <c r="C12142" s="189">
        <v>4.0199999999999996</v>
      </c>
      <c r="D12142" s="104">
        <f t="shared" si="189"/>
        <v>4.0199999999999993E-2</v>
      </c>
    </row>
    <row r="12143" spans="2:4" ht="13.8" hidden="1" outlineLevel="1">
      <c r="B12143" s="187">
        <v>39609</v>
      </c>
      <c r="C12143" s="189">
        <v>4.1100000000000003</v>
      </c>
      <c r="D12143" s="104">
        <f t="shared" si="189"/>
        <v>4.1100000000000005E-2</v>
      </c>
    </row>
    <row r="12144" spans="2:4" ht="13.8" hidden="1" outlineLevel="1">
      <c r="B12144" s="187">
        <v>39610</v>
      </c>
      <c r="C12144" s="189">
        <v>4.0999999999999996</v>
      </c>
      <c r="D12144" s="104">
        <f t="shared" si="189"/>
        <v>4.0999999999999995E-2</v>
      </c>
    </row>
    <row r="12145" spans="2:4" ht="13.8" hidden="1" outlineLevel="1">
      <c r="B12145" s="187">
        <v>39611</v>
      </c>
      <c r="C12145" s="189">
        <v>4.2300000000000004</v>
      </c>
      <c r="D12145" s="104">
        <f t="shared" si="189"/>
        <v>4.2300000000000004E-2</v>
      </c>
    </row>
    <row r="12146" spans="2:4" ht="13.8" hidden="1" outlineLevel="1">
      <c r="B12146" s="187">
        <v>39612</v>
      </c>
      <c r="C12146" s="189">
        <v>4.2699999999999996</v>
      </c>
      <c r="D12146" s="104">
        <f t="shared" si="189"/>
        <v>4.2699999999999995E-2</v>
      </c>
    </row>
    <row r="12147" spans="2:4" ht="13.8" hidden="1" outlineLevel="1">
      <c r="B12147" s="187">
        <v>39615</v>
      </c>
      <c r="C12147" s="189">
        <v>4.25</v>
      </c>
      <c r="D12147" s="104">
        <f t="shared" si="189"/>
        <v>4.2500000000000003E-2</v>
      </c>
    </row>
    <row r="12148" spans="2:4" ht="13.8" hidden="1" outlineLevel="1">
      <c r="B12148" s="187">
        <v>39616</v>
      </c>
      <c r="C12148" s="189">
        <v>4.2300000000000004</v>
      </c>
      <c r="D12148" s="104">
        <f t="shared" si="189"/>
        <v>4.2300000000000004E-2</v>
      </c>
    </row>
    <row r="12149" spans="2:4" ht="13.8" hidden="1" outlineLevel="1">
      <c r="B12149" s="187">
        <v>39617</v>
      </c>
      <c r="C12149" s="189">
        <v>4.16</v>
      </c>
      <c r="D12149" s="104">
        <f t="shared" ref="D12149:D12212" si="190">IF( LEN( C12149 ) = 0, #N/A, IF( C12149 = "ND", D12148, C12149 / 100 ) )</f>
        <v>4.1599999999999998E-2</v>
      </c>
    </row>
    <row r="12150" spans="2:4" ht="13.8" hidden="1" outlineLevel="1">
      <c r="B12150" s="187">
        <v>39618</v>
      </c>
      <c r="C12150" s="189">
        <v>4.22</v>
      </c>
      <c r="D12150" s="104">
        <f t="shared" si="190"/>
        <v>4.2199999999999994E-2</v>
      </c>
    </row>
    <row r="12151" spans="2:4" ht="13.8" hidden="1" outlineLevel="1">
      <c r="B12151" s="187">
        <v>39619</v>
      </c>
      <c r="C12151" s="189">
        <v>4.16</v>
      </c>
      <c r="D12151" s="104">
        <f t="shared" si="190"/>
        <v>4.1599999999999998E-2</v>
      </c>
    </row>
    <row r="12152" spans="2:4" ht="13.8" hidden="1" outlineLevel="1">
      <c r="B12152" s="187">
        <v>39622</v>
      </c>
      <c r="C12152" s="189">
        <v>4.1900000000000004</v>
      </c>
      <c r="D12152" s="104">
        <f t="shared" si="190"/>
        <v>4.1900000000000007E-2</v>
      </c>
    </row>
    <row r="12153" spans="2:4" ht="13.8" hidden="1" outlineLevel="1">
      <c r="B12153" s="187">
        <v>39623</v>
      </c>
      <c r="C12153" s="189">
        <v>4.0999999999999996</v>
      </c>
      <c r="D12153" s="104">
        <f t="shared" si="190"/>
        <v>4.0999999999999995E-2</v>
      </c>
    </row>
    <row r="12154" spans="2:4" ht="13.8" hidden="1" outlineLevel="1">
      <c r="B12154" s="187">
        <v>39624</v>
      </c>
      <c r="C12154" s="189">
        <v>4.12</v>
      </c>
      <c r="D12154" s="104">
        <f t="shared" si="190"/>
        <v>4.1200000000000001E-2</v>
      </c>
    </row>
    <row r="12155" spans="2:4" ht="13.8" hidden="1" outlineLevel="1">
      <c r="B12155" s="187">
        <v>39625</v>
      </c>
      <c r="C12155" s="189">
        <v>4.07</v>
      </c>
      <c r="D12155" s="104">
        <f t="shared" si="190"/>
        <v>4.07E-2</v>
      </c>
    </row>
    <row r="12156" spans="2:4" ht="13.8" hidden="1" outlineLevel="1">
      <c r="B12156" s="187">
        <v>39626</v>
      </c>
      <c r="C12156" s="189">
        <v>3.99</v>
      </c>
      <c r="D12156" s="104">
        <f t="shared" si="190"/>
        <v>3.9900000000000005E-2</v>
      </c>
    </row>
    <row r="12157" spans="2:4" ht="13.8" hidden="1" outlineLevel="1">
      <c r="B12157" s="187">
        <v>39629</v>
      </c>
      <c r="C12157" s="189">
        <v>3.99</v>
      </c>
      <c r="D12157" s="104">
        <f t="shared" si="190"/>
        <v>3.9900000000000005E-2</v>
      </c>
    </row>
    <row r="12158" spans="2:4" ht="13.8" hidden="1" outlineLevel="1">
      <c r="B12158" s="187">
        <v>39630</v>
      </c>
      <c r="C12158" s="189">
        <v>4.01</v>
      </c>
      <c r="D12158" s="104">
        <f t="shared" si="190"/>
        <v>4.0099999999999997E-2</v>
      </c>
    </row>
    <row r="12159" spans="2:4" ht="13.8" hidden="1" outlineLevel="1">
      <c r="B12159" s="187">
        <v>39631</v>
      </c>
      <c r="C12159" s="189">
        <v>3.99</v>
      </c>
      <c r="D12159" s="104">
        <f t="shared" si="190"/>
        <v>3.9900000000000005E-2</v>
      </c>
    </row>
    <row r="12160" spans="2:4" ht="13.8" hidden="1" outlineLevel="1">
      <c r="B12160" s="187">
        <v>39632</v>
      </c>
      <c r="C12160" s="189">
        <v>3.99</v>
      </c>
      <c r="D12160" s="104">
        <f t="shared" si="190"/>
        <v>3.9900000000000005E-2</v>
      </c>
    </row>
    <row r="12161" spans="2:4" ht="13.8" hidden="1" outlineLevel="1">
      <c r="B12161" s="187">
        <v>39633</v>
      </c>
      <c r="C12161" s="189">
        <v>3.99</v>
      </c>
      <c r="D12161" s="104">
        <f t="shared" si="190"/>
        <v>3.9900000000000005E-2</v>
      </c>
    </row>
    <row r="12162" spans="2:4" ht="13.8" hidden="1" outlineLevel="1">
      <c r="B12162" s="187">
        <v>39636</v>
      </c>
      <c r="C12162" s="189">
        <v>3.95</v>
      </c>
      <c r="D12162" s="104">
        <f t="shared" si="190"/>
        <v>3.95E-2</v>
      </c>
    </row>
    <row r="12163" spans="2:4" ht="13.8" hidden="1" outlineLevel="1">
      <c r="B12163" s="187">
        <v>39637</v>
      </c>
      <c r="C12163" s="189">
        <v>3.91</v>
      </c>
      <c r="D12163" s="104">
        <f t="shared" si="190"/>
        <v>3.9100000000000003E-2</v>
      </c>
    </row>
    <row r="12164" spans="2:4" ht="13.8" hidden="1" outlineLevel="1">
      <c r="B12164" s="187">
        <v>39638</v>
      </c>
      <c r="C12164" s="189">
        <v>3.85</v>
      </c>
      <c r="D12164" s="104">
        <f t="shared" si="190"/>
        <v>3.85E-2</v>
      </c>
    </row>
    <row r="12165" spans="2:4" ht="13.8" hidden="1" outlineLevel="1">
      <c r="B12165" s="187">
        <v>39639</v>
      </c>
      <c r="C12165" s="189">
        <v>3.83</v>
      </c>
      <c r="D12165" s="104">
        <f t="shared" si="190"/>
        <v>3.8300000000000001E-2</v>
      </c>
    </row>
    <row r="12166" spans="2:4" ht="13.8" hidden="1" outlineLevel="1">
      <c r="B12166" s="187">
        <v>39640</v>
      </c>
      <c r="C12166" s="189">
        <v>3.96</v>
      </c>
      <c r="D12166" s="104">
        <f t="shared" si="190"/>
        <v>3.9599999999999996E-2</v>
      </c>
    </row>
    <row r="12167" spans="2:4" ht="13.8" hidden="1" outlineLevel="1">
      <c r="B12167" s="187">
        <v>39643</v>
      </c>
      <c r="C12167" s="189">
        <v>3.9</v>
      </c>
      <c r="D12167" s="104">
        <f t="shared" si="190"/>
        <v>3.9E-2</v>
      </c>
    </row>
    <row r="12168" spans="2:4" ht="13.8" hidden="1" outlineLevel="1">
      <c r="B12168" s="187">
        <v>39644</v>
      </c>
      <c r="C12168" s="189">
        <v>3.87</v>
      </c>
      <c r="D12168" s="104">
        <f t="shared" si="190"/>
        <v>3.8699999999999998E-2</v>
      </c>
    </row>
    <row r="12169" spans="2:4" ht="13.8" hidden="1" outlineLevel="1">
      <c r="B12169" s="187">
        <v>39645</v>
      </c>
      <c r="C12169" s="189">
        <v>3.97</v>
      </c>
      <c r="D12169" s="104">
        <f t="shared" si="190"/>
        <v>3.9699999999999999E-2</v>
      </c>
    </row>
    <row r="12170" spans="2:4" ht="13.8" hidden="1" outlineLevel="1">
      <c r="B12170" s="187">
        <v>39646</v>
      </c>
      <c r="C12170" s="189">
        <v>4.07</v>
      </c>
      <c r="D12170" s="104">
        <f t="shared" si="190"/>
        <v>4.07E-2</v>
      </c>
    </row>
    <row r="12171" spans="2:4" ht="13.8" hidden="1" outlineLevel="1">
      <c r="B12171" s="187">
        <v>39647</v>
      </c>
      <c r="C12171" s="189">
        <v>4.1100000000000003</v>
      </c>
      <c r="D12171" s="104">
        <f t="shared" si="190"/>
        <v>4.1100000000000005E-2</v>
      </c>
    </row>
    <row r="12172" spans="2:4" ht="13.8" hidden="1" outlineLevel="1">
      <c r="B12172" s="187">
        <v>39650</v>
      </c>
      <c r="C12172" s="189">
        <v>4.09</v>
      </c>
      <c r="D12172" s="104">
        <f t="shared" si="190"/>
        <v>4.0899999999999999E-2</v>
      </c>
    </row>
    <row r="12173" spans="2:4" ht="13.8" hidden="1" outlineLevel="1">
      <c r="B12173" s="187">
        <v>39651</v>
      </c>
      <c r="C12173" s="189">
        <v>4.1399999999999997</v>
      </c>
      <c r="D12173" s="104">
        <f t="shared" si="190"/>
        <v>4.1399999999999999E-2</v>
      </c>
    </row>
    <row r="12174" spans="2:4" ht="13.8" hidden="1" outlineLevel="1">
      <c r="B12174" s="187">
        <v>39652</v>
      </c>
      <c r="C12174" s="189">
        <v>4.16</v>
      </c>
      <c r="D12174" s="104">
        <f t="shared" si="190"/>
        <v>4.1599999999999998E-2</v>
      </c>
    </row>
    <row r="12175" spans="2:4" ht="13.8" hidden="1" outlineLevel="1">
      <c r="B12175" s="187">
        <v>39653</v>
      </c>
      <c r="C12175" s="189">
        <v>4.03</v>
      </c>
      <c r="D12175" s="104">
        <f t="shared" si="190"/>
        <v>4.0300000000000002E-2</v>
      </c>
    </row>
    <row r="12176" spans="2:4" ht="13.8" hidden="1" outlineLevel="1">
      <c r="B12176" s="187">
        <v>39654</v>
      </c>
      <c r="C12176" s="189">
        <v>4.13</v>
      </c>
      <c r="D12176" s="104">
        <f t="shared" si="190"/>
        <v>4.1299999999999996E-2</v>
      </c>
    </row>
    <row r="12177" spans="2:4" ht="13.8" hidden="1" outlineLevel="1">
      <c r="B12177" s="187">
        <v>39657</v>
      </c>
      <c r="C12177" s="189">
        <v>4.0599999999999996</v>
      </c>
      <c r="D12177" s="104">
        <f t="shared" si="190"/>
        <v>4.0599999999999997E-2</v>
      </c>
    </row>
    <row r="12178" spans="2:4" ht="13.8" hidden="1" outlineLevel="1">
      <c r="B12178" s="187">
        <v>39658</v>
      </c>
      <c r="C12178" s="189">
        <v>4.09</v>
      </c>
      <c r="D12178" s="104">
        <f t="shared" si="190"/>
        <v>4.0899999999999999E-2</v>
      </c>
    </row>
    <row r="12179" spans="2:4" ht="13.8" hidden="1" outlineLevel="1">
      <c r="B12179" s="187">
        <v>39659</v>
      </c>
      <c r="C12179" s="189">
        <v>4.07</v>
      </c>
      <c r="D12179" s="104">
        <f t="shared" si="190"/>
        <v>4.07E-2</v>
      </c>
    </row>
    <row r="12180" spans="2:4" ht="13.8" hidden="1" outlineLevel="1">
      <c r="B12180" s="187">
        <v>39660</v>
      </c>
      <c r="C12180" s="189">
        <v>3.99</v>
      </c>
      <c r="D12180" s="104">
        <f t="shared" si="190"/>
        <v>3.9900000000000005E-2</v>
      </c>
    </row>
    <row r="12181" spans="2:4" ht="13.8" hidden="1" outlineLevel="1">
      <c r="B12181" s="187">
        <v>39661</v>
      </c>
      <c r="C12181" s="189">
        <v>3.97</v>
      </c>
      <c r="D12181" s="104">
        <f t="shared" si="190"/>
        <v>3.9699999999999999E-2</v>
      </c>
    </row>
    <row r="12182" spans="2:4" ht="13.8" hidden="1" outlineLevel="1">
      <c r="B12182" s="187">
        <v>39664</v>
      </c>
      <c r="C12182" s="189">
        <v>3.98</v>
      </c>
      <c r="D12182" s="104">
        <f t="shared" si="190"/>
        <v>3.9800000000000002E-2</v>
      </c>
    </row>
    <row r="12183" spans="2:4" ht="13.8" hidden="1" outlineLevel="1">
      <c r="B12183" s="187">
        <v>39665</v>
      </c>
      <c r="C12183" s="189">
        <v>4.04</v>
      </c>
      <c r="D12183" s="104">
        <f t="shared" si="190"/>
        <v>4.0399999999999998E-2</v>
      </c>
    </row>
    <row r="12184" spans="2:4" ht="13.8" hidden="1" outlineLevel="1">
      <c r="B12184" s="187">
        <v>39666</v>
      </c>
      <c r="C12184" s="189">
        <v>4.0599999999999996</v>
      </c>
      <c r="D12184" s="104">
        <f t="shared" si="190"/>
        <v>4.0599999999999997E-2</v>
      </c>
    </row>
    <row r="12185" spans="2:4" ht="13.8" hidden="1" outlineLevel="1">
      <c r="B12185" s="187">
        <v>39667</v>
      </c>
      <c r="C12185" s="189">
        <v>3.92</v>
      </c>
      <c r="D12185" s="104">
        <f t="shared" si="190"/>
        <v>3.9199999999999999E-2</v>
      </c>
    </row>
    <row r="12186" spans="2:4" ht="13.8" hidden="1" outlineLevel="1">
      <c r="B12186" s="187">
        <v>39668</v>
      </c>
      <c r="C12186" s="189">
        <v>3.94</v>
      </c>
      <c r="D12186" s="104">
        <f t="shared" si="190"/>
        <v>3.9399999999999998E-2</v>
      </c>
    </row>
    <row r="12187" spans="2:4" ht="13.8" hidden="1" outlineLevel="1">
      <c r="B12187" s="187">
        <v>39671</v>
      </c>
      <c r="C12187" s="189">
        <v>3.99</v>
      </c>
      <c r="D12187" s="104">
        <f t="shared" si="190"/>
        <v>3.9900000000000005E-2</v>
      </c>
    </row>
    <row r="12188" spans="2:4" ht="13.8" hidden="1" outlineLevel="1">
      <c r="B12188" s="187">
        <v>39672</v>
      </c>
      <c r="C12188" s="189">
        <v>3.91</v>
      </c>
      <c r="D12188" s="104">
        <f t="shared" si="190"/>
        <v>3.9100000000000003E-2</v>
      </c>
    </row>
    <row r="12189" spans="2:4" ht="13.8" hidden="1" outlineLevel="1">
      <c r="B12189" s="187">
        <v>39673</v>
      </c>
      <c r="C12189" s="189">
        <v>3.94</v>
      </c>
      <c r="D12189" s="104">
        <f t="shared" si="190"/>
        <v>3.9399999999999998E-2</v>
      </c>
    </row>
    <row r="12190" spans="2:4" ht="13.8" hidden="1" outlineLevel="1">
      <c r="B12190" s="187">
        <v>39674</v>
      </c>
      <c r="C12190" s="189">
        <v>3.89</v>
      </c>
      <c r="D12190" s="104">
        <f t="shared" si="190"/>
        <v>3.8900000000000004E-2</v>
      </c>
    </row>
    <row r="12191" spans="2:4" ht="13.8" hidden="1" outlineLevel="1">
      <c r="B12191" s="187">
        <v>39675</v>
      </c>
      <c r="C12191" s="189">
        <v>3.84</v>
      </c>
      <c r="D12191" s="104">
        <f t="shared" si="190"/>
        <v>3.8399999999999997E-2</v>
      </c>
    </row>
    <row r="12192" spans="2:4" ht="13.8" hidden="1" outlineLevel="1">
      <c r="B12192" s="187">
        <v>39678</v>
      </c>
      <c r="C12192" s="189">
        <v>3.82</v>
      </c>
      <c r="D12192" s="104">
        <f t="shared" si="190"/>
        <v>3.8199999999999998E-2</v>
      </c>
    </row>
    <row r="12193" spans="2:4" ht="13.8" hidden="1" outlineLevel="1">
      <c r="B12193" s="187">
        <v>39679</v>
      </c>
      <c r="C12193" s="189">
        <v>3.83</v>
      </c>
      <c r="D12193" s="104">
        <f t="shared" si="190"/>
        <v>3.8300000000000001E-2</v>
      </c>
    </row>
    <row r="12194" spans="2:4" ht="13.8" hidden="1" outlineLevel="1">
      <c r="B12194" s="187">
        <v>39680</v>
      </c>
      <c r="C12194" s="189">
        <v>3.79</v>
      </c>
      <c r="D12194" s="104">
        <f t="shared" si="190"/>
        <v>3.7900000000000003E-2</v>
      </c>
    </row>
    <row r="12195" spans="2:4" ht="13.8" hidden="1" outlineLevel="1">
      <c r="B12195" s="187">
        <v>39681</v>
      </c>
      <c r="C12195" s="189">
        <v>3.84</v>
      </c>
      <c r="D12195" s="104">
        <f t="shared" si="190"/>
        <v>3.8399999999999997E-2</v>
      </c>
    </row>
    <row r="12196" spans="2:4" ht="13.8" hidden="1" outlineLevel="1">
      <c r="B12196" s="187">
        <v>39682</v>
      </c>
      <c r="C12196" s="189">
        <v>3.87</v>
      </c>
      <c r="D12196" s="104">
        <f t="shared" si="190"/>
        <v>3.8699999999999998E-2</v>
      </c>
    </row>
    <row r="12197" spans="2:4" ht="13.8" hidden="1" outlineLevel="1">
      <c r="B12197" s="187">
        <v>39685</v>
      </c>
      <c r="C12197" s="189">
        <v>3.79</v>
      </c>
      <c r="D12197" s="104">
        <f t="shared" si="190"/>
        <v>3.7900000000000003E-2</v>
      </c>
    </row>
    <row r="12198" spans="2:4" ht="13.8" hidden="1" outlineLevel="1">
      <c r="B12198" s="187">
        <v>39686</v>
      </c>
      <c r="C12198" s="189">
        <v>3.79</v>
      </c>
      <c r="D12198" s="104">
        <f t="shared" si="190"/>
        <v>3.7900000000000003E-2</v>
      </c>
    </row>
    <row r="12199" spans="2:4" ht="13.8" hidden="1" outlineLevel="1">
      <c r="B12199" s="187">
        <v>39687</v>
      </c>
      <c r="C12199" s="189">
        <v>3.77</v>
      </c>
      <c r="D12199" s="104">
        <f t="shared" si="190"/>
        <v>3.7699999999999997E-2</v>
      </c>
    </row>
    <row r="12200" spans="2:4" ht="13.8" hidden="1" outlineLevel="1">
      <c r="B12200" s="187">
        <v>39688</v>
      </c>
      <c r="C12200" s="189">
        <v>3.79</v>
      </c>
      <c r="D12200" s="104">
        <f t="shared" si="190"/>
        <v>3.7900000000000003E-2</v>
      </c>
    </row>
    <row r="12201" spans="2:4" ht="13.8" hidden="1" outlineLevel="1">
      <c r="B12201" s="187">
        <v>39689</v>
      </c>
      <c r="C12201" s="189">
        <v>3.83</v>
      </c>
      <c r="D12201" s="104">
        <f t="shared" si="190"/>
        <v>3.8300000000000001E-2</v>
      </c>
    </row>
    <row r="12202" spans="2:4" ht="13.8" hidden="1" outlineLevel="1">
      <c r="B12202" s="187">
        <v>39692</v>
      </c>
      <c r="C12202" s="189">
        <v>3.83</v>
      </c>
      <c r="D12202" s="104">
        <f t="shared" si="190"/>
        <v>3.8300000000000001E-2</v>
      </c>
    </row>
    <row r="12203" spans="2:4" ht="13.8" hidden="1" outlineLevel="1">
      <c r="B12203" s="187">
        <v>39693</v>
      </c>
      <c r="C12203" s="189">
        <v>3.74</v>
      </c>
      <c r="D12203" s="104">
        <f t="shared" si="190"/>
        <v>3.7400000000000003E-2</v>
      </c>
    </row>
    <row r="12204" spans="2:4" ht="13.8" hidden="1" outlineLevel="1">
      <c r="B12204" s="187">
        <v>39694</v>
      </c>
      <c r="C12204" s="189">
        <v>3.71</v>
      </c>
      <c r="D12204" s="104">
        <f t="shared" si="190"/>
        <v>3.7100000000000001E-2</v>
      </c>
    </row>
    <row r="12205" spans="2:4" ht="13.8" hidden="1" outlineLevel="1">
      <c r="B12205" s="187">
        <v>39695</v>
      </c>
      <c r="C12205" s="189">
        <v>3.64</v>
      </c>
      <c r="D12205" s="104">
        <f t="shared" si="190"/>
        <v>3.6400000000000002E-2</v>
      </c>
    </row>
    <row r="12206" spans="2:4" ht="13.8" hidden="1" outlineLevel="1">
      <c r="B12206" s="187">
        <v>39696</v>
      </c>
      <c r="C12206" s="189">
        <v>3.66</v>
      </c>
      <c r="D12206" s="104">
        <f t="shared" si="190"/>
        <v>3.6600000000000001E-2</v>
      </c>
    </row>
    <row r="12207" spans="2:4" ht="13.8" hidden="1" outlineLevel="1">
      <c r="B12207" s="187">
        <v>39699</v>
      </c>
      <c r="C12207" s="189">
        <v>3.66</v>
      </c>
      <c r="D12207" s="104">
        <f t="shared" si="190"/>
        <v>3.6600000000000001E-2</v>
      </c>
    </row>
    <row r="12208" spans="2:4" ht="13.8" hidden="1" outlineLevel="1">
      <c r="B12208" s="187">
        <v>39700</v>
      </c>
      <c r="C12208" s="189">
        <v>3.62</v>
      </c>
      <c r="D12208" s="104">
        <f t="shared" si="190"/>
        <v>3.6200000000000003E-2</v>
      </c>
    </row>
    <row r="12209" spans="2:8" ht="13.8" hidden="1" outlineLevel="1">
      <c r="B12209" s="187">
        <v>39701</v>
      </c>
      <c r="C12209" s="189">
        <v>3.65</v>
      </c>
      <c r="D12209" s="104">
        <f t="shared" si="190"/>
        <v>3.6499999999999998E-2</v>
      </c>
    </row>
    <row r="12210" spans="2:8" ht="13.8" hidden="1" outlineLevel="1">
      <c r="B12210" s="187">
        <v>39702</v>
      </c>
      <c r="C12210" s="189">
        <v>3.64</v>
      </c>
      <c r="D12210" s="104">
        <f t="shared" si="190"/>
        <v>3.6400000000000002E-2</v>
      </c>
    </row>
    <row r="12211" spans="2:8" ht="13.8" hidden="1" outlineLevel="1">
      <c r="B12211" s="187">
        <v>39703</v>
      </c>
      <c r="C12211" s="189">
        <v>3.74</v>
      </c>
      <c r="D12211" s="104">
        <f t="shared" si="190"/>
        <v>3.7400000000000003E-2</v>
      </c>
    </row>
    <row r="12212" spans="2:8" ht="13.8" hidden="1" outlineLevel="1">
      <c r="B12212" s="187">
        <v>39706</v>
      </c>
      <c r="C12212" s="189">
        <v>3.47</v>
      </c>
      <c r="D12212" s="104">
        <f t="shared" si="190"/>
        <v>3.4700000000000002E-2</v>
      </c>
    </row>
    <row r="12213" spans="2:8" ht="13.8" hidden="1" outlineLevel="1">
      <c r="B12213" s="187">
        <v>39707</v>
      </c>
      <c r="C12213" s="189">
        <v>3.48</v>
      </c>
      <c r="D12213" s="104">
        <f t="shared" ref="D12213:D12276" si="191">IF( LEN( C12213 ) = 0, #N/A, IF( C12213 = "ND", D12212, C12213 / 100 ) )</f>
        <v>3.4799999999999998E-2</v>
      </c>
    </row>
    <row r="12214" spans="2:8" ht="13.8" hidden="1" outlineLevel="1">
      <c r="B12214" s="187">
        <v>39708</v>
      </c>
      <c r="C12214" s="189">
        <v>3.41</v>
      </c>
      <c r="D12214" s="104">
        <f t="shared" si="191"/>
        <v>3.4099999999999998E-2</v>
      </c>
    </row>
    <row r="12215" spans="2:8" ht="13.8" hidden="1" outlineLevel="1">
      <c r="B12215" s="187">
        <v>39709</v>
      </c>
      <c r="C12215" s="189">
        <v>3.54</v>
      </c>
      <c r="D12215" s="104">
        <f t="shared" si="191"/>
        <v>3.5400000000000001E-2</v>
      </c>
    </row>
    <row r="12216" spans="2:8" ht="13.8" hidden="1" outlineLevel="1">
      <c r="B12216" s="187">
        <v>39710</v>
      </c>
      <c r="C12216" s="189">
        <v>3.78</v>
      </c>
      <c r="D12216" s="104">
        <f t="shared" si="191"/>
        <v>3.78E-2</v>
      </c>
    </row>
    <row r="12217" spans="2:8" ht="13.8" hidden="1" outlineLevel="1">
      <c r="B12217" s="187">
        <v>39713</v>
      </c>
      <c r="C12217" s="189">
        <v>3.83</v>
      </c>
      <c r="D12217" s="104">
        <f t="shared" si="191"/>
        <v>3.8300000000000001E-2</v>
      </c>
    </row>
    <row r="12218" spans="2:8" ht="13.8" hidden="1" outlineLevel="1">
      <c r="B12218" s="187">
        <v>39714</v>
      </c>
      <c r="C12218" s="189">
        <v>3.85</v>
      </c>
      <c r="D12218" s="104">
        <f t="shared" si="191"/>
        <v>3.85E-2</v>
      </c>
    </row>
    <row r="12219" spans="2:8" ht="13.8" hidden="1" outlineLevel="1">
      <c r="B12219" s="187">
        <v>39715</v>
      </c>
      <c r="C12219" s="189">
        <v>3.8</v>
      </c>
      <c r="D12219" s="104">
        <f t="shared" si="191"/>
        <v>3.7999999999999999E-2</v>
      </c>
    </row>
    <row r="12220" spans="2:8" ht="13.8" hidden="1" outlineLevel="1">
      <c r="B12220" s="187">
        <v>39716</v>
      </c>
      <c r="C12220" s="189">
        <v>3.88</v>
      </c>
      <c r="D12220" s="104">
        <f t="shared" si="191"/>
        <v>3.8800000000000001E-2</v>
      </c>
    </row>
    <row r="12221" spans="2:8" ht="13.8" hidden="1" outlineLevel="1">
      <c r="B12221" s="187">
        <v>39717</v>
      </c>
      <c r="C12221" s="189">
        <v>3.85</v>
      </c>
      <c r="D12221" s="104">
        <f t="shared" si="191"/>
        <v>3.85E-2</v>
      </c>
    </row>
    <row r="12222" spans="2:8" ht="13.8" hidden="1" outlineLevel="1">
      <c r="B12222" s="187">
        <v>39720</v>
      </c>
      <c r="C12222" s="189">
        <v>3.61</v>
      </c>
      <c r="D12222" s="104">
        <f t="shared" si="191"/>
        <v>3.61E-2</v>
      </c>
    </row>
    <row r="12223" spans="2:8" ht="13.8" hidden="1" outlineLevel="1">
      <c r="B12223" s="187">
        <v>39721</v>
      </c>
      <c r="C12223" s="189">
        <v>3.85</v>
      </c>
      <c r="D12223" s="104">
        <f t="shared" si="191"/>
        <v>3.85E-2</v>
      </c>
    </row>
    <row r="12224" spans="2:8" ht="13.8" hidden="1" outlineLevel="1">
      <c r="B12224" s="187">
        <v>39722</v>
      </c>
      <c r="C12224" s="189">
        <v>3.85</v>
      </c>
      <c r="D12224" s="104">
        <f t="shared" si="191"/>
        <v>3.85E-2</v>
      </c>
      <c r="E12224" s="53"/>
      <c r="F12224" s="54"/>
      <c r="G12224" s="53"/>
      <c r="H12224" s="53"/>
    </row>
    <row r="12225" spans="2:8" ht="13.8" hidden="1" outlineLevel="1">
      <c r="B12225" s="187">
        <v>39723</v>
      </c>
      <c r="C12225" s="189">
        <v>3.66</v>
      </c>
      <c r="D12225" s="104">
        <f t="shared" si="191"/>
        <v>3.6600000000000001E-2</v>
      </c>
      <c r="E12225" s="53"/>
      <c r="F12225" s="54"/>
      <c r="G12225" s="53"/>
      <c r="H12225" s="53"/>
    </row>
    <row r="12226" spans="2:8" ht="13.8" hidden="1" outlineLevel="1">
      <c r="B12226" s="187">
        <v>39724</v>
      </c>
      <c r="C12226" s="189">
        <v>3.63</v>
      </c>
      <c r="D12226" s="104">
        <f t="shared" si="191"/>
        <v>3.6299999999999999E-2</v>
      </c>
      <c r="E12226" s="53"/>
      <c r="F12226" s="54"/>
      <c r="G12226" s="53"/>
      <c r="H12226" s="53"/>
    </row>
    <row r="12227" spans="2:8" ht="13.8" hidden="1" outlineLevel="1">
      <c r="B12227" s="187">
        <v>39727</v>
      </c>
      <c r="C12227" s="189">
        <v>3.48</v>
      </c>
      <c r="D12227" s="104">
        <f t="shared" si="191"/>
        <v>3.4799999999999998E-2</v>
      </c>
      <c r="E12227" s="53"/>
      <c r="F12227" s="54"/>
      <c r="G12227" s="53"/>
      <c r="H12227" s="53"/>
    </row>
    <row r="12228" spans="2:8" ht="13.8" hidden="1" outlineLevel="1">
      <c r="B12228" s="187">
        <v>39728</v>
      </c>
      <c r="C12228" s="189">
        <v>3.5</v>
      </c>
      <c r="D12228" s="104">
        <f t="shared" si="191"/>
        <v>3.5000000000000003E-2</v>
      </c>
      <c r="E12228" s="53"/>
      <c r="F12228" s="54"/>
      <c r="G12228" s="53"/>
      <c r="H12228" s="53"/>
    </row>
    <row r="12229" spans="2:8" ht="13.8" hidden="1" outlineLevel="1">
      <c r="B12229" s="187">
        <v>39729</v>
      </c>
      <c r="C12229" s="189">
        <v>3.72</v>
      </c>
      <c r="D12229" s="104">
        <f t="shared" si="191"/>
        <v>3.7200000000000004E-2</v>
      </c>
      <c r="E12229" s="53"/>
      <c r="F12229" s="54"/>
      <c r="G12229" s="53"/>
      <c r="H12229" s="53"/>
    </row>
    <row r="12230" spans="2:8" ht="13.8" hidden="1" outlineLevel="1">
      <c r="B12230" s="187">
        <v>39730</v>
      </c>
      <c r="C12230" s="189">
        <v>3.84</v>
      </c>
      <c r="D12230" s="104">
        <f t="shared" si="191"/>
        <v>3.8399999999999997E-2</v>
      </c>
      <c r="E12230" s="53"/>
      <c r="F12230" s="54"/>
      <c r="G12230" s="53"/>
      <c r="H12230" s="53"/>
    </row>
    <row r="12231" spans="2:8" ht="13.8" hidden="1" outlineLevel="1">
      <c r="B12231" s="187">
        <v>39731</v>
      </c>
      <c r="C12231" s="189">
        <v>3.89</v>
      </c>
      <c r="D12231" s="104">
        <f t="shared" si="191"/>
        <v>3.8900000000000004E-2</v>
      </c>
      <c r="E12231" s="53"/>
      <c r="F12231" s="54"/>
      <c r="G12231" s="53"/>
      <c r="H12231" s="53"/>
    </row>
    <row r="12232" spans="2:8" ht="13.8" hidden="1" outlineLevel="1">
      <c r="B12232" s="187">
        <v>39735</v>
      </c>
      <c r="C12232" s="189">
        <v>4.08</v>
      </c>
      <c r="D12232" s="104">
        <f t="shared" si="191"/>
        <v>4.0800000000000003E-2</v>
      </c>
      <c r="E12232" s="53"/>
      <c r="F12232" s="54"/>
      <c r="G12232" s="53"/>
      <c r="H12232" s="53"/>
    </row>
    <row r="12233" spans="2:8" ht="13.8" hidden="1" outlineLevel="1">
      <c r="B12233" s="187">
        <v>39736</v>
      </c>
      <c r="C12233" s="189">
        <v>4.04</v>
      </c>
      <c r="D12233" s="104">
        <f t="shared" si="191"/>
        <v>4.0399999999999998E-2</v>
      </c>
      <c r="E12233" s="53"/>
      <c r="F12233" s="54"/>
      <c r="G12233" s="53"/>
      <c r="H12233" s="53"/>
    </row>
    <row r="12234" spans="2:8" ht="13.8" hidden="1" outlineLevel="1">
      <c r="B12234" s="187">
        <v>39737</v>
      </c>
      <c r="C12234" s="189">
        <v>3.99</v>
      </c>
      <c r="D12234" s="104">
        <f t="shared" si="191"/>
        <v>3.9900000000000005E-2</v>
      </c>
      <c r="E12234" s="53"/>
      <c r="F12234" s="54"/>
      <c r="G12234" s="53"/>
      <c r="H12234" s="53"/>
    </row>
    <row r="12235" spans="2:8" ht="13.8" hidden="1" outlineLevel="1">
      <c r="B12235" s="187">
        <v>39738</v>
      </c>
      <c r="C12235" s="189">
        <v>3.98</v>
      </c>
      <c r="D12235" s="104">
        <f t="shared" si="191"/>
        <v>3.9800000000000002E-2</v>
      </c>
      <c r="E12235" s="53"/>
      <c r="F12235" s="54"/>
      <c r="G12235" s="53"/>
      <c r="H12235" s="53"/>
    </row>
    <row r="12236" spans="2:8" ht="13.8" hidden="1" outlineLevel="1">
      <c r="B12236" s="187">
        <v>39741</v>
      </c>
      <c r="C12236" s="189">
        <v>3.91</v>
      </c>
      <c r="D12236" s="104">
        <f t="shared" si="191"/>
        <v>3.9100000000000003E-2</v>
      </c>
      <c r="E12236" s="53"/>
      <c r="F12236" s="54"/>
      <c r="G12236" s="53"/>
      <c r="H12236" s="53"/>
    </row>
    <row r="12237" spans="2:8" ht="13.8" hidden="1" outlineLevel="1">
      <c r="B12237" s="187">
        <v>39742</v>
      </c>
      <c r="C12237" s="189">
        <v>3.76</v>
      </c>
      <c r="D12237" s="104">
        <f t="shared" si="191"/>
        <v>3.7599999999999995E-2</v>
      </c>
      <c r="E12237" s="53"/>
      <c r="F12237" s="54"/>
      <c r="G12237" s="53"/>
      <c r="H12237" s="53"/>
    </row>
    <row r="12238" spans="2:8" ht="13.8" hidden="1" outlineLevel="1">
      <c r="B12238" s="187">
        <v>39743</v>
      </c>
      <c r="C12238" s="189">
        <v>3.65</v>
      </c>
      <c r="D12238" s="104">
        <f t="shared" si="191"/>
        <v>3.6499999999999998E-2</v>
      </c>
      <c r="E12238" s="53"/>
      <c r="F12238" s="54"/>
      <c r="G12238" s="53"/>
      <c r="H12238" s="53"/>
    </row>
    <row r="12239" spans="2:8" ht="13.8" hidden="1" outlineLevel="1">
      <c r="B12239" s="187">
        <v>39744</v>
      </c>
      <c r="C12239" s="189">
        <v>3.63</v>
      </c>
      <c r="D12239" s="104">
        <f t="shared" si="191"/>
        <v>3.6299999999999999E-2</v>
      </c>
      <c r="E12239" s="53"/>
      <c r="F12239" s="54"/>
      <c r="G12239" s="53"/>
      <c r="H12239" s="53"/>
    </row>
    <row r="12240" spans="2:8" ht="13.8" hidden="1" outlineLevel="1">
      <c r="B12240" s="187">
        <v>39745</v>
      </c>
      <c r="C12240" s="189">
        <v>3.76</v>
      </c>
      <c r="D12240" s="104">
        <f t="shared" si="191"/>
        <v>3.7599999999999995E-2</v>
      </c>
      <c r="E12240" s="53"/>
      <c r="F12240" s="54"/>
      <c r="G12240" s="53"/>
      <c r="H12240" s="53"/>
    </row>
    <row r="12241" spans="2:8" ht="13.8" hidden="1" outlineLevel="1">
      <c r="B12241" s="187">
        <v>39748</v>
      </c>
      <c r="C12241" s="189">
        <v>3.79</v>
      </c>
      <c r="D12241" s="104">
        <f t="shared" si="191"/>
        <v>3.7900000000000003E-2</v>
      </c>
      <c r="E12241" s="53"/>
      <c r="F12241" s="54"/>
      <c r="G12241" s="53"/>
      <c r="H12241" s="53"/>
    </row>
    <row r="12242" spans="2:8" ht="13.8" hidden="1" outlineLevel="1">
      <c r="B12242" s="187">
        <v>39749</v>
      </c>
      <c r="C12242" s="189">
        <v>3.89</v>
      </c>
      <c r="D12242" s="104">
        <f t="shared" si="191"/>
        <v>3.8900000000000004E-2</v>
      </c>
      <c r="E12242" s="53"/>
      <c r="F12242" s="54"/>
      <c r="G12242" s="53"/>
      <c r="H12242" s="53"/>
    </row>
    <row r="12243" spans="2:8" ht="13.8" hidden="1" outlineLevel="1">
      <c r="B12243" s="187">
        <v>39750</v>
      </c>
      <c r="C12243" s="189">
        <v>3.93</v>
      </c>
      <c r="D12243" s="104">
        <f t="shared" si="191"/>
        <v>3.9300000000000002E-2</v>
      </c>
      <c r="E12243" s="53"/>
      <c r="F12243" s="54"/>
      <c r="G12243" s="53"/>
      <c r="H12243" s="53"/>
    </row>
    <row r="12244" spans="2:8" ht="13.8" hidden="1" outlineLevel="1">
      <c r="B12244" s="187">
        <v>39751</v>
      </c>
      <c r="C12244" s="189">
        <v>4</v>
      </c>
      <c r="D12244" s="104">
        <f t="shared" si="191"/>
        <v>0.04</v>
      </c>
      <c r="E12244" s="53"/>
      <c r="F12244" s="54"/>
      <c r="G12244" s="53"/>
      <c r="H12244" s="53"/>
    </row>
    <row r="12245" spans="2:8" ht="13.8" hidden="1" outlineLevel="1">
      <c r="B12245" s="187">
        <v>39752</v>
      </c>
      <c r="C12245" s="189">
        <v>4.01</v>
      </c>
      <c r="D12245" s="104">
        <f t="shared" si="191"/>
        <v>4.0099999999999997E-2</v>
      </c>
      <c r="E12245" s="53"/>
      <c r="F12245" s="54"/>
      <c r="G12245" s="53"/>
      <c r="H12245" s="53"/>
    </row>
    <row r="12246" spans="2:8" ht="13.8" hidden="1" outlineLevel="1">
      <c r="B12246" s="187">
        <v>39755</v>
      </c>
      <c r="C12246" s="189">
        <v>3.96</v>
      </c>
      <c r="D12246" s="104">
        <f t="shared" si="191"/>
        <v>3.9599999999999996E-2</v>
      </c>
      <c r="E12246" s="53"/>
      <c r="F12246" s="54"/>
      <c r="G12246" s="53"/>
      <c r="H12246" s="53"/>
    </row>
    <row r="12247" spans="2:8" ht="13.8" hidden="1" outlineLevel="1">
      <c r="B12247" s="187">
        <v>39756</v>
      </c>
      <c r="C12247" s="189">
        <v>3.81</v>
      </c>
      <c r="D12247" s="104">
        <f t="shared" si="191"/>
        <v>3.8100000000000002E-2</v>
      </c>
      <c r="E12247" s="53"/>
      <c r="F12247" s="54"/>
      <c r="G12247" s="53"/>
      <c r="H12247" s="53"/>
    </row>
    <row r="12248" spans="2:8" ht="13.8" hidden="1" outlineLevel="1">
      <c r="B12248" s="187">
        <v>39757</v>
      </c>
      <c r="C12248" s="189">
        <v>3.73</v>
      </c>
      <c r="D12248" s="104">
        <f t="shared" si="191"/>
        <v>3.73E-2</v>
      </c>
      <c r="E12248" s="53"/>
      <c r="F12248" s="54"/>
      <c r="G12248" s="53"/>
      <c r="H12248" s="53"/>
    </row>
    <row r="12249" spans="2:8" ht="13.8" hidden="1" outlineLevel="1">
      <c r="B12249" s="187">
        <v>39758</v>
      </c>
      <c r="C12249" s="189">
        <v>3.75</v>
      </c>
      <c r="D12249" s="104">
        <f t="shared" si="191"/>
        <v>3.7499999999999999E-2</v>
      </c>
      <c r="E12249" s="53"/>
      <c r="F12249" s="54"/>
      <c r="G12249" s="53"/>
      <c r="H12249" s="53"/>
    </row>
    <row r="12250" spans="2:8" ht="13.8" hidden="1" outlineLevel="1">
      <c r="B12250" s="187">
        <v>39759</v>
      </c>
      <c r="C12250" s="189">
        <v>3.83</v>
      </c>
      <c r="D12250" s="104">
        <f t="shared" si="191"/>
        <v>3.8300000000000001E-2</v>
      </c>
      <c r="E12250" s="53"/>
      <c r="F12250" s="54"/>
      <c r="G12250" s="53"/>
      <c r="H12250" s="53"/>
    </row>
    <row r="12251" spans="2:8" ht="13.8" hidden="1" outlineLevel="1">
      <c r="B12251" s="187">
        <v>39762</v>
      </c>
      <c r="C12251" s="189">
        <v>3.82</v>
      </c>
      <c r="D12251" s="104">
        <f t="shared" si="191"/>
        <v>3.8199999999999998E-2</v>
      </c>
      <c r="E12251" s="53"/>
      <c r="F12251" s="54"/>
      <c r="G12251" s="53"/>
      <c r="H12251" s="53"/>
    </row>
    <row r="12252" spans="2:8" ht="13.8" hidden="1" outlineLevel="1">
      <c r="B12252" s="187">
        <v>39764</v>
      </c>
      <c r="C12252" s="189">
        <v>3.75</v>
      </c>
      <c r="D12252" s="104">
        <f t="shared" si="191"/>
        <v>3.7499999999999999E-2</v>
      </c>
      <c r="E12252" s="53"/>
      <c r="F12252" s="54"/>
      <c r="G12252" s="53"/>
      <c r="H12252" s="53"/>
    </row>
    <row r="12253" spans="2:8" ht="13.8" hidden="1" outlineLevel="1">
      <c r="B12253" s="187">
        <v>39765</v>
      </c>
      <c r="C12253" s="189">
        <v>3.84</v>
      </c>
      <c r="D12253" s="104">
        <f t="shared" si="191"/>
        <v>3.8399999999999997E-2</v>
      </c>
      <c r="E12253" s="53"/>
      <c r="F12253" s="54"/>
      <c r="G12253" s="53"/>
      <c r="H12253" s="53"/>
    </row>
    <row r="12254" spans="2:8" ht="13.8" hidden="1" outlineLevel="1">
      <c r="B12254" s="187">
        <v>39766</v>
      </c>
      <c r="C12254" s="189">
        <v>3.72</v>
      </c>
      <c r="D12254" s="104">
        <f t="shared" si="191"/>
        <v>3.7200000000000004E-2</v>
      </c>
      <c r="E12254" s="53"/>
      <c r="F12254" s="54"/>
      <c r="G12254" s="53"/>
      <c r="H12254" s="53"/>
    </row>
    <row r="12255" spans="2:8" ht="13.8" hidden="1" outlineLevel="1">
      <c r="B12255" s="187">
        <v>39769</v>
      </c>
      <c r="C12255" s="189">
        <v>3.68</v>
      </c>
      <c r="D12255" s="104">
        <f t="shared" si="191"/>
        <v>3.6799999999999999E-2</v>
      </c>
      <c r="E12255" s="53"/>
      <c r="F12255" s="54"/>
      <c r="G12255" s="53"/>
      <c r="H12255" s="53"/>
    </row>
    <row r="12256" spans="2:8" ht="13.8" hidden="1" outlineLevel="1">
      <c r="B12256" s="187">
        <v>39770</v>
      </c>
      <c r="C12256" s="189">
        <v>3.53</v>
      </c>
      <c r="D12256" s="104">
        <f t="shared" si="191"/>
        <v>3.5299999999999998E-2</v>
      </c>
      <c r="E12256" s="53"/>
      <c r="F12256" s="54"/>
      <c r="G12256" s="53"/>
      <c r="H12256" s="53"/>
    </row>
    <row r="12257" spans="2:8" ht="13.8" hidden="1" outlineLevel="1">
      <c r="B12257" s="187">
        <v>39771</v>
      </c>
      <c r="C12257" s="189">
        <v>3.38</v>
      </c>
      <c r="D12257" s="104">
        <f t="shared" si="191"/>
        <v>3.3799999999999997E-2</v>
      </c>
      <c r="E12257" s="53"/>
      <c r="F12257" s="54"/>
      <c r="G12257" s="53"/>
      <c r="H12257" s="53"/>
    </row>
    <row r="12258" spans="2:8" ht="13.8" hidden="1" outlineLevel="1">
      <c r="B12258" s="187">
        <v>39772</v>
      </c>
      <c r="C12258" s="189">
        <v>3.1</v>
      </c>
      <c r="D12258" s="104">
        <f t="shared" si="191"/>
        <v>3.1E-2</v>
      </c>
      <c r="E12258" s="53"/>
      <c r="F12258" s="54"/>
      <c r="G12258" s="53"/>
      <c r="H12258" s="53"/>
    </row>
    <row r="12259" spans="2:8" ht="13.8" hidden="1" outlineLevel="1">
      <c r="B12259" s="187">
        <v>39773</v>
      </c>
      <c r="C12259" s="189">
        <v>3.2</v>
      </c>
      <c r="D12259" s="104">
        <f t="shared" si="191"/>
        <v>3.2000000000000001E-2</v>
      </c>
      <c r="E12259" s="53"/>
      <c r="F12259" s="54"/>
      <c r="G12259" s="53"/>
      <c r="H12259" s="53"/>
    </row>
    <row r="12260" spans="2:8" ht="13.8" hidden="1" outlineLevel="1">
      <c r="B12260" s="187">
        <v>39776</v>
      </c>
      <c r="C12260" s="189">
        <v>3.35</v>
      </c>
      <c r="D12260" s="104">
        <f t="shared" si="191"/>
        <v>3.3500000000000002E-2</v>
      </c>
      <c r="E12260" s="53"/>
      <c r="F12260" s="54"/>
      <c r="G12260" s="53"/>
      <c r="H12260" s="53"/>
    </row>
    <row r="12261" spans="2:8" ht="13.8" hidden="1" outlineLevel="1">
      <c r="B12261" s="187">
        <v>39777</v>
      </c>
      <c r="C12261" s="189">
        <v>3.11</v>
      </c>
      <c r="D12261" s="104">
        <f t="shared" si="191"/>
        <v>3.1099999999999999E-2</v>
      </c>
      <c r="E12261" s="53"/>
      <c r="F12261" s="54"/>
      <c r="G12261" s="53"/>
      <c r="H12261" s="53"/>
    </row>
    <row r="12262" spans="2:8" ht="13.8" hidden="1" outlineLevel="1">
      <c r="B12262" s="187">
        <v>39778</v>
      </c>
      <c r="C12262" s="189">
        <v>2.99</v>
      </c>
      <c r="D12262" s="104">
        <f t="shared" si="191"/>
        <v>2.9900000000000003E-2</v>
      </c>
      <c r="E12262" s="53"/>
      <c r="F12262" s="54"/>
      <c r="G12262" s="53"/>
      <c r="H12262" s="53"/>
    </row>
    <row r="12263" spans="2:8" ht="13.8" hidden="1" outlineLevel="1">
      <c r="B12263" s="187">
        <v>39780</v>
      </c>
      <c r="C12263" s="189">
        <v>2.93</v>
      </c>
      <c r="D12263" s="104">
        <f t="shared" si="191"/>
        <v>2.9300000000000003E-2</v>
      </c>
      <c r="E12263" s="53"/>
      <c r="F12263" s="54"/>
      <c r="G12263" s="53"/>
      <c r="H12263" s="53"/>
    </row>
    <row r="12264" spans="2:8" ht="13.8" hidden="1" outlineLevel="1">
      <c r="B12264" s="187">
        <v>39783</v>
      </c>
      <c r="C12264" s="189">
        <v>2.72</v>
      </c>
      <c r="D12264" s="104">
        <f t="shared" si="191"/>
        <v>2.7200000000000002E-2</v>
      </c>
      <c r="E12264" s="53"/>
      <c r="F12264" s="54"/>
      <c r="G12264" s="53"/>
      <c r="H12264" s="53"/>
    </row>
    <row r="12265" spans="2:8" ht="13.8" hidden="1" outlineLevel="1">
      <c r="B12265" s="187">
        <v>39784</v>
      </c>
      <c r="C12265" s="189">
        <v>2.68</v>
      </c>
      <c r="D12265" s="104">
        <f t="shared" si="191"/>
        <v>2.6800000000000001E-2</v>
      </c>
      <c r="E12265" s="53"/>
      <c r="F12265" s="54"/>
      <c r="G12265" s="53"/>
      <c r="H12265" s="53"/>
    </row>
    <row r="12266" spans="2:8" ht="13.8" hidden="1" outlineLevel="1">
      <c r="B12266" s="187">
        <v>39785</v>
      </c>
      <c r="C12266" s="189">
        <v>2.67</v>
      </c>
      <c r="D12266" s="104">
        <f t="shared" si="191"/>
        <v>2.6699999999999998E-2</v>
      </c>
      <c r="E12266" s="53"/>
      <c r="F12266" s="54"/>
      <c r="G12266" s="53"/>
      <c r="H12266" s="53"/>
    </row>
    <row r="12267" spans="2:8" ht="13.8" hidden="1" outlineLevel="1">
      <c r="B12267" s="187">
        <v>39786</v>
      </c>
      <c r="C12267" s="189">
        <v>2.5499999999999998</v>
      </c>
      <c r="D12267" s="104">
        <f t="shared" si="191"/>
        <v>2.5499999999999998E-2</v>
      </c>
      <c r="E12267" s="53"/>
      <c r="F12267" s="54"/>
      <c r="G12267" s="53"/>
      <c r="H12267" s="53"/>
    </row>
    <row r="12268" spans="2:8" ht="13.8" hidden="1" outlineLevel="1">
      <c r="B12268" s="187">
        <v>39787</v>
      </c>
      <c r="C12268" s="189">
        <v>2.67</v>
      </c>
      <c r="D12268" s="104">
        <f t="shared" si="191"/>
        <v>2.6699999999999998E-2</v>
      </c>
      <c r="E12268" s="53"/>
      <c r="F12268" s="54"/>
      <c r="G12268" s="53"/>
      <c r="H12268" s="53"/>
    </row>
    <row r="12269" spans="2:8" ht="13.8" hidden="1" outlineLevel="1">
      <c r="B12269" s="187">
        <v>39790</v>
      </c>
      <c r="C12269" s="189">
        <v>2.77</v>
      </c>
      <c r="D12269" s="104">
        <f t="shared" si="191"/>
        <v>2.7699999999999999E-2</v>
      </c>
      <c r="E12269" s="53"/>
      <c r="F12269" s="54"/>
      <c r="G12269" s="53"/>
      <c r="H12269" s="53"/>
    </row>
    <row r="12270" spans="2:8" ht="13.8" hidden="1" outlineLevel="1">
      <c r="B12270" s="187">
        <v>39791</v>
      </c>
      <c r="C12270" s="189">
        <v>2.67</v>
      </c>
      <c r="D12270" s="104">
        <f t="shared" si="191"/>
        <v>2.6699999999999998E-2</v>
      </c>
      <c r="E12270" s="53"/>
      <c r="F12270" s="54"/>
      <c r="G12270" s="53"/>
      <c r="H12270" s="53"/>
    </row>
    <row r="12271" spans="2:8" ht="13.8" hidden="1" outlineLevel="1">
      <c r="B12271" s="187">
        <v>39792</v>
      </c>
      <c r="C12271" s="189">
        <v>2.69</v>
      </c>
      <c r="D12271" s="104">
        <f t="shared" si="191"/>
        <v>2.69E-2</v>
      </c>
      <c r="E12271" s="53"/>
      <c r="F12271" s="54"/>
      <c r="G12271" s="53"/>
      <c r="H12271" s="53"/>
    </row>
    <row r="12272" spans="2:8" ht="13.8" hidden="1" outlineLevel="1">
      <c r="B12272" s="187">
        <v>39793</v>
      </c>
      <c r="C12272" s="189">
        <v>2.64</v>
      </c>
      <c r="D12272" s="104">
        <f t="shared" si="191"/>
        <v>2.64E-2</v>
      </c>
      <c r="E12272" s="53"/>
      <c r="F12272" s="54"/>
      <c r="G12272" s="53"/>
      <c r="H12272" s="53"/>
    </row>
    <row r="12273" spans="2:8" ht="13.8" hidden="1" outlineLevel="1">
      <c r="B12273" s="187">
        <v>39794</v>
      </c>
      <c r="C12273" s="189">
        <v>2.6</v>
      </c>
      <c r="D12273" s="104">
        <f t="shared" si="191"/>
        <v>2.6000000000000002E-2</v>
      </c>
      <c r="E12273" s="53"/>
      <c r="F12273" s="54"/>
      <c r="G12273" s="53"/>
      <c r="H12273" s="53"/>
    </row>
    <row r="12274" spans="2:8" ht="13.8" hidden="1" outlineLevel="1">
      <c r="B12274" s="187">
        <v>39797</v>
      </c>
      <c r="C12274" s="189">
        <v>2.5299999999999998</v>
      </c>
      <c r="D12274" s="104">
        <f t="shared" si="191"/>
        <v>2.53E-2</v>
      </c>
      <c r="E12274" s="53"/>
      <c r="F12274" s="54"/>
      <c r="G12274" s="53"/>
      <c r="H12274" s="53"/>
    </row>
    <row r="12275" spans="2:8" ht="13.8" hidden="1" outlineLevel="1">
      <c r="B12275" s="187">
        <v>39798</v>
      </c>
      <c r="C12275" s="189">
        <v>2.37</v>
      </c>
      <c r="D12275" s="104">
        <f t="shared" si="191"/>
        <v>2.3700000000000002E-2</v>
      </c>
      <c r="E12275" s="53"/>
      <c r="F12275" s="54"/>
      <c r="G12275" s="53"/>
      <c r="H12275" s="53"/>
    </row>
    <row r="12276" spans="2:8" ht="13.8" hidden="1" outlineLevel="1">
      <c r="B12276" s="187">
        <v>39799</v>
      </c>
      <c r="C12276" s="189">
        <v>2.2000000000000002</v>
      </c>
      <c r="D12276" s="104">
        <f t="shared" si="191"/>
        <v>2.2000000000000002E-2</v>
      </c>
      <c r="E12276" s="53"/>
      <c r="F12276" s="54"/>
      <c r="G12276" s="53"/>
      <c r="H12276" s="53"/>
    </row>
    <row r="12277" spans="2:8" ht="13.8" hidden="1" outlineLevel="1">
      <c r="B12277" s="187">
        <v>39800</v>
      </c>
      <c r="C12277" s="189">
        <v>2.08</v>
      </c>
      <c r="D12277" s="104">
        <f t="shared" ref="D12277:D12340" si="192">IF( LEN( C12277 ) = 0, #N/A, IF( C12277 = "ND", D12276, C12277 / 100 ) )</f>
        <v>2.0799999999999999E-2</v>
      </c>
      <c r="E12277" s="53"/>
      <c r="F12277" s="54"/>
      <c r="G12277" s="53"/>
      <c r="H12277" s="53"/>
    </row>
    <row r="12278" spans="2:8" ht="13.8" hidden="1" outlineLevel="1">
      <c r="B12278" s="187">
        <v>39801</v>
      </c>
      <c r="C12278" s="189">
        <v>2.13</v>
      </c>
      <c r="D12278" s="104">
        <f t="shared" si="192"/>
        <v>2.1299999999999999E-2</v>
      </c>
      <c r="E12278" s="53"/>
      <c r="F12278" s="54"/>
      <c r="G12278" s="53"/>
      <c r="H12278" s="53"/>
    </row>
    <row r="12279" spans="2:8" ht="13.8" hidden="1" outlineLevel="1">
      <c r="B12279" s="187">
        <v>39804</v>
      </c>
      <c r="C12279" s="189">
        <v>2.16</v>
      </c>
      <c r="D12279" s="104">
        <f t="shared" si="192"/>
        <v>2.1600000000000001E-2</v>
      </c>
      <c r="E12279" s="53"/>
      <c r="F12279" s="54"/>
      <c r="G12279" s="53"/>
      <c r="H12279" s="53"/>
    </row>
    <row r="12280" spans="2:8" ht="13.8" hidden="1" outlineLevel="1">
      <c r="B12280" s="187">
        <v>39805</v>
      </c>
      <c r="C12280" s="189">
        <v>2.1800000000000002</v>
      </c>
      <c r="D12280" s="104">
        <f t="shared" si="192"/>
        <v>2.18E-2</v>
      </c>
      <c r="E12280" s="53"/>
      <c r="F12280" s="54"/>
      <c r="G12280" s="53"/>
      <c r="H12280" s="53"/>
    </row>
    <row r="12281" spans="2:8" ht="13.8" hidden="1" outlineLevel="1">
      <c r="B12281" s="187">
        <v>39806</v>
      </c>
      <c r="C12281" s="189">
        <v>2.2000000000000002</v>
      </c>
      <c r="D12281" s="104">
        <f t="shared" si="192"/>
        <v>2.2000000000000002E-2</v>
      </c>
      <c r="E12281" s="53"/>
      <c r="F12281" s="54"/>
      <c r="G12281" s="53"/>
      <c r="H12281" s="53"/>
    </row>
    <row r="12282" spans="2:8" ht="13.8" hidden="1" outlineLevel="1">
      <c r="B12282" s="187">
        <v>39808</v>
      </c>
      <c r="C12282" s="189">
        <v>2.16</v>
      </c>
      <c r="D12282" s="104">
        <f t="shared" si="192"/>
        <v>2.1600000000000001E-2</v>
      </c>
      <c r="E12282" s="53"/>
      <c r="F12282" s="54"/>
      <c r="G12282" s="53"/>
      <c r="H12282" s="53"/>
    </row>
    <row r="12283" spans="2:8" ht="13.8" hidden="1" outlineLevel="1">
      <c r="B12283" s="187">
        <v>39811</v>
      </c>
      <c r="C12283" s="189">
        <v>2.13</v>
      </c>
      <c r="D12283" s="104">
        <f t="shared" si="192"/>
        <v>2.1299999999999999E-2</v>
      </c>
      <c r="E12283" s="53"/>
      <c r="F12283" s="54"/>
      <c r="G12283" s="53"/>
      <c r="H12283" s="53"/>
    </row>
    <row r="12284" spans="2:8" ht="13.8" hidden="1" outlineLevel="1">
      <c r="B12284" s="187">
        <v>39812</v>
      </c>
      <c r="C12284" s="189">
        <v>2.11</v>
      </c>
      <c r="D12284" s="104">
        <f t="shared" si="192"/>
        <v>2.1099999999999997E-2</v>
      </c>
      <c r="E12284" s="53"/>
      <c r="F12284" s="54"/>
      <c r="G12284" s="53"/>
      <c r="H12284" s="53"/>
    </row>
    <row r="12285" spans="2:8" ht="13.8" hidden="1" outlineLevel="1">
      <c r="B12285" s="187">
        <v>39813</v>
      </c>
      <c r="C12285" s="189">
        <v>2.25</v>
      </c>
      <c r="D12285" s="104">
        <f t="shared" si="192"/>
        <v>2.2499999999999999E-2</v>
      </c>
      <c r="E12285" s="53"/>
      <c r="F12285" s="54"/>
      <c r="G12285" s="53"/>
      <c r="H12285" s="53"/>
    </row>
    <row r="12286" spans="2:8" ht="13.8" hidden="1" outlineLevel="1">
      <c r="B12286" s="187">
        <v>39815</v>
      </c>
      <c r="C12286" s="189">
        <v>2.46</v>
      </c>
      <c r="D12286" s="104">
        <f t="shared" si="192"/>
        <v>2.46E-2</v>
      </c>
      <c r="E12286" s="53"/>
      <c r="F12286" s="54"/>
      <c r="G12286" s="53"/>
      <c r="H12286" s="53"/>
    </row>
    <row r="12287" spans="2:8" ht="13.8" hidden="1" outlineLevel="1">
      <c r="B12287" s="187">
        <v>39818</v>
      </c>
      <c r="C12287" s="189">
        <v>2.4900000000000002</v>
      </c>
      <c r="D12287" s="104">
        <f t="shared" si="192"/>
        <v>2.4900000000000002E-2</v>
      </c>
      <c r="E12287" s="53"/>
      <c r="F12287" s="54"/>
      <c r="G12287" s="53"/>
      <c r="H12287" s="53"/>
    </row>
    <row r="12288" spans="2:8" ht="13.8" hidden="1" outlineLevel="1">
      <c r="B12288" s="187">
        <v>39819</v>
      </c>
      <c r="C12288" s="189">
        <v>2.5099999999999998</v>
      </c>
      <c r="D12288" s="104">
        <f t="shared" si="192"/>
        <v>2.5099999999999997E-2</v>
      </c>
      <c r="E12288" s="53"/>
      <c r="F12288" s="54"/>
      <c r="G12288" s="53"/>
      <c r="H12288" s="53"/>
    </row>
    <row r="12289" spans="2:8" ht="13.8" hidden="1" outlineLevel="1">
      <c r="B12289" s="187">
        <v>39820</v>
      </c>
      <c r="C12289" s="189">
        <v>2.52</v>
      </c>
      <c r="D12289" s="104">
        <f t="shared" si="192"/>
        <v>2.52E-2</v>
      </c>
      <c r="E12289" s="53"/>
      <c r="F12289" s="54"/>
      <c r="G12289" s="53"/>
      <c r="H12289" s="53"/>
    </row>
    <row r="12290" spans="2:8" ht="13.8" hidden="1" outlineLevel="1">
      <c r="B12290" s="187">
        <v>39821</v>
      </c>
      <c r="C12290" s="189">
        <v>2.4700000000000002</v>
      </c>
      <c r="D12290" s="104">
        <f t="shared" si="192"/>
        <v>2.4700000000000003E-2</v>
      </c>
      <c r="E12290" s="53"/>
      <c r="F12290" s="54"/>
      <c r="G12290" s="53"/>
      <c r="H12290" s="53"/>
    </row>
    <row r="12291" spans="2:8" ht="13.8" hidden="1" outlineLevel="1">
      <c r="B12291" s="187">
        <v>39822</v>
      </c>
      <c r="C12291" s="189">
        <v>2.4300000000000002</v>
      </c>
      <c r="D12291" s="104">
        <f t="shared" si="192"/>
        <v>2.4300000000000002E-2</v>
      </c>
      <c r="E12291" s="53"/>
      <c r="F12291" s="54"/>
      <c r="G12291" s="53"/>
      <c r="H12291" s="53"/>
    </row>
    <row r="12292" spans="2:8" ht="13.8" hidden="1" outlineLevel="1">
      <c r="B12292" s="187">
        <v>39825</v>
      </c>
      <c r="C12292" s="189">
        <v>2.34</v>
      </c>
      <c r="D12292" s="104">
        <f t="shared" si="192"/>
        <v>2.3399999999999997E-2</v>
      </c>
      <c r="E12292" s="53"/>
      <c r="F12292" s="54"/>
      <c r="G12292" s="53"/>
      <c r="H12292" s="53"/>
    </row>
    <row r="12293" spans="2:8" ht="13.8" hidden="1" outlineLevel="1">
      <c r="B12293" s="187">
        <v>39826</v>
      </c>
      <c r="C12293" s="189">
        <v>2.33</v>
      </c>
      <c r="D12293" s="104">
        <f t="shared" si="192"/>
        <v>2.3300000000000001E-2</v>
      </c>
      <c r="E12293" s="53"/>
      <c r="F12293" s="54"/>
      <c r="G12293" s="53"/>
      <c r="H12293" s="53"/>
    </row>
    <row r="12294" spans="2:8" ht="13.8" hidden="1" outlineLevel="1">
      <c r="B12294" s="187">
        <v>39827</v>
      </c>
      <c r="C12294" s="189">
        <v>2.2400000000000002</v>
      </c>
      <c r="D12294" s="104">
        <f t="shared" si="192"/>
        <v>2.2400000000000003E-2</v>
      </c>
      <c r="E12294" s="53"/>
      <c r="F12294" s="54"/>
      <c r="G12294" s="53"/>
      <c r="H12294" s="53"/>
    </row>
    <row r="12295" spans="2:8" ht="13.8" hidden="1" outlineLevel="1">
      <c r="B12295" s="187">
        <v>39828</v>
      </c>
      <c r="C12295" s="189">
        <v>2.23</v>
      </c>
      <c r="D12295" s="104">
        <f t="shared" si="192"/>
        <v>2.23E-2</v>
      </c>
      <c r="E12295" s="53"/>
      <c r="F12295" s="54"/>
      <c r="G12295" s="53"/>
      <c r="H12295" s="53"/>
    </row>
    <row r="12296" spans="2:8" ht="13.8" hidden="1" outlineLevel="1">
      <c r="B12296" s="187">
        <v>39829</v>
      </c>
      <c r="C12296" s="189">
        <v>2.36</v>
      </c>
      <c r="D12296" s="104">
        <f t="shared" si="192"/>
        <v>2.3599999999999999E-2</v>
      </c>
      <c r="E12296" s="53"/>
      <c r="F12296" s="54"/>
      <c r="G12296" s="53"/>
      <c r="H12296" s="53"/>
    </row>
    <row r="12297" spans="2:8" ht="13.8" hidden="1" outlineLevel="1">
      <c r="B12297" s="187">
        <v>39833</v>
      </c>
      <c r="C12297" s="189">
        <v>2.4</v>
      </c>
      <c r="D12297" s="104">
        <f t="shared" si="192"/>
        <v>2.4E-2</v>
      </c>
      <c r="E12297" s="53"/>
      <c r="F12297" s="54"/>
      <c r="G12297" s="53"/>
      <c r="H12297" s="53"/>
    </row>
    <row r="12298" spans="2:8" ht="13.8" hidden="1" outlineLevel="1">
      <c r="B12298" s="187">
        <v>39834</v>
      </c>
      <c r="C12298" s="189">
        <v>2.56</v>
      </c>
      <c r="D12298" s="104">
        <f t="shared" si="192"/>
        <v>2.5600000000000001E-2</v>
      </c>
      <c r="E12298" s="53"/>
      <c r="F12298" s="54"/>
      <c r="G12298" s="53"/>
      <c r="H12298" s="53"/>
    </row>
    <row r="12299" spans="2:8" ht="13.8" hidden="1" outlineLevel="1">
      <c r="B12299" s="187">
        <v>39835</v>
      </c>
      <c r="C12299" s="189">
        <v>2.62</v>
      </c>
      <c r="D12299" s="104">
        <f t="shared" si="192"/>
        <v>2.6200000000000001E-2</v>
      </c>
      <c r="E12299" s="53"/>
      <c r="F12299" s="54"/>
      <c r="G12299" s="53"/>
      <c r="H12299" s="53"/>
    </row>
    <row r="12300" spans="2:8" ht="13.8" hidden="1" outlineLevel="1">
      <c r="B12300" s="187">
        <v>39836</v>
      </c>
      <c r="C12300" s="189">
        <v>2.65</v>
      </c>
      <c r="D12300" s="104">
        <f t="shared" si="192"/>
        <v>2.6499999999999999E-2</v>
      </c>
      <c r="E12300" s="53"/>
      <c r="F12300" s="54"/>
      <c r="G12300" s="53"/>
      <c r="H12300" s="53"/>
    </row>
    <row r="12301" spans="2:8" ht="13.8" hidden="1" outlineLevel="1">
      <c r="B12301" s="187">
        <v>39839</v>
      </c>
      <c r="C12301" s="189">
        <v>2.7</v>
      </c>
      <c r="D12301" s="104">
        <f t="shared" si="192"/>
        <v>2.7000000000000003E-2</v>
      </c>
      <c r="E12301" s="53"/>
      <c r="F12301" s="54"/>
      <c r="G12301" s="53"/>
      <c r="H12301" s="53"/>
    </row>
    <row r="12302" spans="2:8" ht="13.8" hidden="1" outlineLevel="1">
      <c r="B12302" s="187">
        <v>39840</v>
      </c>
      <c r="C12302" s="189">
        <v>2.59</v>
      </c>
      <c r="D12302" s="104">
        <f t="shared" si="192"/>
        <v>2.5899999999999999E-2</v>
      </c>
      <c r="E12302" s="53"/>
      <c r="F12302" s="54"/>
      <c r="G12302" s="53"/>
      <c r="H12302" s="53"/>
    </row>
    <row r="12303" spans="2:8" ht="13.8" hidden="1" outlineLevel="1">
      <c r="B12303" s="187">
        <v>39841</v>
      </c>
      <c r="C12303" s="189">
        <v>2.71</v>
      </c>
      <c r="D12303" s="104">
        <f t="shared" si="192"/>
        <v>2.7099999999999999E-2</v>
      </c>
      <c r="E12303" s="53"/>
      <c r="F12303" s="54"/>
      <c r="G12303" s="53"/>
      <c r="H12303" s="53"/>
    </row>
    <row r="12304" spans="2:8" ht="13.8" hidden="1" outlineLevel="1">
      <c r="B12304" s="187">
        <v>39842</v>
      </c>
      <c r="C12304" s="189">
        <v>2.87</v>
      </c>
      <c r="D12304" s="104">
        <f t="shared" si="192"/>
        <v>2.87E-2</v>
      </c>
      <c r="E12304" s="53"/>
      <c r="F12304" s="54"/>
      <c r="G12304" s="53"/>
      <c r="H12304" s="53"/>
    </row>
    <row r="12305" spans="2:8" ht="13.8" hidden="1" outlineLevel="1">
      <c r="B12305" s="187">
        <v>39843</v>
      </c>
      <c r="C12305" s="189">
        <v>2.87</v>
      </c>
      <c r="D12305" s="104">
        <f t="shared" si="192"/>
        <v>2.87E-2</v>
      </c>
      <c r="E12305" s="53"/>
      <c r="F12305" s="54"/>
      <c r="G12305" s="53"/>
      <c r="H12305" s="53"/>
    </row>
    <row r="12306" spans="2:8" ht="13.8" hidden="1" outlineLevel="1">
      <c r="B12306" s="187">
        <v>39846</v>
      </c>
      <c r="C12306" s="189">
        <v>2.76</v>
      </c>
      <c r="D12306" s="104">
        <f t="shared" si="192"/>
        <v>2.76E-2</v>
      </c>
      <c r="E12306" s="53"/>
      <c r="F12306" s="54"/>
      <c r="G12306" s="53"/>
      <c r="H12306" s="53"/>
    </row>
    <row r="12307" spans="2:8" ht="13.8" hidden="1" outlineLevel="1">
      <c r="B12307" s="187">
        <v>39847</v>
      </c>
      <c r="C12307" s="189">
        <v>2.89</v>
      </c>
      <c r="D12307" s="104">
        <f t="shared" si="192"/>
        <v>2.8900000000000002E-2</v>
      </c>
      <c r="E12307" s="53"/>
      <c r="F12307" s="54"/>
      <c r="G12307" s="53"/>
      <c r="H12307" s="53"/>
    </row>
    <row r="12308" spans="2:8" ht="13.8" hidden="1" outlineLevel="1">
      <c r="B12308" s="187">
        <v>39848</v>
      </c>
      <c r="C12308" s="189">
        <v>2.95</v>
      </c>
      <c r="D12308" s="104">
        <f t="shared" si="192"/>
        <v>2.9500000000000002E-2</v>
      </c>
      <c r="E12308" s="53"/>
      <c r="F12308" s="54"/>
      <c r="G12308" s="53"/>
      <c r="H12308" s="53"/>
    </row>
    <row r="12309" spans="2:8" ht="13.8" hidden="1" outlineLevel="1">
      <c r="B12309" s="187">
        <v>39849</v>
      </c>
      <c r="C12309" s="189">
        <v>2.95</v>
      </c>
      <c r="D12309" s="104">
        <f t="shared" si="192"/>
        <v>2.9500000000000002E-2</v>
      </c>
      <c r="E12309" s="53"/>
      <c r="F12309" s="54"/>
      <c r="G12309" s="53"/>
      <c r="H12309" s="53"/>
    </row>
    <row r="12310" spans="2:8" ht="13.8" hidden="1" outlineLevel="1">
      <c r="B12310" s="187">
        <v>39850</v>
      </c>
      <c r="C12310" s="189">
        <v>3.05</v>
      </c>
      <c r="D12310" s="104">
        <f t="shared" si="192"/>
        <v>3.0499999999999999E-2</v>
      </c>
      <c r="E12310" s="53"/>
      <c r="F12310" s="54"/>
      <c r="G12310" s="53"/>
      <c r="H12310" s="53"/>
    </row>
    <row r="12311" spans="2:8" ht="13.8" hidden="1" outlineLevel="1">
      <c r="B12311" s="187">
        <v>39853</v>
      </c>
      <c r="C12311" s="189">
        <v>3.07</v>
      </c>
      <c r="D12311" s="104">
        <f t="shared" si="192"/>
        <v>3.0699999999999998E-2</v>
      </c>
      <c r="E12311" s="53"/>
      <c r="F12311" s="54"/>
      <c r="G12311" s="53"/>
      <c r="H12311" s="53"/>
    </row>
    <row r="12312" spans="2:8" ht="13.8" hidden="1" outlineLevel="1">
      <c r="B12312" s="187">
        <v>39854</v>
      </c>
      <c r="C12312" s="189">
        <v>2.9</v>
      </c>
      <c r="D12312" s="104">
        <f t="shared" si="192"/>
        <v>2.8999999999999998E-2</v>
      </c>
      <c r="E12312" s="53"/>
      <c r="F12312" s="54"/>
      <c r="G12312" s="53"/>
      <c r="H12312" s="53"/>
    </row>
    <row r="12313" spans="2:8" ht="13.8" hidden="1" outlineLevel="1">
      <c r="B12313" s="187">
        <v>39855</v>
      </c>
      <c r="C12313" s="189">
        <v>2.78</v>
      </c>
      <c r="D12313" s="104">
        <f t="shared" si="192"/>
        <v>2.7799999999999998E-2</v>
      </c>
      <c r="E12313" s="53"/>
      <c r="F12313" s="54"/>
      <c r="G12313" s="53"/>
      <c r="H12313" s="53"/>
    </row>
    <row r="12314" spans="2:8" ht="13.8" hidden="1" outlineLevel="1">
      <c r="B12314" s="187">
        <v>39856</v>
      </c>
      <c r="C12314" s="189">
        <v>2.75</v>
      </c>
      <c r="D12314" s="104">
        <f t="shared" si="192"/>
        <v>2.75E-2</v>
      </c>
      <c r="E12314" s="53"/>
      <c r="F12314" s="54"/>
      <c r="G12314" s="53"/>
      <c r="H12314" s="53"/>
    </row>
    <row r="12315" spans="2:8" ht="13.8" hidden="1" outlineLevel="1">
      <c r="B12315" s="187">
        <v>39857</v>
      </c>
      <c r="C12315" s="189">
        <v>2.89</v>
      </c>
      <c r="D12315" s="104">
        <f t="shared" si="192"/>
        <v>2.8900000000000002E-2</v>
      </c>
      <c r="E12315" s="53"/>
      <c r="F12315" s="54"/>
      <c r="G12315" s="53"/>
      <c r="H12315" s="53"/>
    </row>
    <row r="12316" spans="2:8" ht="13.8" hidden="1" outlineLevel="1">
      <c r="B12316" s="187">
        <v>39861</v>
      </c>
      <c r="C12316" s="189">
        <v>2.64</v>
      </c>
      <c r="D12316" s="104">
        <f t="shared" si="192"/>
        <v>2.64E-2</v>
      </c>
      <c r="E12316" s="53"/>
      <c r="F12316" s="54"/>
      <c r="G12316" s="53"/>
      <c r="H12316" s="53"/>
    </row>
    <row r="12317" spans="2:8" ht="13.8" hidden="1" outlineLevel="1">
      <c r="B12317" s="187">
        <v>39862</v>
      </c>
      <c r="C12317" s="189">
        <v>2.74</v>
      </c>
      <c r="D12317" s="104">
        <f t="shared" si="192"/>
        <v>2.7400000000000001E-2</v>
      </c>
      <c r="E12317" s="53"/>
      <c r="F12317" s="54"/>
      <c r="G12317" s="53"/>
      <c r="H12317" s="53"/>
    </row>
    <row r="12318" spans="2:8" ht="13.8" hidden="1" outlineLevel="1">
      <c r="B12318" s="187">
        <v>39863</v>
      </c>
      <c r="C12318" s="189">
        <v>2.85</v>
      </c>
      <c r="D12318" s="104">
        <f t="shared" si="192"/>
        <v>2.8500000000000001E-2</v>
      </c>
      <c r="E12318" s="53"/>
      <c r="F12318" s="54"/>
      <c r="G12318" s="53"/>
      <c r="H12318" s="53"/>
    </row>
    <row r="12319" spans="2:8" ht="13.8" hidden="1" outlineLevel="1">
      <c r="B12319" s="187">
        <v>39864</v>
      </c>
      <c r="C12319" s="189">
        <v>2.78</v>
      </c>
      <c r="D12319" s="104">
        <f t="shared" si="192"/>
        <v>2.7799999999999998E-2</v>
      </c>
      <c r="E12319" s="53"/>
      <c r="F12319" s="54"/>
      <c r="G12319" s="53"/>
      <c r="H12319" s="53"/>
    </row>
    <row r="12320" spans="2:8" ht="13.8" hidden="1" outlineLevel="1">
      <c r="B12320" s="187">
        <v>39867</v>
      </c>
      <c r="C12320" s="189">
        <v>2.78</v>
      </c>
      <c r="D12320" s="104">
        <f t="shared" si="192"/>
        <v>2.7799999999999998E-2</v>
      </c>
      <c r="E12320" s="53"/>
      <c r="F12320" s="54"/>
      <c r="G12320" s="53"/>
      <c r="H12320" s="53"/>
    </row>
    <row r="12321" spans="2:8" ht="13.8" hidden="1" outlineLevel="1">
      <c r="B12321" s="187">
        <v>39868</v>
      </c>
      <c r="C12321" s="189">
        <v>2.8</v>
      </c>
      <c r="D12321" s="104">
        <f t="shared" si="192"/>
        <v>2.7999999999999997E-2</v>
      </c>
      <c r="E12321" s="53"/>
      <c r="F12321" s="54"/>
      <c r="G12321" s="53"/>
      <c r="H12321" s="53"/>
    </row>
    <row r="12322" spans="2:8" ht="13.8" hidden="1" outlineLevel="1">
      <c r="B12322" s="187">
        <v>39869</v>
      </c>
      <c r="C12322" s="189">
        <v>2.95</v>
      </c>
      <c r="D12322" s="104">
        <f t="shared" si="192"/>
        <v>2.9500000000000002E-2</v>
      </c>
      <c r="E12322" s="53"/>
      <c r="F12322" s="54"/>
      <c r="G12322" s="53"/>
      <c r="H12322" s="53"/>
    </row>
    <row r="12323" spans="2:8" ht="13.8" hidden="1" outlineLevel="1">
      <c r="B12323" s="187">
        <v>39870</v>
      </c>
      <c r="C12323" s="189">
        <v>2.98</v>
      </c>
      <c r="D12323" s="104">
        <f t="shared" si="192"/>
        <v>2.98E-2</v>
      </c>
      <c r="E12323" s="53"/>
      <c r="F12323" s="54"/>
      <c r="G12323" s="53"/>
      <c r="H12323" s="53"/>
    </row>
    <row r="12324" spans="2:8" ht="13.8" hidden="1" outlineLevel="1">
      <c r="B12324" s="187">
        <v>39871</v>
      </c>
      <c r="C12324" s="189">
        <v>3.02</v>
      </c>
      <c r="D12324" s="104">
        <f t="shared" si="192"/>
        <v>3.0200000000000001E-2</v>
      </c>
      <c r="E12324" s="53"/>
      <c r="F12324" s="54"/>
      <c r="G12324" s="53"/>
      <c r="H12324" s="53"/>
    </row>
    <row r="12325" spans="2:8" ht="13.8" hidden="1" outlineLevel="1">
      <c r="B12325" s="187">
        <v>39874</v>
      </c>
      <c r="C12325" s="189">
        <v>2.91</v>
      </c>
      <c r="D12325" s="104">
        <f t="shared" si="192"/>
        <v>2.9100000000000001E-2</v>
      </c>
      <c r="E12325" s="53"/>
      <c r="F12325" s="54"/>
      <c r="G12325" s="53"/>
      <c r="H12325" s="53"/>
    </row>
    <row r="12326" spans="2:8" ht="13.8" hidden="1" outlineLevel="1">
      <c r="B12326" s="187">
        <v>39875</v>
      </c>
      <c r="C12326" s="189">
        <v>2.93</v>
      </c>
      <c r="D12326" s="104">
        <f t="shared" si="192"/>
        <v>2.9300000000000003E-2</v>
      </c>
      <c r="E12326" s="53"/>
      <c r="F12326" s="54"/>
      <c r="G12326" s="53"/>
      <c r="H12326" s="53"/>
    </row>
    <row r="12327" spans="2:8" ht="13.8" hidden="1" outlineLevel="1">
      <c r="B12327" s="187">
        <v>39876</v>
      </c>
      <c r="C12327" s="189">
        <v>3.01</v>
      </c>
      <c r="D12327" s="104">
        <f t="shared" si="192"/>
        <v>3.0099999999999998E-2</v>
      </c>
      <c r="E12327" s="53"/>
      <c r="F12327" s="54"/>
      <c r="G12327" s="53"/>
      <c r="H12327" s="53"/>
    </row>
    <row r="12328" spans="2:8" ht="13.8" hidden="1" outlineLevel="1">
      <c r="B12328" s="187">
        <v>39877</v>
      </c>
      <c r="C12328" s="189">
        <v>2.83</v>
      </c>
      <c r="D12328" s="104">
        <f t="shared" si="192"/>
        <v>2.8300000000000002E-2</v>
      </c>
      <c r="E12328" s="53"/>
      <c r="F12328" s="54"/>
      <c r="G12328" s="53"/>
      <c r="H12328" s="53"/>
    </row>
    <row r="12329" spans="2:8" ht="13.8" hidden="1" outlineLevel="1">
      <c r="B12329" s="187">
        <v>39878</v>
      </c>
      <c r="C12329" s="189">
        <v>2.83</v>
      </c>
      <c r="D12329" s="104">
        <f t="shared" si="192"/>
        <v>2.8300000000000002E-2</v>
      </c>
      <c r="E12329" s="53"/>
      <c r="F12329" s="54"/>
      <c r="G12329" s="53"/>
      <c r="H12329" s="53"/>
    </row>
    <row r="12330" spans="2:8" ht="13.8" hidden="1" outlineLevel="1">
      <c r="B12330" s="187">
        <v>39881</v>
      </c>
      <c r="C12330" s="189">
        <v>2.89</v>
      </c>
      <c r="D12330" s="104">
        <f t="shared" si="192"/>
        <v>2.8900000000000002E-2</v>
      </c>
      <c r="E12330" s="53"/>
      <c r="F12330" s="54"/>
      <c r="G12330" s="53"/>
      <c r="H12330" s="53"/>
    </row>
    <row r="12331" spans="2:8" ht="13.8" hidden="1" outlineLevel="1">
      <c r="B12331" s="187">
        <v>39882</v>
      </c>
      <c r="C12331" s="189">
        <v>2.99</v>
      </c>
      <c r="D12331" s="104">
        <f t="shared" si="192"/>
        <v>2.9900000000000003E-2</v>
      </c>
      <c r="E12331" s="53"/>
      <c r="F12331" s="54"/>
      <c r="G12331" s="53"/>
      <c r="H12331" s="53"/>
    </row>
    <row r="12332" spans="2:8" ht="13.8" hidden="1" outlineLevel="1">
      <c r="B12332" s="187">
        <v>39883</v>
      </c>
      <c r="C12332" s="189">
        <v>2.95</v>
      </c>
      <c r="D12332" s="104">
        <f t="shared" si="192"/>
        <v>2.9500000000000002E-2</v>
      </c>
      <c r="E12332" s="53"/>
      <c r="F12332" s="54"/>
      <c r="G12332" s="53"/>
      <c r="H12332" s="53"/>
    </row>
    <row r="12333" spans="2:8" ht="13.8" hidden="1" outlineLevel="1">
      <c r="B12333" s="187">
        <v>39884</v>
      </c>
      <c r="C12333" s="189">
        <v>2.89</v>
      </c>
      <c r="D12333" s="104">
        <f t="shared" si="192"/>
        <v>2.8900000000000002E-2</v>
      </c>
      <c r="E12333" s="53"/>
      <c r="F12333" s="54"/>
      <c r="G12333" s="53"/>
      <c r="H12333" s="53"/>
    </row>
    <row r="12334" spans="2:8" ht="13.8" hidden="1" outlineLevel="1">
      <c r="B12334" s="187">
        <v>39885</v>
      </c>
      <c r="C12334" s="189">
        <v>2.89</v>
      </c>
      <c r="D12334" s="104">
        <f t="shared" si="192"/>
        <v>2.8900000000000002E-2</v>
      </c>
      <c r="E12334" s="53"/>
      <c r="F12334" s="54"/>
      <c r="G12334" s="53"/>
      <c r="H12334" s="53"/>
    </row>
    <row r="12335" spans="2:8" ht="13.8" hidden="1" outlineLevel="1">
      <c r="B12335" s="187">
        <v>39888</v>
      </c>
      <c r="C12335" s="189">
        <v>2.97</v>
      </c>
      <c r="D12335" s="104">
        <f t="shared" si="192"/>
        <v>2.9700000000000001E-2</v>
      </c>
      <c r="E12335" s="53"/>
      <c r="F12335" s="54"/>
      <c r="G12335" s="53"/>
      <c r="H12335" s="53"/>
    </row>
    <row r="12336" spans="2:8" ht="13.8" hidden="1" outlineLevel="1">
      <c r="B12336" s="187">
        <v>39889</v>
      </c>
      <c r="C12336" s="189">
        <v>3.02</v>
      </c>
      <c r="D12336" s="104">
        <f t="shared" si="192"/>
        <v>3.0200000000000001E-2</v>
      </c>
      <c r="E12336" s="53"/>
      <c r="F12336" s="54"/>
      <c r="G12336" s="53"/>
      <c r="H12336" s="53"/>
    </row>
    <row r="12337" spans="2:8" ht="13.8" hidden="1" outlineLevel="1">
      <c r="B12337" s="187">
        <v>39890</v>
      </c>
      <c r="C12337" s="189">
        <v>2.5099999999999998</v>
      </c>
      <c r="D12337" s="104">
        <f t="shared" si="192"/>
        <v>2.5099999999999997E-2</v>
      </c>
      <c r="E12337" s="53"/>
      <c r="F12337" s="54"/>
      <c r="G12337" s="53"/>
      <c r="H12337" s="53"/>
    </row>
    <row r="12338" spans="2:8" ht="13.8" hidden="1" outlineLevel="1">
      <c r="B12338" s="187">
        <v>39891</v>
      </c>
      <c r="C12338" s="189">
        <v>2.61</v>
      </c>
      <c r="D12338" s="104">
        <f t="shared" si="192"/>
        <v>2.6099999999999998E-2</v>
      </c>
      <c r="E12338" s="53"/>
      <c r="F12338" s="54"/>
      <c r="G12338" s="53"/>
      <c r="H12338" s="53"/>
    </row>
    <row r="12339" spans="2:8" ht="13.8" hidden="1" outlineLevel="1">
      <c r="B12339" s="187">
        <v>39892</v>
      </c>
      <c r="C12339" s="189">
        <v>2.65</v>
      </c>
      <c r="D12339" s="104">
        <f t="shared" si="192"/>
        <v>2.6499999999999999E-2</v>
      </c>
      <c r="E12339" s="53"/>
      <c r="F12339" s="54"/>
      <c r="G12339" s="53"/>
      <c r="H12339" s="53"/>
    </row>
    <row r="12340" spans="2:8" ht="13.8" hidden="1" outlineLevel="1">
      <c r="B12340" s="187">
        <v>39895</v>
      </c>
      <c r="C12340" s="189">
        <v>2.68</v>
      </c>
      <c r="D12340" s="104">
        <f t="shared" si="192"/>
        <v>2.6800000000000001E-2</v>
      </c>
      <c r="E12340" s="53"/>
      <c r="F12340" s="54"/>
      <c r="G12340" s="53"/>
      <c r="H12340" s="53"/>
    </row>
    <row r="12341" spans="2:8" ht="13.8" hidden="1" outlineLevel="1">
      <c r="B12341" s="187">
        <v>39896</v>
      </c>
      <c r="C12341" s="189">
        <v>2.68</v>
      </c>
      <c r="D12341" s="104">
        <f t="shared" ref="D12341:D12404" si="193">IF( LEN( C12341 ) = 0, #N/A, IF( C12341 = "ND", D12340, C12341 / 100 ) )</f>
        <v>2.6800000000000001E-2</v>
      </c>
      <c r="E12341" s="53"/>
      <c r="F12341" s="54"/>
      <c r="G12341" s="53"/>
      <c r="H12341" s="53"/>
    </row>
    <row r="12342" spans="2:8" ht="13.8" hidden="1" outlineLevel="1">
      <c r="B12342" s="187">
        <v>39897</v>
      </c>
      <c r="C12342" s="189">
        <v>2.81</v>
      </c>
      <c r="D12342" s="104">
        <f t="shared" si="193"/>
        <v>2.81E-2</v>
      </c>
      <c r="E12342" s="53"/>
      <c r="F12342" s="54"/>
      <c r="G12342" s="53"/>
      <c r="H12342" s="53"/>
    </row>
    <row r="12343" spans="2:8" ht="13.8" hidden="1" outlineLevel="1">
      <c r="B12343" s="187">
        <v>39898</v>
      </c>
      <c r="C12343" s="189">
        <v>2.76</v>
      </c>
      <c r="D12343" s="104">
        <f t="shared" si="193"/>
        <v>2.76E-2</v>
      </c>
      <c r="E12343" s="53"/>
      <c r="F12343" s="54"/>
      <c r="G12343" s="53"/>
      <c r="H12343" s="53"/>
    </row>
    <row r="12344" spans="2:8" ht="13.8" hidden="1" outlineLevel="1">
      <c r="B12344" s="187">
        <v>39899</v>
      </c>
      <c r="C12344" s="189">
        <v>2.78</v>
      </c>
      <c r="D12344" s="104">
        <f t="shared" si="193"/>
        <v>2.7799999999999998E-2</v>
      </c>
      <c r="E12344" s="53"/>
      <c r="F12344" s="54"/>
      <c r="G12344" s="53"/>
      <c r="H12344" s="53"/>
    </row>
    <row r="12345" spans="2:8" ht="13.8" hidden="1" outlineLevel="1">
      <c r="B12345" s="187">
        <v>39902</v>
      </c>
      <c r="C12345" s="189">
        <v>2.73</v>
      </c>
      <c r="D12345" s="104">
        <f t="shared" si="193"/>
        <v>2.7300000000000001E-2</v>
      </c>
      <c r="E12345" s="53"/>
      <c r="F12345" s="54"/>
      <c r="G12345" s="53"/>
      <c r="H12345" s="53"/>
    </row>
    <row r="12346" spans="2:8" ht="13.8" hidden="1" outlineLevel="1">
      <c r="B12346" s="187">
        <v>39903</v>
      </c>
      <c r="C12346" s="189">
        <v>2.71</v>
      </c>
      <c r="D12346" s="104">
        <f t="shared" si="193"/>
        <v>2.7099999999999999E-2</v>
      </c>
      <c r="E12346" s="53"/>
      <c r="F12346" s="54"/>
      <c r="G12346" s="53"/>
      <c r="H12346" s="53"/>
    </row>
    <row r="12347" spans="2:8" ht="13.8" hidden="1" outlineLevel="1">
      <c r="B12347" s="187">
        <v>39904</v>
      </c>
      <c r="C12347" s="189">
        <v>2.68</v>
      </c>
      <c r="D12347" s="104">
        <f t="shared" si="193"/>
        <v>2.6800000000000001E-2</v>
      </c>
      <c r="E12347" s="53"/>
      <c r="F12347" s="54"/>
      <c r="G12347" s="53"/>
      <c r="H12347" s="53"/>
    </row>
    <row r="12348" spans="2:8" ht="13.8" hidden="1" outlineLevel="1">
      <c r="B12348" s="187">
        <v>39905</v>
      </c>
      <c r="C12348" s="189">
        <v>2.77</v>
      </c>
      <c r="D12348" s="104">
        <f t="shared" si="193"/>
        <v>2.7699999999999999E-2</v>
      </c>
      <c r="E12348" s="53"/>
      <c r="F12348" s="54"/>
      <c r="G12348" s="53"/>
      <c r="H12348" s="53"/>
    </row>
    <row r="12349" spans="2:8" ht="13.8" hidden="1" outlineLevel="1">
      <c r="B12349" s="187">
        <v>39906</v>
      </c>
      <c r="C12349" s="189">
        <v>2.91</v>
      </c>
      <c r="D12349" s="104">
        <f t="shared" si="193"/>
        <v>2.9100000000000001E-2</v>
      </c>
      <c r="E12349" s="53"/>
      <c r="F12349" s="54"/>
      <c r="G12349" s="53"/>
      <c r="H12349" s="53"/>
    </row>
    <row r="12350" spans="2:8" ht="13.8" hidden="1" outlineLevel="1">
      <c r="B12350" s="187">
        <v>39909</v>
      </c>
      <c r="C12350" s="189">
        <v>2.95</v>
      </c>
      <c r="D12350" s="104">
        <f t="shared" si="193"/>
        <v>2.9500000000000002E-2</v>
      </c>
      <c r="E12350" s="53"/>
      <c r="F12350" s="54"/>
      <c r="G12350" s="53"/>
      <c r="H12350" s="53"/>
    </row>
    <row r="12351" spans="2:8" ht="13.8" hidden="1" outlineLevel="1">
      <c r="B12351" s="187">
        <v>39910</v>
      </c>
      <c r="C12351" s="189">
        <v>2.93</v>
      </c>
      <c r="D12351" s="104">
        <f t="shared" si="193"/>
        <v>2.9300000000000003E-2</v>
      </c>
      <c r="E12351" s="53"/>
      <c r="F12351" s="54"/>
      <c r="G12351" s="53"/>
      <c r="H12351" s="53"/>
    </row>
    <row r="12352" spans="2:8" ht="13.8" hidden="1" outlineLevel="1">
      <c r="B12352" s="187">
        <v>39911</v>
      </c>
      <c r="C12352" s="189">
        <v>2.86</v>
      </c>
      <c r="D12352" s="104">
        <f t="shared" si="193"/>
        <v>2.86E-2</v>
      </c>
      <c r="E12352" s="53"/>
      <c r="F12352" s="54"/>
      <c r="G12352" s="53"/>
      <c r="H12352" s="53"/>
    </row>
    <row r="12353" spans="2:8" ht="13.8" hidden="1" outlineLevel="1">
      <c r="B12353" s="187">
        <v>39912</v>
      </c>
      <c r="C12353" s="189">
        <v>2.96</v>
      </c>
      <c r="D12353" s="104">
        <f t="shared" si="193"/>
        <v>2.9600000000000001E-2</v>
      </c>
      <c r="E12353" s="53"/>
      <c r="F12353" s="54"/>
      <c r="G12353" s="53"/>
      <c r="H12353" s="53"/>
    </row>
    <row r="12354" spans="2:8" ht="13.8" hidden="1" outlineLevel="1">
      <c r="B12354" s="187">
        <v>39916</v>
      </c>
      <c r="C12354" s="189">
        <v>2.88</v>
      </c>
      <c r="D12354" s="104">
        <f t="shared" si="193"/>
        <v>2.8799999999999999E-2</v>
      </c>
      <c r="E12354" s="53"/>
      <c r="F12354" s="54"/>
      <c r="G12354" s="53"/>
      <c r="H12354" s="53"/>
    </row>
    <row r="12355" spans="2:8" ht="13.8" hidden="1" outlineLevel="1">
      <c r="B12355" s="187">
        <v>39917</v>
      </c>
      <c r="C12355" s="189">
        <v>2.8</v>
      </c>
      <c r="D12355" s="104">
        <f t="shared" si="193"/>
        <v>2.7999999999999997E-2</v>
      </c>
      <c r="E12355" s="53"/>
      <c r="F12355" s="54"/>
      <c r="G12355" s="53"/>
      <c r="H12355" s="53"/>
    </row>
    <row r="12356" spans="2:8" ht="13.8" hidden="1" outlineLevel="1">
      <c r="B12356" s="187">
        <v>39918</v>
      </c>
      <c r="C12356" s="189">
        <v>2.82</v>
      </c>
      <c r="D12356" s="104">
        <f t="shared" si="193"/>
        <v>2.8199999999999999E-2</v>
      </c>
      <c r="E12356" s="53"/>
      <c r="F12356" s="54"/>
      <c r="G12356" s="53"/>
      <c r="H12356" s="53"/>
    </row>
    <row r="12357" spans="2:8" ht="13.8" hidden="1" outlineLevel="1">
      <c r="B12357" s="187">
        <v>39919</v>
      </c>
      <c r="C12357" s="189">
        <v>2.86</v>
      </c>
      <c r="D12357" s="104">
        <f t="shared" si="193"/>
        <v>2.86E-2</v>
      </c>
      <c r="E12357" s="53"/>
      <c r="F12357" s="54"/>
      <c r="G12357" s="53"/>
      <c r="H12357" s="53"/>
    </row>
    <row r="12358" spans="2:8" ht="13.8" hidden="1" outlineLevel="1">
      <c r="B12358" s="187">
        <v>39920</v>
      </c>
      <c r="C12358" s="189">
        <v>2.98</v>
      </c>
      <c r="D12358" s="104">
        <f t="shared" si="193"/>
        <v>2.98E-2</v>
      </c>
      <c r="E12358" s="53"/>
      <c r="F12358" s="54"/>
      <c r="G12358" s="53"/>
      <c r="H12358" s="53"/>
    </row>
    <row r="12359" spans="2:8" ht="13.8" hidden="1" outlineLevel="1">
      <c r="B12359" s="187">
        <v>39923</v>
      </c>
      <c r="C12359" s="189">
        <v>2.88</v>
      </c>
      <c r="D12359" s="104">
        <f t="shared" si="193"/>
        <v>2.8799999999999999E-2</v>
      </c>
      <c r="E12359" s="53"/>
      <c r="F12359" s="54"/>
      <c r="G12359" s="53"/>
      <c r="H12359" s="53"/>
    </row>
    <row r="12360" spans="2:8" ht="13.8" hidden="1" outlineLevel="1">
      <c r="B12360" s="187">
        <v>39924</v>
      </c>
      <c r="C12360" s="189">
        <v>2.94</v>
      </c>
      <c r="D12360" s="104">
        <f t="shared" si="193"/>
        <v>2.9399999999999999E-2</v>
      </c>
      <c r="E12360" s="53"/>
      <c r="F12360" s="54"/>
      <c r="G12360" s="53"/>
      <c r="H12360" s="53"/>
    </row>
    <row r="12361" spans="2:8" ht="13.8" hidden="1" outlineLevel="1">
      <c r="B12361" s="187">
        <v>39925</v>
      </c>
      <c r="C12361" s="189">
        <v>2.98</v>
      </c>
      <c r="D12361" s="104">
        <f t="shared" si="193"/>
        <v>2.98E-2</v>
      </c>
      <c r="E12361" s="53"/>
      <c r="F12361" s="54"/>
      <c r="G12361" s="53"/>
      <c r="H12361" s="53"/>
    </row>
    <row r="12362" spans="2:8" ht="13.8" hidden="1" outlineLevel="1">
      <c r="B12362" s="187">
        <v>39926</v>
      </c>
      <c r="C12362" s="189">
        <v>2.96</v>
      </c>
      <c r="D12362" s="104">
        <f t="shared" si="193"/>
        <v>2.9600000000000001E-2</v>
      </c>
      <c r="E12362" s="53"/>
      <c r="F12362" s="54"/>
      <c r="G12362" s="53"/>
      <c r="H12362" s="53"/>
    </row>
    <row r="12363" spans="2:8" ht="13.8" hidden="1" outlineLevel="1">
      <c r="B12363" s="187">
        <v>39927</v>
      </c>
      <c r="C12363" s="189">
        <v>3.03</v>
      </c>
      <c r="D12363" s="104">
        <f t="shared" si="193"/>
        <v>3.0299999999999997E-2</v>
      </c>
      <c r="E12363" s="53"/>
      <c r="F12363" s="54"/>
      <c r="G12363" s="53"/>
      <c r="H12363" s="53"/>
    </row>
    <row r="12364" spans="2:8" ht="13.8" hidden="1" outlineLevel="1">
      <c r="B12364" s="187">
        <v>39930</v>
      </c>
      <c r="C12364" s="189">
        <v>2.95</v>
      </c>
      <c r="D12364" s="104">
        <f t="shared" si="193"/>
        <v>2.9500000000000002E-2</v>
      </c>
      <c r="E12364" s="53"/>
      <c r="F12364" s="54"/>
      <c r="G12364" s="53"/>
      <c r="H12364" s="53"/>
    </row>
    <row r="12365" spans="2:8" ht="13.8" hidden="1" outlineLevel="1">
      <c r="B12365" s="187">
        <v>39931</v>
      </c>
      <c r="C12365" s="189">
        <v>3.05</v>
      </c>
      <c r="D12365" s="104">
        <f t="shared" si="193"/>
        <v>3.0499999999999999E-2</v>
      </c>
      <c r="E12365" s="53"/>
      <c r="F12365" s="54"/>
      <c r="G12365" s="53"/>
      <c r="H12365" s="53"/>
    </row>
    <row r="12366" spans="2:8" ht="13.8" hidden="1" outlineLevel="1">
      <c r="B12366" s="187">
        <v>39932</v>
      </c>
      <c r="C12366" s="189">
        <v>3.12</v>
      </c>
      <c r="D12366" s="104">
        <f t="shared" si="193"/>
        <v>3.1200000000000002E-2</v>
      </c>
      <c r="E12366" s="53"/>
      <c r="F12366" s="54"/>
      <c r="G12366" s="53"/>
      <c r="H12366" s="53"/>
    </row>
    <row r="12367" spans="2:8" ht="13.8" hidden="1" outlineLevel="1">
      <c r="B12367" s="187">
        <v>39933</v>
      </c>
      <c r="C12367" s="189">
        <v>3.16</v>
      </c>
      <c r="D12367" s="104">
        <f t="shared" si="193"/>
        <v>3.1600000000000003E-2</v>
      </c>
      <c r="E12367" s="53"/>
      <c r="F12367" s="54"/>
      <c r="G12367" s="53"/>
      <c r="H12367" s="53"/>
    </row>
    <row r="12368" spans="2:8" ht="13.8" hidden="1" outlineLevel="1">
      <c r="B12368" s="187">
        <v>39934</v>
      </c>
      <c r="C12368" s="189">
        <v>3.21</v>
      </c>
      <c r="D12368" s="104">
        <f t="shared" si="193"/>
        <v>3.2099999999999997E-2</v>
      </c>
      <c r="E12368" s="53"/>
      <c r="F12368" s="54"/>
      <c r="G12368" s="53"/>
      <c r="H12368" s="53"/>
    </row>
    <row r="12369" spans="2:8" ht="13.8" hidden="1" outlineLevel="1">
      <c r="B12369" s="187">
        <v>39937</v>
      </c>
      <c r="C12369" s="189">
        <v>3.19</v>
      </c>
      <c r="D12369" s="104">
        <f t="shared" si="193"/>
        <v>3.1899999999999998E-2</v>
      </c>
      <c r="E12369" s="53"/>
      <c r="F12369" s="54"/>
      <c r="G12369" s="53"/>
      <c r="H12369" s="53"/>
    </row>
    <row r="12370" spans="2:8" ht="13.8" hidden="1" outlineLevel="1">
      <c r="B12370" s="187">
        <v>39938</v>
      </c>
      <c r="C12370" s="189">
        <v>3.2</v>
      </c>
      <c r="D12370" s="104">
        <f t="shared" si="193"/>
        <v>3.2000000000000001E-2</v>
      </c>
      <c r="E12370" s="53"/>
      <c r="F12370" s="54"/>
      <c r="G12370" s="53"/>
      <c r="H12370" s="53"/>
    </row>
    <row r="12371" spans="2:8" ht="13.8" hidden="1" outlineLevel="1">
      <c r="B12371" s="187">
        <v>39939</v>
      </c>
      <c r="C12371" s="189">
        <v>3.18</v>
      </c>
      <c r="D12371" s="104">
        <f t="shared" si="193"/>
        <v>3.1800000000000002E-2</v>
      </c>
      <c r="E12371" s="53"/>
      <c r="F12371" s="54"/>
      <c r="G12371" s="53"/>
      <c r="H12371" s="53"/>
    </row>
    <row r="12372" spans="2:8" ht="13.8" hidden="1" outlineLevel="1">
      <c r="B12372" s="187">
        <v>39940</v>
      </c>
      <c r="C12372" s="189">
        <v>3.29</v>
      </c>
      <c r="D12372" s="104">
        <f t="shared" si="193"/>
        <v>3.2899999999999999E-2</v>
      </c>
      <c r="E12372" s="53"/>
      <c r="F12372" s="54"/>
      <c r="G12372" s="53"/>
      <c r="H12372" s="53"/>
    </row>
    <row r="12373" spans="2:8" ht="13.8" hidden="1" outlineLevel="1">
      <c r="B12373" s="187">
        <v>39941</v>
      </c>
      <c r="C12373" s="189">
        <v>3.29</v>
      </c>
      <c r="D12373" s="104">
        <f t="shared" si="193"/>
        <v>3.2899999999999999E-2</v>
      </c>
      <c r="E12373" s="53"/>
      <c r="F12373" s="54"/>
      <c r="G12373" s="53"/>
      <c r="H12373" s="53"/>
    </row>
    <row r="12374" spans="2:8" ht="13.8" hidden="1" outlineLevel="1">
      <c r="B12374" s="187">
        <v>39944</v>
      </c>
      <c r="C12374" s="189">
        <v>3.17</v>
      </c>
      <c r="D12374" s="104">
        <f t="shared" si="193"/>
        <v>3.1699999999999999E-2</v>
      </c>
      <c r="E12374" s="53"/>
      <c r="F12374" s="54"/>
      <c r="G12374" s="53"/>
      <c r="H12374" s="53"/>
    </row>
    <row r="12375" spans="2:8" ht="13.8" hidden="1" outlineLevel="1">
      <c r="B12375" s="187">
        <v>39945</v>
      </c>
      <c r="C12375" s="189">
        <v>3.17</v>
      </c>
      <c r="D12375" s="104">
        <f t="shared" si="193"/>
        <v>3.1699999999999999E-2</v>
      </c>
      <c r="E12375" s="53"/>
      <c r="F12375" s="54"/>
      <c r="G12375" s="53"/>
      <c r="H12375" s="53"/>
    </row>
    <row r="12376" spans="2:8" ht="13.8" hidden="1" outlineLevel="1">
      <c r="B12376" s="187">
        <v>39946</v>
      </c>
      <c r="C12376" s="189">
        <v>3.11</v>
      </c>
      <c r="D12376" s="104">
        <f t="shared" si="193"/>
        <v>3.1099999999999999E-2</v>
      </c>
      <c r="E12376" s="53"/>
      <c r="F12376" s="54"/>
      <c r="G12376" s="53"/>
      <c r="H12376" s="53"/>
    </row>
    <row r="12377" spans="2:8" ht="13.8" hidden="1" outlineLevel="1">
      <c r="B12377" s="187">
        <v>39947</v>
      </c>
      <c r="C12377" s="189">
        <v>3.1</v>
      </c>
      <c r="D12377" s="104">
        <f t="shared" si="193"/>
        <v>3.1E-2</v>
      </c>
      <c r="E12377" s="53"/>
      <c r="F12377" s="54"/>
      <c r="G12377" s="53"/>
      <c r="H12377" s="53"/>
    </row>
    <row r="12378" spans="2:8" ht="13.8" hidden="1" outlineLevel="1">
      <c r="B12378" s="187">
        <v>39948</v>
      </c>
      <c r="C12378" s="189">
        <v>3.14</v>
      </c>
      <c r="D12378" s="104">
        <f t="shared" si="193"/>
        <v>3.1400000000000004E-2</v>
      </c>
      <c r="E12378" s="53"/>
      <c r="F12378" s="54"/>
      <c r="G12378" s="53"/>
      <c r="H12378" s="53"/>
    </row>
    <row r="12379" spans="2:8" ht="13.8" hidden="1" outlineLevel="1">
      <c r="B12379" s="187">
        <v>39951</v>
      </c>
      <c r="C12379" s="189">
        <v>3.22</v>
      </c>
      <c r="D12379" s="104">
        <f t="shared" si="193"/>
        <v>3.2199999999999999E-2</v>
      </c>
      <c r="E12379" s="53"/>
      <c r="F12379" s="54"/>
      <c r="G12379" s="53"/>
      <c r="H12379" s="53"/>
    </row>
    <row r="12380" spans="2:8" ht="13.8" hidden="1" outlineLevel="1">
      <c r="B12380" s="187">
        <v>39952</v>
      </c>
      <c r="C12380" s="189">
        <v>3.25</v>
      </c>
      <c r="D12380" s="104">
        <f t="shared" si="193"/>
        <v>3.2500000000000001E-2</v>
      </c>
      <c r="E12380" s="53"/>
      <c r="F12380" s="54"/>
      <c r="G12380" s="53"/>
      <c r="H12380" s="53"/>
    </row>
    <row r="12381" spans="2:8" ht="13.8" hidden="1" outlineLevel="1">
      <c r="B12381" s="187">
        <v>39953</v>
      </c>
      <c r="C12381" s="189">
        <v>3.19</v>
      </c>
      <c r="D12381" s="104">
        <f t="shared" si="193"/>
        <v>3.1899999999999998E-2</v>
      </c>
      <c r="E12381" s="53"/>
      <c r="F12381" s="54"/>
      <c r="G12381" s="53"/>
      <c r="H12381" s="53"/>
    </row>
    <row r="12382" spans="2:8" ht="13.8" hidden="1" outlineLevel="1">
      <c r="B12382" s="187">
        <v>39954</v>
      </c>
      <c r="C12382" s="189">
        <v>3.35</v>
      </c>
      <c r="D12382" s="104">
        <f t="shared" si="193"/>
        <v>3.3500000000000002E-2</v>
      </c>
      <c r="E12382" s="53"/>
      <c r="F12382" s="54"/>
      <c r="G12382" s="53"/>
      <c r="H12382" s="53"/>
    </row>
    <row r="12383" spans="2:8" ht="13.8" hidden="1" outlineLevel="1">
      <c r="B12383" s="187">
        <v>39955</v>
      </c>
      <c r="C12383" s="189">
        <v>3.45</v>
      </c>
      <c r="D12383" s="104">
        <f t="shared" si="193"/>
        <v>3.4500000000000003E-2</v>
      </c>
      <c r="E12383" s="53"/>
      <c r="F12383" s="54"/>
      <c r="G12383" s="53"/>
      <c r="H12383" s="53"/>
    </row>
    <row r="12384" spans="2:8" ht="13.8" hidden="1" outlineLevel="1">
      <c r="B12384" s="187">
        <v>39959</v>
      </c>
      <c r="C12384" s="189">
        <v>3.5</v>
      </c>
      <c r="D12384" s="104">
        <f t="shared" si="193"/>
        <v>3.5000000000000003E-2</v>
      </c>
      <c r="E12384" s="53"/>
      <c r="F12384" s="54"/>
      <c r="G12384" s="53"/>
      <c r="H12384" s="53"/>
    </row>
    <row r="12385" spans="2:8" ht="13.8" hidden="1" outlineLevel="1">
      <c r="B12385" s="187">
        <v>39960</v>
      </c>
      <c r="C12385" s="189">
        <v>3.71</v>
      </c>
      <c r="D12385" s="104">
        <f t="shared" si="193"/>
        <v>3.7100000000000001E-2</v>
      </c>
      <c r="E12385" s="53"/>
      <c r="F12385" s="54"/>
      <c r="G12385" s="53"/>
      <c r="H12385" s="53"/>
    </row>
    <row r="12386" spans="2:8" ht="13.8" hidden="1" outlineLevel="1">
      <c r="B12386" s="187">
        <v>39961</v>
      </c>
      <c r="C12386" s="189">
        <v>3.67</v>
      </c>
      <c r="D12386" s="104">
        <f t="shared" si="193"/>
        <v>3.6699999999999997E-2</v>
      </c>
      <c r="E12386" s="53"/>
      <c r="F12386" s="54"/>
      <c r="G12386" s="53"/>
      <c r="H12386" s="53"/>
    </row>
    <row r="12387" spans="2:8" ht="13.8" hidden="1" outlineLevel="1">
      <c r="B12387" s="187">
        <v>39962</v>
      </c>
      <c r="C12387" s="189">
        <v>3.47</v>
      </c>
      <c r="D12387" s="104">
        <f t="shared" si="193"/>
        <v>3.4700000000000002E-2</v>
      </c>
      <c r="E12387" s="53"/>
      <c r="F12387" s="54"/>
      <c r="G12387" s="53"/>
      <c r="H12387" s="53"/>
    </row>
    <row r="12388" spans="2:8" ht="13.8" hidden="1" outlineLevel="1">
      <c r="B12388" s="187">
        <v>39965</v>
      </c>
      <c r="C12388" s="189">
        <v>3.71</v>
      </c>
      <c r="D12388" s="104">
        <f t="shared" si="193"/>
        <v>3.7100000000000001E-2</v>
      </c>
      <c r="E12388" s="53"/>
      <c r="F12388" s="54"/>
      <c r="G12388" s="53"/>
      <c r="H12388" s="53"/>
    </row>
    <row r="12389" spans="2:8" ht="13.8" hidden="1" outlineLevel="1">
      <c r="B12389" s="187">
        <v>39966</v>
      </c>
      <c r="C12389" s="189">
        <v>3.65</v>
      </c>
      <c r="D12389" s="104">
        <f t="shared" si="193"/>
        <v>3.6499999999999998E-2</v>
      </c>
      <c r="E12389" s="53"/>
      <c r="F12389" s="54"/>
      <c r="G12389" s="53"/>
      <c r="H12389" s="53"/>
    </row>
    <row r="12390" spans="2:8" ht="13.8" hidden="1" outlineLevel="1">
      <c r="B12390" s="187">
        <v>39967</v>
      </c>
      <c r="C12390" s="189">
        <v>3.56</v>
      </c>
      <c r="D12390" s="104">
        <f t="shared" si="193"/>
        <v>3.56E-2</v>
      </c>
      <c r="E12390" s="53"/>
      <c r="F12390" s="54"/>
      <c r="G12390" s="53"/>
      <c r="H12390" s="53"/>
    </row>
    <row r="12391" spans="2:8" ht="13.8" hidden="1" outlineLevel="1">
      <c r="B12391" s="187">
        <v>39968</v>
      </c>
      <c r="C12391" s="189">
        <v>3.72</v>
      </c>
      <c r="D12391" s="104">
        <f t="shared" si="193"/>
        <v>3.7200000000000004E-2</v>
      </c>
      <c r="E12391" s="53"/>
      <c r="F12391" s="54"/>
      <c r="G12391" s="53"/>
      <c r="H12391" s="53"/>
    </row>
    <row r="12392" spans="2:8" ht="13.8" hidden="1" outlineLevel="1">
      <c r="B12392" s="187">
        <v>39969</v>
      </c>
      <c r="C12392" s="189">
        <v>3.84</v>
      </c>
      <c r="D12392" s="104">
        <f t="shared" si="193"/>
        <v>3.8399999999999997E-2</v>
      </c>
      <c r="E12392" s="53"/>
      <c r="F12392" s="54"/>
      <c r="G12392" s="53"/>
      <c r="H12392" s="53"/>
    </row>
    <row r="12393" spans="2:8" ht="13.8" hidden="1" outlineLevel="1">
      <c r="B12393" s="187">
        <v>39972</v>
      </c>
      <c r="C12393" s="189">
        <v>3.91</v>
      </c>
      <c r="D12393" s="104">
        <f t="shared" si="193"/>
        <v>3.9100000000000003E-2</v>
      </c>
      <c r="E12393" s="53"/>
      <c r="F12393" s="54"/>
      <c r="G12393" s="53"/>
      <c r="H12393" s="53"/>
    </row>
    <row r="12394" spans="2:8" ht="13.8" hidden="1" outlineLevel="1">
      <c r="B12394" s="187">
        <v>39973</v>
      </c>
      <c r="C12394" s="189">
        <v>3.86</v>
      </c>
      <c r="D12394" s="104">
        <f t="shared" si="193"/>
        <v>3.8599999999999995E-2</v>
      </c>
      <c r="E12394" s="53"/>
      <c r="F12394" s="54"/>
      <c r="G12394" s="53"/>
      <c r="H12394" s="53"/>
    </row>
    <row r="12395" spans="2:8" ht="13.8" hidden="1" outlineLevel="1">
      <c r="B12395" s="187">
        <v>39974</v>
      </c>
      <c r="C12395" s="189">
        <v>3.98</v>
      </c>
      <c r="D12395" s="104">
        <f t="shared" si="193"/>
        <v>3.9800000000000002E-2</v>
      </c>
      <c r="E12395" s="53"/>
      <c r="F12395" s="54"/>
      <c r="G12395" s="53"/>
      <c r="H12395" s="53"/>
    </row>
    <row r="12396" spans="2:8" ht="13.8" hidden="1" outlineLevel="1">
      <c r="B12396" s="187">
        <v>39975</v>
      </c>
      <c r="C12396" s="189">
        <v>3.88</v>
      </c>
      <c r="D12396" s="104">
        <f t="shared" si="193"/>
        <v>3.8800000000000001E-2</v>
      </c>
      <c r="E12396" s="53"/>
      <c r="F12396" s="54"/>
      <c r="G12396" s="53"/>
      <c r="H12396" s="53"/>
    </row>
    <row r="12397" spans="2:8" ht="13.8" hidden="1" outlineLevel="1">
      <c r="B12397" s="187">
        <v>39976</v>
      </c>
      <c r="C12397" s="189">
        <v>3.81</v>
      </c>
      <c r="D12397" s="104">
        <f t="shared" si="193"/>
        <v>3.8100000000000002E-2</v>
      </c>
      <c r="E12397" s="53"/>
      <c r="F12397" s="54"/>
      <c r="G12397" s="53"/>
      <c r="H12397" s="53"/>
    </row>
    <row r="12398" spans="2:8" ht="13.8" hidden="1" outlineLevel="1">
      <c r="B12398" s="187">
        <v>39979</v>
      </c>
      <c r="C12398" s="189">
        <v>3.76</v>
      </c>
      <c r="D12398" s="104">
        <f t="shared" si="193"/>
        <v>3.7599999999999995E-2</v>
      </c>
      <c r="E12398" s="53"/>
      <c r="F12398" s="54"/>
      <c r="G12398" s="53"/>
      <c r="H12398" s="53"/>
    </row>
    <row r="12399" spans="2:8" ht="13.8" hidden="1" outlineLevel="1">
      <c r="B12399" s="187">
        <v>39980</v>
      </c>
      <c r="C12399" s="189">
        <v>3.67</v>
      </c>
      <c r="D12399" s="104">
        <f t="shared" si="193"/>
        <v>3.6699999999999997E-2</v>
      </c>
      <c r="E12399" s="53"/>
      <c r="F12399" s="54"/>
      <c r="G12399" s="53"/>
      <c r="H12399" s="53"/>
    </row>
    <row r="12400" spans="2:8" ht="13.8" hidden="1" outlineLevel="1">
      <c r="B12400" s="187">
        <v>39981</v>
      </c>
      <c r="C12400" s="189">
        <v>3.68</v>
      </c>
      <c r="D12400" s="104">
        <f t="shared" si="193"/>
        <v>3.6799999999999999E-2</v>
      </c>
      <c r="E12400" s="53"/>
      <c r="F12400" s="54"/>
      <c r="G12400" s="53"/>
      <c r="H12400" s="53"/>
    </row>
    <row r="12401" spans="2:8" ht="13.8" hidden="1" outlineLevel="1">
      <c r="B12401" s="187">
        <v>39982</v>
      </c>
      <c r="C12401" s="189">
        <v>3.86</v>
      </c>
      <c r="D12401" s="104">
        <f t="shared" si="193"/>
        <v>3.8599999999999995E-2</v>
      </c>
      <c r="E12401" s="53"/>
      <c r="F12401" s="54"/>
      <c r="G12401" s="53"/>
      <c r="H12401" s="53"/>
    </row>
    <row r="12402" spans="2:8" ht="13.8" hidden="1" outlineLevel="1">
      <c r="B12402" s="187">
        <v>39983</v>
      </c>
      <c r="C12402" s="189">
        <v>3.79</v>
      </c>
      <c r="D12402" s="104">
        <f t="shared" si="193"/>
        <v>3.7900000000000003E-2</v>
      </c>
      <c r="E12402" s="53"/>
      <c r="F12402" s="54"/>
      <c r="G12402" s="53"/>
      <c r="H12402" s="53"/>
    </row>
    <row r="12403" spans="2:8" ht="13.8" hidden="1" outlineLevel="1">
      <c r="B12403" s="187">
        <v>39986</v>
      </c>
      <c r="C12403" s="189">
        <v>3.72</v>
      </c>
      <c r="D12403" s="104">
        <f t="shared" si="193"/>
        <v>3.7200000000000004E-2</v>
      </c>
      <c r="E12403" s="53"/>
      <c r="F12403" s="54"/>
      <c r="G12403" s="53"/>
      <c r="H12403" s="53"/>
    </row>
    <row r="12404" spans="2:8" ht="13.8" hidden="1" outlineLevel="1">
      <c r="B12404" s="187">
        <v>39987</v>
      </c>
      <c r="C12404" s="189">
        <v>3.65</v>
      </c>
      <c r="D12404" s="104">
        <f t="shared" si="193"/>
        <v>3.6499999999999998E-2</v>
      </c>
      <c r="E12404" s="53"/>
      <c r="F12404" s="54"/>
      <c r="G12404" s="53"/>
      <c r="H12404" s="53"/>
    </row>
    <row r="12405" spans="2:8" ht="13.8" hidden="1" outlineLevel="1">
      <c r="B12405" s="187">
        <v>39988</v>
      </c>
      <c r="C12405" s="189">
        <v>3.72</v>
      </c>
      <c r="D12405" s="104">
        <f t="shared" ref="D12405:D12468" si="194">IF( LEN( C12405 ) = 0, #N/A, IF( C12405 = "ND", D12404, C12405 / 100 ) )</f>
        <v>3.7200000000000004E-2</v>
      </c>
      <c r="E12405" s="53"/>
      <c r="F12405" s="54"/>
      <c r="G12405" s="53"/>
      <c r="H12405" s="53"/>
    </row>
    <row r="12406" spans="2:8" ht="13.8" hidden="1" outlineLevel="1">
      <c r="B12406" s="187">
        <v>39989</v>
      </c>
      <c r="C12406" s="189">
        <v>3.55</v>
      </c>
      <c r="D12406" s="104">
        <f t="shared" si="194"/>
        <v>3.5499999999999997E-2</v>
      </c>
      <c r="E12406" s="53"/>
      <c r="F12406" s="54"/>
      <c r="G12406" s="53"/>
      <c r="H12406" s="53"/>
    </row>
    <row r="12407" spans="2:8" ht="13.8" hidden="1" outlineLevel="1">
      <c r="B12407" s="187">
        <v>39990</v>
      </c>
      <c r="C12407" s="189">
        <v>3.52</v>
      </c>
      <c r="D12407" s="104">
        <f t="shared" si="194"/>
        <v>3.5200000000000002E-2</v>
      </c>
      <c r="E12407" s="53"/>
      <c r="F12407" s="54"/>
      <c r="G12407" s="53"/>
      <c r="H12407" s="53"/>
    </row>
    <row r="12408" spans="2:8" ht="13.8" hidden="1" outlineLevel="1">
      <c r="B12408" s="187">
        <v>39993</v>
      </c>
      <c r="C12408" s="189">
        <v>3.51</v>
      </c>
      <c r="D12408" s="104">
        <f t="shared" si="194"/>
        <v>3.5099999999999999E-2</v>
      </c>
      <c r="E12408" s="53"/>
      <c r="F12408" s="54"/>
      <c r="G12408" s="53"/>
      <c r="H12408" s="53"/>
    </row>
    <row r="12409" spans="2:8" ht="13.8" hidden="1" outlineLevel="1">
      <c r="B12409" s="187">
        <v>39994</v>
      </c>
      <c r="C12409" s="189">
        <v>3.53</v>
      </c>
      <c r="D12409" s="104">
        <f t="shared" si="194"/>
        <v>3.5299999999999998E-2</v>
      </c>
      <c r="E12409" s="53"/>
      <c r="F12409" s="54"/>
      <c r="G12409" s="53"/>
      <c r="H12409" s="53"/>
    </row>
    <row r="12410" spans="2:8" ht="13.8" hidden="1" outlineLevel="1">
      <c r="B12410" s="187">
        <v>39995</v>
      </c>
      <c r="C12410" s="189">
        <v>3.55</v>
      </c>
      <c r="D12410" s="104">
        <f t="shared" si="194"/>
        <v>3.5499999999999997E-2</v>
      </c>
      <c r="F12410" s="49"/>
    </row>
    <row r="12411" spans="2:8" ht="13.8" hidden="1" outlineLevel="1">
      <c r="B12411" s="187">
        <v>39996</v>
      </c>
      <c r="C12411" s="189">
        <v>3.51</v>
      </c>
      <c r="D12411" s="104">
        <f t="shared" si="194"/>
        <v>3.5099999999999999E-2</v>
      </c>
      <c r="F12411" s="49"/>
    </row>
    <row r="12412" spans="2:8" ht="13.8" hidden="1" outlineLevel="1">
      <c r="B12412" s="187">
        <v>40000</v>
      </c>
      <c r="C12412" s="189">
        <v>3.52</v>
      </c>
      <c r="D12412" s="104">
        <f t="shared" si="194"/>
        <v>3.5200000000000002E-2</v>
      </c>
      <c r="F12412" s="49"/>
    </row>
    <row r="12413" spans="2:8" ht="13.8" hidden="1" outlineLevel="1">
      <c r="B12413" s="187">
        <v>40001</v>
      </c>
      <c r="C12413" s="189">
        <v>3.47</v>
      </c>
      <c r="D12413" s="104">
        <f t="shared" si="194"/>
        <v>3.4700000000000002E-2</v>
      </c>
      <c r="F12413" s="49"/>
    </row>
    <row r="12414" spans="2:8" ht="13.8" hidden="1" outlineLevel="1">
      <c r="B12414" s="187">
        <v>40002</v>
      </c>
      <c r="C12414" s="189">
        <v>3.33</v>
      </c>
      <c r="D12414" s="104">
        <f t="shared" si="194"/>
        <v>3.3300000000000003E-2</v>
      </c>
      <c r="F12414" s="49"/>
    </row>
    <row r="12415" spans="2:8" ht="13.8" hidden="1" outlineLevel="1">
      <c r="B12415" s="187">
        <v>40003</v>
      </c>
      <c r="C12415" s="189">
        <v>3.44</v>
      </c>
      <c r="D12415" s="104">
        <f t="shared" si="194"/>
        <v>3.44E-2</v>
      </c>
      <c r="F12415" s="49"/>
    </row>
    <row r="12416" spans="2:8" ht="13.8" hidden="1" outlineLevel="1">
      <c r="B12416" s="187">
        <v>40004</v>
      </c>
      <c r="C12416" s="189">
        <v>3.32</v>
      </c>
      <c r="D12416" s="104">
        <f t="shared" si="194"/>
        <v>3.32E-2</v>
      </c>
      <c r="F12416" s="49"/>
    </row>
    <row r="12417" spans="2:6" ht="13.8" hidden="1" outlineLevel="1">
      <c r="B12417" s="187">
        <v>40007</v>
      </c>
      <c r="C12417" s="189">
        <v>3.38</v>
      </c>
      <c r="D12417" s="104">
        <f t="shared" si="194"/>
        <v>3.3799999999999997E-2</v>
      </c>
      <c r="F12417" s="49"/>
    </row>
    <row r="12418" spans="2:6" ht="13.8" hidden="1" outlineLevel="1">
      <c r="B12418" s="187">
        <v>40008</v>
      </c>
      <c r="C12418" s="189">
        <v>3.5</v>
      </c>
      <c r="D12418" s="104">
        <f t="shared" si="194"/>
        <v>3.5000000000000003E-2</v>
      </c>
      <c r="F12418" s="49"/>
    </row>
    <row r="12419" spans="2:6" ht="13.8" hidden="1" outlineLevel="1">
      <c r="B12419" s="187">
        <v>40009</v>
      </c>
      <c r="C12419" s="189">
        <v>3.63</v>
      </c>
      <c r="D12419" s="104">
        <f t="shared" si="194"/>
        <v>3.6299999999999999E-2</v>
      </c>
      <c r="F12419" s="49"/>
    </row>
    <row r="12420" spans="2:6" ht="13.8" hidden="1" outlineLevel="1">
      <c r="B12420" s="187">
        <v>40010</v>
      </c>
      <c r="C12420" s="189">
        <v>3.59</v>
      </c>
      <c r="D12420" s="104">
        <f t="shared" si="194"/>
        <v>3.5900000000000001E-2</v>
      </c>
      <c r="F12420" s="49"/>
    </row>
    <row r="12421" spans="2:6" ht="13.8" hidden="1" outlineLevel="1">
      <c r="B12421" s="187">
        <v>40011</v>
      </c>
      <c r="C12421" s="189">
        <v>3.67</v>
      </c>
      <c r="D12421" s="104">
        <f t="shared" si="194"/>
        <v>3.6699999999999997E-2</v>
      </c>
      <c r="F12421" s="49"/>
    </row>
    <row r="12422" spans="2:6" ht="13.8" hidden="1" outlineLevel="1">
      <c r="B12422" s="187">
        <v>40014</v>
      </c>
      <c r="C12422" s="189">
        <v>3.61</v>
      </c>
      <c r="D12422" s="104">
        <f t="shared" si="194"/>
        <v>3.61E-2</v>
      </c>
      <c r="F12422" s="49"/>
    </row>
    <row r="12423" spans="2:6" ht="13.8" hidden="1" outlineLevel="1">
      <c r="B12423" s="187">
        <v>40015</v>
      </c>
      <c r="C12423" s="189">
        <v>3.5</v>
      </c>
      <c r="D12423" s="104">
        <f t="shared" si="194"/>
        <v>3.5000000000000003E-2</v>
      </c>
      <c r="F12423" s="49"/>
    </row>
    <row r="12424" spans="2:6" ht="13.8" hidden="1" outlineLevel="1">
      <c r="B12424" s="187">
        <v>40016</v>
      </c>
      <c r="C12424" s="189">
        <v>3.58</v>
      </c>
      <c r="D12424" s="104">
        <f t="shared" si="194"/>
        <v>3.5799999999999998E-2</v>
      </c>
      <c r="F12424" s="49"/>
    </row>
    <row r="12425" spans="2:6" ht="13.8" hidden="1" outlineLevel="1">
      <c r="B12425" s="187">
        <v>40017</v>
      </c>
      <c r="C12425" s="189">
        <v>3.72</v>
      </c>
      <c r="D12425" s="104">
        <f t="shared" si="194"/>
        <v>3.7200000000000004E-2</v>
      </c>
      <c r="F12425" s="49"/>
    </row>
    <row r="12426" spans="2:6" ht="13.8" hidden="1" outlineLevel="1">
      <c r="B12426" s="187">
        <v>40018</v>
      </c>
      <c r="C12426" s="189">
        <v>3.7</v>
      </c>
      <c r="D12426" s="104">
        <f t="shared" si="194"/>
        <v>3.7000000000000005E-2</v>
      </c>
      <c r="F12426" s="49"/>
    </row>
    <row r="12427" spans="2:6" ht="13.8" hidden="1" outlineLevel="1">
      <c r="B12427" s="187">
        <v>40021</v>
      </c>
      <c r="C12427" s="189">
        <v>3.75</v>
      </c>
      <c r="D12427" s="104">
        <f t="shared" si="194"/>
        <v>3.7499999999999999E-2</v>
      </c>
      <c r="F12427" s="49"/>
    </row>
    <row r="12428" spans="2:6" ht="13.8" hidden="1" outlineLevel="1">
      <c r="B12428" s="187">
        <v>40022</v>
      </c>
      <c r="C12428" s="189">
        <v>3.72</v>
      </c>
      <c r="D12428" s="104">
        <f t="shared" si="194"/>
        <v>3.7200000000000004E-2</v>
      </c>
      <c r="F12428" s="49"/>
    </row>
    <row r="12429" spans="2:6" ht="13.8" hidden="1" outlineLevel="1">
      <c r="B12429" s="187">
        <v>40023</v>
      </c>
      <c r="C12429" s="189">
        <v>3.69</v>
      </c>
      <c r="D12429" s="104">
        <f t="shared" si="194"/>
        <v>3.6900000000000002E-2</v>
      </c>
      <c r="F12429" s="49"/>
    </row>
    <row r="12430" spans="2:6" ht="13.8" hidden="1" outlineLevel="1">
      <c r="B12430" s="187">
        <v>40024</v>
      </c>
      <c r="C12430" s="189">
        <v>3.67</v>
      </c>
      <c r="D12430" s="104">
        <f t="shared" si="194"/>
        <v>3.6699999999999997E-2</v>
      </c>
      <c r="F12430" s="49"/>
    </row>
    <row r="12431" spans="2:6" ht="13.8" hidden="1" outlineLevel="1">
      <c r="B12431" s="187">
        <v>40025</v>
      </c>
      <c r="C12431" s="189">
        <v>3.52</v>
      </c>
      <c r="D12431" s="104">
        <f t="shared" si="194"/>
        <v>3.5200000000000002E-2</v>
      </c>
      <c r="F12431" s="49"/>
    </row>
    <row r="12432" spans="2:6" ht="13.8" hidden="1" outlineLevel="1">
      <c r="B12432" s="187">
        <v>40028</v>
      </c>
      <c r="C12432" s="189">
        <v>3.66</v>
      </c>
      <c r="D12432" s="104">
        <f t="shared" si="194"/>
        <v>3.6600000000000001E-2</v>
      </c>
      <c r="F12432" s="49"/>
    </row>
    <row r="12433" spans="2:6" ht="13.8" hidden="1" outlineLevel="1">
      <c r="B12433" s="187">
        <v>40029</v>
      </c>
      <c r="C12433" s="189">
        <v>3.7</v>
      </c>
      <c r="D12433" s="104">
        <f t="shared" si="194"/>
        <v>3.7000000000000005E-2</v>
      </c>
      <c r="F12433" s="49"/>
    </row>
    <row r="12434" spans="2:6" ht="13.8" hidden="1" outlineLevel="1">
      <c r="B12434" s="187">
        <v>40030</v>
      </c>
      <c r="C12434" s="189">
        <v>3.8</v>
      </c>
      <c r="D12434" s="104">
        <f t="shared" si="194"/>
        <v>3.7999999999999999E-2</v>
      </c>
      <c r="F12434" s="49"/>
    </row>
    <row r="12435" spans="2:6" ht="13.8" hidden="1" outlineLevel="1">
      <c r="B12435" s="187">
        <v>40031</v>
      </c>
      <c r="C12435" s="189">
        <v>3.79</v>
      </c>
      <c r="D12435" s="104">
        <f t="shared" si="194"/>
        <v>3.7900000000000003E-2</v>
      </c>
      <c r="F12435" s="49"/>
    </row>
    <row r="12436" spans="2:6" ht="13.8" hidden="1" outlineLevel="1">
      <c r="B12436" s="187">
        <v>40032</v>
      </c>
      <c r="C12436" s="189">
        <v>3.89</v>
      </c>
      <c r="D12436" s="104">
        <f t="shared" si="194"/>
        <v>3.8900000000000004E-2</v>
      </c>
      <c r="F12436" s="49"/>
    </row>
    <row r="12437" spans="2:6" ht="13.8" hidden="1" outlineLevel="1">
      <c r="B12437" s="187">
        <v>40035</v>
      </c>
      <c r="C12437" s="189">
        <v>3.8</v>
      </c>
      <c r="D12437" s="104">
        <f t="shared" si="194"/>
        <v>3.7999999999999999E-2</v>
      </c>
      <c r="F12437" s="49"/>
    </row>
    <row r="12438" spans="2:6" ht="13.8" hidden="1" outlineLevel="1">
      <c r="B12438" s="187">
        <v>40036</v>
      </c>
      <c r="C12438" s="189">
        <v>3.71</v>
      </c>
      <c r="D12438" s="104">
        <f t="shared" si="194"/>
        <v>3.7100000000000001E-2</v>
      </c>
      <c r="F12438" s="49"/>
    </row>
    <row r="12439" spans="2:6" ht="13.8" hidden="1" outlineLevel="1">
      <c r="B12439" s="187">
        <v>40037</v>
      </c>
      <c r="C12439" s="189">
        <v>3.72</v>
      </c>
      <c r="D12439" s="104">
        <f t="shared" si="194"/>
        <v>3.7200000000000004E-2</v>
      </c>
      <c r="F12439" s="49"/>
    </row>
    <row r="12440" spans="2:6" ht="13.8" hidden="1" outlineLevel="1">
      <c r="B12440" s="187">
        <v>40038</v>
      </c>
      <c r="C12440" s="189">
        <v>3.59</v>
      </c>
      <c r="D12440" s="104">
        <f t="shared" si="194"/>
        <v>3.5900000000000001E-2</v>
      </c>
      <c r="F12440" s="49"/>
    </row>
    <row r="12441" spans="2:6" ht="13.8" hidden="1" outlineLevel="1">
      <c r="B12441" s="187">
        <v>40039</v>
      </c>
      <c r="C12441" s="189">
        <v>3.55</v>
      </c>
      <c r="D12441" s="104">
        <f t="shared" si="194"/>
        <v>3.5499999999999997E-2</v>
      </c>
      <c r="F12441" s="49"/>
    </row>
    <row r="12442" spans="2:6" ht="13.8" hidden="1" outlineLevel="1">
      <c r="B12442" s="187">
        <v>40042</v>
      </c>
      <c r="C12442" s="189">
        <v>3.48</v>
      </c>
      <c r="D12442" s="104">
        <f t="shared" si="194"/>
        <v>3.4799999999999998E-2</v>
      </c>
      <c r="F12442" s="49"/>
    </row>
    <row r="12443" spans="2:6" ht="13.8" hidden="1" outlineLevel="1">
      <c r="B12443" s="187">
        <v>40043</v>
      </c>
      <c r="C12443" s="189">
        <v>3.51</v>
      </c>
      <c r="D12443" s="104">
        <f t="shared" si="194"/>
        <v>3.5099999999999999E-2</v>
      </c>
      <c r="F12443" s="49"/>
    </row>
    <row r="12444" spans="2:6" ht="13.8" hidden="1" outlineLevel="1">
      <c r="B12444" s="187">
        <v>40044</v>
      </c>
      <c r="C12444" s="189">
        <v>3.45</v>
      </c>
      <c r="D12444" s="104">
        <f t="shared" si="194"/>
        <v>3.4500000000000003E-2</v>
      </c>
      <c r="F12444" s="49"/>
    </row>
    <row r="12445" spans="2:6" ht="13.8" hidden="1" outlineLevel="1">
      <c r="B12445" s="187">
        <v>40045</v>
      </c>
      <c r="C12445" s="189">
        <v>3.42</v>
      </c>
      <c r="D12445" s="104">
        <f t="shared" si="194"/>
        <v>3.4200000000000001E-2</v>
      </c>
      <c r="F12445" s="49"/>
    </row>
    <row r="12446" spans="2:6" ht="13.8" hidden="1" outlineLevel="1">
      <c r="B12446" s="187">
        <v>40046</v>
      </c>
      <c r="C12446" s="189">
        <v>3.56</v>
      </c>
      <c r="D12446" s="104">
        <f t="shared" si="194"/>
        <v>3.56E-2</v>
      </c>
      <c r="F12446" s="49"/>
    </row>
    <row r="12447" spans="2:6" ht="13.8" hidden="1" outlineLevel="1">
      <c r="B12447" s="187">
        <v>40049</v>
      </c>
      <c r="C12447" s="189">
        <v>3.48</v>
      </c>
      <c r="D12447" s="104">
        <f t="shared" si="194"/>
        <v>3.4799999999999998E-2</v>
      </c>
      <c r="F12447" s="49"/>
    </row>
    <row r="12448" spans="2:6" ht="13.8" hidden="1" outlineLevel="1">
      <c r="B12448" s="187">
        <v>40050</v>
      </c>
      <c r="C12448" s="189">
        <v>3.45</v>
      </c>
      <c r="D12448" s="104">
        <f t="shared" si="194"/>
        <v>3.4500000000000003E-2</v>
      </c>
      <c r="F12448" s="49"/>
    </row>
    <row r="12449" spans="2:6" ht="13.8" hidden="1" outlineLevel="1">
      <c r="B12449" s="187">
        <v>40051</v>
      </c>
      <c r="C12449" s="189">
        <v>3.44</v>
      </c>
      <c r="D12449" s="104">
        <f t="shared" si="194"/>
        <v>3.44E-2</v>
      </c>
      <c r="F12449" s="49"/>
    </row>
    <row r="12450" spans="2:6" ht="13.8" hidden="1" outlineLevel="1">
      <c r="B12450" s="187">
        <v>40052</v>
      </c>
      <c r="C12450" s="189">
        <v>3.47</v>
      </c>
      <c r="D12450" s="104">
        <f t="shared" si="194"/>
        <v>3.4700000000000002E-2</v>
      </c>
      <c r="F12450" s="49"/>
    </row>
    <row r="12451" spans="2:6" ht="13.8" hidden="1" outlineLevel="1">
      <c r="B12451" s="187">
        <v>40053</v>
      </c>
      <c r="C12451" s="189">
        <v>3.46</v>
      </c>
      <c r="D12451" s="104">
        <f t="shared" si="194"/>
        <v>3.4599999999999999E-2</v>
      </c>
      <c r="F12451" s="49"/>
    </row>
    <row r="12452" spans="2:6" ht="13.8" hidden="1" outlineLevel="1">
      <c r="B12452" s="187">
        <v>40056</v>
      </c>
      <c r="C12452" s="189">
        <v>3.4</v>
      </c>
      <c r="D12452" s="104">
        <f t="shared" si="194"/>
        <v>3.4000000000000002E-2</v>
      </c>
      <c r="F12452" s="49"/>
    </row>
    <row r="12453" spans="2:6" ht="13.8" hidden="1" outlineLevel="1">
      <c r="B12453" s="187">
        <v>40057</v>
      </c>
      <c r="C12453" s="189">
        <v>3.38</v>
      </c>
      <c r="D12453" s="104">
        <f t="shared" si="194"/>
        <v>3.3799999999999997E-2</v>
      </c>
      <c r="F12453" s="49"/>
    </row>
    <row r="12454" spans="2:6" ht="13.8" hidden="1" outlineLevel="1">
      <c r="B12454" s="187">
        <v>40058</v>
      </c>
      <c r="C12454" s="189">
        <v>3.29</v>
      </c>
      <c r="D12454" s="104">
        <f t="shared" si="194"/>
        <v>3.2899999999999999E-2</v>
      </c>
      <c r="F12454" s="49"/>
    </row>
    <row r="12455" spans="2:6" ht="13.8" hidden="1" outlineLevel="1">
      <c r="B12455" s="187">
        <v>40059</v>
      </c>
      <c r="C12455" s="189">
        <v>3.33</v>
      </c>
      <c r="D12455" s="104">
        <f t="shared" si="194"/>
        <v>3.3300000000000003E-2</v>
      </c>
      <c r="F12455" s="49"/>
    </row>
    <row r="12456" spans="2:6" ht="13.8" hidden="1" outlineLevel="1">
      <c r="B12456" s="187">
        <v>40060</v>
      </c>
      <c r="C12456" s="189">
        <v>3.45</v>
      </c>
      <c r="D12456" s="104">
        <f t="shared" si="194"/>
        <v>3.4500000000000003E-2</v>
      </c>
      <c r="F12456" s="49"/>
    </row>
    <row r="12457" spans="2:6" ht="13.8" hidden="1" outlineLevel="1">
      <c r="B12457" s="187">
        <v>40064</v>
      </c>
      <c r="C12457" s="189">
        <v>3.47</v>
      </c>
      <c r="D12457" s="104">
        <f t="shared" si="194"/>
        <v>3.4700000000000002E-2</v>
      </c>
      <c r="F12457" s="49"/>
    </row>
    <row r="12458" spans="2:6" ht="13.8" hidden="1" outlineLevel="1">
      <c r="B12458" s="187">
        <v>40065</v>
      </c>
      <c r="C12458" s="189">
        <v>3.48</v>
      </c>
      <c r="D12458" s="104">
        <f t="shared" si="194"/>
        <v>3.4799999999999998E-2</v>
      </c>
      <c r="F12458" s="49"/>
    </row>
    <row r="12459" spans="2:6" ht="13.8" hidden="1" outlineLevel="1">
      <c r="B12459" s="187">
        <v>40066</v>
      </c>
      <c r="C12459" s="189">
        <v>3.36</v>
      </c>
      <c r="D12459" s="104">
        <f t="shared" si="194"/>
        <v>3.3599999999999998E-2</v>
      </c>
      <c r="F12459" s="49"/>
    </row>
    <row r="12460" spans="2:6" ht="13.8" hidden="1" outlineLevel="1">
      <c r="B12460" s="187">
        <v>40067</v>
      </c>
      <c r="C12460" s="189">
        <v>3.34</v>
      </c>
      <c r="D12460" s="104">
        <f t="shared" si="194"/>
        <v>3.3399999999999999E-2</v>
      </c>
      <c r="F12460" s="49"/>
    </row>
    <row r="12461" spans="2:6" ht="13.8" hidden="1" outlineLevel="1">
      <c r="B12461" s="187">
        <v>40070</v>
      </c>
      <c r="C12461" s="189">
        <v>3.42</v>
      </c>
      <c r="D12461" s="104">
        <f t="shared" si="194"/>
        <v>3.4200000000000001E-2</v>
      </c>
      <c r="F12461" s="49"/>
    </row>
    <row r="12462" spans="2:6" ht="13.8" hidden="1" outlineLevel="1">
      <c r="B12462" s="187">
        <v>40071</v>
      </c>
      <c r="C12462" s="189">
        <v>3.47</v>
      </c>
      <c r="D12462" s="104">
        <f t="shared" si="194"/>
        <v>3.4700000000000002E-2</v>
      </c>
      <c r="F12462" s="49"/>
    </row>
    <row r="12463" spans="2:6" ht="13.8" hidden="1" outlineLevel="1">
      <c r="B12463" s="187">
        <v>40072</v>
      </c>
      <c r="C12463" s="189">
        <v>3.48</v>
      </c>
      <c r="D12463" s="104">
        <f t="shared" si="194"/>
        <v>3.4799999999999998E-2</v>
      </c>
      <c r="F12463" s="49"/>
    </row>
    <row r="12464" spans="2:6" ht="13.8" hidden="1" outlineLevel="1">
      <c r="B12464" s="187">
        <v>40073</v>
      </c>
      <c r="C12464" s="189">
        <v>3.42</v>
      </c>
      <c r="D12464" s="104">
        <f t="shared" si="194"/>
        <v>3.4200000000000001E-2</v>
      </c>
      <c r="F12464" s="49"/>
    </row>
    <row r="12465" spans="2:6" ht="13.8" hidden="1" outlineLevel="1">
      <c r="B12465" s="187">
        <v>40074</v>
      </c>
      <c r="C12465" s="189">
        <v>3.49</v>
      </c>
      <c r="D12465" s="104">
        <f t="shared" si="194"/>
        <v>3.49E-2</v>
      </c>
      <c r="F12465" s="49"/>
    </row>
    <row r="12466" spans="2:6" ht="13.8" hidden="1" outlineLevel="1">
      <c r="B12466" s="187">
        <v>40077</v>
      </c>
      <c r="C12466" s="189">
        <v>3.49</v>
      </c>
      <c r="D12466" s="104">
        <f t="shared" si="194"/>
        <v>3.49E-2</v>
      </c>
      <c r="F12466" s="49"/>
    </row>
    <row r="12467" spans="2:6" ht="13.8" hidden="1" outlineLevel="1">
      <c r="B12467" s="187">
        <v>40078</v>
      </c>
      <c r="C12467" s="189">
        <v>3.46</v>
      </c>
      <c r="D12467" s="104">
        <f t="shared" si="194"/>
        <v>3.4599999999999999E-2</v>
      </c>
      <c r="F12467" s="49"/>
    </row>
    <row r="12468" spans="2:6" ht="13.8" hidden="1" outlineLevel="1">
      <c r="B12468" s="187">
        <v>40079</v>
      </c>
      <c r="C12468" s="189">
        <v>3.44</v>
      </c>
      <c r="D12468" s="104">
        <f t="shared" si="194"/>
        <v>3.44E-2</v>
      </c>
      <c r="F12468" s="49"/>
    </row>
    <row r="12469" spans="2:6" ht="13.8" hidden="1" outlineLevel="1">
      <c r="B12469" s="187">
        <v>40080</v>
      </c>
      <c r="C12469" s="189">
        <v>3.4</v>
      </c>
      <c r="D12469" s="104">
        <f t="shared" ref="D12469:D12532" si="195">IF( LEN( C12469 ) = 0, #N/A, IF( C12469 = "ND", D12468, C12469 / 100 ) )</f>
        <v>3.4000000000000002E-2</v>
      </c>
      <c r="F12469" s="49"/>
    </row>
    <row r="12470" spans="2:6" ht="13.8" hidden="1" outlineLevel="1">
      <c r="B12470" s="187">
        <v>40081</v>
      </c>
      <c r="C12470" s="189">
        <v>3.34</v>
      </c>
      <c r="D12470" s="104">
        <f t="shared" si="195"/>
        <v>3.3399999999999999E-2</v>
      </c>
      <c r="F12470" s="49"/>
    </row>
    <row r="12471" spans="2:6" ht="13.8" hidden="1" outlineLevel="1">
      <c r="B12471" s="187">
        <v>40084</v>
      </c>
      <c r="C12471" s="189">
        <v>3.31</v>
      </c>
      <c r="D12471" s="104">
        <f t="shared" si="195"/>
        <v>3.3099999999999997E-2</v>
      </c>
      <c r="F12471" s="49"/>
    </row>
    <row r="12472" spans="2:6" ht="13.8" hidden="1" outlineLevel="1">
      <c r="B12472" s="187">
        <v>40085</v>
      </c>
      <c r="C12472" s="189">
        <v>3.31</v>
      </c>
      <c r="D12472" s="104">
        <f t="shared" si="195"/>
        <v>3.3099999999999997E-2</v>
      </c>
      <c r="F12472" s="49"/>
    </row>
    <row r="12473" spans="2:6" ht="13.8" hidden="1" outlineLevel="1">
      <c r="B12473" s="187">
        <v>40086</v>
      </c>
      <c r="C12473" s="189">
        <v>3.31</v>
      </c>
      <c r="D12473" s="104">
        <f t="shared" si="195"/>
        <v>3.3099999999999997E-2</v>
      </c>
      <c r="F12473" s="58"/>
    </row>
    <row r="12474" spans="2:6" ht="13.8" hidden="1" outlineLevel="1">
      <c r="B12474" s="187">
        <v>40087</v>
      </c>
      <c r="C12474" s="189">
        <v>3.21</v>
      </c>
      <c r="D12474" s="104">
        <f t="shared" si="195"/>
        <v>3.2099999999999997E-2</v>
      </c>
      <c r="F12474" s="58"/>
    </row>
    <row r="12475" spans="2:6" ht="13.8" hidden="1" outlineLevel="1">
      <c r="B12475" s="187">
        <v>40088</v>
      </c>
      <c r="C12475" s="189">
        <v>3.24</v>
      </c>
      <c r="D12475" s="104">
        <f t="shared" si="195"/>
        <v>3.2400000000000005E-2</v>
      </c>
      <c r="F12475" s="49"/>
    </row>
    <row r="12476" spans="2:6" ht="13.8" hidden="1" outlineLevel="1">
      <c r="B12476" s="187">
        <v>40091</v>
      </c>
      <c r="C12476" s="189">
        <v>3.24</v>
      </c>
      <c r="D12476" s="104">
        <f t="shared" si="195"/>
        <v>3.2400000000000005E-2</v>
      </c>
      <c r="F12476" s="49"/>
    </row>
    <row r="12477" spans="2:6" ht="13.8" hidden="1" outlineLevel="1">
      <c r="B12477" s="187">
        <v>40092</v>
      </c>
      <c r="C12477" s="189">
        <v>3.27</v>
      </c>
      <c r="D12477" s="104">
        <f t="shared" si="195"/>
        <v>3.27E-2</v>
      </c>
      <c r="F12477" s="49"/>
    </row>
    <row r="12478" spans="2:6" ht="13.8" hidden="1" outlineLevel="1">
      <c r="B12478" s="187">
        <v>40093</v>
      </c>
      <c r="C12478" s="189">
        <v>3.21</v>
      </c>
      <c r="D12478" s="104">
        <f t="shared" si="195"/>
        <v>3.2099999999999997E-2</v>
      </c>
      <c r="F12478" s="49"/>
    </row>
    <row r="12479" spans="2:6" ht="13.8" hidden="1" outlineLevel="1">
      <c r="B12479" s="187">
        <v>40094</v>
      </c>
      <c r="C12479" s="189">
        <v>3.27</v>
      </c>
      <c r="D12479" s="104">
        <f t="shared" si="195"/>
        <v>3.27E-2</v>
      </c>
      <c r="F12479" s="49"/>
    </row>
    <row r="12480" spans="2:6" ht="13.8" hidden="1" outlineLevel="1">
      <c r="B12480" s="187">
        <v>40095</v>
      </c>
      <c r="C12480" s="189">
        <v>3.4</v>
      </c>
      <c r="D12480" s="104">
        <f t="shared" si="195"/>
        <v>3.4000000000000002E-2</v>
      </c>
      <c r="F12480" s="49"/>
    </row>
    <row r="12481" spans="2:6" ht="13.8" hidden="1" outlineLevel="1">
      <c r="B12481" s="187">
        <v>40099</v>
      </c>
      <c r="C12481" s="189">
        <v>3.34</v>
      </c>
      <c r="D12481" s="104">
        <f t="shared" si="195"/>
        <v>3.3399999999999999E-2</v>
      </c>
      <c r="F12481" s="49"/>
    </row>
    <row r="12482" spans="2:6" ht="13.8" hidden="1" outlineLevel="1">
      <c r="B12482" s="187">
        <v>40100</v>
      </c>
      <c r="C12482" s="189">
        <v>3.45</v>
      </c>
      <c r="D12482" s="104">
        <f t="shared" si="195"/>
        <v>3.4500000000000003E-2</v>
      </c>
      <c r="F12482" s="49"/>
    </row>
    <row r="12483" spans="2:6" ht="13.8" hidden="1" outlineLevel="1">
      <c r="B12483" s="187">
        <v>40101</v>
      </c>
      <c r="C12483" s="189">
        <v>3.49</v>
      </c>
      <c r="D12483" s="104">
        <f t="shared" si="195"/>
        <v>3.49E-2</v>
      </c>
      <c r="F12483" s="49"/>
    </row>
    <row r="12484" spans="2:6" ht="13.8" hidden="1" outlineLevel="1">
      <c r="B12484" s="187">
        <v>40102</v>
      </c>
      <c r="C12484" s="189">
        <v>3.43</v>
      </c>
      <c r="D12484" s="104">
        <f t="shared" si="195"/>
        <v>3.4300000000000004E-2</v>
      </c>
      <c r="F12484" s="49"/>
    </row>
    <row r="12485" spans="2:6" ht="13.8" hidden="1" outlineLevel="1">
      <c r="B12485" s="187">
        <v>40105</v>
      </c>
      <c r="C12485" s="189">
        <v>3.41</v>
      </c>
      <c r="D12485" s="104">
        <f t="shared" si="195"/>
        <v>3.4099999999999998E-2</v>
      </c>
      <c r="F12485" s="49"/>
    </row>
    <row r="12486" spans="2:6" ht="13.8" hidden="1" outlineLevel="1">
      <c r="B12486" s="187">
        <v>40106</v>
      </c>
      <c r="C12486" s="189">
        <v>3.35</v>
      </c>
      <c r="D12486" s="104">
        <f t="shared" si="195"/>
        <v>3.3500000000000002E-2</v>
      </c>
      <c r="F12486" s="49"/>
    </row>
    <row r="12487" spans="2:6" ht="13.8" hidden="1" outlineLevel="1">
      <c r="B12487" s="187">
        <v>40107</v>
      </c>
      <c r="C12487" s="189">
        <v>3.42</v>
      </c>
      <c r="D12487" s="104">
        <f t="shared" si="195"/>
        <v>3.4200000000000001E-2</v>
      </c>
      <c r="F12487" s="49"/>
    </row>
    <row r="12488" spans="2:6" ht="13.8" hidden="1" outlineLevel="1">
      <c r="B12488" s="187">
        <v>40108</v>
      </c>
      <c r="C12488" s="189">
        <v>3.44</v>
      </c>
      <c r="D12488" s="104">
        <f t="shared" si="195"/>
        <v>3.44E-2</v>
      </c>
      <c r="F12488" s="49"/>
    </row>
    <row r="12489" spans="2:6" ht="13.8" hidden="1" outlineLevel="1">
      <c r="B12489" s="187">
        <v>40109</v>
      </c>
      <c r="C12489" s="189">
        <v>3.51</v>
      </c>
      <c r="D12489" s="104">
        <f t="shared" si="195"/>
        <v>3.5099999999999999E-2</v>
      </c>
      <c r="F12489" s="49"/>
    </row>
    <row r="12490" spans="2:6" ht="13.8" hidden="1" outlineLevel="1">
      <c r="B12490" s="187">
        <v>40112</v>
      </c>
      <c r="C12490" s="189">
        <v>3.59</v>
      </c>
      <c r="D12490" s="104">
        <f t="shared" si="195"/>
        <v>3.5900000000000001E-2</v>
      </c>
      <c r="F12490" s="49"/>
    </row>
    <row r="12491" spans="2:6" ht="13.8" hidden="1" outlineLevel="1">
      <c r="B12491" s="187">
        <v>40113</v>
      </c>
      <c r="C12491" s="189">
        <v>3.49</v>
      </c>
      <c r="D12491" s="104">
        <f t="shared" si="195"/>
        <v>3.49E-2</v>
      </c>
      <c r="F12491" s="49"/>
    </row>
    <row r="12492" spans="2:6" ht="13.8" hidden="1" outlineLevel="1">
      <c r="B12492" s="187">
        <v>40114</v>
      </c>
      <c r="C12492" s="189">
        <v>3.44</v>
      </c>
      <c r="D12492" s="104">
        <f t="shared" si="195"/>
        <v>3.44E-2</v>
      </c>
      <c r="F12492" s="49"/>
    </row>
    <row r="12493" spans="2:6" ht="13.8" hidden="1" outlineLevel="1">
      <c r="B12493" s="187">
        <v>40115</v>
      </c>
      <c r="C12493" s="189">
        <v>3.53</v>
      </c>
      <c r="D12493" s="104">
        <f t="shared" si="195"/>
        <v>3.5299999999999998E-2</v>
      </c>
      <c r="F12493" s="49"/>
    </row>
    <row r="12494" spans="2:6" ht="13.8" hidden="1" outlineLevel="1">
      <c r="B12494" s="187">
        <v>40116</v>
      </c>
      <c r="C12494" s="189">
        <v>3.41</v>
      </c>
      <c r="D12494" s="104">
        <f t="shared" si="195"/>
        <v>3.4099999999999998E-2</v>
      </c>
      <c r="F12494" s="49"/>
    </row>
    <row r="12495" spans="2:6" ht="13.8" hidden="1" outlineLevel="1">
      <c r="B12495" s="187">
        <v>40119</v>
      </c>
      <c r="C12495" s="189">
        <v>3.45</v>
      </c>
      <c r="D12495" s="104">
        <f t="shared" si="195"/>
        <v>3.4500000000000003E-2</v>
      </c>
      <c r="F12495" s="49"/>
    </row>
    <row r="12496" spans="2:6" ht="13.8" hidden="1" outlineLevel="1">
      <c r="B12496" s="187">
        <v>40120</v>
      </c>
      <c r="C12496" s="189">
        <v>3.5</v>
      </c>
      <c r="D12496" s="104">
        <f t="shared" si="195"/>
        <v>3.5000000000000003E-2</v>
      </c>
      <c r="F12496" s="49"/>
    </row>
    <row r="12497" spans="2:6" ht="13.8" hidden="1" outlineLevel="1">
      <c r="B12497" s="187">
        <v>40121</v>
      </c>
      <c r="C12497" s="189">
        <v>3.57</v>
      </c>
      <c r="D12497" s="104">
        <f t="shared" si="195"/>
        <v>3.5699999999999996E-2</v>
      </c>
      <c r="F12497" s="49"/>
    </row>
    <row r="12498" spans="2:6" ht="13.8" hidden="1" outlineLevel="1">
      <c r="B12498" s="187">
        <v>40122</v>
      </c>
      <c r="C12498" s="189">
        <v>3.57</v>
      </c>
      <c r="D12498" s="104">
        <f t="shared" si="195"/>
        <v>3.5699999999999996E-2</v>
      </c>
      <c r="F12498" s="49"/>
    </row>
    <row r="12499" spans="2:6" ht="13.8" hidden="1" outlineLevel="1">
      <c r="B12499" s="187">
        <v>40123</v>
      </c>
      <c r="C12499" s="189">
        <v>3.54</v>
      </c>
      <c r="D12499" s="104">
        <f t="shared" si="195"/>
        <v>3.5400000000000001E-2</v>
      </c>
      <c r="F12499" s="49"/>
    </row>
    <row r="12500" spans="2:6" ht="13.8" hidden="1" outlineLevel="1">
      <c r="B12500" s="187">
        <v>40126</v>
      </c>
      <c r="C12500" s="189">
        <v>3.52</v>
      </c>
      <c r="D12500" s="104">
        <f t="shared" si="195"/>
        <v>3.5200000000000002E-2</v>
      </c>
      <c r="F12500" s="49"/>
    </row>
    <row r="12501" spans="2:6" ht="13.8" hidden="1" outlineLevel="1">
      <c r="B12501" s="187">
        <v>40127</v>
      </c>
      <c r="C12501" s="189">
        <v>3.5</v>
      </c>
      <c r="D12501" s="104">
        <f t="shared" si="195"/>
        <v>3.5000000000000003E-2</v>
      </c>
      <c r="F12501" s="49"/>
    </row>
    <row r="12502" spans="2:6" ht="13.8" hidden="1" outlineLevel="1">
      <c r="B12502" s="187">
        <v>40129</v>
      </c>
      <c r="C12502" s="189">
        <v>3.45</v>
      </c>
      <c r="D12502" s="104">
        <f t="shared" si="195"/>
        <v>3.4500000000000003E-2</v>
      </c>
      <c r="F12502" s="49"/>
    </row>
    <row r="12503" spans="2:6" ht="13.8" hidden="1" outlineLevel="1">
      <c r="B12503" s="187">
        <v>40130</v>
      </c>
      <c r="C12503" s="189">
        <v>3.43</v>
      </c>
      <c r="D12503" s="104">
        <f t="shared" si="195"/>
        <v>3.4300000000000004E-2</v>
      </c>
      <c r="F12503" s="49"/>
    </row>
    <row r="12504" spans="2:6" ht="13.8" hidden="1" outlineLevel="1">
      <c r="B12504" s="187">
        <v>40133</v>
      </c>
      <c r="C12504" s="189">
        <v>3.33</v>
      </c>
      <c r="D12504" s="104">
        <f t="shared" si="195"/>
        <v>3.3300000000000003E-2</v>
      </c>
      <c r="F12504" s="49"/>
    </row>
    <row r="12505" spans="2:6" ht="13.8" hidden="1" outlineLevel="1">
      <c r="B12505" s="187">
        <v>40134</v>
      </c>
      <c r="C12505" s="189">
        <v>3.33</v>
      </c>
      <c r="D12505" s="104">
        <f t="shared" si="195"/>
        <v>3.3300000000000003E-2</v>
      </c>
      <c r="F12505" s="49"/>
    </row>
    <row r="12506" spans="2:6" ht="13.8" hidden="1" outlineLevel="1">
      <c r="B12506" s="187">
        <v>40135</v>
      </c>
      <c r="C12506" s="189">
        <v>3.36</v>
      </c>
      <c r="D12506" s="104">
        <f t="shared" si="195"/>
        <v>3.3599999999999998E-2</v>
      </c>
      <c r="F12506" s="49"/>
    </row>
    <row r="12507" spans="2:6" ht="13.8" hidden="1" outlineLevel="1">
      <c r="B12507" s="187">
        <v>40136</v>
      </c>
      <c r="C12507" s="189">
        <v>3.35</v>
      </c>
      <c r="D12507" s="104">
        <f t="shared" si="195"/>
        <v>3.3500000000000002E-2</v>
      </c>
      <c r="F12507" s="49"/>
    </row>
    <row r="12508" spans="2:6" ht="13.8" hidden="1" outlineLevel="1">
      <c r="B12508" s="187">
        <v>40137</v>
      </c>
      <c r="C12508" s="189">
        <v>3.36</v>
      </c>
      <c r="D12508" s="104">
        <f t="shared" si="195"/>
        <v>3.3599999999999998E-2</v>
      </c>
      <c r="F12508" s="49"/>
    </row>
    <row r="12509" spans="2:6" ht="13.8" hidden="1" outlineLevel="1">
      <c r="B12509" s="187">
        <v>40140</v>
      </c>
      <c r="C12509" s="189">
        <v>3.37</v>
      </c>
      <c r="D12509" s="104">
        <f t="shared" si="195"/>
        <v>3.3700000000000001E-2</v>
      </c>
      <c r="F12509" s="49"/>
    </row>
    <row r="12510" spans="2:6" ht="13.8" hidden="1" outlineLevel="1">
      <c r="B12510" s="187">
        <v>40141</v>
      </c>
      <c r="C12510" s="189">
        <v>3.32</v>
      </c>
      <c r="D12510" s="104">
        <f t="shared" si="195"/>
        <v>3.32E-2</v>
      </c>
      <c r="F12510" s="49"/>
    </row>
    <row r="12511" spans="2:6" ht="13.8" hidden="1" outlineLevel="1">
      <c r="B12511" s="187">
        <v>40142</v>
      </c>
      <c r="C12511" s="189">
        <v>3.28</v>
      </c>
      <c r="D12511" s="104">
        <f t="shared" si="195"/>
        <v>3.2799999999999996E-2</v>
      </c>
      <c r="F12511" s="49"/>
    </row>
    <row r="12512" spans="2:6" ht="13.8" hidden="1" outlineLevel="1">
      <c r="B12512" s="187">
        <v>40144</v>
      </c>
      <c r="C12512" s="189">
        <v>3.21</v>
      </c>
      <c r="D12512" s="104">
        <f t="shared" si="195"/>
        <v>3.2099999999999997E-2</v>
      </c>
      <c r="F12512" s="49"/>
    </row>
    <row r="12513" spans="2:6" ht="13.8" hidden="1" outlineLevel="1">
      <c r="B12513" s="187">
        <v>40147</v>
      </c>
      <c r="C12513" s="189">
        <v>3.21</v>
      </c>
      <c r="D12513" s="104">
        <f t="shared" si="195"/>
        <v>3.2099999999999997E-2</v>
      </c>
      <c r="F12513" s="49"/>
    </row>
    <row r="12514" spans="2:6" ht="13.8" hidden="1" outlineLevel="1">
      <c r="B12514" s="187">
        <v>40148</v>
      </c>
      <c r="C12514" s="189">
        <v>3.28</v>
      </c>
      <c r="D12514" s="104">
        <f t="shared" si="195"/>
        <v>3.2799999999999996E-2</v>
      </c>
      <c r="F12514" s="49"/>
    </row>
    <row r="12515" spans="2:6" ht="13.8" hidden="1" outlineLevel="1">
      <c r="B12515" s="187">
        <v>40149</v>
      </c>
      <c r="C12515" s="189">
        <v>3.32</v>
      </c>
      <c r="D12515" s="104">
        <f t="shared" si="195"/>
        <v>3.32E-2</v>
      </c>
      <c r="F12515" s="49"/>
    </row>
    <row r="12516" spans="2:6" ht="13.8" hidden="1" outlineLevel="1">
      <c r="B12516" s="187">
        <v>40150</v>
      </c>
      <c r="C12516" s="189">
        <v>3.39</v>
      </c>
      <c r="D12516" s="104">
        <f t="shared" si="195"/>
        <v>3.39E-2</v>
      </c>
      <c r="F12516" s="49"/>
    </row>
    <row r="12517" spans="2:6" ht="13.8" hidden="1" outlineLevel="1">
      <c r="B12517" s="187">
        <v>40151</v>
      </c>
      <c r="C12517" s="189">
        <v>3.48</v>
      </c>
      <c r="D12517" s="104">
        <f t="shared" si="195"/>
        <v>3.4799999999999998E-2</v>
      </c>
      <c r="F12517" s="49"/>
    </row>
    <row r="12518" spans="2:6" ht="13.8" hidden="1" outlineLevel="1">
      <c r="B12518" s="187">
        <v>40154</v>
      </c>
      <c r="C12518" s="189">
        <v>3.44</v>
      </c>
      <c r="D12518" s="104">
        <f t="shared" si="195"/>
        <v>3.44E-2</v>
      </c>
      <c r="F12518" s="49"/>
    </row>
    <row r="12519" spans="2:6" ht="13.8" hidden="1" outlineLevel="1">
      <c r="B12519" s="187">
        <v>40155</v>
      </c>
      <c r="C12519" s="189">
        <v>3.4</v>
      </c>
      <c r="D12519" s="104">
        <f t="shared" si="195"/>
        <v>3.4000000000000002E-2</v>
      </c>
      <c r="F12519" s="49"/>
    </row>
    <row r="12520" spans="2:6" ht="13.8" hidden="1" outlineLevel="1">
      <c r="B12520" s="187">
        <v>40156</v>
      </c>
      <c r="C12520" s="189">
        <v>3.45</v>
      </c>
      <c r="D12520" s="104">
        <f t="shared" si="195"/>
        <v>3.4500000000000003E-2</v>
      </c>
      <c r="F12520" s="49"/>
    </row>
    <row r="12521" spans="2:6" ht="13.8" hidden="1" outlineLevel="1">
      <c r="B12521" s="187">
        <v>40157</v>
      </c>
      <c r="C12521" s="189">
        <v>3.49</v>
      </c>
      <c r="D12521" s="104">
        <f t="shared" si="195"/>
        <v>3.49E-2</v>
      </c>
      <c r="F12521" s="49"/>
    </row>
    <row r="12522" spans="2:6" ht="13.8" hidden="1" outlineLevel="1">
      <c r="B12522" s="187">
        <v>40158</v>
      </c>
      <c r="C12522" s="189">
        <v>3.55</v>
      </c>
      <c r="D12522" s="104">
        <f t="shared" si="195"/>
        <v>3.5499999999999997E-2</v>
      </c>
      <c r="F12522" s="49"/>
    </row>
    <row r="12523" spans="2:6" ht="13.8" hidden="1" outlineLevel="1">
      <c r="B12523" s="187">
        <v>40161</v>
      </c>
      <c r="C12523" s="189">
        <v>3.56</v>
      </c>
      <c r="D12523" s="104">
        <f t="shared" si="195"/>
        <v>3.56E-2</v>
      </c>
      <c r="F12523" s="49"/>
    </row>
    <row r="12524" spans="2:6" ht="13.8" hidden="1" outlineLevel="1">
      <c r="B12524" s="187">
        <v>40162</v>
      </c>
      <c r="C12524" s="189">
        <v>3.6</v>
      </c>
      <c r="D12524" s="104">
        <f t="shared" si="195"/>
        <v>3.6000000000000004E-2</v>
      </c>
      <c r="F12524" s="49"/>
    </row>
    <row r="12525" spans="2:6" ht="13.8" hidden="1" outlineLevel="1">
      <c r="B12525" s="187">
        <v>40163</v>
      </c>
      <c r="C12525" s="189">
        <v>3.61</v>
      </c>
      <c r="D12525" s="104">
        <f t="shared" si="195"/>
        <v>3.61E-2</v>
      </c>
      <c r="F12525" s="49"/>
    </row>
    <row r="12526" spans="2:6" ht="13.8" hidden="1" outlineLevel="1">
      <c r="B12526" s="187">
        <v>40164</v>
      </c>
      <c r="C12526" s="189">
        <v>3.5</v>
      </c>
      <c r="D12526" s="104">
        <f t="shared" si="195"/>
        <v>3.5000000000000003E-2</v>
      </c>
      <c r="F12526" s="49"/>
    </row>
    <row r="12527" spans="2:6" ht="13.8" hidden="1" outlineLevel="1">
      <c r="B12527" s="187">
        <v>40165</v>
      </c>
      <c r="C12527" s="189">
        <v>3.55</v>
      </c>
      <c r="D12527" s="104">
        <f t="shared" si="195"/>
        <v>3.5499999999999997E-2</v>
      </c>
      <c r="F12527" s="49"/>
    </row>
    <row r="12528" spans="2:6" ht="13.8" hidden="1" outlineLevel="1">
      <c r="B12528" s="187">
        <v>40168</v>
      </c>
      <c r="C12528" s="189">
        <v>3.69</v>
      </c>
      <c r="D12528" s="104">
        <f t="shared" si="195"/>
        <v>3.6900000000000002E-2</v>
      </c>
      <c r="F12528" s="49"/>
    </row>
    <row r="12529" spans="2:6" ht="13.8" hidden="1" outlineLevel="1">
      <c r="B12529" s="187">
        <v>40169</v>
      </c>
      <c r="C12529" s="189">
        <v>3.76</v>
      </c>
      <c r="D12529" s="104">
        <f t="shared" si="195"/>
        <v>3.7599999999999995E-2</v>
      </c>
      <c r="F12529" s="49"/>
    </row>
    <row r="12530" spans="2:6" ht="13.8" hidden="1" outlineLevel="1">
      <c r="B12530" s="187">
        <v>40170</v>
      </c>
      <c r="C12530" s="189">
        <v>3.77</v>
      </c>
      <c r="D12530" s="104">
        <f t="shared" si="195"/>
        <v>3.7699999999999997E-2</v>
      </c>
      <c r="F12530" s="49"/>
    </row>
    <row r="12531" spans="2:6" ht="13.8" hidden="1" outlineLevel="1">
      <c r="B12531" s="187">
        <v>40171</v>
      </c>
      <c r="C12531" s="189">
        <v>3.82</v>
      </c>
      <c r="D12531" s="104">
        <f t="shared" si="195"/>
        <v>3.8199999999999998E-2</v>
      </c>
      <c r="F12531" s="49"/>
    </row>
    <row r="12532" spans="2:6" ht="13.8" hidden="1" outlineLevel="1">
      <c r="B12532" s="187">
        <v>40175</v>
      </c>
      <c r="C12532" s="189">
        <v>3.85</v>
      </c>
      <c r="D12532" s="104">
        <f t="shared" si="195"/>
        <v>3.85E-2</v>
      </c>
      <c r="F12532" s="49"/>
    </row>
    <row r="12533" spans="2:6" ht="13.8" hidden="1" outlineLevel="1">
      <c r="B12533" s="187">
        <v>40176</v>
      </c>
      <c r="C12533" s="189">
        <v>3.82</v>
      </c>
      <c r="D12533" s="104">
        <f t="shared" ref="D12533:D12596" si="196">IF( LEN( C12533 ) = 0, #N/A, IF( C12533 = "ND", D12532, C12533 / 100 ) )</f>
        <v>3.8199999999999998E-2</v>
      </c>
      <c r="F12533" s="49"/>
    </row>
    <row r="12534" spans="2:6" ht="13.8" hidden="1" outlineLevel="1">
      <c r="B12534" s="187">
        <v>40177</v>
      </c>
      <c r="C12534" s="189">
        <v>3.8</v>
      </c>
      <c r="D12534" s="104">
        <f t="shared" si="196"/>
        <v>3.7999999999999999E-2</v>
      </c>
      <c r="F12534" s="49"/>
    </row>
    <row r="12535" spans="2:6" ht="13.8" hidden="1" outlineLevel="1">
      <c r="B12535" s="187">
        <v>40178</v>
      </c>
      <c r="C12535" s="189">
        <v>3.85</v>
      </c>
      <c r="D12535" s="104">
        <f t="shared" si="196"/>
        <v>3.85E-2</v>
      </c>
      <c r="F12535" s="49"/>
    </row>
    <row r="12536" spans="2:6" ht="13.8">
      <c r="B12536" s="187">
        <v>40182</v>
      </c>
      <c r="C12536" s="189">
        <v>3.85</v>
      </c>
      <c r="D12536" s="104">
        <f t="shared" si="196"/>
        <v>3.85E-2</v>
      </c>
      <c r="F12536" s="49"/>
    </row>
    <row r="12537" spans="2:6" ht="13.8">
      <c r="B12537" s="187">
        <v>40183</v>
      </c>
      <c r="C12537" s="189">
        <v>3.77</v>
      </c>
      <c r="D12537" s="104">
        <f t="shared" si="196"/>
        <v>3.7699999999999997E-2</v>
      </c>
      <c r="F12537" s="49"/>
    </row>
    <row r="12538" spans="2:6" ht="13.8">
      <c r="B12538" s="187">
        <v>40184</v>
      </c>
      <c r="C12538" s="189">
        <v>3.85</v>
      </c>
      <c r="D12538" s="104">
        <f t="shared" si="196"/>
        <v>3.85E-2</v>
      </c>
      <c r="F12538" s="49"/>
    </row>
    <row r="12539" spans="2:6" ht="13.8">
      <c r="B12539" s="187">
        <v>40185</v>
      </c>
      <c r="C12539" s="189">
        <v>3.85</v>
      </c>
      <c r="D12539" s="104">
        <f t="shared" si="196"/>
        <v>3.85E-2</v>
      </c>
      <c r="F12539" s="49"/>
    </row>
    <row r="12540" spans="2:6" ht="13.8">
      <c r="B12540" s="187">
        <v>40186</v>
      </c>
      <c r="C12540" s="189">
        <v>3.83</v>
      </c>
      <c r="D12540" s="104">
        <f t="shared" si="196"/>
        <v>3.8300000000000001E-2</v>
      </c>
      <c r="F12540" s="49"/>
    </row>
    <row r="12541" spans="2:6" ht="13.8">
      <c r="B12541" s="187">
        <v>40189</v>
      </c>
      <c r="C12541" s="189">
        <v>3.85</v>
      </c>
      <c r="D12541" s="104">
        <f t="shared" si="196"/>
        <v>3.85E-2</v>
      </c>
      <c r="F12541" s="49"/>
    </row>
    <row r="12542" spans="2:6" ht="13.8">
      <c r="B12542" s="187">
        <v>40190</v>
      </c>
      <c r="C12542" s="189">
        <v>3.74</v>
      </c>
      <c r="D12542" s="104">
        <f t="shared" si="196"/>
        <v>3.7400000000000003E-2</v>
      </c>
      <c r="F12542" s="49"/>
    </row>
    <row r="12543" spans="2:6" ht="13.8">
      <c r="B12543" s="187">
        <v>40191</v>
      </c>
      <c r="C12543" s="189">
        <v>3.8</v>
      </c>
      <c r="D12543" s="104">
        <f t="shared" si="196"/>
        <v>3.7999999999999999E-2</v>
      </c>
      <c r="F12543" s="49"/>
    </row>
    <row r="12544" spans="2:6" ht="13.8">
      <c r="B12544" s="187">
        <v>40192</v>
      </c>
      <c r="C12544" s="189">
        <v>3.76</v>
      </c>
      <c r="D12544" s="104">
        <f t="shared" si="196"/>
        <v>3.7599999999999995E-2</v>
      </c>
      <c r="F12544" s="49"/>
    </row>
    <row r="12545" spans="2:6" ht="13.8">
      <c r="B12545" s="187">
        <v>40193</v>
      </c>
      <c r="C12545" s="189">
        <v>3.7</v>
      </c>
      <c r="D12545" s="104">
        <f t="shared" si="196"/>
        <v>3.7000000000000005E-2</v>
      </c>
      <c r="F12545" s="49"/>
    </row>
    <row r="12546" spans="2:6" ht="13.8">
      <c r="B12546" s="187">
        <v>40197</v>
      </c>
      <c r="C12546" s="189">
        <v>3.73</v>
      </c>
      <c r="D12546" s="104">
        <f t="shared" si="196"/>
        <v>3.73E-2</v>
      </c>
      <c r="F12546" s="49"/>
    </row>
    <row r="12547" spans="2:6" ht="13.8">
      <c r="B12547" s="187">
        <v>40198</v>
      </c>
      <c r="C12547" s="189">
        <v>3.68</v>
      </c>
      <c r="D12547" s="104">
        <f t="shared" si="196"/>
        <v>3.6799999999999999E-2</v>
      </c>
      <c r="F12547" s="49"/>
    </row>
    <row r="12548" spans="2:6" ht="13.8">
      <c r="B12548" s="187">
        <v>40199</v>
      </c>
      <c r="C12548" s="189">
        <v>3.62</v>
      </c>
      <c r="D12548" s="104">
        <f t="shared" si="196"/>
        <v>3.6200000000000003E-2</v>
      </c>
      <c r="F12548" s="49"/>
    </row>
    <row r="12549" spans="2:6" ht="13.8">
      <c r="B12549" s="187">
        <v>40200</v>
      </c>
      <c r="C12549" s="189">
        <v>3.62</v>
      </c>
      <c r="D12549" s="104">
        <f t="shared" si="196"/>
        <v>3.6200000000000003E-2</v>
      </c>
      <c r="F12549" s="49"/>
    </row>
    <row r="12550" spans="2:6" ht="13.8">
      <c r="B12550" s="187">
        <v>40203</v>
      </c>
      <c r="C12550" s="189">
        <v>3.66</v>
      </c>
      <c r="D12550" s="104">
        <f t="shared" si="196"/>
        <v>3.6600000000000001E-2</v>
      </c>
      <c r="F12550" s="49"/>
    </row>
    <row r="12551" spans="2:6" ht="13.8">
      <c r="B12551" s="187">
        <v>40204</v>
      </c>
      <c r="C12551" s="189">
        <v>3.65</v>
      </c>
      <c r="D12551" s="104">
        <f t="shared" si="196"/>
        <v>3.6499999999999998E-2</v>
      </c>
      <c r="F12551" s="49"/>
    </row>
    <row r="12552" spans="2:6" ht="13.8">
      <c r="B12552" s="187">
        <v>40205</v>
      </c>
      <c r="C12552" s="189">
        <v>3.66</v>
      </c>
      <c r="D12552" s="104">
        <f t="shared" si="196"/>
        <v>3.6600000000000001E-2</v>
      </c>
      <c r="F12552" s="49"/>
    </row>
    <row r="12553" spans="2:6" ht="13.8">
      <c r="B12553" s="187">
        <v>40206</v>
      </c>
      <c r="C12553" s="189">
        <v>3.68</v>
      </c>
      <c r="D12553" s="104">
        <f t="shared" si="196"/>
        <v>3.6799999999999999E-2</v>
      </c>
      <c r="F12553" s="49"/>
    </row>
    <row r="12554" spans="2:6" ht="13.8">
      <c r="B12554" s="187">
        <v>40207</v>
      </c>
      <c r="C12554" s="189">
        <v>3.63</v>
      </c>
      <c r="D12554" s="104">
        <f t="shared" si="196"/>
        <v>3.6299999999999999E-2</v>
      </c>
      <c r="F12554" s="49"/>
    </row>
    <row r="12555" spans="2:6" ht="13.8">
      <c r="B12555" s="187">
        <v>40210</v>
      </c>
      <c r="C12555" s="189">
        <v>3.68</v>
      </c>
      <c r="D12555" s="104">
        <f t="shared" si="196"/>
        <v>3.6799999999999999E-2</v>
      </c>
      <c r="F12555" s="49"/>
    </row>
    <row r="12556" spans="2:6" ht="13.8">
      <c r="B12556" s="187">
        <v>40211</v>
      </c>
      <c r="C12556" s="189">
        <v>3.67</v>
      </c>
      <c r="D12556" s="104">
        <f t="shared" si="196"/>
        <v>3.6699999999999997E-2</v>
      </c>
      <c r="F12556" s="49"/>
    </row>
    <row r="12557" spans="2:6" ht="13.8">
      <c r="B12557" s="187">
        <v>40212</v>
      </c>
      <c r="C12557" s="189">
        <v>3.73</v>
      </c>
      <c r="D12557" s="104">
        <f t="shared" si="196"/>
        <v>3.73E-2</v>
      </c>
      <c r="F12557" s="49"/>
    </row>
    <row r="12558" spans="2:6" ht="13.8">
      <c r="B12558" s="187">
        <v>40213</v>
      </c>
      <c r="C12558" s="189">
        <v>3.62</v>
      </c>
      <c r="D12558" s="104">
        <f t="shared" si="196"/>
        <v>3.6200000000000003E-2</v>
      </c>
      <c r="F12558" s="49"/>
    </row>
    <row r="12559" spans="2:6" ht="13.8">
      <c r="B12559" s="187">
        <v>40214</v>
      </c>
      <c r="C12559" s="189">
        <v>3.59</v>
      </c>
      <c r="D12559" s="104">
        <f t="shared" si="196"/>
        <v>3.5900000000000001E-2</v>
      </c>
      <c r="F12559" s="49"/>
    </row>
    <row r="12560" spans="2:6" ht="13.8">
      <c r="B12560" s="187">
        <v>40217</v>
      </c>
      <c r="C12560" s="189">
        <v>3.62</v>
      </c>
      <c r="D12560" s="104">
        <f t="shared" si="196"/>
        <v>3.6200000000000003E-2</v>
      </c>
      <c r="F12560" s="49"/>
    </row>
    <row r="12561" spans="2:6" ht="13.8">
      <c r="B12561" s="187">
        <v>40218</v>
      </c>
      <c r="C12561" s="189">
        <v>3.67</v>
      </c>
      <c r="D12561" s="104">
        <f t="shared" si="196"/>
        <v>3.6699999999999997E-2</v>
      </c>
      <c r="F12561" s="49"/>
    </row>
    <row r="12562" spans="2:6" ht="13.8">
      <c r="B12562" s="187">
        <v>40219</v>
      </c>
      <c r="C12562" s="189">
        <v>3.72</v>
      </c>
      <c r="D12562" s="104">
        <f t="shared" si="196"/>
        <v>3.7200000000000004E-2</v>
      </c>
      <c r="F12562" s="49"/>
    </row>
    <row r="12563" spans="2:6" ht="13.8">
      <c r="B12563" s="187">
        <v>40220</v>
      </c>
      <c r="C12563" s="189">
        <v>3.73</v>
      </c>
      <c r="D12563" s="104">
        <f t="shared" si="196"/>
        <v>3.73E-2</v>
      </c>
      <c r="F12563" s="49"/>
    </row>
    <row r="12564" spans="2:6" ht="13.8">
      <c r="B12564" s="187">
        <v>40221</v>
      </c>
      <c r="C12564" s="189">
        <v>3.69</v>
      </c>
      <c r="D12564" s="104">
        <f t="shared" si="196"/>
        <v>3.6900000000000002E-2</v>
      </c>
      <c r="F12564" s="49"/>
    </row>
    <row r="12565" spans="2:6" ht="13.8">
      <c r="B12565" s="187">
        <v>40225</v>
      </c>
      <c r="C12565" s="189">
        <v>3.66</v>
      </c>
      <c r="D12565" s="104">
        <f t="shared" si="196"/>
        <v>3.6600000000000001E-2</v>
      </c>
      <c r="F12565" s="49"/>
    </row>
    <row r="12566" spans="2:6" ht="13.8">
      <c r="B12566" s="187">
        <v>40226</v>
      </c>
      <c r="C12566" s="189">
        <v>3.74</v>
      </c>
      <c r="D12566" s="104">
        <f t="shared" si="196"/>
        <v>3.7400000000000003E-2</v>
      </c>
      <c r="F12566" s="49"/>
    </row>
    <row r="12567" spans="2:6" ht="13.8">
      <c r="B12567" s="187">
        <v>40227</v>
      </c>
      <c r="C12567" s="189">
        <v>3.79</v>
      </c>
      <c r="D12567" s="104">
        <f t="shared" si="196"/>
        <v>3.7900000000000003E-2</v>
      </c>
      <c r="F12567" s="49"/>
    </row>
    <row r="12568" spans="2:6" ht="13.8">
      <c r="B12568" s="187">
        <v>40228</v>
      </c>
      <c r="C12568" s="189">
        <v>3.78</v>
      </c>
      <c r="D12568" s="104">
        <f t="shared" si="196"/>
        <v>3.78E-2</v>
      </c>
      <c r="F12568" s="49"/>
    </row>
    <row r="12569" spans="2:6" ht="13.8">
      <c r="B12569" s="187">
        <v>40231</v>
      </c>
      <c r="C12569" s="189">
        <v>3.8</v>
      </c>
      <c r="D12569" s="104">
        <f t="shared" si="196"/>
        <v>3.7999999999999999E-2</v>
      </c>
      <c r="F12569" s="49"/>
    </row>
    <row r="12570" spans="2:6" ht="13.8">
      <c r="B12570" s="187">
        <v>40232</v>
      </c>
      <c r="C12570" s="189">
        <v>3.69</v>
      </c>
      <c r="D12570" s="104">
        <f t="shared" si="196"/>
        <v>3.6900000000000002E-2</v>
      </c>
      <c r="F12570" s="49"/>
    </row>
    <row r="12571" spans="2:6" ht="13.8">
      <c r="B12571" s="187">
        <v>40233</v>
      </c>
      <c r="C12571" s="189">
        <v>3.7</v>
      </c>
      <c r="D12571" s="104">
        <f t="shared" si="196"/>
        <v>3.7000000000000005E-2</v>
      </c>
      <c r="F12571" s="49"/>
    </row>
    <row r="12572" spans="2:6" ht="13.8">
      <c r="B12572" s="187">
        <v>40234</v>
      </c>
      <c r="C12572" s="189">
        <v>3.64</v>
      </c>
      <c r="D12572" s="104">
        <f t="shared" si="196"/>
        <v>3.6400000000000002E-2</v>
      </c>
      <c r="F12572" s="49"/>
    </row>
    <row r="12573" spans="2:6" ht="13.8">
      <c r="B12573" s="187">
        <v>40235</v>
      </c>
      <c r="C12573" s="189">
        <v>3.61</v>
      </c>
      <c r="D12573" s="104">
        <f t="shared" si="196"/>
        <v>3.61E-2</v>
      </c>
      <c r="F12573" s="49"/>
    </row>
    <row r="12574" spans="2:6" ht="13.8">
      <c r="B12574" s="187">
        <v>40238</v>
      </c>
      <c r="C12574" s="189">
        <v>3.61</v>
      </c>
      <c r="D12574" s="104">
        <f t="shared" si="196"/>
        <v>3.61E-2</v>
      </c>
      <c r="F12574" s="49"/>
    </row>
    <row r="12575" spans="2:6" ht="13.8">
      <c r="B12575" s="187">
        <v>40239</v>
      </c>
      <c r="C12575" s="189">
        <v>3.62</v>
      </c>
      <c r="D12575" s="104">
        <f t="shared" si="196"/>
        <v>3.6200000000000003E-2</v>
      </c>
      <c r="F12575" s="49"/>
    </row>
    <row r="12576" spans="2:6" ht="13.8">
      <c r="B12576" s="187">
        <v>40240</v>
      </c>
      <c r="C12576" s="189">
        <v>3.63</v>
      </c>
      <c r="D12576" s="104">
        <f t="shared" si="196"/>
        <v>3.6299999999999999E-2</v>
      </c>
      <c r="F12576" s="49"/>
    </row>
    <row r="12577" spans="2:6" ht="13.8">
      <c r="B12577" s="187">
        <v>40241</v>
      </c>
      <c r="C12577" s="189">
        <v>3.61</v>
      </c>
      <c r="D12577" s="104">
        <f t="shared" si="196"/>
        <v>3.61E-2</v>
      </c>
      <c r="F12577" s="49"/>
    </row>
    <row r="12578" spans="2:6" ht="13.8">
      <c r="B12578" s="187">
        <v>40242</v>
      </c>
      <c r="C12578" s="189">
        <v>3.69</v>
      </c>
      <c r="D12578" s="104">
        <f t="shared" si="196"/>
        <v>3.6900000000000002E-2</v>
      </c>
      <c r="F12578" s="49"/>
    </row>
    <row r="12579" spans="2:6" ht="13.8">
      <c r="B12579" s="187">
        <v>40245</v>
      </c>
      <c r="C12579" s="189">
        <v>3.72</v>
      </c>
      <c r="D12579" s="104">
        <f t="shared" si="196"/>
        <v>3.7200000000000004E-2</v>
      </c>
      <c r="F12579" s="49"/>
    </row>
    <row r="12580" spans="2:6" ht="13.8">
      <c r="B12580" s="187">
        <v>40246</v>
      </c>
      <c r="C12580" s="189">
        <v>3.71</v>
      </c>
      <c r="D12580" s="104">
        <f t="shared" si="196"/>
        <v>3.7100000000000001E-2</v>
      </c>
      <c r="F12580" s="49"/>
    </row>
    <row r="12581" spans="2:6" ht="13.8">
      <c r="B12581" s="187">
        <v>40247</v>
      </c>
      <c r="C12581" s="189">
        <v>3.73</v>
      </c>
      <c r="D12581" s="104">
        <f t="shared" si="196"/>
        <v>3.73E-2</v>
      </c>
      <c r="F12581" s="49"/>
    </row>
    <row r="12582" spans="2:6" ht="13.8">
      <c r="B12582" s="187">
        <v>40248</v>
      </c>
      <c r="C12582" s="189">
        <v>3.73</v>
      </c>
      <c r="D12582" s="104">
        <f t="shared" si="196"/>
        <v>3.73E-2</v>
      </c>
      <c r="F12582" s="49"/>
    </row>
    <row r="12583" spans="2:6" ht="13.8">
      <c r="B12583" s="187">
        <v>40249</v>
      </c>
      <c r="C12583" s="189">
        <v>3.71</v>
      </c>
      <c r="D12583" s="104">
        <f t="shared" si="196"/>
        <v>3.7100000000000001E-2</v>
      </c>
      <c r="F12583" s="49"/>
    </row>
    <row r="12584" spans="2:6" ht="13.8">
      <c r="B12584" s="187">
        <v>40252</v>
      </c>
      <c r="C12584" s="189">
        <v>3.71</v>
      </c>
      <c r="D12584" s="104">
        <f t="shared" si="196"/>
        <v>3.7100000000000001E-2</v>
      </c>
      <c r="F12584" s="49"/>
    </row>
    <row r="12585" spans="2:6" ht="13.8">
      <c r="B12585" s="187">
        <v>40253</v>
      </c>
      <c r="C12585" s="189">
        <v>3.66</v>
      </c>
      <c r="D12585" s="104">
        <f t="shared" si="196"/>
        <v>3.6600000000000001E-2</v>
      </c>
      <c r="F12585" s="49"/>
    </row>
    <row r="12586" spans="2:6" ht="13.8">
      <c r="B12586" s="187">
        <v>40254</v>
      </c>
      <c r="C12586" s="189">
        <v>3.65</v>
      </c>
      <c r="D12586" s="104">
        <f t="shared" si="196"/>
        <v>3.6499999999999998E-2</v>
      </c>
      <c r="F12586" s="49"/>
    </row>
    <row r="12587" spans="2:6" ht="13.8">
      <c r="B12587" s="187">
        <v>40255</v>
      </c>
      <c r="C12587" s="189">
        <v>3.68</v>
      </c>
      <c r="D12587" s="104">
        <f t="shared" si="196"/>
        <v>3.6799999999999999E-2</v>
      </c>
      <c r="F12587" s="49"/>
    </row>
    <row r="12588" spans="2:6" ht="13.8">
      <c r="B12588" s="187">
        <v>40256</v>
      </c>
      <c r="C12588" s="189">
        <v>3.7</v>
      </c>
      <c r="D12588" s="104">
        <f t="shared" si="196"/>
        <v>3.7000000000000005E-2</v>
      </c>
      <c r="F12588" s="49"/>
    </row>
    <row r="12589" spans="2:6" ht="13.8">
      <c r="B12589" s="187">
        <v>40259</v>
      </c>
      <c r="C12589" s="189">
        <v>3.67</v>
      </c>
      <c r="D12589" s="104">
        <f t="shared" si="196"/>
        <v>3.6699999999999997E-2</v>
      </c>
      <c r="F12589" s="49"/>
    </row>
    <row r="12590" spans="2:6" ht="13.8">
      <c r="B12590" s="187">
        <v>40260</v>
      </c>
      <c r="C12590" s="189">
        <v>3.69</v>
      </c>
      <c r="D12590" s="104">
        <f t="shared" si="196"/>
        <v>3.6900000000000002E-2</v>
      </c>
      <c r="F12590" s="49"/>
    </row>
    <row r="12591" spans="2:6" ht="13.8">
      <c r="B12591" s="187">
        <v>40261</v>
      </c>
      <c r="C12591" s="189">
        <v>3.84</v>
      </c>
      <c r="D12591" s="104">
        <f t="shared" si="196"/>
        <v>3.8399999999999997E-2</v>
      </c>
      <c r="F12591" s="49"/>
    </row>
    <row r="12592" spans="2:6" ht="13.8">
      <c r="B12592" s="187">
        <v>40262</v>
      </c>
      <c r="C12592" s="189">
        <v>3.91</v>
      </c>
      <c r="D12592" s="104">
        <f t="shared" si="196"/>
        <v>3.9100000000000003E-2</v>
      </c>
      <c r="F12592" s="49"/>
    </row>
    <row r="12593" spans="2:6" ht="13.8">
      <c r="B12593" s="187">
        <v>40263</v>
      </c>
      <c r="C12593" s="189">
        <v>3.86</v>
      </c>
      <c r="D12593" s="104">
        <f t="shared" si="196"/>
        <v>3.8599999999999995E-2</v>
      </c>
      <c r="F12593" s="49"/>
    </row>
    <row r="12594" spans="2:6" ht="13.8">
      <c r="B12594" s="187">
        <v>40266</v>
      </c>
      <c r="C12594" s="189">
        <v>3.88</v>
      </c>
      <c r="D12594" s="104">
        <f t="shared" si="196"/>
        <v>3.8800000000000001E-2</v>
      </c>
      <c r="F12594" s="49"/>
    </row>
    <row r="12595" spans="2:6" ht="13.8">
      <c r="B12595" s="187">
        <v>40267</v>
      </c>
      <c r="C12595" s="189">
        <v>3.88</v>
      </c>
      <c r="D12595" s="104">
        <f t="shared" si="196"/>
        <v>3.8800000000000001E-2</v>
      </c>
      <c r="F12595" s="49"/>
    </row>
    <row r="12596" spans="2:6" ht="13.8">
      <c r="B12596" s="187">
        <v>40268</v>
      </c>
      <c r="C12596" s="189">
        <v>3.84</v>
      </c>
      <c r="D12596" s="104">
        <f t="shared" si="196"/>
        <v>3.8399999999999997E-2</v>
      </c>
      <c r="F12596" s="49"/>
    </row>
    <row r="12597" spans="2:6" ht="13.8">
      <c r="B12597" s="187">
        <v>40269</v>
      </c>
      <c r="C12597" s="189">
        <v>3.89</v>
      </c>
      <c r="D12597" s="104">
        <f t="shared" ref="D12597:D12660" si="197">IF( LEN( C12597 ) = 0, #N/A, IF( C12597 = "ND", D12596, C12597 / 100 ) )</f>
        <v>3.8900000000000004E-2</v>
      </c>
      <c r="F12597" s="49"/>
    </row>
    <row r="12598" spans="2:6" ht="13.8">
      <c r="B12598" s="187">
        <v>40270</v>
      </c>
      <c r="C12598" s="189">
        <v>3.96</v>
      </c>
      <c r="D12598" s="104">
        <f t="shared" si="197"/>
        <v>3.9599999999999996E-2</v>
      </c>
      <c r="F12598" s="49"/>
    </row>
    <row r="12599" spans="2:6" ht="13.8">
      <c r="B12599" s="187">
        <v>40273</v>
      </c>
      <c r="C12599" s="189">
        <v>4.01</v>
      </c>
      <c r="D12599" s="104">
        <f t="shared" si="197"/>
        <v>4.0099999999999997E-2</v>
      </c>
      <c r="F12599" s="49"/>
    </row>
    <row r="12600" spans="2:6" ht="13.8">
      <c r="B12600" s="187">
        <v>40274</v>
      </c>
      <c r="C12600" s="189">
        <v>3.98</v>
      </c>
      <c r="D12600" s="104">
        <f t="shared" si="197"/>
        <v>3.9800000000000002E-2</v>
      </c>
      <c r="F12600" s="49"/>
    </row>
    <row r="12601" spans="2:6" ht="13.8">
      <c r="B12601" s="187">
        <v>40275</v>
      </c>
      <c r="C12601" s="189">
        <v>3.89</v>
      </c>
      <c r="D12601" s="104">
        <f t="shared" si="197"/>
        <v>3.8900000000000004E-2</v>
      </c>
      <c r="F12601" s="49"/>
    </row>
    <row r="12602" spans="2:6" ht="13.8">
      <c r="B12602" s="187">
        <v>40276</v>
      </c>
      <c r="C12602" s="189">
        <v>3.91</v>
      </c>
      <c r="D12602" s="104">
        <f t="shared" si="197"/>
        <v>3.9100000000000003E-2</v>
      </c>
      <c r="F12602" s="49"/>
    </row>
    <row r="12603" spans="2:6" ht="13.8">
      <c r="B12603" s="187">
        <v>40277</v>
      </c>
      <c r="C12603" s="189">
        <v>3.9</v>
      </c>
      <c r="D12603" s="104">
        <f t="shared" si="197"/>
        <v>3.9E-2</v>
      </c>
      <c r="F12603" s="49"/>
    </row>
    <row r="12604" spans="2:6" ht="13.8">
      <c r="B12604" s="187">
        <v>40280</v>
      </c>
      <c r="C12604" s="189">
        <v>3.87</v>
      </c>
      <c r="D12604" s="104">
        <f t="shared" si="197"/>
        <v>3.8699999999999998E-2</v>
      </c>
      <c r="F12604" s="49"/>
    </row>
    <row r="12605" spans="2:6" ht="13.8">
      <c r="B12605" s="187">
        <v>40281</v>
      </c>
      <c r="C12605" s="189">
        <v>3.84</v>
      </c>
      <c r="D12605" s="104">
        <f t="shared" si="197"/>
        <v>3.8399999999999997E-2</v>
      </c>
      <c r="F12605" s="49"/>
    </row>
    <row r="12606" spans="2:6" ht="13.8">
      <c r="B12606" s="187">
        <v>40282</v>
      </c>
      <c r="C12606" s="189">
        <v>3.88</v>
      </c>
      <c r="D12606" s="104">
        <f t="shared" si="197"/>
        <v>3.8800000000000001E-2</v>
      </c>
      <c r="F12606" s="49"/>
    </row>
    <row r="12607" spans="2:6" ht="13.8">
      <c r="B12607" s="187">
        <v>40283</v>
      </c>
      <c r="C12607" s="189">
        <v>3.86</v>
      </c>
      <c r="D12607" s="104">
        <f t="shared" si="197"/>
        <v>3.8599999999999995E-2</v>
      </c>
      <c r="F12607" s="49"/>
    </row>
    <row r="12608" spans="2:6" ht="13.8">
      <c r="B12608" s="187">
        <v>40284</v>
      </c>
      <c r="C12608" s="189">
        <v>3.79</v>
      </c>
      <c r="D12608" s="104">
        <f t="shared" si="197"/>
        <v>3.7900000000000003E-2</v>
      </c>
      <c r="F12608" s="49"/>
    </row>
    <row r="12609" spans="2:6" ht="13.8">
      <c r="B12609" s="187">
        <v>40287</v>
      </c>
      <c r="C12609" s="189">
        <v>3.83</v>
      </c>
      <c r="D12609" s="104">
        <f t="shared" si="197"/>
        <v>3.8300000000000001E-2</v>
      </c>
      <c r="F12609" s="49"/>
    </row>
    <row r="12610" spans="2:6" ht="13.8">
      <c r="B12610" s="187">
        <v>40288</v>
      </c>
      <c r="C12610" s="189">
        <v>3.82</v>
      </c>
      <c r="D12610" s="104">
        <f t="shared" si="197"/>
        <v>3.8199999999999998E-2</v>
      </c>
      <c r="F12610" s="49"/>
    </row>
    <row r="12611" spans="2:6" ht="13.8">
      <c r="B12611" s="187">
        <v>40289</v>
      </c>
      <c r="C12611" s="189">
        <v>3.77</v>
      </c>
      <c r="D12611" s="104">
        <f t="shared" si="197"/>
        <v>3.7699999999999997E-2</v>
      </c>
      <c r="F12611" s="49"/>
    </row>
    <row r="12612" spans="2:6" ht="13.8">
      <c r="B12612" s="187">
        <v>40290</v>
      </c>
      <c r="C12612" s="189">
        <v>3.8</v>
      </c>
      <c r="D12612" s="104">
        <f t="shared" si="197"/>
        <v>3.7999999999999999E-2</v>
      </c>
      <c r="F12612" s="49"/>
    </row>
    <row r="12613" spans="2:6" ht="13.8">
      <c r="B12613" s="187">
        <v>40291</v>
      </c>
      <c r="C12613" s="189">
        <v>3.84</v>
      </c>
      <c r="D12613" s="104">
        <f t="shared" si="197"/>
        <v>3.8399999999999997E-2</v>
      </c>
      <c r="F12613" s="49"/>
    </row>
    <row r="12614" spans="2:6" ht="13.8">
      <c r="B12614" s="187">
        <v>40294</v>
      </c>
      <c r="C12614" s="189">
        <v>3.83</v>
      </c>
      <c r="D12614" s="104">
        <f t="shared" si="197"/>
        <v>3.8300000000000001E-2</v>
      </c>
      <c r="F12614" s="49"/>
    </row>
    <row r="12615" spans="2:6" ht="13.8">
      <c r="B12615" s="187">
        <v>40295</v>
      </c>
      <c r="C12615" s="189">
        <v>3.71</v>
      </c>
      <c r="D12615" s="104">
        <f t="shared" si="197"/>
        <v>3.7100000000000001E-2</v>
      </c>
      <c r="F12615" s="49"/>
    </row>
    <row r="12616" spans="2:6" ht="13.8">
      <c r="B12616" s="187">
        <v>40296</v>
      </c>
      <c r="C12616" s="189">
        <v>3.8</v>
      </c>
      <c r="D12616" s="104">
        <f t="shared" si="197"/>
        <v>3.7999999999999999E-2</v>
      </c>
      <c r="F12616" s="49"/>
    </row>
    <row r="12617" spans="2:6" ht="13.8">
      <c r="B12617" s="187">
        <v>40297</v>
      </c>
      <c r="C12617" s="189">
        <v>3.76</v>
      </c>
      <c r="D12617" s="104">
        <f t="shared" si="197"/>
        <v>3.7599999999999995E-2</v>
      </c>
      <c r="F12617" s="49"/>
    </row>
    <row r="12618" spans="2:6" ht="13.8">
      <c r="B12618" s="187">
        <v>40298</v>
      </c>
      <c r="C12618" s="189">
        <v>3.69</v>
      </c>
      <c r="D12618" s="104">
        <f t="shared" si="197"/>
        <v>3.6900000000000002E-2</v>
      </c>
      <c r="F12618" s="49"/>
    </row>
    <row r="12619" spans="2:6" ht="13.8">
      <c r="B12619" s="187">
        <v>40301</v>
      </c>
      <c r="C12619" s="189">
        <v>3.72</v>
      </c>
      <c r="D12619" s="104">
        <f t="shared" si="197"/>
        <v>3.7200000000000004E-2</v>
      </c>
      <c r="F12619" s="49"/>
    </row>
    <row r="12620" spans="2:6" ht="13.8">
      <c r="B12620" s="187">
        <v>40302</v>
      </c>
      <c r="C12620" s="189">
        <v>3.63</v>
      </c>
      <c r="D12620" s="104">
        <f t="shared" si="197"/>
        <v>3.6299999999999999E-2</v>
      </c>
      <c r="F12620" s="49"/>
    </row>
    <row r="12621" spans="2:6" ht="13.8">
      <c r="B12621" s="187">
        <v>40303</v>
      </c>
      <c r="C12621" s="189">
        <v>3.58</v>
      </c>
      <c r="D12621" s="104">
        <f t="shared" si="197"/>
        <v>3.5799999999999998E-2</v>
      </c>
      <c r="F12621" s="49"/>
    </row>
    <row r="12622" spans="2:6" ht="13.8">
      <c r="B12622" s="187">
        <v>40304</v>
      </c>
      <c r="C12622" s="189">
        <v>3.41</v>
      </c>
      <c r="D12622" s="104">
        <f t="shared" si="197"/>
        <v>3.4099999999999998E-2</v>
      </c>
      <c r="F12622" s="49"/>
    </row>
    <row r="12623" spans="2:6" ht="13.8">
      <c r="B12623" s="187">
        <v>40305</v>
      </c>
      <c r="C12623" s="189">
        <v>3.45</v>
      </c>
      <c r="D12623" s="104">
        <f t="shared" si="197"/>
        <v>3.4500000000000003E-2</v>
      </c>
      <c r="F12623" s="49"/>
    </row>
    <row r="12624" spans="2:6" ht="13.8">
      <c r="B12624" s="187">
        <v>40308</v>
      </c>
      <c r="C12624" s="189">
        <v>3.57</v>
      </c>
      <c r="D12624" s="104">
        <f t="shared" si="197"/>
        <v>3.5699999999999996E-2</v>
      </c>
      <c r="F12624" s="49"/>
    </row>
    <row r="12625" spans="2:6" ht="13.8">
      <c r="B12625" s="187">
        <v>40309</v>
      </c>
      <c r="C12625" s="189">
        <v>3.56</v>
      </c>
      <c r="D12625" s="104">
        <f t="shared" si="197"/>
        <v>3.56E-2</v>
      </c>
      <c r="F12625" s="49"/>
    </row>
    <row r="12626" spans="2:6" ht="13.8">
      <c r="B12626" s="187">
        <v>40310</v>
      </c>
      <c r="C12626" s="189">
        <v>3.56</v>
      </c>
      <c r="D12626" s="104">
        <f t="shared" si="197"/>
        <v>3.56E-2</v>
      </c>
      <c r="F12626" s="49"/>
    </row>
    <row r="12627" spans="2:6" ht="13.8">
      <c r="B12627" s="187">
        <v>40311</v>
      </c>
      <c r="C12627" s="189">
        <v>3.55</v>
      </c>
      <c r="D12627" s="104">
        <f t="shared" si="197"/>
        <v>3.5499999999999997E-2</v>
      </c>
      <c r="F12627" s="49"/>
    </row>
    <row r="12628" spans="2:6" ht="13.8">
      <c r="B12628" s="187">
        <v>40312</v>
      </c>
      <c r="C12628" s="189">
        <v>3.44</v>
      </c>
      <c r="D12628" s="104">
        <f t="shared" si="197"/>
        <v>3.44E-2</v>
      </c>
      <c r="F12628" s="49"/>
    </row>
    <row r="12629" spans="2:6" ht="13.8">
      <c r="B12629" s="187">
        <v>40315</v>
      </c>
      <c r="C12629" s="189">
        <v>3.47</v>
      </c>
      <c r="D12629" s="104">
        <f t="shared" si="197"/>
        <v>3.4700000000000002E-2</v>
      </c>
      <c r="F12629" s="49"/>
    </row>
    <row r="12630" spans="2:6" ht="13.8">
      <c r="B12630" s="187">
        <v>40316</v>
      </c>
      <c r="C12630" s="189">
        <v>3.38</v>
      </c>
      <c r="D12630" s="104">
        <f t="shared" si="197"/>
        <v>3.3799999999999997E-2</v>
      </c>
      <c r="F12630" s="49"/>
    </row>
    <row r="12631" spans="2:6" ht="13.8">
      <c r="B12631" s="187">
        <v>40317</v>
      </c>
      <c r="C12631" s="189">
        <v>3.36</v>
      </c>
      <c r="D12631" s="104">
        <f t="shared" si="197"/>
        <v>3.3599999999999998E-2</v>
      </c>
      <c r="F12631" s="49"/>
    </row>
    <row r="12632" spans="2:6" ht="13.8">
      <c r="B12632" s="187">
        <v>40318</v>
      </c>
      <c r="C12632" s="189">
        <v>3.25</v>
      </c>
      <c r="D12632" s="104">
        <f t="shared" si="197"/>
        <v>3.2500000000000001E-2</v>
      </c>
      <c r="F12632" s="49"/>
    </row>
    <row r="12633" spans="2:6" ht="13.8">
      <c r="B12633" s="187">
        <v>40319</v>
      </c>
      <c r="C12633" s="189">
        <v>3.2</v>
      </c>
      <c r="D12633" s="104">
        <f t="shared" si="197"/>
        <v>3.2000000000000001E-2</v>
      </c>
      <c r="F12633" s="49"/>
    </row>
    <row r="12634" spans="2:6" ht="13.8">
      <c r="B12634" s="187">
        <v>40322</v>
      </c>
      <c r="C12634" s="189">
        <v>3.23</v>
      </c>
      <c r="D12634" s="104">
        <f t="shared" si="197"/>
        <v>3.2300000000000002E-2</v>
      </c>
      <c r="F12634" s="49"/>
    </row>
    <row r="12635" spans="2:6" ht="13.8">
      <c r="B12635" s="187">
        <v>40323</v>
      </c>
      <c r="C12635" s="189">
        <v>3.18</v>
      </c>
      <c r="D12635" s="104">
        <f t="shared" si="197"/>
        <v>3.1800000000000002E-2</v>
      </c>
      <c r="F12635" s="49"/>
    </row>
    <row r="12636" spans="2:6" ht="13.8">
      <c r="B12636" s="187">
        <v>40324</v>
      </c>
      <c r="C12636" s="189">
        <v>3.21</v>
      </c>
      <c r="D12636" s="104">
        <f t="shared" si="197"/>
        <v>3.2099999999999997E-2</v>
      </c>
      <c r="F12636" s="49"/>
    </row>
    <row r="12637" spans="2:6" ht="13.8">
      <c r="B12637" s="187">
        <v>40325</v>
      </c>
      <c r="C12637" s="189">
        <v>3.34</v>
      </c>
      <c r="D12637" s="104">
        <f t="shared" si="197"/>
        <v>3.3399999999999999E-2</v>
      </c>
      <c r="F12637" s="49"/>
    </row>
    <row r="12638" spans="2:6" ht="13.8">
      <c r="B12638" s="187">
        <v>40326</v>
      </c>
      <c r="C12638" s="189">
        <v>3.31</v>
      </c>
      <c r="D12638" s="104">
        <f t="shared" si="197"/>
        <v>3.3099999999999997E-2</v>
      </c>
      <c r="F12638" s="49"/>
    </row>
    <row r="12639" spans="2:6" ht="13.8">
      <c r="B12639" s="187">
        <v>40330</v>
      </c>
      <c r="C12639" s="189">
        <v>3.29</v>
      </c>
      <c r="D12639" s="104">
        <f t="shared" si="197"/>
        <v>3.2899999999999999E-2</v>
      </c>
      <c r="F12639" s="49"/>
    </row>
    <row r="12640" spans="2:6" ht="13.8">
      <c r="B12640" s="187">
        <v>40331</v>
      </c>
      <c r="C12640" s="189">
        <v>3.35</v>
      </c>
      <c r="D12640" s="104">
        <f t="shared" si="197"/>
        <v>3.3500000000000002E-2</v>
      </c>
      <c r="F12640" s="49"/>
    </row>
    <row r="12641" spans="2:6" ht="13.8">
      <c r="B12641" s="187">
        <v>40332</v>
      </c>
      <c r="C12641" s="189">
        <v>3.39</v>
      </c>
      <c r="D12641" s="104">
        <f t="shared" si="197"/>
        <v>3.39E-2</v>
      </c>
      <c r="F12641" s="49"/>
    </row>
    <row r="12642" spans="2:6" ht="13.8">
      <c r="B12642" s="187">
        <v>40333</v>
      </c>
      <c r="C12642" s="189">
        <v>3.2</v>
      </c>
      <c r="D12642" s="104">
        <f t="shared" si="197"/>
        <v>3.2000000000000001E-2</v>
      </c>
      <c r="F12642" s="49"/>
    </row>
    <row r="12643" spans="2:6" ht="13.8">
      <c r="B12643" s="187">
        <v>40336</v>
      </c>
      <c r="C12643" s="189">
        <v>3.17</v>
      </c>
      <c r="D12643" s="104">
        <f t="shared" si="197"/>
        <v>3.1699999999999999E-2</v>
      </c>
      <c r="F12643" s="49"/>
    </row>
    <row r="12644" spans="2:6" ht="13.8">
      <c r="B12644" s="187">
        <v>40337</v>
      </c>
      <c r="C12644" s="189">
        <v>3.18</v>
      </c>
      <c r="D12644" s="104">
        <f t="shared" si="197"/>
        <v>3.1800000000000002E-2</v>
      </c>
      <c r="F12644" s="49"/>
    </row>
    <row r="12645" spans="2:6" ht="13.8">
      <c r="B12645" s="187">
        <v>40338</v>
      </c>
      <c r="C12645" s="189">
        <v>3.2</v>
      </c>
      <c r="D12645" s="104">
        <f t="shared" si="197"/>
        <v>3.2000000000000001E-2</v>
      </c>
      <c r="F12645" s="49"/>
    </row>
    <row r="12646" spans="2:6" ht="13.8">
      <c r="B12646" s="187">
        <v>40339</v>
      </c>
      <c r="C12646" s="189">
        <v>3.33</v>
      </c>
      <c r="D12646" s="104">
        <f t="shared" si="197"/>
        <v>3.3300000000000003E-2</v>
      </c>
      <c r="F12646" s="49"/>
    </row>
    <row r="12647" spans="2:6" ht="13.8">
      <c r="B12647" s="187">
        <v>40340</v>
      </c>
      <c r="C12647" s="189">
        <v>3.24</v>
      </c>
      <c r="D12647" s="104">
        <f t="shared" si="197"/>
        <v>3.2400000000000005E-2</v>
      </c>
      <c r="F12647" s="49"/>
    </row>
    <row r="12648" spans="2:6" ht="13.8">
      <c r="B12648" s="187">
        <v>40343</v>
      </c>
      <c r="C12648" s="189">
        <v>3.28</v>
      </c>
      <c r="D12648" s="104">
        <f t="shared" si="197"/>
        <v>3.2799999999999996E-2</v>
      </c>
      <c r="F12648" s="49"/>
    </row>
    <row r="12649" spans="2:6" ht="13.8">
      <c r="B12649" s="187">
        <v>40344</v>
      </c>
      <c r="C12649" s="189">
        <v>3.32</v>
      </c>
      <c r="D12649" s="104">
        <f t="shared" si="197"/>
        <v>3.32E-2</v>
      </c>
      <c r="F12649" s="49"/>
    </row>
    <row r="12650" spans="2:6" ht="13.8">
      <c r="B12650" s="187">
        <v>40345</v>
      </c>
      <c r="C12650" s="189">
        <v>3.27</v>
      </c>
      <c r="D12650" s="104">
        <f t="shared" si="197"/>
        <v>3.27E-2</v>
      </c>
      <c r="F12650" s="49"/>
    </row>
    <row r="12651" spans="2:6" ht="13.8">
      <c r="B12651" s="187">
        <v>40346</v>
      </c>
      <c r="C12651" s="189">
        <v>3.21</v>
      </c>
      <c r="D12651" s="104">
        <f t="shared" si="197"/>
        <v>3.2099999999999997E-2</v>
      </c>
      <c r="F12651" s="49"/>
    </row>
    <row r="12652" spans="2:6" ht="13.8">
      <c r="B12652" s="187">
        <v>40347</v>
      </c>
      <c r="C12652" s="189">
        <v>3.24</v>
      </c>
      <c r="D12652" s="104">
        <f t="shared" si="197"/>
        <v>3.2400000000000005E-2</v>
      </c>
      <c r="F12652" s="49"/>
    </row>
    <row r="12653" spans="2:6" ht="13.8">
      <c r="B12653" s="187">
        <v>40350</v>
      </c>
      <c r="C12653" s="189">
        <v>3.26</v>
      </c>
      <c r="D12653" s="104">
        <f t="shared" si="197"/>
        <v>3.2599999999999997E-2</v>
      </c>
      <c r="F12653" s="49"/>
    </row>
    <row r="12654" spans="2:6" ht="13.8">
      <c r="B12654" s="187">
        <v>40351</v>
      </c>
      <c r="C12654" s="189">
        <v>3.18</v>
      </c>
      <c r="D12654" s="104">
        <f t="shared" si="197"/>
        <v>3.1800000000000002E-2</v>
      </c>
      <c r="F12654" s="49"/>
    </row>
    <row r="12655" spans="2:6" ht="13.8">
      <c r="B12655" s="187">
        <v>40352</v>
      </c>
      <c r="C12655" s="189">
        <v>3.13</v>
      </c>
      <c r="D12655" s="104">
        <f t="shared" si="197"/>
        <v>3.1300000000000001E-2</v>
      </c>
      <c r="F12655" s="49"/>
    </row>
    <row r="12656" spans="2:6" ht="13.8">
      <c r="B12656" s="187">
        <v>40353</v>
      </c>
      <c r="C12656" s="189">
        <v>3.14</v>
      </c>
      <c r="D12656" s="104">
        <f t="shared" si="197"/>
        <v>3.1400000000000004E-2</v>
      </c>
      <c r="F12656" s="49"/>
    </row>
    <row r="12657" spans="2:6" ht="13.8">
      <c r="B12657" s="187">
        <v>40354</v>
      </c>
      <c r="C12657" s="189">
        <v>3.12</v>
      </c>
      <c r="D12657" s="104">
        <f t="shared" si="197"/>
        <v>3.1200000000000002E-2</v>
      </c>
      <c r="F12657" s="49"/>
    </row>
    <row r="12658" spans="2:6" ht="13.8">
      <c r="B12658" s="187">
        <v>40357</v>
      </c>
      <c r="C12658" s="189">
        <v>3.05</v>
      </c>
      <c r="D12658" s="104">
        <f t="shared" si="197"/>
        <v>3.0499999999999999E-2</v>
      </c>
      <c r="F12658" s="49"/>
    </row>
    <row r="12659" spans="2:6" ht="13.8">
      <c r="B12659" s="187">
        <v>40358</v>
      </c>
      <c r="C12659" s="189">
        <v>2.97</v>
      </c>
      <c r="D12659" s="104">
        <f t="shared" si="197"/>
        <v>2.9700000000000001E-2</v>
      </c>
      <c r="F12659" s="49"/>
    </row>
    <row r="12660" spans="2:6" ht="13.8">
      <c r="B12660" s="187">
        <v>40359</v>
      </c>
      <c r="C12660" s="189">
        <v>2.97</v>
      </c>
      <c r="D12660" s="104">
        <f t="shared" si="197"/>
        <v>2.9700000000000001E-2</v>
      </c>
      <c r="F12660" s="49"/>
    </row>
    <row r="12661" spans="2:6" ht="13.8">
      <c r="B12661" s="187">
        <v>40360</v>
      </c>
      <c r="C12661" s="189">
        <v>2.96</v>
      </c>
      <c r="D12661" s="104">
        <f t="shared" ref="D12661:D12724" si="198">IF( LEN( C12661 ) = 0, #N/A, IF( C12661 = "ND", D12660, C12661 / 100 ) )</f>
        <v>2.9600000000000001E-2</v>
      </c>
      <c r="F12661" s="49"/>
    </row>
    <row r="12662" spans="2:6" ht="13.8">
      <c r="B12662" s="187">
        <v>40361</v>
      </c>
      <c r="C12662" s="189">
        <v>3</v>
      </c>
      <c r="D12662" s="104">
        <f t="shared" si="198"/>
        <v>0.03</v>
      </c>
      <c r="F12662" s="49"/>
    </row>
    <row r="12663" spans="2:6" ht="13.8">
      <c r="B12663" s="187">
        <v>40365</v>
      </c>
      <c r="C12663" s="189">
        <v>2.95</v>
      </c>
      <c r="D12663" s="104">
        <f t="shared" si="198"/>
        <v>2.9500000000000002E-2</v>
      </c>
      <c r="F12663" s="49"/>
    </row>
    <row r="12664" spans="2:6" ht="13.8">
      <c r="B12664" s="187">
        <v>40366</v>
      </c>
      <c r="C12664" s="189">
        <v>3</v>
      </c>
      <c r="D12664" s="104">
        <f t="shared" si="198"/>
        <v>0.03</v>
      </c>
      <c r="F12664" s="49"/>
    </row>
    <row r="12665" spans="2:6" ht="13.8">
      <c r="B12665" s="187">
        <v>40367</v>
      </c>
      <c r="C12665" s="189">
        <v>3.04</v>
      </c>
      <c r="D12665" s="104">
        <f t="shared" si="198"/>
        <v>3.04E-2</v>
      </c>
      <c r="F12665" s="49"/>
    </row>
    <row r="12666" spans="2:6" ht="13.8">
      <c r="B12666" s="187">
        <v>40368</v>
      </c>
      <c r="C12666" s="189">
        <v>3.07</v>
      </c>
      <c r="D12666" s="104">
        <f t="shared" si="198"/>
        <v>3.0699999999999998E-2</v>
      </c>
      <c r="F12666" s="49"/>
    </row>
    <row r="12667" spans="2:6" ht="13.8">
      <c r="B12667" s="187">
        <v>40371</v>
      </c>
      <c r="C12667" s="189">
        <v>3.08</v>
      </c>
      <c r="D12667" s="104">
        <f t="shared" si="198"/>
        <v>3.0800000000000001E-2</v>
      </c>
      <c r="F12667" s="49"/>
    </row>
    <row r="12668" spans="2:6" ht="13.8">
      <c r="B12668" s="187">
        <v>40372</v>
      </c>
      <c r="C12668" s="189">
        <v>3.15</v>
      </c>
      <c r="D12668" s="104">
        <f t="shared" si="198"/>
        <v>3.15E-2</v>
      </c>
      <c r="F12668" s="49"/>
    </row>
    <row r="12669" spans="2:6" ht="13.8">
      <c r="B12669" s="187">
        <v>40373</v>
      </c>
      <c r="C12669" s="189">
        <v>3.07</v>
      </c>
      <c r="D12669" s="104">
        <f t="shared" si="198"/>
        <v>3.0699999999999998E-2</v>
      </c>
      <c r="F12669" s="49"/>
    </row>
    <row r="12670" spans="2:6" ht="13.8">
      <c r="B12670" s="187">
        <v>40374</v>
      </c>
      <c r="C12670" s="189">
        <v>3</v>
      </c>
      <c r="D12670" s="104">
        <f t="shared" si="198"/>
        <v>0.03</v>
      </c>
      <c r="F12670" s="49"/>
    </row>
    <row r="12671" spans="2:6" ht="13.8">
      <c r="B12671" s="187">
        <v>40375</v>
      </c>
      <c r="C12671" s="189">
        <v>2.96</v>
      </c>
      <c r="D12671" s="104">
        <f t="shared" si="198"/>
        <v>2.9600000000000001E-2</v>
      </c>
      <c r="F12671" s="49"/>
    </row>
    <row r="12672" spans="2:6" ht="13.8">
      <c r="B12672" s="187">
        <v>40378</v>
      </c>
      <c r="C12672" s="189">
        <v>2.99</v>
      </c>
      <c r="D12672" s="104">
        <f t="shared" si="198"/>
        <v>2.9900000000000003E-2</v>
      </c>
      <c r="F12672" s="49"/>
    </row>
    <row r="12673" spans="2:6" ht="13.8">
      <c r="B12673" s="187">
        <v>40379</v>
      </c>
      <c r="C12673" s="189">
        <v>2.98</v>
      </c>
      <c r="D12673" s="104">
        <f t="shared" si="198"/>
        <v>2.98E-2</v>
      </c>
      <c r="F12673" s="49"/>
    </row>
    <row r="12674" spans="2:6" ht="13.8">
      <c r="B12674" s="187">
        <v>40380</v>
      </c>
      <c r="C12674" s="189">
        <v>2.9</v>
      </c>
      <c r="D12674" s="104">
        <f t="shared" si="198"/>
        <v>2.8999999999999998E-2</v>
      </c>
      <c r="F12674" s="49"/>
    </row>
    <row r="12675" spans="2:6" ht="13.8">
      <c r="B12675" s="187">
        <v>40381</v>
      </c>
      <c r="C12675" s="189">
        <v>2.96</v>
      </c>
      <c r="D12675" s="104">
        <f t="shared" si="198"/>
        <v>2.9600000000000001E-2</v>
      </c>
      <c r="F12675" s="49"/>
    </row>
    <row r="12676" spans="2:6" ht="13.8">
      <c r="B12676" s="187">
        <v>40382</v>
      </c>
      <c r="C12676" s="189">
        <v>3.02</v>
      </c>
      <c r="D12676" s="104">
        <f t="shared" si="198"/>
        <v>3.0200000000000001E-2</v>
      </c>
      <c r="F12676" s="49"/>
    </row>
    <row r="12677" spans="2:6" ht="13.8">
      <c r="B12677" s="187">
        <v>40385</v>
      </c>
      <c r="C12677" s="189">
        <v>3.03</v>
      </c>
      <c r="D12677" s="104">
        <f t="shared" si="198"/>
        <v>3.0299999999999997E-2</v>
      </c>
      <c r="F12677" s="49"/>
    </row>
    <row r="12678" spans="2:6" ht="13.8">
      <c r="B12678" s="187">
        <v>40386</v>
      </c>
      <c r="C12678" s="189">
        <v>3.08</v>
      </c>
      <c r="D12678" s="104">
        <f t="shared" si="198"/>
        <v>3.0800000000000001E-2</v>
      </c>
      <c r="F12678" s="49"/>
    </row>
    <row r="12679" spans="2:6" ht="13.8">
      <c r="B12679" s="187">
        <v>40387</v>
      </c>
      <c r="C12679" s="189">
        <v>3.03</v>
      </c>
      <c r="D12679" s="104">
        <f t="shared" si="198"/>
        <v>3.0299999999999997E-2</v>
      </c>
      <c r="F12679" s="49"/>
    </row>
    <row r="12680" spans="2:6" ht="13.8">
      <c r="B12680" s="187">
        <v>40388</v>
      </c>
      <c r="C12680" s="189">
        <v>3.03</v>
      </c>
      <c r="D12680" s="104">
        <f t="shared" si="198"/>
        <v>3.0299999999999997E-2</v>
      </c>
      <c r="F12680" s="49"/>
    </row>
    <row r="12681" spans="2:6" ht="13.8">
      <c r="B12681" s="187">
        <v>40389</v>
      </c>
      <c r="C12681" s="189">
        <v>2.94</v>
      </c>
      <c r="D12681" s="104">
        <f t="shared" si="198"/>
        <v>2.9399999999999999E-2</v>
      </c>
      <c r="F12681" s="49"/>
    </row>
    <row r="12682" spans="2:6" ht="13.8">
      <c r="B12682" s="187">
        <v>40392</v>
      </c>
      <c r="C12682" s="189">
        <v>2.99</v>
      </c>
      <c r="D12682" s="104">
        <f t="shared" si="198"/>
        <v>2.9900000000000003E-2</v>
      </c>
      <c r="F12682" s="49"/>
    </row>
    <row r="12683" spans="2:6" ht="13.8">
      <c r="B12683" s="187">
        <v>40393</v>
      </c>
      <c r="C12683" s="189">
        <v>2.94</v>
      </c>
      <c r="D12683" s="104">
        <f t="shared" si="198"/>
        <v>2.9399999999999999E-2</v>
      </c>
      <c r="F12683" s="49"/>
    </row>
    <row r="12684" spans="2:6" ht="13.8">
      <c r="B12684" s="187">
        <v>40394</v>
      </c>
      <c r="C12684" s="189">
        <v>2.98</v>
      </c>
      <c r="D12684" s="104">
        <f t="shared" si="198"/>
        <v>2.98E-2</v>
      </c>
      <c r="F12684" s="49"/>
    </row>
    <row r="12685" spans="2:6" ht="13.8">
      <c r="B12685" s="187">
        <v>40395</v>
      </c>
      <c r="C12685" s="189">
        <v>2.94</v>
      </c>
      <c r="D12685" s="104">
        <f t="shared" si="198"/>
        <v>2.9399999999999999E-2</v>
      </c>
      <c r="F12685" s="49"/>
    </row>
    <row r="12686" spans="2:6" ht="13.8">
      <c r="B12686" s="187">
        <v>40396</v>
      </c>
      <c r="C12686" s="189">
        <v>2.86</v>
      </c>
      <c r="D12686" s="104">
        <f t="shared" si="198"/>
        <v>2.86E-2</v>
      </c>
      <c r="F12686" s="49"/>
    </row>
    <row r="12687" spans="2:6" ht="13.8">
      <c r="B12687" s="187">
        <v>40399</v>
      </c>
      <c r="C12687" s="189">
        <v>2.86</v>
      </c>
      <c r="D12687" s="104">
        <f t="shared" si="198"/>
        <v>2.86E-2</v>
      </c>
      <c r="F12687" s="49"/>
    </row>
    <row r="12688" spans="2:6" ht="13.8">
      <c r="B12688" s="187">
        <v>40400</v>
      </c>
      <c r="C12688" s="189">
        <v>2.79</v>
      </c>
      <c r="D12688" s="104">
        <f t="shared" si="198"/>
        <v>2.7900000000000001E-2</v>
      </c>
      <c r="F12688" s="49"/>
    </row>
    <row r="12689" spans="2:6" ht="13.8">
      <c r="B12689" s="187">
        <v>40401</v>
      </c>
      <c r="C12689" s="189">
        <v>2.72</v>
      </c>
      <c r="D12689" s="104">
        <f t="shared" si="198"/>
        <v>2.7200000000000002E-2</v>
      </c>
      <c r="F12689" s="49"/>
    </row>
    <row r="12690" spans="2:6" ht="13.8">
      <c r="B12690" s="187">
        <v>40402</v>
      </c>
      <c r="C12690" s="189">
        <v>2.74</v>
      </c>
      <c r="D12690" s="104">
        <f t="shared" si="198"/>
        <v>2.7400000000000001E-2</v>
      </c>
      <c r="F12690" s="49"/>
    </row>
    <row r="12691" spans="2:6" ht="13.8">
      <c r="B12691" s="187">
        <v>40403</v>
      </c>
      <c r="C12691" s="189">
        <v>2.68</v>
      </c>
      <c r="D12691" s="104">
        <f t="shared" si="198"/>
        <v>2.6800000000000001E-2</v>
      </c>
      <c r="F12691" s="49"/>
    </row>
    <row r="12692" spans="2:6" ht="13.8">
      <c r="B12692" s="187">
        <v>40406</v>
      </c>
      <c r="C12692" s="189">
        <v>2.58</v>
      </c>
      <c r="D12692" s="104">
        <f t="shared" si="198"/>
        <v>2.58E-2</v>
      </c>
      <c r="F12692" s="49"/>
    </row>
    <row r="12693" spans="2:6" ht="13.8">
      <c r="B12693" s="187">
        <v>40407</v>
      </c>
      <c r="C12693" s="189">
        <v>2.64</v>
      </c>
      <c r="D12693" s="104">
        <f t="shared" si="198"/>
        <v>2.64E-2</v>
      </c>
      <c r="F12693" s="49"/>
    </row>
    <row r="12694" spans="2:6" ht="13.8">
      <c r="B12694" s="187">
        <v>40408</v>
      </c>
      <c r="C12694" s="189">
        <v>2.64</v>
      </c>
      <c r="D12694" s="104">
        <f t="shared" si="198"/>
        <v>2.64E-2</v>
      </c>
      <c r="F12694" s="49"/>
    </row>
    <row r="12695" spans="2:6" ht="13.8">
      <c r="B12695" s="187">
        <v>40409</v>
      </c>
      <c r="C12695" s="189">
        <v>2.58</v>
      </c>
      <c r="D12695" s="104">
        <f t="shared" si="198"/>
        <v>2.58E-2</v>
      </c>
      <c r="F12695" s="49"/>
    </row>
    <row r="12696" spans="2:6" ht="13.8">
      <c r="B12696" s="187">
        <v>40410</v>
      </c>
      <c r="C12696" s="189">
        <v>2.62</v>
      </c>
      <c r="D12696" s="104">
        <f t="shared" si="198"/>
        <v>2.6200000000000001E-2</v>
      </c>
      <c r="F12696" s="49"/>
    </row>
    <row r="12697" spans="2:6" ht="13.8">
      <c r="B12697" s="187">
        <v>40413</v>
      </c>
      <c r="C12697" s="189">
        <v>2.6</v>
      </c>
      <c r="D12697" s="104">
        <f t="shared" si="198"/>
        <v>2.6000000000000002E-2</v>
      </c>
      <c r="F12697" s="49"/>
    </row>
    <row r="12698" spans="2:6" ht="13.8">
      <c r="B12698" s="187">
        <v>40414</v>
      </c>
      <c r="C12698" s="189">
        <v>2.5</v>
      </c>
      <c r="D12698" s="104">
        <f t="shared" si="198"/>
        <v>2.5000000000000001E-2</v>
      </c>
      <c r="F12698" s="49"/>
    </row>
    <row r="12699" spans="2:6" ht="13.8">
      <c r="B12699" s="187">
        <v>40415</v>
      </c>
      <c r="C12699" s="189">
        <v>2.54</v>
      </c>
      <c r="D12699" s="104">
        <f t="shared" si="198"/>
        <v>2.5399999999999999E-2</v>
      </c>
      <c r="F12699" s="49"/>
    </row>
    <row r="12700" spans="2:6" ht="13.8">
      <c r="B12700" s="187">
        <v>40416</v>
      </c>
      <c r="C12700" s="189">
        <v>2.5</v>
      </c>
      <c r="D12700" s="104">
        <f t="shared" si="198"/>
        <v>2.5000000000000001E-2</v>
      </c>
      <c r="F12700" s="49"/>
    </row>
    <row r="12701" spans="2:6" ht="13.8">
      <c r="B12701" s="187">
        <v>40417</v>
      </c>
      <c r="C12701" s="189">
        <v>2.66</v>
      </c>
      <c r="D12701" s="104">
        <f t="shared" si="198"/>
        <v>2.6600000000000002E-2</v>
      </c>
      <c r="F12701" s="49"/>
    </row>
    <row r="12702" spans="2:6" ht="13.8">
      <c r="B12702" s="187">
        <v>40420</v>
      </c>
      <c r="C12702" s="189">
        <v>2.54</v>
      </c>
      <c r="D12702" s="104">
        <f t="shared" si="198"/>
        <v>2.5399999999999999E-2</v>
      </c>
      <c r="F12702" s="49"/>
    </row>
    <row r="12703" spans="2:6" ht="13.8">
      <c r="B12703" s="187">
        <v>40421</v>
      </c>
      <c r="C12703" s="189">
        <v>2.4700000000000002</v>
      </c>
      <c r="D12703" s="104">
        <f t="shared" si="198"/>
        <v>2.4700000000000003E-2</v>
      </c>
      <c r="F12703" s="49"/>
    </row>
    <row r="12704" spans="2:6" ht="13.8">
      <c r="B12704" s="187">
        <v>40422</v>
      </c>
      <c r="C12704" s="189">
        <v>2.58</v>
      </c>
      <c r="D12704" s="104">
        <f t="shared" si="198"/>
        <v>2.58E-2</v>
      </c>
      <c r="F12704" s="49"/>
    </row>
    <row r="12705" spans="2:6" ht="13.8">
      <c r="B12705" s="187">
        <v>40423</v>
      </c>
      <c r="C12705" s="189">
        <v>2.63</v>
      </c>
      <c r="D12705" s="104">
        <f t="shared" si="198"/>
        <v>2.63E-2</v>
      </c>
      <c r="F12705" s="49"/>
    </row>
    <row r="12706" spans="2:6" ht="13.8">
      <c r="B12706" s="187">
        <v>40424</v>
      </c>
      <c r="C12706" s="189">
        <v>2.72</v>
      </c>
      <c r="D12706" s="104">
        <f t="shared" si="198"/>
        <v>2.7200000000000002E-2</v>
      </c>
      <c r="F12706" s="49"/>
    </row>
    <row r="12707" spans="2:6" ht="13.8">
      <c r="B12707" s="187">
        <v>40428</v>
      </c>
      <c r="C12707" s="189">
        <v>2.61</v>
      </c>
      <c r="D12707" s="104">
        <f t="shared" si="198"/>
        <v>2.6099999999999998E-2</v>
      </c>
      <c r="F12707" s="49"/>
    </row>
    <row r="12708" spans="2:6" ht="13.8">
      <c r="B12708" s="187">
        <v>40429</v>
      </c>
      <c r="C12708" s="189">
        <v>2.66</v>
      </c>
      <c r="D12708" s="104">
        <f t="shared" si="198"/>
        <v>2.6600000000000002E-2</v>
      </c>
      <c r="F12708" s="49"/>
    </row>
    <row r="12709" spans="2:6" ht="13.8">
      <c r="B12709" s="187">
        <v>40430</v>
      </c>
      <c r="C12709" s="189">
        <v>2.77</v>
      </c>
      <c r="D12709" s="104">
        <f t="shared" si="198"/>
        <v>2.7699999999999999E-2</v>
      </c>
      <c r="F12709" s="49"/>
    </row>
    <row r="12710" spans="2:6" ht="13.8">
      <c r="B12710" s="187">
        <v>40431</v>
      </c>
      <c r="C12710" s="189">
        <v>2.81</v>
      </c>
      <c r="D12710" s="104">
        <f t="shared" si="198"/>
        <v>2.81E-2</v>
      </c>
      <c r="F12710" s="49"/>
    </row>
    <row r="12711" spans="2:6" ht="13.8">
      <c r="B12711" s="187">
        <v>40434</v>
      </c>
      <c r="C12711" s="189">
        <v>2.74</v>
      </c>
      <c r="D12711" s="104">
        <f t="shared" si="198"/>
        <v>2.7400000000000001E-2</v>
      </c>
      <c r="F12711" s="49"/>
    </row>
    <row r="12712" spans="2:6" ht="13.8">
      <c r="B12712" s="187">
        <v>40435</v>
      </c>
      <c r="C12712" s="189">
        <v>2.68</v>
      </c>
      <c r="D12712" s="104">
        <f t="shared" si="198"/>
        <v>2.6800000000000001E-2</v>
      </c>
      <c r="F12712" s="49"/>
    </row>
    <row r="12713" spans="2:6" ht="13.8">
      <c r="B12713" s="187">
        <v>40436</v>
      </c>
      <c r="C12713" s="189">
        <v>2.74</v>
      </c>
      <c r="D12713" s="104">
        <f t="shared" si="198"/>
        <v>2.7400000000000001E-2</v>
      </c>
      <c r="F12713" s="49"/>
    </row>
    <row r="12714" spans="2:6" ht="13.8">
      <c r="B12714" s="187">
        <v>40437</v>
      </c>
      <c r="C12714" s="189">
        <v>2.77</v>
      </c>
      <c r="D12714" s="104">
        <f t="shared" si="198"/>
        <v>2.7699999999999999E-2</v>
      </c>
      <c r="F12714" s="49"/>
    </row>
    <row r="12715" spans="2:6" ht="13.8">
      <c r="B12715" s="187">
        <v>40438</v>
      </c>
      <c r="C12715" s="189">
        <v>2.75</v>
      </c>
      <c r="D12715" s="104">
        <f t="shared" si="198"/>
        <v>2.75E-2</v>
      </c>
      <c r="F12715" s="49"/>
    </row>
    <row r="12716" spans="2:6" ht="13.8">
      <c r="B12716" s="187">
        <v>40441</v>
      </c>
      <c r="C12716" s="189">
        <v>2.72</v>
      </c>
      <c r="D12716" s="104">
        <f t="shared" si="198"/>
        <v>2.7200000000000002E-2</v>
      </c>
      <c r="F12716" s="49"/>
    </row>
    <row r="12717" spans="2:6" ht="13.8">
      <c r="B12717" s="187">
        <v>40442</v>
      </c>
      <c r="C12717" s="189">
        <v>2.61</v>
      </c>
      <c r="D12717" s="104">
        <f t="shared" si="198"/>
        <v>2.6099999999999998E-2</v>
      </c>
      <c r="F12717" s="49"/>
    </row>
    <row r="12718" spans="2:6" ht="13.8">
      <c r="B12718" s="187">
        <v>40443</v>
      </c>
      <c r="C12718" s="189">
        <v>2.56</v>
      </c>
      <c r="D12718" s="104">
        <f t="shared" si="198"/>
        <v>2.5600000000000001E-2</v>
      </c>
      <c r="F12718" s="49"/>
    </row>
    <row r="12719" spans="2:6" ht="13.8">
      <c r="B12719" s="187">
        <v>40444</v>
      </c>
      <c r="C12719" s="189">
        <v>2.56</v>
      </c>
      <c r="D12719" s="104">
        <f t="shared" si="198"/>
        <v>2.5600000000000001E-2</v>
      </c>
      <c r="F12719" s="49"/>
    </row>
    <row r="12720" spans="2:6" ht="13.8">
      <c r="B12720" s="187">
        <v>40445</v>
      </c>
      <c r="C12720" s="189">
        <v>2.62</v>
      </c>
      <c r="D12720" s="104">
        <f t="shared" si="198"/>
        <v>2.6200000000000001E-2</v>
      </c>
      <c r="F12720" s="49"/>
    </row>
    <row r="12721" spans="2:6" ht="13.8">
      <c r="B12721" s="187">
        <v>40448</v>
      </c>
      <c r="C12721" s="189">
        <v>2.54</v>
      </c>
      <c r="D12721" s="104">
        <f t="shared" si="198"/>
        <v>2.5399999999999999E-2</v>
      </c>
      <c r="F12721" s="49"/>
    </row>
    <row r="12722" spans="2:6" ht="13.8">
      <c r="B12722" s="187">
        <v>40449</v>
      </c>
      <c r="C12722" s="189">
        <v>2.48</v>
      </c>
      <c r="D12722" s="104">
        <f t="shared" si="198"/>
        <v>2.4799999999999999E-2</v>
      </c>
      <c r="F12722" s="49"/>
    </row>
    <row r="12723" spans="2:6" ht="13.8">
      <c r="B12723" s="187">
        <v>40450</v>
      </c>
      <c r="C12723" s="189">
        <v>2.52</v>
      </c>
      <c r="D12723" s="104">
        <f t="shared" si="198"/>
        <v>2.52E-2</v>
      </c>
      <c r="F12723" s="49"/>
    </row>
    <row r="12724" spans="2:6" ht="13.8">
      <c r="B12724" s="187">
        <v>40451</v>
      </c>
      <c r="C12724" s="189">
        <v>2.5299999999999998</v>
      </c>
      <c r="D12724" s="104">
        <f t="shared" si="198"/>
        <v>2.53E-2</v>
      </c>
      <c r="F12724" s="49"/>
    </row>
    <row r="12725" spans="2:6" ht="13.8">
      <c r="B12725" s="187">
        <v>40452</v>
      </c>
      <c r="C12725" s="189">
        <v>2.54</v>
      </c>
      <c r="D12725" s="104">
        <f t="shared" ref="D12725:D12788" si="199">IF( LEN( C12725 ) = 0, #N/A, IF( C12725 = "ND", D12724, C12725 / 100 ) )</f>
        <v>2.5399999999999999E-2</v>
      </c>
      <c r="F12725" s="49"/>
    </row>
    <row r="12726" spans="2:6" ht="13.8">
      <c r="B12726" s="187">
        <v>40455</v>
      </c>
      <c r="C12726" s="189">
        <v>2.5</v>
      </c>
      <c r="D12726" s="104">
        <f t="shared" si="199"/>
        <v>2.5000000000000001E-2</v>
      </c>
      <c r="F12726" s="49"/>
    </row>
    <row r="12727" spans="2:6" ht="13.8">
      <c r="B12727" s="187">
        <v>40456</v>
      </c>
      <c r="C12727" s="189">
        <v>2.5</v>
      </c>
      <c r="D12727" s="104">
        <f t="shared" si="199"/>
        <v>2.5000000000000001E-2</v>
      </c>
      <c r="F12727" s="49"/>
    </row>
    <row r="12728" spans="2:6" ht="13.8">
      <c r="B12728" s="187">
        <v>40457</v>
      </c>
      <c r="C12728" s="189">
        <v>2.41</v>
      </c>
      <c r="D12728" s="104">
        <f t="shared" si="199"/>
        <v>2.41E-2</v>
      </c>
      <c r="F12728" s="49"/>
    </row>
    <row r="12729" spans="2:6" ht="13.8">
      <c r="B12729" s="187">
        <v>40458</v>
      </c>
      <c r="C12729" s="189">
        <v>2.41</v>
      </c>
      <c r="D12729" s="104">
        <f t="shared" si="199"/>
        <v>2.41E-2</v>
      </c>
      <c r="F12729" s="49"/>
    </row>
    <row r="12730" spans="2:6" ht="13.8">
      <c r="B12730" s="187">
        <v>40459</v>
      </c>
      <c r="C12730" s="189">
        <v>2.41</v>
      </c>
      <c r="D12730" s="104">
        <f t="shared" si="199"/>
        <v>2.41E-2</v>
      </c>
      <c r="F12730" s="49"/>
    </row>
    <row r="12731" spans="2:6" ht="13.8">
      <c r="B12731" s="187">
        <v>40463</v>
      </c>
      <c r="C12731" s="189">
        <v>2.44</v>
      </c>
      <c r="D12731" s="104">
        <f t="shared" si="199"/>
        <v>2.4399999999999998E-2</v>
      </c>
      <c r="F12731" s="49"/>
    </row>
    <row r="12732" spans="2:6" ht="13.8">
      <c r="B12732" s="187">
        <v>40464</v>
      </c>
      <c r="C12732" s="189">
        <v>2.46</v>
      </c>
      <c r="D12732" s="104">
        <f t="shared" si="199"/>
        <v>2.46E-2</v>
      </c>
      <c r="F12732" s="49"/>
    </row>
    <row r="12733" spans="2:6" ht="13.8">
      <c r="B12733" s="187">
        <v>40465</v>
      </c>
      <c r="C12733" s="189">
        <v>2.52</v>
      </c>
      <c r="D12733" s="104">
        <f t="shared" si="199"/>
        <v>2.52E-2</v>
      </c>
      <c r="F12733" s="49"/>
    </row>
    <row r="12734" spans="2:6" ht="13.8">
      <c r="B12734" s="187">
        <v>40466</v>
      </c>
      <c r="C12734" s="189">
        <v>2.59</v>
      </c>
      <c r="D12734" s="104">
        <f t="shared" si="199"/>
        <v>2.5899999999999999E-2</v>
      </c>
      <c r="F12734" s="49"/>
    </row>
    <row r="12735" spans="2:6" ht="13.8">
      <c r="B12735" s="187">
        <v>40469</v>
      </c>
      <c r="C12735" s="189">
        <v>2.52</v>
      </c>
      <c r="D12735" s="104">
        <f t="shared" si="199"/>
        <v>2.52E-2</v>
      </c>
      <c r="F12735" s="49"/>
    </row>
    <row r="12736" spans="2:6" ht="13.8">
      <c r="B12736" s="187">
        <v>40470</v>
      </c>
      <c r="C12736" s="189">
        <v>2.5</v>
      </c>
      <c r="D12736" s="104">
        <f t="shared" si="199"/>
        <v>2.5000000000000001E-2</v>
      </c>
      <c r="F12736" s="49"/>
    </row>
    <row r="12737" spans="2:6" ht="13.8">
      <c r="B12737" s="187">
        <v>40471</v>
      </c>
      <c r="C12737" s="189">
        <v>2.5099999999999998</v>
      </c>
      <c r="D12737" s="104">
        <f t="shared" si="199"/>
        <v>2.5099999999999997E-2</v>
      </c>
      <c r="F12737" s="49"/>
    </row>
    <row r="12738" spans="2:6" ht="13.8">
      <c r="B12738" s="187">
        <v>40472</v>
      </c>
      <c r="C12738" s="189">
        <v>2.57</v>
      </c>
      <c r="D12738" s="104">
        <f t="shared" si="199"/>
        <v>2.5699999999999997E-2</v>
      </c>
      <c r="F12738" s="49"/>
    </row>
    <row r="12739" spans="2:6" ht="13.8">
      <c r="B12739" s="187">
        <v>40473</v>
      </c>
      <c r="C12739" s="189">
        <v>2.59</v>
      </c>
      <c r="D12739" s="104">
        <f t="shared" si="199"/>
        <v>2.5899999999999999E-2</v>
      </c>
      <c r="F12739" s="49"/>
    </row>
    <row r="12740" spans="2:6" ht="13.8">
      <c r="B12740" s="187">
        <v>40476</v>
      </c>
      <c r="C12740" s="189">
        <v>2.59</v>
      </c>
      <c r="D12740" s="104">
        <f t="shared" si="199"/>
        <v>2.5899999999999999E-2</v>
      </c>
      <c r="F12740" s="49"/>
    </row>
    <row r="12741" spans="2:6" ht="13.8">
      <c r="B12741" s="187">
        <v>40477</v>
      </c>
      <c r="C12741" s="189">
        <v>2.67</v>
      </c>
      <c r="D12741" s="104">
        <f t="shared" si="199"/>
        <v>2.6699999999999998E-2</v>
      </c>
      <c r="F12741" s="49"/>
    </row>
    <row r="12742" spans="2:6" ht="13.8">
      <c r="B12742" s="187">
        <v>40478</v>
      </c>
      <c r="C12742" s="189">
        <v>2.75</v>
      </c>
      <c r="D12742" s="104">
        <f t="shared" si="199"/>
        <v>2.75E-2</v>
      </c>
      <c r="F12742" s="49"/>
    </row>
    <row r="12743" spans="2:6" ht="13.8">
      <c r="B12743" s="187">
        <v>40479</v>
      </c>
      <c r="C12743" s="189">
        <v>2.69</v>
      </c>
      <c r="D12743" s="104">
        <f t="shared" si="199"/>
        <v>2.69E-2</v>
      </c>
      <c r="F12743" s="49"/>
    </row>
    <row r="12744" spans="2:6" ht="13.8">
      <c r="B12744" s="187">
        <v>40480</v>
      </c>
      <c r="C12744" s="189">
        <v>2.63</v>
      </c>
      <c r="D12744" s="104">
        <f t="shared" si="199"/>
        <v>2.63E-2</v>
      </c>
      <c r="F12744" s="49"/>
    </row>
    <row r="12745" spans="2:6" ht="13.8">
      <c r="B12745" s="187">
        <v>40483</v>
      </c>
      <c r="C12745" s="189">
        <v>2.66</v>
      </c>
      <c r="D12745" s="104">
        <f t="shared" si="199"/>
        <v>2.6600000000000002E-2</v>
      </c>
      <c r="F12745" s="49"/>
    </row>
    <row r="12746" spans="2:6" ht="13.8">
      <c r="B12746" s="187">
        <v>40484</v>
      </c>
      <c r="C12746" s="189">
        <v>2.63</v>
      </c>
      <c r="D12746" s="104">
        <f t="shared" si="199"/>
        <v>2.63E-2</v>
      </c>
      <c r="F12746" s="49"/>
    </row>
    <row r="12747" spans="2:6" ht="13.8">
      <c r="B12747" s="187">
        <v>40485</v>
      </c>
      <c r="C12747" s="189">
        <v>2.67</v>
      </c>
      <c r="D12747" s="104">
        <f t="shared" si="199"/>
        <v>2.6699999999999998E-2</v>
      </c>
      <c r="F12747" s="49"/>
    </row>
    <row r="12748" spans="2:6" ht="13.8">
      <c r="B12748" s="187">
        <v>40486</v>
      </c>
      <c r="C12748" s="189">
        <v>2.5299999999999998</v>
      </c>
      <c r="D12748" s="104">
        <f t="shared" si="199"/>
        <v>2.53E-2</v>
      </c>
      <c r="F12748" s="49"/>
    </row>
    <row r="12749" spans="2:6" ht="13.8">
      <c r="B12749" s="187">
        <v>40487</v>
      </c>
      <c r="C12749" s="189">
        <v>2.58</v>
      </c>
      <c r="D12749" s="104">
        <f t="shared" si="199"/>
        <v>2.58E-2</v>
      </c>
      <c r="F12749" s="49"/>
    </row>
    <row r="12750" spans="2:6" ht="13.8">
      <c r="B12750" s="187">
        <v>40490</v>
      </c>
      <c r="C12750" s="189">
        <v>2.6</v>
      </c>
      <c r="D12750" s="104">
        <f t="shared" si="199"/>
        <v>2.6000000000000002E-2</v>
      </c>
      <c r="F12750" s="49"/>
    </row>
    <row r="12751" spans="2:6" ht="13.8">
      <c r="B12751" s="187">
        <v>40491</v>
      </c>
      <c r="C12751" s="189">
        <v>2.72</v>
      </c>
      <c r="D12751" s="104">
        <f t="shared" si="199"/>
        <v>2.7200000000000002E-2</v>
      </c>
      <c r="F12751" s="49"/>
    </row>
    <row r="12752" spans="2:6" ht="13.8">
      <c r="B12752" s="187">
        <v>40492</v>
      </c>
      <c r="C12752" s="189">
        <v>2.65</v>
      </c>
      <c r="D12752" s="104">
        <f t="shared" si="199"/>
        <v>2.6499999999999999E-2</v>
      </c>
      <c r="F12752" s="49"/>
    </row>
    <row r="12753" spans="2:6" ht="13.8">
      <c r="B12753" s="187">
        <v>40494</v>
      </c>
      <c r="C12753" s="189">
        <v>2.76</v>
      </c>
      <c r="D12753" s="104">
        <f t="shared" si="199"/>
        <v>2.76E-2</v>
      </c>
      <c r="F12753" s="49"/>
    </row>
    <row r="12754" spans="2:6" ht="13.8">
      <c r="B12754" s="187">
        <v>40497</v>
      </c>
      <c r="C12754" s="189">
        <v>2.92</v>
      </c>
      <c r="D12754" s="104">
        <f t="shared" si="199"/>
        <v>2.92E-2</v>
      </c>
      <c r="F12754" s="49"/>
    </row>
    <row r="12755" spans="2:6" ht="13.8">
      <c r="B12755" s="187">
        <v>40498</v>
      </c>
      <c r="C12755" s="189">
        <v>2.85</v>
      </c>
      <c r="D12755" s="104">
        <f t="shared" si="199"/>
        <v>2.8500000000000001E-2</v>
      </c>
      <c r="F12755" s="49"/>
    </row>
    <row r="12756" spans="2:6" ht="13.8">
      <c r="B12756" s="187">
        <v>40499</v>
      </c>
      <c r="C12756" s="189">
        <v>2.89</v>
      </c>
      <c r="D12756" s="104">
        <f t="shared" si="199"/>
        <v>2.8900000000000002E-2</v>
      </c>
      <c r="F12756" s="49"/>
    </row>
    <row r="12757" spans="2:6" ht="13.8">
      <c r="B12757" s="187">
        <v>40500</v>
      </c>
      <c r="C12757" s="189">
        <v>2.9</v>
      </c>
      <c r="D12757" s="104">
        <f t="shared" si="199"/>
        <v>2.8999999999999998E-2</v>
      </c>
      <c r="F12757" s="49"/>
    </row>
    <row r="12758" spans="2:6" ht="13.8">
      <c r="B12758" s="187">
        <v>40501</v>
      </c>
      <c r="C12758" s="189">
        <v>2.88</v>
      </c>
      <c r="D12758" s="104">
        <f t="shared" si="199"/>
        <v>2.8799999999999999E-2</v>
      </c>
      <c r="F12758" s="49"/>
    </row>
    <row r="12759" spans="2:6" ht="13.8">
      <c r="B12759" s="187">
        <v>40504</v>
      </c>
      <c r="C12759" s="189">
        <v>2.8</v>
      </c>
      <c r="D12759" s="104">
        <f t="shared" si="199"/>
        <v>2.7999999999999997E-2</v>
      </c>
      <c r="F12759" s="49"/>
    </row>
    <row r="12760" spans="2:6" ht="13.8">
      <c r="B12760" s="187">
        <v>40505</v>
      </c>
      <c r="C12760" s="189">
        <v>2.77</v>
      </c>
      <c r="D12760" s="104">
        <f t="shared" si="199"/>
        <v>2.7699999999999999E-2</v>
      </c>
      <c r="F12760" s="49"/>
    </row>
    <row r="12761" spans="2:6" ht="13.8">
      <c r="B12761" s="187">
        <v>40506</v>
      </c>
      <c r="C12761" s="189">
        <v>2.93</v>
      </c>
      <c r="D12761" s="104">
        <f t="shared" si="199"/>
        <v>2.9300000000000003E-2</v>
      </c>
      <c r="F12761" s="49"/>
    </row>
    <row r="12762" spans="2:6" ht="13.8">
      <c r="B12762" s="187">
        <v>40508</v>
      </c>
      <c r="C12762" s="189">
        <v>2.87</v>
      </c>
      <c r="D12762" s="104">
        <f t="shared" si="199"/>
        <v>2.87E-2</v>
      </c>
      <c r="F12762" s="49"/>
    </row>
    <row r="12763" spans="2:6" ht="13.8">
      <c r="B12763" s="187">
        <v>40511</v>
      </c>
      <c r="C12763" s="189">
        <v>2.84</v>
      </c>
      <c r="D12763" s="104">
        <f t="shared" si="199"/>
        <v>2.8399999999999998E-2</v>
      </c>
      <c r="F12763" s="49"/>
    </row>
    <row r="12764" spans="2:6" ht="13.8">
      <c r="B12764" s="187">
        <v>40512</v>
      </c>
      <c r="C12764" s="189">
        <v>2.81</v>
      </c>
      <c r="D12764" s="104">
        <f t="shared" si="199"/>
        <v>2.81E-2</v>
      </c>
      <c r="F12764" s="49"/>
    </row>
    <row r="12765" spans="2:6" ht="13.8">
      <c r="B12765" s="187">
        <v>40513</v>
      </c>
      <c r="C12765" s="189">
        <v>2.97</v>
      </c>
      <c r="D12765" s="104">
        <f t="shared" si="199"/>
        <v>2.9700000000000001E-2</v>
      </c>
      <c r="F12765" s="49"/>
    </row>
    <row r="12766" spans="2:6" ht="13.8">
      <c r="B12766" s="187">
        <v>40514</v>
      </c>
      <c r="C12766" s="189">
        <v>3.01</v>
      </c>
      <c r="D12766" s="104">
        <f t="shared" si="199"/>
        <v>3.0099999999999998E-2</v>
      </c>
      <c r="F12766" s="49"/>
    </row>
    <row r="12767" spans="2:6" ht="13.8">
      <c r="B12767" s="187">
        <v>40515</v>
      </c>
      <c r="C12767" s="189">
        <v>3.03</v>
      </c>
      <c r="D12767" s="104">
        <f t="shared" si="199"/>
        <v>3.0299999999999997E-2</v>
      </c>
      <c r="F12767" s="49"/>
    </row>
    <row r="12768" spans="2:6" ht="13.8">
      <c r="B12768" s="187">
        <v>40518</v>
      </c>
      <c r="C12768" s="189">
        <v>2.95</v>
      </c>
      <c r="D12768" s="104">
        <f t="shared" si="199"/>
        <v>2.9500000000000002E-2</v>
      </c>
      <c r="F12768" s="49"/>
    </row>
    <row r="12769" spans="2:6" ht="13.8">
      <c r="B12769" s="187">
        <v>40519</v>
      </c>
      <c r="C12769" s="189">
        <v>3.15</v>
      </c>
      <c r="D12769" s="104">
        <f t="shared" si="199"/>
        <v>3.15E-2</v>
      </c>
      <c r="F12769" s="49"/>
    </row>
    <row r="12770" spans="2:6" ht="13.8">
      <c r="B12770" s="187">
        <v>40520</v>
      </c>
      <c r="C12770" s="189">
        <v>3.26</v>
      </c>
      <c r="D12770" s="104">
        <f t="shared" si="199"/>
        <v>3.2599999999999997E-2</v>
      </c>
      <c r="F12770" s="49"/>
    </row>
    <row r="12771" spans="2:6" ht="13.8">
      <c r="B12771" s="187">
        <v>40521</v>
      </c>
      <c r="C12771" s="189">
        <v>3.23</v>
      </c>
      <c r="D12771" s="104">
        <f t="shared" si="199"/>
        <v>3.2300000000000002E-2</v>
      </c>
      <c r="F12771" s="49"/>
    </row>
    <row r="12772" spans="2:6" ht="13.8">
      <c r="B12772" s="187">
        <v>40522</v>
      </c>
      <c r="C12772" s="189">
        <v>3.32</v>
      </c>
      <c r="D12772" s="104">
        <f t="shared" si="199"/>
        <v>3.32E-2</v>
      </c>
      <c r="F12772" s="49"/>
    </row>
    <row r="12773" spans="2:6" ht="13.8">
      <c r="B12773" s="187">
        <v>40525</v>
      </c>
      <c r="C12773" s="189">
        <v>3.29</v>
      </c>
      <c r="D12773" s="104">
        <f t="shared" si="199"/>
        <v>3.2899999999999999E-2</v>
      </c>
      <c r="F12773" s="49"/>
    </row>
    <row r="12774" spans="2:6" ht="13.8">
      <c r="B12774" s="187">
        <v>40526</v>
      </c>
      <c r="C12774" s="189">
        <v>3.49</v>
      </c>
      <c r="D12774" s="104">
        <f t="shared" si="199"/>
        <v>3.49E-2</v>
      </c>
      <c r="F12774" s="49"/>
    </row>
    <row r="12775" spans="2:6" ht="13.8">
      <c r="B12775" s="187">
        <v>40527</v>
      </c>
      <c r="C12775" s="189">
        <v>3.53</v>
      </c>
      <c r="D12775" s="104">
        <f t="shared" si="199"/>
        <v>3.5299999999999998E-2</v>
      </c>
      <c r="F12775" s="49"/>
    </row>
    <row r="12776" spans="2:6" ht="13.8">
      <c r="B12776" s="187">
        <v>40528</v>
      </c>
      <c r="C12776" s="189">
        <v>3.47</v>
      </c>
      <c r="D12776" s="104">
        <f t="shared" si="199"/>
        <v>3.4700000000000002E-2</v>
      </c>
      <c r="F12776" s="49"/>
    </row>
    <row r="12777" spans="2:6" ht="13.8">
      <c r="B12777" s="187">
        <v>40529</v>
      </c>
      <c r="C12777" s="189">
        <v>3.33</v>
      </c>
      <c r="D12777" s="104">
        <f t="shared" si="199"/>
        <v>3.3300000000000003E-2</v>
      </c>
      <c r="F12777" s="49"/>
    </row>
    <row r="12778" spans="2:6" ht="13.8">
      <c r="B12778" s="187">
        <v>40532</v>
      </c>
      <c r="C12778" s="189">
        <v>3.36</v>
      </c>
      <c r="D12778" s="104">
        <f t="shared" si="199"/>
        <v>3.3599999999999998E-2</v>
      </c>
      <c r="F12778" s="49"/>
    </row>
    <row r="12779" spans="2:6" ht="13.8">
      <c r="B12779" s="187">
        <v>40533</v>
      </c>
      <c r="C12779" s="189">
        <v>3.35</v>
      </c>
      <c r="D12779" s="104">
        <f t="shared" si="199"/>
        <v>3.3500000000000002E-2</v>
      </c>
      <c r="F12779" s="49"/>
    </row>
    <row r="12780" spans="2:6" ht="13.8">
      <c r="B12780" s="187">
        <v>40534</v>
      </c>
      <c r="C12780" s="189">
        <v>3.36</v>
      </c>
      <c r="D12780" s="104">
        <f t="shared" si="199"/>
        <v>3.3599999999999998E-2</v>
      </c>
      <c r="F12780" s="49"/>
    </row>
    <row r="12781" spans="2:6" ht="13.8">
      <c r="B12781" s="187">
        <v>40535</v>
      </c>
      <c r="C12781" s="189">
        <v>3.41</v>
      </c>
      <c r="D12781" s="104">
        <f t="shared" si="199"/>
        <v>3.4099999999999998E-2</v>
      </c>
      <c r="F12781" s="49"/>
    </row>
    <row r="12782" spans="2:6" ht="13.8">
      <c r="B12782" s="187">
        <v>40539</v>
      </c>
      <c r="C12782" s="189">
        <v>3.36</v>
      </c>
      <c r="D12782" s="104">
        <f t="shared" si="199"/>
        <v>3.3599999999999998E-2</v>
      </c>
      <c r="F12782" s="49"/>
    </row>
    <row r="12783" spans="2:6" ht="13.8">
      <c r="B12783" s="187">
        <v>40540</v>
      </c>
      <c r="C12783" s="189">
        <v>3.5</v>
      </c>
      <c r="D12783" s="104">
        <f t="shared" si="199"/>
        <v>3.5000000000000003E-2</v>
      </c>
      <c r="F12783" s="49"/>
    </row>
    <row r="12784" spans="2:6" ht="13.8">
      <c r="B12784" s="187">
        <v>40541</v>
      </c>
      <c r="C12784" s="189">
        <v>3.35</v>
      </c>
      <c r="D12784" s="104">
        <f t="shared" si="199"/>
        <v>3.3500000000000002E-2</v>
      </c>
      <c r="F12784" s="49"/>
    </row>
    <row r="12785" spans="2:6" ht="13.8">
      <c r="B12785" s="187">
        <v>40542</v>
      </c>
      <c r="C12785" s="189">
        <v>3.38</v>
      </c>
      <c r="D12785" s="104">
        <f t="shared" si="199"/>
        <v>3.3799999999999997E-2</v>
      </c>
      <c r="F12785" s="49"/>
    </row>
    <row r="12786" spans="2:6" ht="13.8">
      <c r="B12786" s="187">
        <v>40543</v>
      </c>
      <c r="C12786" s="189">
        <v>3.3</v>
      </c>
      <c r="D12786" s="104">
        <f t="shared" si="199"/>
        <v>3.3000000000000002E-2</v>
      </c>
      <c r="F12786" s="49"/>
    </row>
    <row r="12787" spans="2:6" ht="13.8">
      <c r="B12787" s="187">
        <v>40546</v>
      </c>
      <c r="C12787" s="189">
        <v>3.36</v>
      </c>
      <c r="D12787" s="104">
        <f t="shared" si="199"/>
        <v>3.3599999999999998E-2</v>
      </c>
    </row>
    <row r="12788" spans="2:6" ht="13.8">
      <c r="B12788" s="187">
        <v>40547</v>
      </c>
      <c r="C12788" s="189">
        <v>3.36</v>
      </c>
      <c r="D12788" s="104">
        <f t="shared" si="199"/>
        <v>3.3599999999999998E-2</v>
      </c>
    </row>
    <row r="12789" spans="2:6" ht="13.8">
      <c r="B12789" s="187">
        <v>40548</v>
      </c>
      <c r="C12789" s="189">
        <v>3.5</v>
      </c>
      <c r="D12789" s="104">
        <f t="shared" ref="D12789:D12852" si="200">IF( LEN( C12789 ) = 0, #N/A, IF( C12789 = "ND", D12788, C12789 / 100 ) )</f>
        <v>3.5000000000000003E-2</v>
      </c>
    </row>
    <row r="12790" spans="2:6" ht="13.8">
      <c r="B12790" s="187">
        <v>40549</v>
      </c>
      <c r="C12790" s="189">
        <v>3.44</v>
      </c>
      <c r="D12790" s="104">
        <f t="shared" si="200"/>
        <v>3.44E-2</v>
      </c>
    </row>
    <row r="12791" spans="2:6" ht="13.8">
      <c r="B12791" s="187">
        <v>40550</v>
      </c>
      <c r="C12791" s="189">
        <v>3.34</v>
      </c>
      <c r="D12791" s="104">
        <f t="shared" si="200"/>
        <v>3.3399999999999999E-2</v>
      </c>
    </row>
    <row r="12792" spans="2:6" ht="13.8">
      <c r="B12792" s="187">
        <v>40553</v>
      </c>
      <c r="C12792" s="189">
        <v>3.32</v>
      </c>
      <c r="D12792" s="104">
        <f t="shared" si="200"/>
        <v>3.32E-2</v>
      </c>
    </row>
    <row r="12793" spans="2:6" ht="13.8">
      <c r="B12793" s="187">
        <v>40554</v>
      </c>
      <c r="C12793" s="189">
        <v>3.37</v>
      </c>
      <c r="D12793" s="104">
        <f t="shared" si="200"/>
        <v>3.3700000000000001E-2</v>
      </c>
    </row>
    <row r="12794" spans="2:6" ht="13.8">
      <c r="B12794" s="187">
        <v>40555</v>
      </c>
      <c r="C12794" s="189">
        <v>3.4</v>
      </c>
      <c r="D12794" s="104">
        <f t="shared" si="200"/>
        <v>3.4000000000000002E-2</v>
      </c>
    </row>
    <row r="12795" spans="2:6" ht="13.8">
      <c r="B12795" s="187">
        <v>40556</v>
      </c>
      <c r="C12795" s="189">
        <v>3.34</v>
      </c>
      <c r="D12795" s="104">
        <f t="shared" si="200"/>
        <v>3.3399999999999999E-2</v>
      </c>
    </row>
    <row r="12796" spans="2:6" ht="13.8">
      <c r="B12796" s="187">
        <v>40557</v>
      </c>
      <c r="C12796" s="189">
        <v>3.35</v>
      </c>
      <c r="D12796" s="104">
        <f t="shared" si="200"/>
        <v>3.3500000000000002E-2</v>
      </c>
    </row>
    <row r="12797" spans="2:6" ht="13.8">
      <c r="B12797" s="187">
        <v>40561</v>
      </c>
      <c r="C12797" s="189">
        <v>3.39</v>
      </c>
      <c r="D12797" s="104">
        <f t="shared" si="200"/>
        <v>3.39E-2</v>
      </c>
    </row>
    <row r="12798" spans="2:6" ht="13.8">
      <c r="B12798" s="187">
        <v>40562</v>
      </c>
      <c r="C12798" s="189">
        <v>3.37</v>
      </c>
      <c r="D12798" s="104">
        <f t="shared" si="200"/>
        <v>3.3700000000000001E-2</v>
      </c>
    </row>
    <row r="12799" spans="2:6" ht="13.8">
      <c r="B12799" s="187">
        <v>40563</v>
      </c>
      <c r="C12799" s="189">
        <v>3.47</v>
      </c>
      <c r="D12799" s="104">
        <f t="shared" si="200"/>
        <v>3.4700000000000002E-2</v>
      </c>
    </row>
    <row r="12800" spans="2:6" ht="13.8">
      <c r="B12800" s="187">
        <v>40564</v>
      </c>
      <c r="C12800" s="189">
        <v>3.44</v>
      </c>
      <c r="D12800" s="104">
        <f t="shared" si="200"/>
        <v>3.44E-2</v>
      </c>
    </row>
    <row r="12801" spans="2:4" ht="13.8">
      <c r="B12801" s="187">
        <v>40567</v>
      </c>
      <c r="C12801" s="189">
        <v>3.43</v>
      </c>
      <c r="D12801" s="104">
        <f t="shared" si="200"/>
        <v>3.4300000000000004E-2</v>
      </c>
    </row>
    <row r="12802" spans="2:4" ht="13.8">
      <c r="B12802" s="187">
        <v>40568</v>
      </c>
      <c r="C12802" s="189">
        <v>3.35</v>
      </c>
      <c r="D12802" s="104">
        <f t="shared" si="200"/>
        <v>3.3500000000000002E-2</v>
      </c>
    </row>
    <row r="12803" spans="2:4" ht="13.8">
      <c r="B12803" s="187">
        <v>40569</v>
      </c>
      <c r="C12803" s="189">
        <v>3.45</v>
      </c>
      <c r="D12803" s="104">
        <f t="shared" si="200"/>
        <v>3.4500000000000003E-2</v>
      </c>
    </row>
    <row r="12804" spans="2:4" ht="13.8">
      <c r="B12804" s="187">
        <v>40570</v>
      </c>
      <c r="C12804" s="189">
        <v>3.42</v>
      </c>
      <c r="D12804" s="104">
        <f t="shared" si="200"/>
        <v>3.4200000000000001E-2</v>
      </c>
    </row>
    <row r="12805" spans="2:4" ht="13.8">
      <c r="B12805" s="187">
        <v>40571</v>
      </c>
      <c r="C12805" s="189">
        <v>3.36</v>
      </c>
      <c r="D12805" s="104">
        <f t="shared" si="200"/>
        <v>3.3599999999999998E-2</v>
      </c>
    </row>
    <row r="12806" spans="2:4" ht="13.8">
      <c r="B12806" s="187">
        <v>40574</v>
      </c>
      <c r="C12806" s="189">
        <v>3.42</v>
      </c>
      <c r="D12806" s="104">
        <f t="shared" si="200"/>
        <v>3.4200000000000001E-2</v>
      </c>
    </row>
    <row r="12807" spans="2:4" ht="13.8">
      <c r="B12807" s="187">
        <v>40575</v>
      </c>
      <c r="C12807" s="189">
        <v>3.48</v>
      </c>
      <c r="D12807" s="104">
        <f t="shared" si="200"/>
        <v>3.4799999999999998E-2</v>
      </c>
    </row>
    <row r="12808" spans="2:4" ht="13.8">
      <c r="B12808" s="187">
        <v>40576</v>
      </c>
      <c r="C12808" s="189">
        <v>3.52</v>
      </c>
      <c r="D12808" s="104">
        <f t="shared" si="200"/>
        <v>3.5200000000000002E-2</v>
      </c>
    </row>
    <row r="12809" spans="2:4" ht="13.8">
      <c r="B12809" s="187">
        <v>40577</v>
      </c>
      <c r="C12809" s="189">
        <v>3.58</v>
      </c>
      <c r="D12809" s="104">
        <f t="shared" si="200"/>
        <v>3.5799999999999998E-2</v>
      </c>
    </row>
    <row r="12810" spans="2:4" ht="13.8">
      <c r="B12810" s="187">
        <v>40578</v>
      </c>
      <c r="C12810" s="189">
        <v>3.68</v>
      </c>
      <c r="D12810" s="104">
        <f t="shared" si="200"/>
        <v>3.6799999999999999E-2</v>
      </c>
    </row>
    <row r="12811" spans="2:4" ht="13.8">
      <c r="B12811" s="187">
        <v>40581</v>
      </c>
      <c r="C12811" s="189">
        <v>3.68</v>
      </c>
      <c r="D12811" s="104">
        <f t="shared" si="200"/>
        <v>3.6799999999999999E-2</v>
      </c>
    </row>
    <row r="12812" spans="2:4" ht="13.8">
      <c r="B12812" s="187">
        <v>40582</v>
      </c>
      <c r="C12812" s="189">
        <v>3.75</v>
      </c>
      <c r="D12812" s="104">
        <f t="shared" si="200"/>
        <v>3.7499999999999999E-2</v>
      </c>
    </row>
    <row r="12813" spans="2:4" ht="13.8">
      <c r="B12813" s="187">
        <v>40583</v>
      </c>
      <c r="C12813" s="189">
        <v>3.65</v>
      </c>
      <c r="D12813" s="104">
        <f t="shared" si="200"/>
        <v>3.6499999999999998E-2</v>
      </c>
    </row>
    <row r="12814" spans="2:4" ht="13.8">
      <c r="B12814" s="187">
        <v>40584</v>
      </c>
      <c r="C12814" s="189">
        <v>3.7</v>
      </c>
      <c r="D12814" s="104">
        <f t="shared" si="200"/>
        <v>3.7000000000000005E-2</v>
      </c>
    </row>
    <row r="12815" spans="2:4" ht="13.8">
      <c r="B12815" s="187">
        <v>40585</v>
      </c>
      <c r="C12815" s="189">
        <v>3.64</v>
      </c>
      <c r="D12815" s="104">
        <f t="shared" si="200"/>
        <v>3.6400000000000002E-2</v>
      </c>
    </row>
    <row r="12816" spans="2:4" ht="13.8">
      <c r="B12816" s="187">
        <v>40588</v>
      </c>
      <c r="C12816" s="189">
        <v>3.62</v>
      </c>
      <c r="D12816" s="104">
        <f t="shared" si="200"/>
        <v>3.6200000000000003E-2</v>
      </c>
    </row>
    <row r="12817" spans="2:4" ht="13.8">
      <c r="B12817" s="187">
        <v>40589</v>
      </c>
      <c r="C12817" s="189">
        <v>3.61</v>
      </c>
      <c r="D12817" s="104">
        <f t="shared" si="200"/>
        <v>3.61E-2</v>
      </c>
    </row>
    <row r="12818" spans="2:4" ht="13.8">
      <c r="B12818" s="187">
        <v>40590</v>
      </c>
      <c r="C12818" s="189">
        <v>3.62</v>
      </c>
      <c r="D12818" s="104">
        <f t="shared" si="200"/>
        <v>3.6200000000000003E-2</v>
      </c>
    </row>
    <row r="12819" spans="2:4" ht="13.8">
      <c r="B12819" s="187">
        <v>40591</v>
      </c>
      <c r="C12819" s="189">
        <v>3.58</v>
      </c>
      <c r="D12819" s="104">
        <f t="shared" si="200"/>
        <v>3.5799999999999998E-2</v>
      </c>
    </row>
    <row r="12820" spans="2:4" ht="13.8">
      <c r="B12820" s="187">
        <v>40592</v>
      </c>
      <c r="C12820" s="189">
        <v>3.59</v>
      </c>
      <c r="D12820" s="104">
        <f t="shared" si="200"/>
        <v>3.5900000000000001E-2</v>
      </c>
    </row>
    <row r="12821" spans="2:4" ht="13.8">
      <c r="B12821" s="187">
        <v>40596</v>
      </c>
      <c r="C12821" s="189">
        <v>3.46</v>
      </c>
      <c r="D12821" s="104">
        <f t="shared" si="200"/>
        <v>3.4599999999999999E-2</v>
      </c>
    </row>
    <row r="12822" spans="2:4" ht="13.8">
      <c r="B12822" s="187">
        <v>40597</v>
      </c>
      <c r="C12822" s="189">
        <v>3.49</v>
      </c>
      <c r="D12822" s="104">
        <f t="shared" si="200"/>
        <v>3.49E-2</v>
      </c>
    </row>
    <row r="12823" spans="2:4" ht="13.8">
      <c r="B12823" s="187">
        <v>40598</v>
      </c>
      <c r="C12823" s="189">
        <v>3.46</v>
      </c>
      <c r="D12823" s="104">
        <f t="shared" si="200"/>
        <v>3.4599999999999999E-2</v>
      </c>
    </row>
    <row r="12824" spans="2:4" ht="13.8">
      <c r="B12824" s="187">
        <v>40599</v>
      </c>
      <c r="C12824" s="189">
        <v>3.42</v>
      </c>
      <c r="D12824" s="104">
        <f t="shared" si="200"/>
        <v>3.4200000000000001E-2</v>
      </c>
    </row>
    <row r="12825" spans="2:4" ht="13.8">
      <c r="B12825" s="187">
        <v>40602</v>
      </c>
      <c r="C12825" s="189">
        <v>3.42</v>
      </c>
      <c r="D12825" s="104">
        <f t="shared" si="200"/>
        <v>3.4200000000000001E-2</v>
      </c>
    </row>
    <row r="12826" spans="2:4" ht="13.8">
      <c r="B12826" s="187">
        <v>40603</v>
      </c>
      <c r="C12826" s="189">
        <v>3.41</v>
      </c>
      <c r="D12826" s="104">
        <f t="shared" si="200"/>
        <v>3.4099999999999998E-2</v>
      </c>
    </row>
    <row r="12827" spans="2:4" ht="13.8">
      <c r="B12827" s="187">
        <v>40604</v>
      </c>
      <c r="C12827" s="189">
        <v>3.46</v>
      </c>
      <c r="D12827" s="104">
        <f t="shared" si="200"/>
        <v>3.4599999999999999E-2</v>
      </c>
    </row>
    <row r="12828" spans="2:4" ht="13.8">
      <c r="B12828" s="187">
        <v>40605</v>
      </c>
      <c r="C12828" s="189">
        <v>3.58</v>
      </c>
      <c r="D12828" s="104">
        <f t="shared" si="200"/>
        <v>3.5799999999999998E-2</v>
      </c>
    </row>
    <row r="12829" spans="2:4" ht="13.8">
      <c r="B12829" s="187">
        <v>40606</v>
      </c>
      <c r="C12829" s="189">
        <v>3.49</v>
      </c>
      <c r="D12829" s="104">
        <f t="shared" si="200"/>
        <v>3.49E-2</v>
      </c>
    </row>
    <row r="12830" spans="2:4" ht="13.8">
      <c r="B12830" s="187">
        <v>40609</v>
      </c>
      <c r="C12830" s="189">
        <v>3.51</v>
      </c>
      <c r="D12830" s="104">
        <f t="shared" si="200"/>
        <v>3.5099999999999999E-2</v>
      </c>
    </row>
    <row r="12831" spans="2:4" ht="13.8">
      <c r="B12831" s="187">
        <v>40610</v>
      </c>
      <c r="C12831" s="189">
        <v>3.56</v>
      </c>
      <c r="D12831" s="104">
        <f t="shared" si="200"/>
        <v>3.56E-2</v>
      </c>
    </row>
    <row r="12832" spans="2:4" ht="13.8">
      <c r="B12832" s="187">
        <v>40611</v>
      </c>
      <c r="C12832" s="189">
        <v>3.48</v>
      </c>
      <c r="D12832" s="104">
        <f t="shared" si="200"/>
        <v>3.4799999999999998E-2</v>
      </c>
    </row>
    <row r="12833" spans="2:4" ht="13.8">
      <c r="B12833" s="187">
        <v>40612</v>
      </c>
      <c r="C12833" s="189">
        <v>3.37</v>
      </c>
      <c r="D12833" s="104">
        <f t="shared" si="200"/>
        <v>3.3700000000000001E-2</v>
      </c>
    </row>
    <row r="12834" spans="2:4" ht="13.8">
      <c r="B12834" s="187">
        <v>40613</v>
      </c>
      <c r="C12834" s="189">
        <v>3.4</v>
      </c>
      <c r="D12834" s="104">
        <f t="shared" si="200"/>
        <v>3.4000000000000002E-2</v>
      </c>
    </row>
    <row r="12835" spans="2:4" ht="13.8">
      <c r="B12835" s="187">
        <v>40616</v>
      </c>
      <c r="C12835" s="189">
        <v>3.36</v>
      </c>
      <c r="D12835" s="104">
        <f t="shared" si="200"/>
        <v>3.3599999999999998E-2</v>
      </c>
    </row>
    <row r="12836" spans="2:4" ht="13.8">
      <c r="B12836" s="187">
        <v>40617</v>
      </c>
      <c r="C12836" s="189">
        <v>3.33</v>
      </c>
      <c r="D12836" s="104">
        <f t="shared" si="200"/>
        <v>3.3300000000000003E-2</v>
      </c>
    </row>
    <row r="12837" spans="2:4" ht="13.8">
      <c r="B12837" s="187">
        <v>40618</v>
      </c>
      <c r="C12837" s="189">
        <v>3.22</v>
      </c>
      <c r="D12837" s="104">
        <f t="shared" si="200"/>
        <v>3.2199999999999999E-2</v>
      </c>
    </row>
    <row r="12838" spans="2:4" ht="13.8">
      <c r="B12838" s="187">
        <v>40619</v>
      </c>
      <c r="C12838" s="189">
        <v>3.25</v>
      </c>
      <c r="D12838" s="104">
        <f t="shared" si="200"/>
        <v>3.2500000000000001E-2</v>
      </c>
    </row>
    <row r="12839" spans="2:4" ht="13.8">
      <c r="B12839" s="187">
        <v>40620</v>
      </c>
      <c r="C12839" s="189">
        <v>3.28</v>
      </c>
      <c r="D12839" s="104">
        <f t="shared" si="200"/>
        <v>3.2799999999999996E-2</v>
      </c>
    </row>
    <row r="12840" spans="2:4" ht="13.8">
      <c r="B12840" s="187">
        <v>40623</v>
      </c>
      <c r="C12840" s="189">
        <v>3.34</v>
      </c>
      <c r="D12840" s="104">
        <f t="shared" si="200"/>
        <v>3.3399999999999999E-2</v>
      </c>
    </row>
    <row r="12841" spans="2:4" ht="13.8">
      <c r="B12841" s="187">
        <v>40624</v>
      </c>
      <c r="C12841" s="189">
        <v>3.34</v>
      </c>
      <c r="D12841" s="104">
        <f t="shared" si="200"/>
        <v>3.3399999999999999E-2</v>
      </c>
    </row>
    <row r="12842" spans="2:4" ht="13.8">
      <c r="B12842" s="187">
        <v>40625</v>
      </c>
      <c r="C12842" s="189">
        <v>3.36</v>
      </c>
      <c r="D12842" s="104">
        <f t="shared" si="200"/>
        <v>3.3599999999999998E-2</v>
      </c>
    </row>
    <row r="12843" spans="2:4" ht="13.8">
      <c r="B12843" s="187">
        <v>40626</v>
      </c>
      <c r="C12843" s="189">
        <v>3.42</v>
      </c>
      <c r="D12843" s="104">
        <f t="shared" si="200"/>
        <v>3.4200000000000001E-2</v>
      </c>
    </row>
    <row r="12844" spans="2:4" ht="13.8">
      <c r="B12844" s="187">
        <v>40627</v>
      </c>
      <c r="C12844" s="189">
        <v>3.46</v>
      </c>
      <c r="D12844" s="104">
        <f t="shared" si="200"/>
        <v>3.4599999999999999E-2</v>
      </c>
    </row>
    <row r="12845" spans="2:4" ht="13.8">
      <c r="B12845" s="187">
        <v>40630</v>
      </c>
      <c r="C12845" s="189">
        <v>3.47</v>
      </c>
      <c r="D12845" s="104">
        <f t="shared" si="200"/>
        <v>3.4700000000000002E-2</v>
      </c>
    </row>
    <row r="12846" spans="2:4" ht="13.8">
      <c r="B12846" s="187">
        <v>40631</v>
      </c>
      <c r="C12846" s="189">
        <v>3.5</v>
      </c>
      <c r="D12846" s="104">
        <f t="shared" si="200"/>
        <v>3.5000000000000003E-2</v>
      </c>
    </row>
    <row r="12847" spans="2:4" ht="13.8">
      <c r="B12847" s="187">
        <v>40632</v>
      </c>
      <c r="C12847" s="189">
        <v>3.47</v>
      </c>
      <c r="D12847" s="104">
        <f t="shared" si="200"/>
        <v>3.4700000000000002E-2</v>
      </c>
    </row>
    <row r="12848" spans="2:4" ht="13.8">
      <c r="B12848" s="187">
        <v>40633</v>
      </c>
      <c r="C12848" s="189">
        <v>3.47</v>
      </c>
      <c r="D12848" s="104">
        <f t="shared" si="200"/>
        <v>3.4700000000000002E-2</v>
      </c>
    </row>
    <row r="12849" spans="2:4" ht="13.8">
      <c r="B12849" s="187">
        <v>40634</v>
      </c>
      <c r="C12849" s="189">
        <v>3.46</v>
      </c>
      <c r="D12849" s="104">
        <f t="shared" si="200"/>
        <v>3.4599999999999999E-2</v>
      </c>
    </row>
    <row r="12850" spans="2:4" ht="13.8">
      <c r="B12850" s="187">
        <v>40637</v>
      </c>
      <c r="C12850" s="189">
        <v>3.45</v>
      </c>
      <c r="D12850" s="104">
        <f t="shared" si="200"/>
        <v>3.4500000000000003E-2</v>
      </c>
    </row>
    <row r="12851" spans="2:4" ht="13.8">
      <c r="B12851" s="187">
        <v>40638</v>
      </c>
      <c r="C12851" s="189">
        <v>3.5</v>
      </c>
      <c r="D12851" s="104">
        <f t="shared" si="200"/>
        <v>3.5000000000000003E-2</v>
      </c>
    </row>
    <row r="12852" spans="2:4" ht="13.8">
      <c r="B12852" s="187">
        <v>40639</v>
      </c>
      <c r="C12852" s="189">
        <v>3.56</v>
      </c>
      <c r="D12852" s="104">
        <f t="shared" si="200"/>
        <v>3.56E-2</v>
      </c>
    </row>
    <row r="12853" spans="2:4" ht="13.8">
      <c r="B12853" s="187">
        <v>40640</v>
      </c>
      <c r="C12853" s="189">
        <v>3.58</v>
      </c>
      <c r="D12853" s="104">
        <f t="shared" ref="D12853:D12916" si="201">IF( LEN( C12853 ) = 0, #N/A, IF( C12853 = "ND", D12852, C12853 / 100 ) )</f>
        <v>3.5799999999999998E-2</v>
      </c>
    </row>
    <row r="12854" spans="2:4" ht="13.8">
      <c r="B12854" s="187">
        <v>40641</v>
      </c>
      <c r="C12854" s="189">
        <v>3.59</v>
      </c>
      <c r="D12854" s="104">
        <f t="shared" si="201"/>
        <v>3.5900000000000001E-2</v>
      </c>
    </row>
    <row r="12855" spans="2:4" ht="13.8">
      <c r="B12855" s="187">
        <v>40644</v>
      </c>
      <c r="C12855" s="189">
        <v>3.59</v>
      </c>
      <c r="D12855" s="104">
        <f t="shared" si="201"/>
        <v>3.5900000000000001E-2</v>
      </c>
    </row>
    <row r="12856" spans="2:4" ht="13.8">
      <c r="B12856" s="187">
        <v>40645</v>
      </c>
      <c r="C12856" s="189">
        <v>3.52</v>
      </c>
      <c r="D12856" s="104">
        <f t="shared" si="201"/>
        <v>3.5200000000000002E-2</v>
      </c>
    </row>
    <row r="12857" spans="2:4" ht="13.8">
      <c r="B12857" s="187">
        <v>40646</v>
      </c>
      <c r="C12857" s="189">
        <v>3.49</v>
      </c>
      <c r="D12857" s="104">
        <f t="shared" si="201"/>
        <v>3.49E-2</v>
      </c>
    </row>
    <row r="12858" spans="2:4" ht="13.8">
      <c r="B12858" s="187">
        <v>40647</v>
      </c>
      <c r="C12858" s="189">
        <v>3.51</v>
      </c>
      <c r="D12858" s="104">
        <f t="shared" si="201"/>
        <v>3.5099999999999999E-2</v>
      </c>
    </row>
    <row r="12859" spans="2:4" ht="13.8">
      <c r="B12859" s="187">
        <v>40648</v>
      </c>
      <c r="C12859" s="189">
        <v>3.43</v>
      </c>
      <c r="D12859" s="104">
        <f t="shared" si="201"/>
        <v>3.4300000000000004E-2</v>
      </c>
    </row>
    <row r="12860" spans="2:4" ht="13.8">
      <c r="B12860" s="187">
        <v>40651</v>
      </c>
      <c r="C12860" s="189">
        <v>3.4</v>
      </c>
      <c r="D12860" s="104">
        <f t="shared" si="201"/>
        <v>3.4000000000000002E-2</v>
      </c>
    </row>
    <row r="12861" spans="2:4" ht="13.8">
      <c r="B12861" s="187">
        <v>40652</v>
      </c>
      <c r="C12861" s="189">
        <v>3.39</v>
      </c>
      <c r="D12861" s="104">
        <f t="shared" si="201"/>
        <v>3.39E-2</v>
      </c>
    </row>
    <row r="12862" spans="2:4" ht="13.8">
      <c r="B12862" s="187">
        <v>40653</v>
      </c>
      <c r="C12862" s="189">
        <v>3.43</v>
      </c>
      <c r="D12862" s="104">
        <f t="shared" si="201"/>
        <v>3.4300000000000004E-2</v>
      </c>
    </row>
    <row r="12863" spans="2:4" ht="13.8">
      <c r="B12863" s="187">
        <v>40654</v>
      </c>
      <c r="C12863" s="189">
        <v>3.42</v>
      </c>
      <c r="D12863" s="104">
        <f t="shared" si="201"/>
        <v>3.4200000000000001E-2</v>
      </c>
    </row>
    <row r="12864" spans="2:4" ht="13.8">
      <c r="B12864" s="187">
        <v>40658</v>
      </c>
      <c r="C12864" s="189">
        <v>3.39</v>
      </c>
      <c r="D12864" s="104">
        <f t="shared" si="201"/>
        <v>3.39E-2</v>
      </c>
    </row>
    <row r="12865" spans="2:4" ht="13.8">
      <c r="B12865" s="187">
        <v>40659</v>
      </c>
      <c r="C12865" s="189">
        <v>3.34</v>
      </c>
      <c r="D12865" s="104">
        <f t="shared" si="201"/>
        <v>3.3399999999999999E-2</v>
      </c>
    </row>
    <row r="12866" spans="2:4" ht="13.8">
      <c r="B12866" s="187">
        <v>40660</v>
      </c>
      <c r="C12866" s="189">
        <v>3.39</v>
      </c>
      <c r="D12866" s="104">
        <f t="shared" si="201"/>
        <v>3.39E-2</v>
      </c>
    </row>
    <row r="12867" spans="2:4" ht="13.8">
      <c r="B12867" s="187">
        <v>40661</v>
      </c>
      <c r="C12867" s="189">
        <v>3.34</v>
      </c>
      <c r="D12867" s="104">
        <f t="shared" si="201"/>
        <v>3.3399999999999999E-2</v>
      </c>
    </row>
    <row r="12868" spans="2:4" ht="13.8">
      <c r="B12868" s="187">
        <v>40662</v>
      </c>
      <c r="C12868" s="189">
        <v>3.32</v>
      </c>
      <c r="D12868" s="104">
        <f t="shared" si="201"/>
        <v>3.32E-2</v>
      </c>
    </row>
    <row r="12869" spans="2:4" ht="13.8">
      <c r="B12869" s="187">
        <v>40665</v>
      </c>
      <c r="C12869" s="189">
        <v>3.31</v>
      </c>
      <c r="D12869" s="104">
        <f t="shared" si="201"/>
        <v>3.3099999999999997E-2</v>
      </c>
    </row>
    <row r="12870" spans="2:4" ht="13.8">
      <c r="B12870" s="187">
        <v>40666</v>
      </c>
      <c r="C12870" s="189">
        <v>3.28</v>
      </c>
      <c r="D12870" s="104">
        <f t="shared" si="201"/>
        <v>3.2799999999999996E-2</v>
      </c>
    </row>
    <row r="12871" spans="2:4" ht="13.8">
      <c r="B12871" s="187">
        <v>40667</v>
      </c>
      <c r="C12871" s="189">
        <v>3.25</v>
      </c>
      <c r="D12871" s="104">
        <f t="shared" si="201"/>
        <v>3.2500000000000001E-2</v>
      </c>
    </row>
    <row r="12872" spans="2:4" ht="13.8">
      <c r="B12872" s="187">
        <v>40668</v>
      </c>
      <c r="C12872" s="189">
        <v>3.18</v>
      </c>
      <c r="D12872" s="104">
        <f t="shared" si="201"/>
        <v>3.1800000000000002E-2</v>
      </c>
    </row>
    <row r="12873" spans="2:4" ht="13.8">
      <c r="B12873" s="187">
        <v>40669</v>
      </c>
      <c r="C12873" s="189">
        <v>3.19</v>
      </c>
      <c r="D12873" s="104">
        <f t="shared" si="201"/>
        <v>3.1899999999999998E-2</v>
      </c>
    </row>
    <row r="12874" spans="2:4" ht="13.8">
      <c r="B12874" s="187">
        <v>40672</v>
      </c>
      <c r="C12874" s="189">
        <v>3.17</v>
      </c>
      <c r="D12874" s="104">
        <f t="shared" si="201"/>
        <v>3.1699999999999999E-2</v>
      </c>
    </row>
    <row r="12875" spans="2:4" ht="13.8">
      <c r="B12875" s="187">
        <v>40673</v>
      </c>
      <c r="C12875" s="189">
        <v>3.23</v>
      </c>
      <c r="D12875" s="104">
        <f t="shared" si="201"/>
        <v>3.2300000000000002E-2</v>
      </c>
    </row>
    <row r="12876" spans="2:4" ht="13.8">
      <c r="B12876" s="187">
        <v>40674</v>
      </c>
      <c r="C12876" s="189">
        <v>3.19</v>
      </c>
      <c r="D12876" s="104">
        <f t="shared" si="201"/>
        <v>3.1899999999999998E-2</v>
      </c>
    </row>
    <row r="12877" spans="2:4" ht="13.8">
      <c r="B12877" s="187">
        <v>40675</v>
      </c>
      <c r="C12877" s="189">
        <v>3.22</v>
      </c>
      <c r="D12877" s="104">
        <f t="shared" si="201"/>
        <v>3.2199999999999999E-2</v>
      </c>
    </row>
    <row r="12878" spans="2:4" ht="13.8">
      <c r="B12878" s="187">
        <v>40676</v>
      </c>
      <c r="C12878" s="189">
        <v>3.18</v>
      </c>
      <c r="D12878" s="104">
        <f t="shared" si="201"/>
        <v>3.1800000000000002E-2</v>
      </c>
    </row>
    <row r="12879" spans="2:4" ht="13.8">
      <c r="B12879" s="187">
        <v>40679</v>
      </c>
      <c r="C12879" s="189">
        <v>3.15</v>
      </c>
      <c r="D12879" s="104">
        <f t="shared" si="201"/>
        <v>3.15E-2</v>
      </c>
    </row>
    <row r="12880" spans="2:4" ht="13.8">
      <c r="B12880" s="187">
        <v>40680</v>
      </c>
      <c r="C12880" s="189">
        <v>3.12</v>
      </c>
      <c r="D12880" s="104">
        <f t="shared" si="201"/>
        <v>3.1200000000000002E-2</v>
      </c>
    </row>
    <row r="12881" spans="2:4" ht="13.8">
      <c r="B12881" s="187">
        <v>40681</v>
      </c>
      <c r="C12881" s="189">
        <v>3.18</v>
      </c>
      <c r="D12881" s="104">
        <f t="shared" si="201"/>
        <v>3.1800000000000002E-2</v>
      </c>
    </row>
    <row r="12882" spans="2:4" ht="13.8">
      <c r="B12882" s="187">
        <v>40682</v>
      </c>
      <c r="C12882" s="189">
        <v>3.17</v>
      </c>
      <c r="D12882" s="104">
        <f t="shared" si="201"/>
        <v>3.1699999999999999E-2</v>
      </c>
    </row>
    <row r="12883" spans="2:4" ht="13.8">
      <c r="B12883" s="187">
        <v>40683</v>
      </c>
      <c r="C12883" s="189">
        <v>3.15</v>
      </c>
      <c r="D12883" s="104">
        <f t="shared" si="201"/>
        <v>3.15E-2</v>
      </c>
    </row>
    <row r="12884" spans="2:4" ht="13.8">
      <c r="B12884" s="187">
        <v>40686</v>
      </c>
      <c r="C12884" s="189">
        <v>3.13</v>
      </c>
      <c r="D12884" s="104">
        <f t="shared" si="201"/>
        <v>3.1300000000000001E-2</v>
      </c>
    </row>
    <row r="12885" spans="2:4" ht="13.8">
      <c r="B12885" s="187">
        <v>40687</v>
      </c>
      <c r="C12885" s="189">
        <v>3.12</v>
      </c>
      <c r="D12885" s="104">
        <f t="shared" si="201"/>
        <v>3.1200000000000002E-2</v>
      </c>
    </row>
    <row r="12886" spans="2:4" ht="13.8">
      <c r="B12886" s="187">
        <v>40688</v>
      </c>
      <c r="C12886" s="189">
        <v>3.13</v>
      </c>
      <c r="D12886" s="104">
        <f t="shared" si="201"/>
        <v>3.1300000000000001E-2</v>
      </c>
    </row>
    <row r="12887" spans="2:4" ht="13.8">
      <c r="B12887" s="187">
        <v>40689</v>
      </c>
      <c r="C12887" s="189">
        <v>3.07</v>
      </c>
      <c r="D12887" s="104">
        <f t="shared" si="201"/>
        <v>3.0699999999999998E-2</v>
      </c>
    </row>
    <row r="12888" spans="2:4" ht="13.8">
      <c r="B12888" s="187">
        <v>40690</v>
      </c>
      <c r="C12888" s="189">
        <v>3.07</v>
      </c>
      <c r="D12888" s="104">
        <f t="shared" si="201"/>
        <v>3.0699999999999998E-2</v>
      </c>
    </row>
    <row r="12889" spans="2:4" ht="13.8">
      <c r="B12889" s="187">
        <v>40694</v>
      </c>
      <c r="C12889" s="189">
        <v>3.05</v>
      </c>
      <c r="D12889" s="104">
        <f t="shared" si="201"/>
        <v>3.0499999999999999E-2</v>
      </c>
    </row>
    <row r="12890" spans="2:4" ht="13.8">
      <c r="B12890" s="187">
        <v>40695</v>
      </c>
      <c r="C12890" s="189">
        <v>2.96</v>
      </c>
      <c r="D12890" s="104">
        <f t="shared" si="201"/>
        <v>2.9600000000000001E-2</v>
      </c>
    </row>
    <row r="12891" spans="2:4" ht="13.8">
      <c r="B12891" s="187">
        <v>40696</v>
      </c>
      <c r="C12891" s="189">
        <v>3.04</v>
      </c>
      <c r="D12891" s="104">
        <f t="shared" si="201"/>
        <v>3.04E-2</v>
      </c>
    </row>
    <row r="12892" spans="2:4" ht="13.8">
      <c r="B12892" s="187">
        <v>40697</v>
      </c>
      <c r="C12892" s="189">
        <v>2.99</v>
      </c>
      <c r="D12892" s="104">
        <f t="shared" si="201"/>
        <v>2.9900000000000003E-2</v>
      </c>
    </row>
    <row r="12893" spans="2:4" ht="13.8">
      <c r="B12893" s="187">
        <v>40700</v>
      </c>
      <c r="C12893" s="189">
        <v>3.01</v>
      </c>
      <c r="D12893" s="104">
        <f t="shared" si="201"/>
        <v>3.0099999999999998E-2</v>
      </c>
    </row>
    <row r="12894" spans="2:4" ht="13.8">
      <c r="B12894" s="187">
        <v>40701</v>
      </c>
      <c r="C12894" s="189">
        <v>3.01</v>
      </c>
      <c r="D12894" s="104">
        <f t="shared" si="201"/>
        <v>3.0099999999999998E-2</v>
      </c>
    </row>
    <row r="12895" spans="2:4" ht="13.8">
      <c r="B12895" s="187">
        <v>40702</v>
      </c>
      <c r="C12895" s="189">
        <v>2.98</v>
      </c>
      <c r="D12895" s="104">
        <f t="shared" si="201"/>
        <v>2.98E-2</v>
      </c>
    </row>
    <row r="12896" spans="2:4" ht="13.8">
      <c r="B12896" s="187">
        <v>40703</v>
      </c>
      <c r="C12896" s="189">
        <v>3.01</v>
      </c>
      <c r="D12896" s="104">
        <f t="shared" si="201"/>
        <v>3.0099999999999998E-2</v>
      </c>
    </row>
    <row r="12897" spans="2:4" ht="13.8">
      <c r="B12897" s="187">
        <v>40704</v>
      </c>
      <c r="C12897" s="189">
        <v>2.99</v>
      </c>
      <c r="D12897" s="104">
        <f t="shared" si="201"/>
        <v>2.9900000000000003E-2</v>
      </c>
    </row>
    <row r="12898" spans="2:4" ht="13.8">
      <c r="B12898" s="187">
        <v>40707</v>
      </c>
      <c r="C12898" s="189">
        <v>3</v>
      </c>
      <c r="D12898" s="104">
        <f t="shared" si="201"/>
        <v>0.03</v>
      </c>
    </row>
    <row r="12899" spans="2:4" ht="13.8">
      <c r="B12899" s="187">
        <v>40708</v>
      </c>
      <c r="C12899" s="189">
        <v>3.11</v>
      </c>
      <c r="D12899" s="104">
        <f t="shared" si="201"/>
        <v>3.1099999999999999E-2</v>
      </c>
    </row>
    <row r="12900" spans="2:4" ht="13.8">
      <c r="B12900" s="187">
        <v>40709</v>
      </c>
      <c r="C12900" s="189">
        <v>2.98</v>
      </c>
      <c r="D12900" s="104">
        <f t="shared" si="201"/>
        <v>2.98E-2</v>
      </c>
    </row>
    <row r="12901" spans="2:4" ht="13.8">
      <c r="B12901" s="187">
        <v>40710</v>
      </c>
      <c r="C12901" s="189">
        <v>2.93</v>
      </c>
      <c r="D12901" s="104">
        <f t="shared" si="201"/>
        <v>2.9300000000000003E-2</v>
      </c>
    </row>
    <row r="12902" spans="2:4" ht="13.8">
      <c r="B12902" s="187">
        <v>40711</v>
      </c>
      <c r="C12902" s="189">
        <v>2.94</v>
      </c>
      <c r="D12902" s="104">
        <f t="shared" si="201"/>
        <v>2.9399999999999999E-2</v>
      </c>
    </row>
    <row r="12903" spans="2:4" ht="13.8">
      <c r="B12903" s="187">
        <v>40714</v>
      </c>
      <c r="C12903" s="189">
        <v>2.97</v>
      </c>
      <c r="D12903" s="104">
        <f t="shared" si="201"/>
        <v>2.9700000000000001E-2</v>
      </c>
    </row>
    <row r="12904" spans="2:4" ht="13.8">
      <c r="B12904" s="187">
        <v>40715</v>
      </c>
      <c r="C12904" s="189">
        <v>2.99</v>
      </c>
      <c r="D12904" s="104">
        <f t="shared" si="201"/>
        <v>2.9900000000000003E-2</v>
      </c>
    </row>
    <row r="12905" spans="2:4" ht="13.8">
      <c r="B12905" s="187">
        <v>40716</v>
      </c>
      <c r="C12905" s="189">
        <v>3.01</v>
      </c>
      <c r="D12905" s="104">
        <f t="shared" si="201"/>
        <v>3.0099999999999998E-2</v>
      </c>
    </row>
    <row r="12906" spans="2:4" ht="13.8">
      <c r="B12906" s="187">
        <v>40717</v>
      </c>
      <c r="C12906" s="189">
        <v>2.93</v>
      </c>
      <c r="D12906" s="104">
        <f t="shared" si="201"/>
        <v>2.9300000000000003E-2</v>
      </c>
    </row>
    <row r="12907" spans="2:4" ht="13.8">
      <c r="B12907" s="187">
        <v>40718</v>
      </c>
      <c r="C12907" s="189">
        <v>2.88</v>
      </c>
      <c r="D12907" s="104">
        <f t="shared" si="201"/>
        <v>2.8799999999999999E-2</v>
      </c>
    </row>
    <row r="12908" spans="2:4" ht="13.8">
      <c r="B12908" s="187">
        <v>40721</v>
      </c>
      <c r="C12908" s="189">
        <v>2.95</v>
      </c>
      <c r="D12908" s="104">
        <f t="shared" si="201"/>
        <v>2.9500000000000002E-2</v>
      </c>
    </row>
    <row r="12909" spans="2:4" ht="13.8">
      <c r="B12909" s="187">
        <v>40722</v>
      </c>
      <c r="C12909" s="189">
        <v>3.05</v>
      </c>
      <c r="D12909" s="104">
        <f t="shared" si="201"/>
        <v>3.0499999999999999E-2</v>
      </c>
    </row>
    <row r="12910" spans="2:4" ht="13.8">
      <c r="B12910" s="187">
        <v>40723</v>
      </c>
      <c r="C12910" s="189">
        <v>3.14</v>
      </c>
      <c r="D12910" s="104">
        <f t="shared" si="201"/>
        <v>3.1400000000000004E-2</v>
      </c>
    </row>
    <row r="12911" spans="2:4" ht="13.8">
      <c r="B12911" s="187">
        <v>40724</v>
      </c>
      <c r="C12911" s="189">
        <v>3.18</v>
      </c>
      <c r="D12911" s="104">
        <f t="shared" si="201"/>
        <v>3.1800000000000002E-2</v>
      </c>
    </row>
    <row r="12912" spans="2:4" ht="13.8">
      <c r="B12912" s="187">
        <v>40725</v>
      </c>
      <c r="C12912" s="189">
        <v>3.22</v>
      </c>
      <c r="D12912" s="104">
        <f t="shared" si="201"/>
        <v>3.2199999999999999E-2</v>
      </c>
    </row>
    <row r="12913" spans="2:4" ht="13.8">
      <c r="B12913" s="187">
        <v>40729</v>
      </c>
      <c r="C12913" s="189">
        <v>3.16</v>
      </c>
      <c r="D12913" s="104">
        <f t="shared" si="201"/>
        <v>3.1600000000000003E-2</v>
      </c>
    </row>
    <row r="12914" spans="2:4" ht="13.8">
      <c r="B12914" s="187">
        <v>40730</v>
      </c>
      <c r="C12914" s="189">
        <v>3.12</v>
      </c>
      <c r="D12914" s="104">
        <f t="shared" si="201"/>
        <v>3.1200000000000002E-2</v>
      </c>
    </row>
    <row r="12915" spans="2:4" ht="13.8">
      <c r="B12915" s="187">
        <v>40731</v>
      </c>
      <c r="C12915" s="189">
        <v>3.17</v>
      </c>
      <c r="D12915" s="104">
        <f t="shared" si="201"/>
        <v>3.1699999999999999E-2</v>
      </c>
    </row>
    <row r="12916" spans="2:4" ht="13.8">
      <c r="B12916" s="187">
        <v>40732</v>
      </c>
      <c r="C12916" s="189">
        <v>3.03</v>
      </c>
      <c r="D12916" s="104">
        <f t="shared" si="201"/>
        <v>3.0299999999999997E-2</v>
      </c>
    </row>
    <row r="12917" spans="2:4" ht="13.8">
      <c r="B12917" s="187">
        <v>40735</v>
      </c>
      <c r="C12917" s="189">
        <v>2.94</v>
      </c>
      <c r="D12917" s="104">
        <f t="shared" ref="D12917:D12980" si="202">IF( LEN( C12917 ) = 0, #N/A, IF( C12917 = "ND", D12916, C12917 / 100 ) )</f>
        <v>2.9399999999999999E-2</v>
      </c>
    </row>
    <row r="12918" spans="2:4" ht="13.8">
      <c r="B12918" s="187">
        <v>40736</v>
      </c>
      <c r="C12918" s="189">
        <v>2.92</v>
      </c>
      <c r="D12918" s="104">
        <f t="shared" si="202"/>
        <v>2.92E-2</v>
      </c>
    </row>
    <row r="12919" spans="2:4" ht="13.8">
      <c r="B12919" s="187">
        <v>40737</v>
      </c>
      <c r="C12919" s="189">
        <v>2.92</v>
      </c>
      <c r="D12919" s="104">
        <f t="shared" si="202"/>
        <v>2.92E-2</v>
      </c>
    </row>
    <row r="12920" spans="2:4" ht="13.8">
      <c r="B12920" s="187">
        <v>40738</v>
      </c>
      <c r="C12920" s="189">
        <v>2.98</v>
      </c>
      <c r="D12920" s="104">
        <f t="shared" si="202"/>
        <v>2.98E-2</v>
      </c>
    </row>
    <row r="12921" spans="2:4" ht="13.8">
      <c r="B12921" s="187">
        <v>40739</v>
      </c>
      <c r="C12921" s="189">
        <v>2.94</v>
      </c>
      <c r="D12921" s="104">
        <f t="shared" si="202"/>
        <v>2.9399999999999999E-2</v>
      </c>
    </row>
    <row r="12922" spans="2:4" ht="13.8">
      <c r="B12922" s="187">
        <v>40742</v>
      </c>
      <c r="C12922" s="189">
        <v>2.94</v>
      </c>
      <c r="D12922" s="104">
        <f t="shared" si="202"/>
        <v>2.9399999999999999E-2</v>
      </c>
    </row>
    <row r="12923" spans="2:4" ht="13.8">
      <c r="B12923" s="187">
        <v>40743</v>
      </c>
      <c r="C12923" s="189">
        <v>2.91</v>
      </c>
      <c r="D12923" s="104">
        <f t="shared" si="202"/>
        <v>2.9100000000000001E-2</v>
      </c>
    </row>
    <row r="12924" spans="2:4" ht="13.8">
      <c r="B12924" s="187">
        <v>40744</v>
      </c>
      <c r="C12924" s="189">
        <v>2.96</v>
      </c>
      <c r="D12924" s="104">
        <f t="shared" si="202"/>
        <v>2.9600000000000001E-2</v>
      </c>
    </row>
    <row r="12925" spans="2:4" ht="13.8">
      <c r="B12925" s="187">
        <v>40745</v>
      </c>
      <c r="C12925" s="189">
        <v>3.03</v>
      </c>
      <c r="D12925" s="104">
        <f t="shared" si="202"/>
        <v>3.0299999999999997E-2</v>
      </c>
    </row>
    <row r="12926" spans="2:4" ht="13.8">
      <c r="B12926" s="187">
        <v>40746</v>
      </c>
      <c r="C12926" s="189">
        <v>2.99</v>
      </c>
      <c r="D12926" s="104">
        <f t="shared" si="202"/>
        <v>2.9900000000000003E-2</v>
      </c>
    </row>
    <row r="12927" spans="2:4" ht="13.8">
      <c r="B12927" s="187">
        <v>40749</v>
      </c>
      <c r="C12927" s="189">
        <v>3.03</v>
      </c>
      <c r="D12927" s="104">
        <f t="shared" si="202"/>
        <v>3.0299999999999997E-2</v>
      </c>
    </row>
    <row r="12928" spans="2:4" ht="13.8">
      <c r="B12928" s="187">
        <v>40750</v>
      </c>
      <c r="C12928" s="189">
        <v>2.99</v>
      </c>
      <c r="D12928" s="104">
        <f t="shared" si="202"/>
        <v>2.9900000000000003E-2</v>
      </c>
    </row>
    <row r="12929" spans="2:4" ht="13.8">
      <c r="B12929" s="187">
        <v>40751</v>
      </c>
      <c r="C12929" s="189">
        <v>3.01</v>
      </c>
      <c r="D12929" s="104">
        <f t="shared" si="202"/>
        <v>3.0099999999999998E-2</v>
      </c>
    </row>
    <row r="12930" spans="2:4" ht="13.8">
      <c r="B12930" s="187">
        <v>40752</v>
      </c>
      <c r="C12930" s="189">
        <v>2.98</v>
      </c>
      <c r="D12930" s="104">
        <f t="shared" si="202"/>
        <v>2.98E-2</v>
      </c>
    </row>
    <row r="12931" spans="2:4" ht="13.8">
      <c r="B12931" s="187">
        <v>40753</v>
      </c>
      <c r="C12931" s="189">
        <v>2.82</v>
      </c>
      <c r="D12931" s="104">
        <f t="shared" si="202"/>
        <v>2.8199999999999999E-2</v>
      </c>
    </row>
    <row r="12932" spans="2:4" ht="13.8">
      <c r="B12932" s="187">
        <v>40756</v>
      </c>
      <c r="C12932" s="189">
        <v>2.77</v>
      </c>
      <c r="D12932" s="104">
        <f t="shared" si="202"/>
        <v>2.7699999999999999E-2</v>
      </c>
    </row>
    <row r="12933" spans="2:4" ht="13.8">
      <c r="B12933" s="187">
        <v>40757</v>
      </c>
      <c r="C12933" s="189">
        <v>2.66</v>
      </c>
      <c r="D12933" s="104">
        <f t="shared" si="202"/>
        <v>2.6600000000000002E-2</v>
      </c>
    </row>
    <row r="12934" spans="2:4" ht="13.8">
      <c r="B12934" s="187">
        <v>40758</v>
      </c>
      <c r="C12934" s="189">
        <v>2.64</v>
      </c>
      <c r="D12934" s="104">
        <f t="shared" si="202"/>
        <v>2.64E-2</v>
      </c>
    </row>
    <row r="12935" spans="2:4" ht="13.8">
      <c r="B12935" s="187">
        <v>40759</v>
      </c>
      <c r="C12935" s="189">
        <v>2.4700000000000002</v>
      </c>
      <c r="D12935" s="104">
        <f t="shared" si="202"/>
        <v>2.4700000000000003E-2</v>
      </c>
    </row>
    <row r="12936" spans="2:4" ht="13.8">
      <c r="B12936" s="187">
        <v>40760</v>
      </c>
      <c r="C12936" s="189">
        <v>2.58</v>
      </c>
      <c r="D12936" s="104">
        <f t="shared" si="202"/>
        <v>2.58E-2</v>
      </c>
    </row>
    <row r="12937" spans="2:4" ht="13.8">
      <c r="B12937" s="187">
        <v>40763</v>
      </c>
      <c r="C12937" s="189">
        <v>2.4</v>
      </c>
      <c r="D12937" s="104">
        <f t="shared" si="202"/>
        <v>2.4E-2</v>
      </c>
    </row>
    <row r="12938" spans="2:4" ht="13.8">
      <c r="B12938" s="187">
        <v>40764</v>
      </c>
      <c r="C12938" s="189">
        <v>2.2000000000000002</v>
      </c>
      <c r="D12938" s="104">
        <f t="shared" si="202"/>
        <v>2.2000000000000002E-2</v>
      </c>
    </row>
    <row r="12939" spans="2:4" ht="13.8">
      <c r="B12939" s="187">
        <v>40765</v>
      </c>
      <c r="C12939" s="189">
        <v>2.17</v>
      </c>
      <c r="D12939" s="104">
        <f t="shared" si="202"/>
        <v>2.1700000000000001E-2</v>
      </c>
    </row>
    <row r="12940" spans="2:4" ht="13.8">
      <c r="B12940" s="187">
        <v>40766</v>
      </c>
      <c r="C12940" s="189">
        <v>2.34</v>
      </c>
      <c r="D12940" s="104">
        <f t="shared" si="202"/>
        <v>2.3399999999999997E-2</v>
      </c>
    </row>
    <row r="12941" spans="2:4" ht="13.8">
      <c r="B12941" s="187">
        <v>40767</v>
      </c>
      <c r="C12941" s="189">
        <v>2.2400000000000002</v>
      </c>
      <c r="D12941" s="104">
        <f t="shared" si="202"/>
        <v>2.2400000000000003E-2</v>
      </c>
    </row>
    <row r="12942" spans="2:4" ht="13.8">
      <c r="B12942" s="187">
        <v>40770</v>
      </c>
      <c r="C12942" s="189">
        <v>2.29</v>
      </c>
      <c r="D12942" s="104">
        <f t="shared" si="202"/>
        <v>2.29E-2</v>
      </c>
    </row>
    <row r="12943" spans="2:4" ht="13.8">
      <c r="B12943" s="187">
        <v>40771</v>
      </c>
      <c r="C12943" s="189">
        <v>2.23</v>
      </c>
      <c r="D12943" s="104">
        <f t="shared" si="202"/>
        <v>2.23E-2</v>
      </c>
    </row>
    <row r="12944" spans="2:4" ht="13.8">
      <c r="B12944" s="187">
        <v>40772</v>
      </c>
      <c r="C12944" s="189">
        <v>2.17</v>
      </c>
      <c r="D12944" s="104">
        <f t="shared" si="202"/>
        <v>2.1700000000000001E-2</v>
      </c>
    </row>
    <row r="12945" spans="2:4" ht="13.8">
      <c r="B12945" s="187">
        <v>40773</v>
      </c>
      <c r="C12945" s="189">
        <v>2.08</v>
      </c>
      <c r="D12945" s="104">
        <f t="shared" si="202"/>
        <v>2.0799999999999999E-2</v>
      </c>
    </row>
    <row r="12946" spans="2:4" ht="13.8">
      <c r="B12946" s="187">
        <v>40774</v>
      </c>
      <c r="C12946" s="189">
        <v>2.0699999999999998</v>
      </c>
      <c r="D12946" s="104">
        <f t="shared" si="202"/>
        <v>2.07E-2</v>
      </c>
    </row>
    <row r="12947" spans="2:4" ht="13.8">
      <c r="B12947" s="187">
        <v>40777</v>
      </c>
      <c r="C12947" s="189">
        <v>2.1</v>
      </c>
      <c r="D12947" s="104">
        <f t="shared" si="202"/>
        <v>2.1000000000000001E-2</v>
      </c>
    </row>
    <row r="12948" spans="2:4" ht="13.8">
      <c r="B12948" s="187">
        <v>40778</v>
      </c>
      <c r="C12948" s="189">
        <v>2.15</v>
      </c>
      <c r="D12948" s="104">
        <f t="shared" si="202"/>
        <v>2.1499999999999998E-2</v>
      </c>
    </row>
    <row r="12949" spans="2:4" ht="13.8">
      <c r="B12949" s="187">
        <v>40779</v>
      </c>
      <c r="C12949" s="189">
        <v>2.29</v>
      </c>
      <c r="D12949" s="104">
        <f t="shared" si="202"/>
        <v>2.29E-2</v>
      </c>
    </row>
    <row r="12950" spans="2:4" ht="13.8">
      <c r="B12950" s="187">
        <v>40780</v>
      </c>
      <c r="C12950" s="189">
        <v>2.23</v>
      </c>
      <c r="D12950" s="104">
        <f t="shared" si="202"/>
        <v>2.23E-2</v>
      </c>
    </row>
    <row r="12951" spans="2:4" ht="13.8">
      <c r="B12951" s="187">
        <v>40781</v>
      </c>
      <c r="C12951" s="189">
        <v>2.19</v>
      </c>
      <c r="D12951" s="104">
        <f t="shared" si="202"/>
        <v>2.1899999999999999E-2</v>
      </c>
    </row>
    <row r="12952" spans="2:4" ht="13.8">
      <c r="B12952" s="187">
        <v>40784</v>
      </c>
      <c r="C12952" s="189">
        <v>2.2799999999999998</v>
      </c>
      <c r="D12952" s="104">
        <f t="shared" si="202"/>
        <v>2.2799999999999997E-2</v>
      </c>
    </row>
    <row r="12953" spans="2:4" ht="13.8">
      <c r="B12953" s="187">
        <v>40785</v>
      </c>
      <c r="C12953" s="189">
        <v>2.19</v>
      </c>
      <c r="D12953" s="104">
        <f t="shared" si="202"/>
        <v>2.1899999999999999E-2</v>
      </c>
    </row>
    <row r="12954" spans="2:4" ht="13.8">
      <c r="B12954" s="187">
        <v>40786</v>
      </c>
      <c r="C12954" s="189">
        <v>2.23</v>
      </c>
      <c r="D12954" s="104">
        <f t="shared" si="202"/>
        <v>2.23E-2</v>
      </c>
    </row>
    <row r="12955" spans="2:4" ht="13.8">
      <c r="B12955" s="187">
        <v>40787</v>
      </c>
      <c r="C12955" s="189">
        <v>2.15</v>
      </c>
      <c r="D12955" s="104">
        <f t="shared" si="202"/>
        <v>2.1499999999999998E-2</v>
      </c>
    </row>
    <row r="12956" spans="2:4" ht="13.8">
      <c r="B12956" s="187">
        <v>40788</v>
      </c>
      <c r="C12956" s="189">
        <v>2.02</v>
      </c>
      <c r="D12956" s="104">
        <f t="shared" si="202"/>
        <v>2.0199999999999999E-2</v>
      </c>
    </row>
    <row r="12957" spans="2:4" ht="13.8">
      <c r="B12957" s="187">
        <v>40792</v>
      </c>
      <c r="C12957" s="189">
        <v>1.98</v>
      </c>
      <c r="D12957" s="104">
        <f t="shared" si="202"/>
        <v>1.9799999999999998E-2</v>
      </c>
    </row>
    <row r="12958" spans="2:4" ht="13.8">
      <c r="B12958" s="187">
        <v>40793</v>
      </c>
      <c r="C12958" s="189">
        <v>2.0499999999999998</v>
      </c>
      <c r="D12958" s="104">
        <f t="shared" si="202"/>
        <v>2.0499999999999997E-2</v>
      </c>
    </row>
    <row r="12959" spans="2:4" ht="13.8">
      <c r="B12959" s="187">
        <v>40794</v>
      </c>
      <c r="C12959" s="189">
        <v>2</v>
      </c>
      <c r="D12959" s="104">
        <f t="shared" si="202"/>
        <v>0.02</v>
      </c>
    </row>
    <row r="12960" spans="2:4" ht="13.8">
      <c r="B12960" s="187">
        <v>40795</v>
      </c>
      <c r="C12960" s="189">
        <v>1.93</v>
      </c>
      <c r="D12960" s="104">
        <f t="shared" si="202"/>
        <v>1.9299999999999998E-2</v>
      </c>
    </row>
    <row r="12961" spans="2:4" ht="13.8">
      <c r="B12961" s="187">
        <v>40798</v>
      </c>
      <c r="C12961" s="189">
        <v>1.94</v>
      </c>
      <c r="D12961" s="104">
        <f t="shared" si="202"/>
        <v>1.9400000000000001E-2</v>
      </c>
    </row>
    <row r="12962" spans="2:4" ht="13.8">
      <c r="B12962" s="187">
        <v>40799</v>
      </c>
      <c r="C12962" s="189">
        <v>2</v>
      </c>
      <c r="D12962" s="104">
        <f t="shared" si="202"/>
        <v>0.02</v>
      </c>
    </row>
    <row r="12963" spans="2:4" ht="13.8">
      <c r="B12963" s="187">
        <v>40800</v>
      </c>
      <c r="C12963" s="189">
        <v>2.0299999999999998</v>
      </c>
      <c r="D12963" s="104">
        <f t="shared" si="202"/>
        <v>2.0299999999999999E-2</v>
      </c>
    </row>
    <row r="12964" spans="2:4" ht="13.8">
      <c r="B12964" s="187">
        <v>40801</v>
      </c>
      <c r="C12964" s="189">
        <v>2.09</v>
      </c>
      <c r="D12964" s="104">
        <f t="shared" si="202"/>
        <v>2.0899999999999998E-2</v>
      </c>
    </row>
    <row r="12965" spans="2:4" ht="13.8">
      <c r="B12965" s="187">
        <v>40802</v>
      </c>
      <c r="C12965" s="189">
        <v>2.08</v>
      </c>
      <c r="D12965" s="104">
        <f t="shared" si="202"/>
        <v>2.0799999999999999E-2</v>
      </c>
    </row>
    <row r="12966" spans="2:4" ht="13.8">
      <c r="B12966" s="187">
        <v>40805</v>
      </c>
      <c r="C12966" s="189">
        <v>1.97</v>
      </c>
      <c r="D12966" s="104">
        <f t="shared" si="202"/>
        <v>1.9699999999999999E-2</v>
      </c>
    </row>
    <row r="12967" spans="2:4" ht="13.8">
      <c r="B12967" s="187">
        <v>40806</v>
      </c>
      <c r="C12967" s="189">
        <v>1.95</v>
      </c>
      <c r="D12967" s="104">
        <f t="shared" si="202"/>
        <v>1.95E-2</v>
      </c>
    </row>
    <row r="12968" spans="2:4" ht="13.8">
      <c r="B12968" s="187">
        <v>40807</v>
      </c>
      <c r="C12968" s="189">
        <v>1.88</v>
      </c>
      <c r="D12968" s="104">
        <f t="shared" si="202"/>
        <v>1.8799999999999997E-2</v>
      </c>
    </row>
    <row r="12969" spans="2:4" ht="13.8">
      <c r="B12969" s="187">
        <v>40808</v>
      </c>
      <c r="C12969" s="189">
        <v>1.72</v>
      </c>
      <c r="D12969" s="104">
        <f t="shared" si="202"/>
        <v>1.72E-2</v>
      </c>
    </row>
    <row r="12970" spans="2:4" ht="13.8">
      <c r="B12970" s="187">
        <v>40809</v>
      </c>
      <c r="C12970" s="189">
        <v>1.84</v>
      </c>
      <c r="D12970" s="104">
        <f t="shared" si="202"/>
        <v>1.84E-2</v>
      </c>
    </row>
    <row r="12971" spans="2:4" ht="13.8">
      <c r="B12971" s="187">
        <v>40812</v>
      </c>
      <c r="C12971" s="189">
        <v>1.91</v>
      </c>
      <c r="D12971" s="104">
        <f t="shared" si="202"/>
        <v>1.9099999999999999E-2</v>
      </c>
    </row>
    <row r="12972" spans="2:4" ht="13.8">
      <c r="B12972" s="187">
        <v>40813</v>
      </c>
      <c r="C12972" s="189">
        <v>2</v>
      </c>
      <c r="D12972" s="104">
        <f t="shared" si="202"/>
        <v>0.02</v>
      </c>
    </row>
    <row r="12973" spans="2:4" ht="13.8">
      <c r="B12973" s="187">
        <v>40814</v>
      </c>
      <c r="C12973" s="189">
        <v>2.0299999999999998</v>
      </c>
      <c r="D12973" s="104">
        <f t="shared" si="202"/>
        <v>2.0299999999999999E-2</v>
      </c>
    </row>
    <row r="12974" spans="2:4" ht="13.8">
      <c r="B12974" s="187">
        <v>40815</v>
      </c>
      <c r="C12974" s="189">
        <v>1.99</v>
      </c>
      <c r="D12974" s="104">
        <f t="shared" si="202"/>
        <v>1.9900000000000001E-2</v>
      </c>
    </row>
    <row r="12975" spans="2:4" ht="13.8">
      <c r="B12975" s="187">
        <v>40816</v>
      </c>
      <c r="C12975" s="189">
        <v>1.92</v>
      </c>
      <c r="D12975" s="104">
        <f t="shared" si="202"/>
        <v>1.9199999999999998E-2</v>
      </c>
    </row>
    <row r="12976" spans="2:4" ht="13.8">
      <c r="B12976" s="187">
        <v>40819</v>
      </c>
      <c r="C12976" s="189">
        <v>1.8</v>
      </c>
      <c r="D12976" s="104">
        <f t="shared" si="202"/>
        <v>1.8000000000000002E-2</v>
      </c>
    </row>
    <row r="12977" spans="2:4" ht="13.8">
      <c r="B12977" s="187">
        <v>40820</v>
      </c>
      <c r="C12977" s="189">
        <v>1.81</v>
      </c>
      <c r="D12977" s="104">
        <f t="shared" si="202"/>
        <v>1.8100000000000002E-2</v>
      </c>
    </row>
    <row r="12978" spans="2:4" ht="13.8">
      <c r="B12978" s="187">
        <v>40821</v>
      </c>
      <c r="C12978" s="189">
        <v>1.92</v>
      </c>
      <c r="D12978" s="104">
        <f t="shared" si="202"/>
        <v>1.9199999999999998E-2</v>
      </c>
    </row>
    <row r="12979" spans="2:4" ht="13.8">
      <c r="B12979" s="187">
        <v>40822</v>
      </c>
      <c r="C12979" s="189">
        <v>2.0099999999999998</v>
      </c>
      <c r="D12979" s="104">
        <f t="shared" si="202"/>
        <v>2.0099999999999996E-2</v>
      </c>
    </row>
    <row r="12980" spans="2:4" ht="13.8">
      <c r="B12980" s="187">
        <v>40823</v>
      </c>
      <c r="C12980" s="189">
        <v>2.1</v>
      </c>
      <c r="D12980" s="104">
        <f t="shared" si="202"/>
        <v>2.1000000000000001E-2</v>
      </c>
    </row>
    <row r="12981" spans="2:4" ht="13.8">
      <c r="B12981" s="187">
        <v>40827</v>
      </c>
      <c r="C12981" s="189">
        <v>2.1800000000000002</v>
      </c>
      <c r="D12981" s="104">
        <f t="shared" ref="D12981:D13044" si="203">IF( LEN( C12981 ) = 0, #N/A, IF( C12981 = "ND", D12980, C12981 / 100 ) )</f>
        <v>2.18E-2</v>
      </c>
    </row>
    <row r="12982" spans="2:4" ht="13.8">
      <c r="B12982" s="187">
        <v>40828</v>
      </c>
      <c r="C12982" s="189">
        <v>2.2400000000000002</v>
      </c>
      <c r="D12982" s="104">
        <f t="shared" si="203"/>
        <v>2.2400000000000003E-2</v>
      </c>
    </row>
    <row r="12983" spans="2:4" ht="13.8">
      <c r="B12983" s="187">
        <v>40829</v>
      </c>
      <c r="C12983" s="189">
        <v>2.19</v>
      </c>
      <c r="D12983" s="104">
        <f t="shared" si="203"/>
        <v>2.1899999999999999E-2</v>
      </c>
    </row>
    <row r="12984" spans="2:4" ht="13.8">
      <c r="B12984" s="187">
        <v>40830</v>
      </c>
      <c r="C12984" s="189">
        <v>2.2599999999999998</v>
      </c>
      <c r="D12984" s="104">
        <f t="shared" si="203"/>
        <v>2.2599999999999999E-2</v>
      </c>
    </row>
    <row r="12985" spans="2:4" ht="13.8">
      <c r="B12985" s="187">
        <v>40833</v>
      </c>
      <c r="C12985" s="189">
        <v>2.1800000000000002</v>
      </c>
      <c r="D12985" s="104">
        <f t="shared" si="203"/>
        <v>2.18E-2</v>
      </c>
    </row>
    <row r="12986" spans="2:4" ht="13.8">
      <c r="B12986" s="187">
        <v>40834</v>
      </c>
      <c r="C12986" s="189">
        <v>2.19</v>
      </c>
      <c r="D12986" s="104">
        <f t="shared" si="203"/>
        <v>2.1899999999999999E-2</v>
      </c>
    </row>
    <row r="12987" spans="2:4" ht="13.8">
      <c r="B12987" s="187">
        <v>40835</v>
      </c>
      <c r="C12987" s="189">
        <v>2.1800000000000002</v>
      </c>
      <c r="D12987" s="104">
        <f t="shared" si="203"/>
        <v>2.18E-2</v>
      </c>
    </row>
    <row r="12988" spans="2:4" ht="13.8">
      <c r="B12988" s="187">
        <v>40836</v>
      </c>
      <c r="C12988" s="189">
        <v>2.2000000000000002</v>
      </c>
      <c r="D12988" s="104">
        <f t="shared" si="203"/>
        <v>2.2000000000000002E-2</v>
      </c>
    </row>
    <row r="12989" spans="2:4" ht="13.8">
      <c r="B12989" s="187">
        <v>40837</v>
      </c>
      <c r="C12989" s="189">
        <v>2.23</v>
      </c>
      <c r="D12989" s="104">
        <f t="shared" si="203"/>
        <v>2.23E-2</v>
      </c>
    </row>
    <row r="12990" spans="2:4" ht="13.8">
      <c r="B12990" s="187">
        <v>40840</v>
      </c>
      <c r="C12990" s="189">
        <v>2.25</v>
      </c>
      <c r="D12990" s="104">
        <f t="shared" si="203"/>
        <v>2.2499999999999999E-2</v>
      </c>
    </row>
    <row r="12991" spans="2:4" ht="13.8">
      <c r="B12991" s="187">
        <v>40841</v>
      </c>
      <c r="C12991" s="189">
        <v>2.14</v>
      </c>
      <c r="D12991" s="104">
        <f t="shared" si="203"/>
        <v>2.1400000000000002E-2</v>
      </c>
    </row>
    <row r="12992" spans="2:4" ht="13.8">
      <c r="B12992" s="187">
        <v>40842</v>
      </c>
      <c r="C12992" s="189">
        <v>2.23</v>
      </c>
      <c r="D12992" s="104">
        <f t="shared" si="203"/>
        <v>2.23E-2</v>
      </c>
    </row>
    <row r="12993" spans="2:4" ht="13.8">
      <c r="B12993" s="187">
        <v>40843</v>
      </c>
      <c r="C12993" s="189">
        <v>2.42</v>
      </c>
      <c r="D12993" s="104">
        <f t="shared" si="203"/>
        <v>2.4199999999999999E-2</v>
      </c>
    </row>
    <row r="12994" spans="2:4" ht="13.8">
      <c r="B12994" s="187">
        <v>40844</v>
      </c>
      <c r="C12994" s="189">
        <v>2.34</v>
      </c>
      <c r="D12994" s="104">
        <f t="shared" si="203"/>
        <v>2.3399999999999997E-2</v>
      </c>
    </row>
    <row r="12995" spans="2:4" ht="13.8">
      <c r="B12995" s="187">
        <v>40847</v>
      </c>
      <c r="C12995" s="189">
        <v>2.17</v>
      </c>
      <c r="D12995" s="104">
        <f t="shared" si="203"/>
        <v>2.1700000000000001E-2</v>
      </c>
    </row>
    <row r="12996" spans="2:4" ht="13.8">
      <c r="B12996" s="187">
        <v>40848</v>
      </c>
      <c r="C12996" s="189">
        <v>2.0099999999999998</v>
      </c>
      <c r="D12996" s="104">
        <f t="shared" si="203"/>
        <v>2.0099999999999996E-2</v>
      </c>
    </row>
    <row r="12997" spans="2:4" ht="13.8">
      <c r="B12997" s="187">
        <v>40849</v>
      </c>
      <c r="C12997" s="189">
        <v>2.0299999999999998</v>
      </c>
      <c r="D12997" s="104">
        <f t="shared" si="203"/>
        <v>2.0299999999999999E-2</v>
      </c>
    </row>
    <row r="12998" spans="2:4" ht="13.8">
      <c r="B12998" s="187">
        <v>40850</v>
      </c>
      <c r="C12998" s="189">
        <v>2.09</v>
      </c>
      <c r="D12998" s="104">
        <f t="shared" si="203"/>
        <v>2.0899999999999998E-2</v>
      </c>
    </row>
    <row r="12999" spans="2:4" ht="13.8">
      <c r="B12999" s="187">
        <v>40851</v>
      </c>
      <c r="C12999" s="189">
        <v>2.06</v>
      </c>
      <c r="D12999" s="104">
        <f t="shared" si="203"/>
        <v>2.06E-2</v>
      </c>
    </row>
    <row r="13000" spans="2:4" ht="13.8">
      <c r="B13000" s="187">
        <v>40854</v>
      </c>
      <c r="C13000" s="189">
        <v>2.04</v>
      </c>
      <c r="D13000" s="104">
        <f t="shared" si="203"/>
        <v>2.0400000000000001E-2</v>
      </c>
    </row>
    <row r="13001" spans="2:4" ht="13.8">
      <c r="B13001" s="187">
        <v>40855</v>
      </c>
      <c r="C13001" s="189">
        <v>2.1</v>
      </c>
      <c r="D13001" s="104">
        <f t="shared" si="203"/>
        <v>2.1000000000000001E-2</v>
      </c>
    </row>
    <row r="13002" spans="2:4" ht="13.8">
      <c r="B13002" s="187">
        <v>40856</v>
      </c>
      <c r="C13002" s="189">
        <v>2</v>
      </c>
      <c r="D13002" s="104">
        <f t="shared" si="203"/>
        <v>0.02</v>
      </c>
    </row>
    <row r="13003" spans="2:4" ht="13.8">
      <c r="B13003" s="187">
        <v>40857</v>
      </c>
      <c r="C13003" s="189">
        <v>2.04</v>
      </c>
      <c r="D13003" s="104">
        <f t="shared" si="203"/>
        <v>2.0400000000000001E-2</v>
      </c>
    </row>
    <row r="13004" spans="2:4" ht="13.8">
      <c r="B13004" s="187">
        <v>40861</v>
      </c>
      <c r="C13004" s="189">
        <v>2.04</v>
      </c>
      <c r="D13004" s="104">
        <f t="shared" si="203"/>
        <v>2.0400000000000001E-2</v>
      </c>
    </row>
    <row r="13005" spans="2:4" ht="13.8">
      <c r="B13005" s="187">
        <v>40862</v>
      </c>
      <c r="C13005" s="189">
        <v>2.06</v>
      </c>
      <c r="D13005" s="104">
        <f t="shared" si="203"/>
        <v>2.06E-2</v>
      </c>
    </row>
    <row r="13006" spans="2:4" ht="13.8">
      <c r="B13006" s="187">
        <v>40863</v>
      </c>
      <c r="C13006" s="189">
        <v>2.0099999999999998</v>
      </c>
      <c r="D13006" s="104">
        <f t="shared" si="203"/>
        <v>2.0099999999999996E-2</v>
      </c>
    </row>
    <row r="13007" spans="2:4" ht="13.8">
      <c r="B13007" s="187">
        <v>40864</v>
      </c>
      <c r="C13007" s="189">
        <v>1.96</v>
      </c>
      <c r="D13007" s="104">
        <f t="shared" si="203"/>
        <v>1.9599999999999999E-2</v>
      </c>
    </row>
    <row r="13008" spans="2:4" ht="13.8">
      <c r="B13008" s="187">
        <v>40865</v>
      </c>
      <c r="C13008" s="189">
        <v>2.0099999999999998</v>
      </c>
      <c r="D13008" s="104">
        <f t="shared" si="203"/>
        <v>2.0099999999999996E-2</v>
      </c>
    </row>
    <row r="13009" spans="2:4" ht="13.8">
      <c r="B13009" s="187">
        <v>40868</v>
      </c>
      <c r="C13009" s="189">
        <v>1.97</v>
      </c>
      <c r="D13009" s="104">
        <f t="shared" si="203"/>
        <v>1.9699999999999999E-2</v>
      </c>
    </row>
    <row r="13010" spans="2:4" ht="13.8">
      <c r="B13010" s="187">
        <v>40869</v>
      </c>
      <c r="C13010" s="189">
        <v>1.94</v>
      </c>
      <c r="D13010" s="104">
        <f t="shared" si="203"/>
        <v>1.9400000000000001E-2</v>
      </c>
    </row>
    <row r="13011" spans="2:4" ht="13.8">
      <c r="B13011" s="187">
        <v>40870</v>
      </c>
      <c r="C13011" s="189">
        <v>1.89</v>
      </c>
      <c r="D13011" s="104">
        <f t="shared" si="203"/>
        <v>1.89E-2</v>
      </c>
    </row>
    <row r="13012" spans="2:4" ht="13.8">
      <c r="B13012" s="187">
        <v>40872</v>
      </c>
      <c r="C13012" s="189">
        <v>1.97</v>
      </c>
      <c r="D13012" s="104">
        <f t="shared" si="203"/>
        <v>1.9699999999999999E-2</v>
      </c>
    </row>
    <row r="13013" spans="2:4" ht="13.8">
      <c r="B13013" s="187">
        <v>40875</v>
      </c>
      <c r="C13013" s="189">
        <v>1.97</v>
      </c>
      <c r="D13013" s="104">
        <f t="shared" si="203"/>
        <v>1.9699999999999999E-2</v>
      </c>
    </row>
    <row r="13014" spans="2:4" ht="13.8">
      <c r="B13014" s="187">
        <v>40876</v>
      </c>
      <c r="C13014" s="189">
        <v>2</v>
      </c>
      <c r="D13014" s="104">
        <f t="shared" si="203"/>
        <v>0.02</v>
      </c>
    </row>
    <row r="13015" spans="2:4" ht="13.8">
      <c r="B13015" s="187">
        <v>40877</v>
      </c>
      <c r="C13015" s="189">
        <v>2.08</v>
      </c>
      <c r="D13015" s="104">
        <f t="shared" si="203"/>
        <v>2.0799999999999999E-2</v>
      </c>
    </row>
    <row r="13016" spans="2:4" ht="13.8">
      <c r="B13016" s="187">
        <v>40878</v>
      </c>
      <c r="C13016" s="189">
        <v>2.11</v>
      </c>
      <c r="D13016" s="104">
        <f t="shared" si="203"/>
        <v>2.1099999999999997E-2</v>
      </c>
    </row>
    <row r="13017" spans="2:4" ht="13.8">
      <c r="B13017" s="187">
        <v>40879</v>
      </c>
      <c r="C13017" s="189">
        <v>2.0499999999999998</v>
      </c>
      <c r="D13017" s="104">
        <f t="shared" si="203"/>
        <v>2.0499999999999997E-2</v>
      </c>
    </row>
    <row r="13018" spans="2:4" ht="13.8">
      <c r="B13018" s="187">
        <v>40882</v>
      </c>
      <c r="C13018" s="189">
        <v>2.04</v>
      </c>
      <c r="D13018" s="104">
        <f t="shared" si="203"/>
        <v>2.0400000000000001E-2</v>
      </c>
    </row>
    <row r="13019" spans="2:4" ht="13.8">
      <c r="B13019" s="187">
        <v>40883</v>
      </c>
      <c r="C13019" s="189">
        <v>2.08</v>
      </c>
      <c r="D13019" s="104">
        <f t="shared" si="203"/>
        <v>2.0799999999999999E-2</v>
      </c>
    </row>
    <row r="13020" spans="2:4" ht="13.8">
      <c r="B13020" s="187">
        <v>40884</v>
      </c>
      <c r="C13020" s="189">
        <v>2.02</v>
      </c>
      <c r="D13020" s="104">
        <f t="shared" si="203"/>
        <v>2.0199999999999999E-2</v>
      </c>
    </row>
    <row r="13021" spans="2:4" ht="13.8">
      <c r="B13021" s="187">
        <v>40885</v>
      </c>
      <c r="C13021" s="189">
        <v>1.99</v>
      </c>
      <c r="D13021" s="104">
        <f t="shared" si="203"/>
        <v>1.9900000000000001E-2</v>
      </c>
    </row>
    <row r="13022" spans="2:4" ht="13.8">
      <c r="B13022" s="187">
        <v>40886</v>
      </c>
      <c r="C13022" s="189">
        <v>2.0699999999999998</v>
      </c>
      <c r="D13022" s="104">
        <f t="shared" si="203"/>
        <v>2.07E-2</v>
      </c>
    </row>
    <row r="13023" spans="2:4" ht="13.8">
      <c r="B13023" s="187">
        <v>40889</v>
      </c>
      <c r="C13023" s="189">
        <v>2.0299999999999998</v>
      </c>
      <c r="D13023" s="104">
        <f t="shared" si="203"/>
        <v>2.0299999999999999E-2</v>
      </c>
    </row>
    <row r="13024" spans="2:4" ht="13.8">
      <c r="B13024" s="187">
        <v>40890</v>
      </c>
      <c r="C13024" s="189">
        <v>1.96</v>
      </c>
      <c r="D13024" s="104">
        <f t="shared" si="203"/>
        <v>1.9599999999999999E-2</v>
      </c>
    </row>
    <row r="13025" spans="2:6" ht="13.8">
      <c r="B13025" s="187">
        <v>40891</v>
      </c>
      <c r="C13025" s="189">
        <v>1.92</v>
      </c>
      <c r="D13025" s="104">
        <f t="shared" si="203"/>
        <v>1.9199999999999998E-2</v>
      </c>
    </row>
    <row r="13026" spans="2:6" ht="13.8">
      <c r="B13026" s="187">
        <v>40892</v>
      </c>
      <c r="C13026" s="189">
        <v>1.92</v>
      </c>
      <c r="D13026" s="104">
        <f t="shared" si="203"/>
        <v>1.9199999999999998E-2</v>
      </c>
    </row>
    <row r="13027" spans="2:6" ht="13.8">
      <c r="B13027" s="187">
        <v>40893</v>
      </c>
      <c r="C13027" s="189">
        <v>1.86</v>
      </c>
      <c r="D13027" s="104">
        <f t="shared" si="203"/>
        <v>1.8600000000000002E-2</v>
      </c>
    </row>
    <row r="13028" spans="2:6" ht="13.8">
      <c r="B13028" s="187">
        <v>40896</v>
      </c>
      <c r="C13028" s="189">
        <v>1.82</v>
      </c>
      <c r="D13028" s="104">
        <f t="shared" si="203"/>
        <v>1.8200000000000001E-2</v>
      </c>
    </row>
    <row r="13029" spans="2:6" ht="13.8">
      <c r="B13029" s="187">
        <v>40897</v>
      </c>
      <c r="C13029" s="189">
        <v>1.94</v>
      </c>
      <c r="D13029" s="104">
        <f t="shared" si="203"/>
        <v>1.9400000000000001E-2</v>
      </c>
    </row>
    <row r="13030" spans="2:6" ht="13.8">
      <c r="B13030" s="187">
        <v>40898</v>
      </c>
      <c r="C13030" s="189">
        <v>1.98</v>
      </c>
      <c r="D13030" s="104">
        <f t="shared" si="203"/>
        <v>1.9799999999999998E-2</v>
      </c>
    </row>
    <row r="13031" spans="2:6" ht="13.8">
      <c r="B13031" s="187">
        <v>40899</v>
      </c>
      <c r="C13031" s="189">
        <v>1.97</v>
      </c>
      <c r="D13031" s="104">
        <f t="shared" si="203"/>
        <v>1.9699999999999999E-2</v>
      </c>
    </row>
    <row r="13032" spans="2:6" ht="13.8">
      <c r="B13032" s="187">
        <v>40900</v>
      </c>
      <c r="C13032" s="189">
        <v>2.0299999999999998</v>
      </c>
      <c r="D13032" s="104">
        <f t="shared" si="203"/>
        <v>2.0299999999999999E-2</v>
      </c>
      <c r="E13032" s="104">
        <f>AVERAGE( D13028:D13032)</f>
        <v>1.9480000000000001E-2</v>
      </c>
      <c r="F13032" s="4" t="str">
        <f>TEXT( B13032, "ddd" )</f>
        <v>Fri</v>
      </c>
    </row>
    <row r="13033" spans="2:6" ht="13.8">
      <c r="B13033" s="187">
        <v>40904</v>
      </c>
      <c r="C13033" s="189">
        <v>2.02</v>
      </c>
      <c r="D13033" s="104">
        <f t="shared" si="203"/>
        <v>2.0199999999999999E-2</v>
      </c>
    </row>
    <row r="13034" spans="2:6" ht="13.8">
      <c r="B13034" s="187">
        <v>40905</v>
      </c>
      <c r="C13034" s="189">
        <v>1.93</v>
      </c>
      <c r="D13034" s="104">
        <f t="shared" si="203"/>
        <v>1.9299999999999998E-2</v>
      </c>
    </row>
    <row r="13035" spans="2:6" ht="13.8">
      <c r="B13035" s="187">
        <v>40906</v>
      </c>
      <c r="C13035" s="189">
        <v>1.91</v>
      </c>
      <c r="D13035" s="104">
        <f t="shared" si="203"/>
        <v>1.9099999999999999E-2</v>
      </c>
    </row>
    <row r="13036" spans="2:6" ht="13.8">
      <c r="B13036" s="187">
        <v>40907</v>
      </c>
      <c r="C13036" s="189">
        <v>1.89</v>
      </c>
      <c r="D13036" s="104">
        <f t="shared" si="203"/>
        <v>1.89E-2</v>
      </c>
      <c r="E13036" s="662">
        <f>AVERAGE( D13033:D13036)</f>
        <v>1.9374999999999996E-2</v>
      </c>
      <c r="F13036" s="4" t="str">
        <f>TEXT( B13036, "ddd" )</f>
        <v>Fri</v>
      </c>
    </row>
    <row r="13037" spans="2:6" ht="13.8">
      <c r="B13037" s="187">
        <v>40910</v>
      </c>
      <c r="C13037" s="189" t="s">
        <v>380</v>
      </c>
      <c r="D13037" s="104">
        <f t="shared" si="203"/>
        <v>1.89E-2</v>
      </c>
    </row>
    <row r="13038" spans="2:6" ht="13.8">
      <c r="B13038" s="187">
        <v>40911</v>
      </c>
      <c r="C13038" s="189">
        <v>1.97</v>
      </c>
      <c r="D13038" s="104">
        <f t="shared" si="203"/>
        <v>1.9699999999999999E-2</v>
      </c>
    </row>
    <row r="13039" spans="2:6" ht="13.8">
      <c r="B13039" s="187">
        <v>40912</v>
      </c>
      <c r="C13039" s="189">
        <v>2</v>
      </c>
      <c r="D13039" s="104">
        <f t="shared" si="203"/>
        <v>0.02</v>
      </c>
    </row>
    <row r="13040" spans="2:6" ht="13.8">
      <c r="B13040" s="187">
        <v>40913</v>
      </c>
      <c r="C13040" s="189">
        <v>2.02</v>
      </c>
      <c r="D13040" s="104">
        <f t="shared" si="203"/>
        <v>2.0199999999999999E-2</v>
      </c>
    </row>
    <row r="13041" spans="2:6" ht="13.8">
      <c r="B13041" s="187">
        <v>40914</v>
      </c>
      <c r="C13041" s="189">
        <v>1.98</v>
      </c>
      <c r="D13041" s="104">
        <f t="shared" si="203"/>
        <v>1.9799999999999998E-2</v>
      </c>
      <c r="E13041" s="104">
        <f>AVERAGE( D13037:D13041)</f>
        <v>1.9719999999999998E-2</v>
      </c>
      <c r="F13041" s="4" t="str">
        <f>TEXT( B13041, "ddd" )</f>
        <v>Fri</v>
      </c>
    </row>
    <row r="13042" spans="2:6" ht="13.8">
      <c r="B13042" s="187">
        <v>40917</v>
      </c>
      <c r="C13042" s="189">
        <v>1.98</v>
      </c>
      <c r="D13042" s="104">
        <f t="shared" si="203"/>
        <v>1.9799999999999998E-2</v>
      </c>
    </row>
    <row r="13043" spans="2:6" ht="13.8">
      <c r="B13043" s="187">
        <v>40918</v>
      </c>
      <c r="C13043" s="189">
        <v>2</v>
      </c>
      <c r="D13043" s="104">
        <f t="shared" si="203"/>
        <v>0.02</v>
      </c>
    </row>
    <row r="13044" spans="2:6" ht="13.8">
      <c r="B13044" s="187">
        <v>40919</v>
      </c>
      <c r="C13044" s="189">
        <v>1.93</v>
      </c>
      <c r="D13044" s="104">
        <f t="shared" si="203"/>
        <v>1.9299999999999998E-2</v>
      </c>
    </row>
    <row r="13045" spans="2:6" ht="13.8">
      <c r="B13045" s="187">
        <v>40920</v>
      </c>
      <c r="C13045" s="189">
        <v>1.94</v>
      </c>
      <c r="D13045" s="104">
        <f t="shared" ref="D13045:D13108" si="204">IF( LEN( C13045 ) = 0, #N/A, IF( C13045 = "ND", D13044, C13045 / 100 ) )</f>
        <v>1.9400000000000001E-2</v>
      </c>
    </row>
    <row r="13046" spans="2:6" ht="13.8">
      <c r="B13046" s="187">
        <v>40921</v>
      </c>
      <c r="C13046" s="189">
        <v>1.89</v>
      </c>
      <c r="D13046" s="104">
        <f t="shared" si="204"/>
        <v>1.89E-2</v>
      </c>
      <c r="E13046" s="104">
        <f>AVERAGE( D13042:D13046)</f>
        <v>1.9480000000000001E-2</v>
      </c>
      <c r="F13046" s="4" t="str">
        <f>TEXT( B13046, "ddd" )</f>
        <v>Fri</v>
      </c>
    </row>
    <row r="13047" spans="2:6" ht="13.8">
      <c r="B13047" s="187">
        <v>40924</v>
      </c>
      <c r="C13047" s="189" t="s">
        <v>380</v>
      </c>
      <c r="D13047" s="104">
        <f t="shared" si="204"/>
        <v>1.89E-2</v>
      </c>
    </row>
    <row r="13048" spans="2:6" ht="13.8">
      <c r="B13048" s="187">
        <v>40925</v>
      </c>
      <c r="C13048" s="189">
        <v>1.87</v>
      </c>
      <c r="D13048" s="104">
        <f t="shared" si="204"/>
        <v>1.8700000000000001E-2</v>
      </c>
    </row>
    <row r="13049" spans="2:6" ht="13.8">
      <c r="B13049" s="187">
        <v>40926</v>
      </c>
      <c r="C13049" s="189">
        <v>1.92</v>
      </c>
      <c r="D13049" s="104">
        <f t="shared" si="204"/>
        <v>1.9199999999999998E-2</v>
      </c>
    </row>
    <row r="13050" spans="2:6" ht="13.8">
      <c r="B13050" s="187">
        <v>40927</v>
      </c>
      <c r="C13050" s="189">
        <v>2.0099999999999998</v>
      </c>
      <c r="D13050" s="104">
        <f t="shared" si="204"/>
        <v>2.0099999999999996E-2</v>
      </c>
    </row>
    <row r="13051" spans="2:6" ht="13.8">
      <c r="B13051" s="187">
        <v>40928</v>
      </c>
      <c r="C13051" s="189">
        <v>2.0499999999999998</v>
      </c>
      <c r="D13051" s="104">
        <f t="shared" si="204"/>
        <v>2.0499999999999997E-2</v>
      </c>
      <c r="E13051" s="104">
        <f>AVERAGE( D13047:D13051)</f>
        <v>1.9479999999999997E-2</v>
      </c>
      <c r="F13051" s="4" t="str">
        <f>TEXT( B13051, "ddd" )</f>
        <v>Fri</v>
      </c>
    </row>
    <row r="13052" spans="2:6" ht="13.8">
      <c r="B13052" s="187">
        <v>40931</v>
      </c>
      <c r="C13052" s="189">
        <v>2.09</v>
      </c>
      <c r="D13052" s="104">
        <f t="shared" si="204"/>
        <v>2.0899999999999998E-2</v>
      </c>
    </row>
    <row r="13053" spans="2:6" ht="13.8">
      <c r="B13053" s="187">
        <v>40932</v>
      </c>
      <c r="C13053" s="189">
        <v>2.08</v>
      </c>
      <c r="D13053" s="104">
        <f t="shared" si="204"/>
        <v>2.0799999999999999E-2</v>
      </c>
    </row>
    <row r="13054" spans="2:6" ht="13.8">
      <c r="B13054" s="187">
        <v>40933</v>
      </c>
      <c r="C13054" s="189">
        <v>2.0099999999999998</v>
      </c>
      <c r="D13054" s="104">
        <f t="shared" si="204"/>
        <v>2.0099999999999996E-2</v>
      </c>
    </row>
    <row r="13055" spans="2:6" ht="13.8">
      <c r="B13055" s="187">
        <v>40934</v>
      </c>
      <c r="C13055" s="189">
        <v>1.96</v>
      </c>
      <c r="D13055" s="104">
        <f t="shared" si="204"/>
        <v>1.9599999999999999E-2</v>
      </c>
    </row>
    <row r="13056" spans="2:6" ht="13.8">
      <c r="B13056" s="187">
        <v>40935</v>
      </c>
      <c r="C13056" s="189">
        <v>1.93</v>
      </c>
      <c r="D13056" s="104">
        <f t="shared" si="204"/>
        <v>1.9299999999999998E-2</v>
      </c>
      <c r="E13056" s="104">
        <f>AVERAGE( D13052:D13056)</f>
        <v>2.0139999999999998E-2</v>
      </c>
      <c r="F13056" s="4" t="str">
        <f>TEXT( B13056, "ddd" )</f>
        <v>Fri</v>
      </c>
    </row>
    <row r="13057" spans="2:6" ht="13.8">
      <c r="B13057" s="187">
        <v>40938</v>
      </c>
      <c r="C13057" s="189">
        <v>1.87</v>
      </c>
      <c r="D13057" s="104">
        <f t="shared" si="204"/>
        <v>1.8700000000000001E-2</v>
      </c>
    </row>
    <row r="13058" spans="2:6" ht="13.8">
      <c r="B13058" s="187">
        <v>40939</v>
      </c>
      <c r="C13058" s="189">
        <v>1.83</v>
      </c>
      <c r="D13058" s="104">
        <f t="shared" si="204"/>
        <v>1.83E-2</v>
      </c>
    </row>
    <row r="13059" spans="2:6" ht="13.8">
      <c r="B13059" s="187">
        <v>40940</v>
      </c>
      <c r="C13059" s="189">
        <v>1.87</v>
      </c>
      <c r="D13059" s="104">
        <f t="shared" si="204"/>
        <v>1.8700000000000001E-2</v>
      </c>
    </row>
    <row r="13060" spans="2:6" ht="13.8">
      <c r="B13060" s="187">
        <v>40941</v>
      </c>
      <c r="C13060" s="189">
        <v>1.86</v>
      </c>
      <c r="D13060" s="104">
        <f t="shared" si="204"/>
        <v>1.8600000000000002E-2</v>
      </c>
    </row>
    <row r="13061" spans="2:6" ht="13.8">
      <c r="B13061" s="187">
        <v>40942</v>
      </c>
      <c r="C13061" s="189">
        <v>1.97</v>
      </c>
      <c r="D13061" s="104">
        <f t="shared" si="204"/>
        <v>1.9699999999999999E-2</v>
      </c>
      <c r="E13061" s="104">
        <f>AVERAGE( D13057:D13061)</f>
        <v>1.8800000000000001E-2</v>
      </c>
      <c r="F13061" s="4" t="str">
        <f>TEXT( B13061, "ddd" )</f>
        <v>Fri</v>
      </c>
    </row>
    <row r="13062" spans="2:6" ht="13.8">
      <c r="B13062" s="187">
        <v>40945</v>
      </c>
      <c r="C13062" s="189">
        <v>1.93</v>
      </c>
      <c r="D13062" s="104">
        <f t="shared" si="204"/>
        <v>1.9299999999999998E-2</v>
      </c>
    </row>
    <row r="13063" spans="2:6" ht="13.8">
      <c r="B13063" s="187">
        <v>40946</v>
      </c>
      <c r="C13063" s="189">
        <v>2</v>
      </c>
      <c r="D13063" s="104">
        <f t="shared" si="204"/>
        <v>0.02</v>
      </c>
    </row>
    <row r="13064" spans="2:6" ht="13.8">
      <c r="B13064" s="187">
        <v>40947</v>
      </c>
      <c r="C13064" s="189">
        <v>2.0099999999999998</v>
      </c>
      <c r="D13064" s="104">
        <f t="shared" si="204"/>
        <v>2.0099999999999996E-2</v>
      </c>
    </row>
    <row r="13065" spans="2:6" ht="13.8">
      <c r="B13065" s="187">
        <v>40948</v>
      </c>
      <c r="C13065" s="189">
        <v>2.04</v>
      </c>
      <c r="D13065" s="104">
        <f t="shared" si="204"/>
        <v>2.0400000000000001E-2</v>
      </c>
    </row>
    <row r="13066" spans="2:6" ht="13.8">
      <c r="B13066" s="187">
        <v>40949</v>
      </c>
      <c r="C13066" s="189">
        <v>1.96</v>
      </c>
      <c r="D13066" s="104">
        <f t="shared" si="204"/>
        <v>1.9599999999999999E-2</v>
      </c>
      <c r="E13066" s="104">
        <f>AVERAGE( D13062:D13066)</f>
        <v>1.9879999999999998E-2</v>
      </c>
      <c r="F13066" s="4" t="str">
        <f>TEXT( B13066, "ddd" )</f>
        <v>Fri</v>
      </c>
    </row>
    <row r="13067" spans="2:6" ht="13.8">
      <c r="B13067" s="187">
        <v>40952</v>
      </c>
      <c r="C13067" s="189">
        <v>1.99</v>
      </c>
      <c r="D13067" s="104">
        <f t="shared" si="204"/>
        <v>1.9900000000000001E-2</v>
      </c>
    </row>
    <row r="13068" spans="2:6" ht="13.8">
      <c r="B13068" s="187">
        <v>40953</v>
      </c>
      <c r="C13068" s="189">
        <v>1.92</v>
      </c>
      <c r="D13068" s="104">
        <f t="shared" si="204"/>
        <v>1.9199999999999998E-2</v>
      </c>
    </row>
    <row r="13069" spans="2:6" ht="13.8">
      <c r="B13069" s="187">
        <v>40954</v>
      </c>
      <c r="C13069" s="189">
        <v>1.93</v>
      </c>
      <c r="D13069" s="104">
        <f t="shared" si="204"/>
        <v>1.9299999999999998E-2</v>
      </c>
    </row>
    <row r="13070" spans="2:6" ht="13.8">
      <c r="B13070" s="187">
        <v>40955</v>
      </c>
      <c r="C13070" s="189">
        <v>1.99</v>
      </c>
      <c r="D13070" s="104">
        <f t="shared" si="204"/>
        <v>1.9900000000000001E-2</v>
      </c>
    </row>
    <row r="13071" spans="2:6" ht="13.8">
      <c r="B13071" s="187">
        <v>40956</v>
      </c>
      <c r="C13071" s="189">
        <v>2.0099999999999998</v>
      </c>
      <c r="D13071" s="104">
        <f t="shared" si="204"/>
        <v>2.0099999999999996E-2</v>
      </c>
      <c r="E13071" s="104">
        <f>AVERAGE( D13067:D13071)</f>
        <v>1.9679999999999996E-2</v>
      </c>
      <c r="F13071" s="4" t="str">
        <f>TEXT( B13071, "ddd" )</f>
        <v>Fri</v>
      </c>
    </row>
    <row r="13072" spans="2:6" ht="13.8">
      <c r="B13072" s="187">
        <v>40959</v>
      </c>
      <c r="C13072" s="189" t="s">
        <v>380</v>
      </c>
      <c r="D13072" s="104">
        <f t="shared" si="204"/>
        <v>2.0099999999999996E-2</v>
      </c>
    </row>
    <row r="13073" spans="2:6" ht="13.8">
      <c r="B13073" s="187">
        <v>40960</v>
      </c>
      <c r="C13073" s="189">
        <v>2.0499999999999998</v>
      </c>
      <c r="D13073" s="104">
        <f t="shared" si="204"/>
        <v>2.0499999999999997E-2</v>
      </c>
    </row>
    <row r="13074" spans="2:6" ht="13.8">
      <c r="B13074" s="187">
        <v>40961</v>
      </c>
      <c r="C13074" s="189">
        <v>2.0099999999999998</v>
      </c>
      <c r="D13074" s="104">
        <f t="shared" si="204"/>
        <v>2.0099999999999996E-2</v>
      </c>
    </row>
    <row r="13075" spans="2:6" ht="13.8">
      <c r="B13075" s="187">
        <v>40962</v>
      </c>
      <c r="C13075" s="189">
        <v>1.99</v>
      </c>
      <c r="D13075" s="104">
        <f t="shared" si="204"/>
        <v>1.9900000000000001E-2</v>
      </c>
    </row>
    <row r="13076" spans="2:6" ht="13.8">
      <c r="B13076" s="187">
        <v>40963</v>
      </c>
      <c r="C13076" s="189">
        <v>1.98</v>
      </c>
      <c r="D13076" s="104">
        <f t="shared" si="204"/>
        <v>1.9799999999999998E-2</v>
      </c>
      <c r="E13076" s="104">
        <f>AVERAGE( D13072:D13076)</f>
        <v>2.0079999999999997E-2</v>
      </c>
      <c r="F13076" s="4" t="str">
        <f>TEXT( B13076, "ddd" )</f>
        <v>Fri</v>
      </c>
    </row>
    <row r="13077" spans="2:6" ht="13.8">
      <c r="B13077" s="187">
        <v>40966</v>
      </c>
      <c r="C13077" s="189">
        <v>1.92</v>
      </c>
      <c r="D13077" s="104">
        <f t="shared" si="204"/>
        <v>1.9199999999999998E-2</v>
      </c>
    </row>
    <row r="13078" spans="2:6" ht="13.8">
      <c r="B13078" s="187">
        <v>40967</v>
      </c>
      <c r="C13078" s="189">
        <v>1.94</v>
      </c>
      <c r="D13078" s="104">
        <f t="shared" si="204"/>
        <v>1.9400000000000001E-2</v>
      </c>
    </row>
    <row r="13079" spans="2:6" ht="13.8">
      <c r="B13079" s="187">
        <v>40968</v>
      </c>
      <c r="C13079" s="189">
        <v>1.98</v>
      </c>
      <c r="D13079" s="104">
        <f t="shared" si="204"/>
        <v>1.9799999999999998E-2</v>
      </c>
    </row>
    <row r="13080" spans="2:6" ht="13.8">
      <c r="B13080" s="187">
        <v>40969</v>
      </c>
      <c r="C13080" s="189">
        <v>2.0299999999999998</v>
      </c>
      <c r="D13080" s="104">
        <f t="shared" si="204"/>
        <v>2.0299999999999999E-2</v>
      </c>
    </row>
    <row r="13081" spans="2:6" ht="13.8">
      <c r="B13081" s="187">
        <v>40970</v>
      </c>
      <c r="C13081" s="189">
        <v>1.99</v>
      </c>
      <c r="D13081" s="104">
        <f t="shared" si="204"/>
        <v>1.9900000000000001E-2</v>
      </c>
      <c r="E13081" s="104">
        <f>AVERAGE( D13077:D13081)</f>
        <v>1.9719999999999998E-2</v>
      </c>
      <c r="F13081" s="4" t="str">
        <f>TEXT( B13081, "ddd" )</f>
        <v>Fri</v>
      </c>
    </row>
    <row r="13082" spans="2:6" ht="13.8">
      <c r="B13082" s="187">
        <v>40973</v>
      </c>
      <c r="C13082" s="189">
        <v>2</v>
      </c>
      <c r="D13082" s="104">
        <f t="shared" si="204"/>
        <v>0.02</v>
      </c>
    </row>
    <row r="13083" spans="2:6" ht="13.8">
      <c r="B13083" s="187">
        <v>40974</v>
      </c>
      <c r="C13083" s="189">
        <v>1.96</v>
      </c>
      <c r="D13083" s="104">
        <f t="shared" si="204"/>
        <v>1.9599999999999999E-2</v>
      </c>
    </row>
    <row r="13084" spans="2:6" ht="13.8">
      <c r="B13084" s="187">
        <v>40975</v>
      </c>
      <c r="C13084" s="189">
        <v>1.98</v>
      </c>
      <c r="D13084" s="104">
        <f t="shared" si="204"/>
        <v>1.9799999999999998E-2</v>
      </c>
    </row>
    <row r="13085" spans="2:6" ht="13.8">
      <c r="B13085" s="187">
        <v>40976</v>
      </c>
      <c r="C13085" s="189">
        <v>2.0299999999999998</v>
      </c>
      <c r="D13085" s="104">
        <f t="shared" si="204"/>
        <v>2.0299999999999999E-2</v>
      </c>
    </row>
    <row r="13086" spans="2:6" ht="13.8">
      <c r="B13086" s="187">
        <v>40977</v>
      </c>
      <c r="C13086" s="189">
        <v>2.04</v>
      </c>
      <c r="D13086" s="104">
        <f t="shared" si="204"/>
        <v>2.0400000000000001E-2</v>
      </c>
      <c r="E13086" s="104">
        <f>AVERAGE( D13082:D13086)</f>
        <v>2.002E-2</v>
      </c>
      <c r="F13086" s="4" t="str">
        <f>TEXT( B13086, "ddd" )</f>
        <v>Fri</v>
      </c>
    </row>
    <row r="13087" spans="2:6" ht="13.8">
      <c r="B13087" s="187">
        <v>40980</v>
      </c>
      <c r="C13087" s="189">
        <v>2.04</v>
      </c>
      <c r="D13087" s="104">
        <f t="shared" si="204"/>
        <v>2.0400000000000001E-2</v>
      </c>
    </row>
    <row r="13088" spans="2:6" ht="13.8">
      <c r="B13088" s="187">
        <v>40981</v>
      </c>
      <c r="C13088" s="189">
        <v>2.14</v>
      </c>
      <c r="D13088" s="104">
        <f t="shared" si="204"/>
        <v>2.1400000000000002E-2</v>
      </c>
    </row>
    <row r="13089" spans="2:6" ht="13.8">
      <c r="B13089" s="187">
        <v>40982</v>
      </c>
      <c r="C13089" s="189">
        <v>2.29</v>
      </c>
      <c r="D13089" s="104">
        <f t="shared" si="204"/>
        <v>2.29E-2</v>
      </c>
    </row>
    <row r="13090" spans="2:6" ht="13.8">
      <c r="B13090" s="187">
        <v>40983</v>
      </c>
      <c r="C13090" s="189">
        <v>2.29</v>
      </c>
      <c r="D13090" s="104">
        <f t="shared" si="204"/>
        <v>2.29E-2</v>
      </c>
    </row>
    <row r="13091" spans="2:6" ht="13.8">
      <c r="B13091" s="187">
        <v>40984</v>
      </c>
      <c r="C13091" s="189">
        <v>2.31</v>
      </c>
      <c r="D13091" s="104">
        <f t="shared" si="204"/>
        <v>2.3099999999999999E-2</v>
      </c>
      <c r="E13091" s="104">
        <f>AVERAGE( D13087:D13091)</f>
        <v>2.214E-2</v>
      </c>
      <c r="F13091" s="4" t="str">
        <f>TEXT( B13091, "ddd" )</f>
        <v>Fri</v>
      </c>
    </row>
    <row r="13092" spans="2:6" ht="13.8">
      <c r="B13092" s="187">
        <v>40987</v>
      </c>
      <c r="C13092" s="189">
        <v>2.39</v>
      </c>
      <c r="D13092" s="104">
        <f t="shared" si="204"/>
        <v>2.3900000000000001E-2</v>
      </c>
    </row>
    <row r="13093" spans="2:6" ht="13.8">
      <c r="B13093" s="187">
        <v>40988</v>
      </c>
      <c r="C13093" s="189">
        <v>2.38</v>
      </c>
      <c r="D13093" s="104">
        <f t="shared" si="204"/>
        <v>2.3799999999999998E-2</v>
      </c>
    </row>
    <row r="13094" spans="2:6" ht="13.8">
      <c r="B13094" s="187">
        <v>40989</v>
      </c>
      <c r="C13094" s="189">
        <v>2.31</v>
      </c>
      <c r="D13094" s="104">
        <f t="shared" si="204"/>
        <v>2.3099999999999999E-2</v>
      </c>
    </row>
    <row r="13095" spans="2:6" ht="13.8">
      <c r="B13095" s="187">
        <v>40990</v>
      </c>
      <c r="C13095" s="189">
        <v>2.29</v>
      </c>
      <c r="D13095" s="104">
        <f t="shared" si="204"/>
        <v>2.29E-2</v>
      </c>
    </row>
    <row r="13096" spans="2:6" ht="13.8">
      <c r="B13096" s="187">
        <v>40991</v>
      </c>
      <c r="C13096" s="189">
        <v>2.25</v>
      </c>
      <c r="D13096" s="104">
        <f t="shared" si="204"/>
        <v>2.2499999999999999E-2</v>
      </c>
      <c r="E13096" s="104">
        <f>AVERAGE( D13092:D13096)</f>
        <v>2.324E-2</v>
      </c>
      <c r="F13096" s="4" t="str">
        <f>TEXT( B13096, "ddd" )</f>
        <v>Fri</v>
      </c>
    </row>
    <row r="13097" spans="2:6" ht="13.8">
      <c r="B13097" s="187">
        <v>40994</v>
      </c>
      <c r="C13097" s="189">
        <v>2.2599999999999998</v>
      </c>
      <c r="D13097" s="104">
        <f t="shared" si="204"/>
        <v>2.2599999999999999E-2</v>
      </c>
    </row>
    <row r="13098" spans="2:6" ht="13.8">
      <c r="B13098" s="187">
        <v>40995</v>
      </c>
      <c r="C13098" s="189">
        <v>2.2000000000000002</v>
      </c>
      <c r="D13098" s="104">
        <f t="shared" si="204"/>
        <v>2.2000000000000002E-2</v>
      </c>
    </row>
    <row r="13099" spans="2:6" ht="13.8">
      <c r="B13099" s="187">
        <v>40996</v>
      </c>
      <c r="C13099" s="189">
        <v>2.21</v>
      </c>
      <c r="D13099" s="104">
        <f t="shared" si="204"/>
        <v>2.2099999999999998E-2</v>
      </c>
    </row>
    <row r="13100" spans="2:6" ht="13.8">
      <c r="B13100" s="187">
        <v>40997</v>
      </c>
      <c r="C13100" s="189">
        <v>2.1800000000000002</v>
      </c>
      <c r="D13100" s="104">
        <f t="shared" si="204"/>
        <v>2.18E-2</v>
      </c>
    </row>
    <row r="13101" spans="2:6" ht="13.8">
      <c r="B13101" s="187">
        <v>40998</v>
      </c>
      <c r="C13101" s="189">
        <v>2.23</v>
      </c>
      <c r="D13101" s="104">
        <f t="shared" si="204"/>
        <v>2.23E-2</v>
      </c>
      <c r="E13101" s="104">
        <f>AVERAGE( D13097:D13101)</f>
        <v>2.2159999999999999E-2</v>
      </c>
      <c r="F13101" s="4" t="str">
        <f>TEXT( B13101, "ddd" )</f>
        <v>Fri</v>
      </c>
    </row>
    <row r="13102" spans="2:6" ht="13.8">
      <c r="B13102" s="187">
        <v>41001</v>
      </c>
      <c r="C13102" s="189">
        <v>2.2200000000000002</v>
      </c>
      <c r="D13102" s="104">
        <f t="shared" si="204"/>
        <v>2.2200000000000001E-2</v>
      </c>
    </row>
    <row r="13103" spans="2:6" ht="13.8">
      <c r="B13103" s="187">
        <v>41002</v>
      </c>
      <c r="C13103" s="189">
        <v>2.2999999999999998</v>
      </c>
      <c r="D13103" s="104">
        <f t="shared" si="204"/>
        <v>2.3E-2</v>
      </c>
    </row>
    <row r="13104" spans="2:6" ht="13.8">
      <c r="B13104" s="187">
        <v>41003</v>
      </c>
      <c r="C13104" s="189">
        <v>2.25</v>
      </c>
      <c r="D13104" s="104">
        <f t="shared" si="204"/>
        <v>2.2499999999999999E-2</v>
      </c>
    </row>
    <row r="13105" spans="2:6" ht="13.8">
      <c r="B13105" s="187">
        <v>41004</v>
      </c>
      <c r="C13105" s="189">
        <v>2.19</v>
      </c>
      <c r="D13105" s="104">
        <f t="shared" si="204"/>
        <v>2.1899999999999999E-2</v>
      </c>
    </row>
    <row r="13106" spans="2:6" ht="13.8">
      <c r="B13106" s="187">
        <v>41005</v>
      </c>
      <c r="C13106" s="189">
        <v>2.0699999999999998</v>
      </c>
      <c r="D13106" s="104">
        <f t="shared" si="204"/>
        <v>2.07E-2</v>
      </c>
      <c r="E13106" s="104">
        <f>AVERAGE( D13102:D13106)</f>
        <v>2.2060000000000003E-2</v>
      </c>
      <c r="F13106" s="4" t="str">
        <f>TEXT( B13106, "ddd" )</f>
        <v>Fri</v>
      </c>
    </row>
    <row r="13107" spans="2:6" ht="13.8">
      <c r="B13107" s="187">
        <v>41008</v>
      </c>
      <c r="C13107" s="189">
        <v>2.06</v>
      </c>
      <c r="D13107" s="104">
        <f t="shared" si="204"/>
        <v>2.06E-2</v>
      </c>
    </row>
    <row r="13108" spans="2:6" ht="13.8">
      <c r="B13108" s="187">
        <v>41009</v>
      </c>
      <c r="C13108" s="189">
        <v>2.0099999999999998</v>
      </c>
      <c r="D13108" s="104">
        <f t="shared" si="204"/>
        <v>2.0099999999999996E-2</v>
      </c>
    </row>
    <row r="13109" spans="2:6" ht="13.8">
      <c r="B13109" s="187">
        <v>41010</v>
      </c>
      <c r="C13109" s="189">
        <v>2.0499999999999998</v>
      </c>
      <c r="D13109" s="104">
        <f t="shared" ref="D13109:D13172" si="205">IF( LEN( C13109 ) = 0, #N/A, IF( C13109 = "ND", D13108, C13109 / 100 ) )</f>
        <v>2.0499999999999997E-2</v>
      </c>
    </row>
    <row r="13110" spans="2:6" ht="13.8">
      <c r="B13110" s="187">
        <v>41011</v>
      </c>
      <c r="C13110" s="189">
        <v>2.08</v>
      </c>
      <c r="D13110" s="104">
        <f t="shared" si="205"/>
        <v>2.0799999999999999E-2</v>
      </c>
    </row>
    <row r="13111" spans="2:6" ht="13.8">
      <c r="B13111" s="187">
        <v>41012</v>
      </c>
      <c r="C13111" s="189">
        <v>2.02</v>
      </c>
      <c r="D13111" s="104">
        <f t="shared" si="205"/>
        <v>2.0199999999999999E-2</v>
      </c>
      <c r="E13111" s="104">
        <f>AVERAGE( D13107:D13111)</f>
        <v>2.0439999999999996E-2</v>
      </c>
      <c r="F13111" s="4" t="str">
        <f>TEXT( B13111, "ddd" )</f>
        <v>Fri</v>
      </c>
    </row>
    <row r="13112" spans="2:6" ht="13.8">
      <c r="B13112" s="187">
        <v>41015</v>
      </c>
      <c r="C13112" s="189">
        <v>2</v>
      </c>
      <c r="D13112" s="104">
        <f t="shared" si="205"/>
        <v>0.02</v>
      </c>
    </row>
    <row r="13113" spans="2:6" ht="13.8">
      <c r="B13113" s="187">
        <v>41016</v>
      </c>
      <c r="C13113" s="189">
        <v>2.0299999999999998</v>
      </c>
      <c r="D13113" s="104">
        <f t="shared" si="205"/>
        <v>2.0299999999999999E-2</v>
      </c>
    </row>
    <row r="13114" spans="2:6" ht="13.8">
      <c r="B13114" s="187">
        <v>41017</v>
      </c>
      <c r="C13114" s="189">
        <v>2</v>
      </c>
      <c r="D13114" s="104">
        <f t="shared" si="205"/>
        <v>0.02</v>
      </c>
    </row>
    <row r="13115" spans="2:6" ht="13.8">
      <c r="B13115" s="187">
        <v>41018</v>
      </c>
      <c r="C13115" s="189">
        <v>1.98</v>
      </c>
      <c r="D13115" s="104">
        <f t="shared" si="205"/>
        <v>1.9799999999999998E-2</v>
      </c>
    </row>
    <row r="13116" spans="2:6" ht="13.8">
      <c r="B13116" s="187">
        <v>41019</v>
      </c>
      <c r="C13116" s="189">
        <v>1.99</v>
      </c>
      <c r="D13116" s="104">
        <f t="shared" si="205"/>
        <v>1.9900000000000001E-2</v>
      </c>
      <c r="E13116" s="104">
        <f>AVERAGE( D13112:D13116)</f>
        <v>0.02</v>
      </c>
      <c r="F13116" s="4" t="str">
        <f>TEXT( B13116, "ddd" )</f>
        <v>Fri</v>
      </c>
    </row>
    <row r="13117" spans="2:6" ht="13.8">
      <c r="B13117" s="187">
        <v>41022</v>
      </c>
      <c r="C13117" s="189">
        <v>1.96</v>
      </c>
      <c r="D13117" s="104">
        <f t="shared" si="205"/>
        <v>1.9599999999999999E-2</v>
      </c>
    </row>
    <row r="13118" spans="2:6" ht="13.8">
      <c r="B13118" s="187">
        <v>41023</v>
      </c>
      <c r="C13118" s="189">
        <v>2</v>
      </c>
      <c r="D13118" s="104">
        <f t="shared" si="205"/>
        <v>0.02</v>
      </c>
    </row>
    <row r="13119" spans="2:6" ht="13.8">
      <c r="B13119" s="187">
        <v>41024</v>
      </c>
      <c r="C13119" s="189">
        <v>2.0099999999999998</v>
      </c>
      <c r="D13119" s="104">
        <f t="shared" si="205"/>
        <v>2.0099999999999996E-2</v>
      </c>
    </row>
    <row r="13120" spans="2:6" ht="13.8">
      <c r="B13120" s="187">
        <v>41025</v>
      </c>
      <c r="C13120" s="189">
        <v>1.98</v>
      </c>
      <c r="D13120" s="104">
        <f t="shared" si="205"/>
        <v>1.9799999999999998E-2</v>
      </c>
    </row>
    <row r="13121" spans="2:6" ht="13.8">
      <c r="B13121" s="187">
        <v>41026</v>
      </c>
      <c r="C13121" s="189">
        <v>1.96</v>
      </c>
      <c r="D13121" s="104">
        <f t="shared" si="205"/>
        <v>1.9599999999999999E-2</v>
      </c>
      <c r="E13121" s="104">
        <f>AVERAGE( D13117:D13121)</f>
        <v>1.9819999999999997E-2</v>
      </c>
      <c r="F13121" s="4" t="str">
        <f>TEXT( B13121, "ddd" )</f>
        <v>Fri</v>
      </c>
    </row>
    <row r="13122" spans="2:6" ht="13.8">
      <c r="B13122" s="187">
        <v>41029</v>
      </c>
      <c r="C13122" s="189">
        <v>1.95</v>
      </c>
      <c r="D13122" s="104">
        <f t="shared" si="205"/>
        <v>1.95E-2</v>
      </c>
    </row>
    <row r="13123" spans="2:6" ht="13.8">
      <c r="B13123" s="187">
        <v>41030</v>
      </c>
      <c r="C13123" s="189">
        <v>1.98</v>
      </c>
      <c r="D13123" s="104">
        <f t="shared" si="205"/>
        <v>1.9799999999999998E-2</v>
      </c>
    </row>
    <row r="13124" spans="2:6" ht="13.8">
      <c r="B13124" s="187">
        <v>41031</v>
      </c>
      <c r="C13124" s="189">
        <v>1.96</v>
      </c>
      <c r="D13124" s="104">
        <f t="shared" si="205"/>
        <v>1.9599999999999999E-2</v>
      </c>
    </row>
    <row r="13125" spans="2:6" ht="13.8">
      <c r="B13125" s="187">
        <v>41032</v>
      </c>
      <c r="C13125" s="189">
        <v>1.96</v>
      </c>
      <c r="D13125" s="104">
        <f t="shared" si="205"/>
        <v>1.9599999999999999E-2</v>
      </c>
    </row>
    <row r="13126" spans="2:6" ht="13.8">
      <c r="B13126" s="187">
        <v>41033</v>
      </c>
      <c r="C13126" s="189">
        <v>1.91</v>
      </c>
      <c r="D13126" s="104">
        <f t="shared" si="205"/>
        <v>1.9099999999999999E-2</v>
      </c>
      <c r="E13126" s="104">
        <f>AVERAGE( D13122:D13126)</f>
        <v>1.9519999999999999E-2</v>
      </c>
      <c r="F13126" s="4" t="str">
        <f>TEXT( B13126, "ddd" )</f>
        <v>Fri</v>
      </c>
    </row>
    <row r="13127" spans="2:6" ht="13.8">
      <c r="B13127" s="187">
        <v>41036</v>
      </c>
      <c r="C13127" s="189">
        <v>1.92</v>
      </c>
      <c r="D13127" s="104">
        <f t="shared" si="205"/>
        <v>1.9199999999999998E-2</v>
      </c>
    </row>
    <row r="13128" spans="2:6" ht="13.8">
      <c r="B13128" s="187">
        <v>41037</v>
      </c>
      <c r="C13128" s="189">
        <v>1.88</v>
      </c>
      <c r="D13128" s="104">
        <f t="shared" si="205"/>
        <v>1.8799999999999997E-2</v>
      </c>
    </row>
    <row r="13129" spans="2:6" ht="13.8">
      <c r="B13129" s="187">
        <v>41038</v>
      </c>
      <c r="C13129" s="189">
        <v>1.87</v>
      </c>
      <c r="D13129" s="104">
        <f t="shared" si="205"/>
        <v>1.8700000000000001E-2</v>
      </c>
    </row>
    <row r="13130" spans="2:6" ht="13.8">
      <c r="B13130" s="187">
        <v>41039</v>
      </c>
      <c r="C13130" s="189">
        <v>1.89</v>
      </c>
      <c r="D13130" s="104">
        <f t="shared" si="205"/>
        <v>1.89E-2</v>
      </c>
    </row>
    <row r="13131" spans="2:6" ht="13.8">
      <c r="B13131" s="187">
        <v>41040</v>
      </c>
      <c r="C13131" s="189">
        <v>1.84</v>
      </c>
      <c r="D13131" s="104">
        <f t="shared" si="205"/>
        <v>1.84E-2</v>
      </c>
      <c r="E13131" s="104">
        <f>AVERAGE( D13127:D13131)</f>
        <v>1.8800000000000001E-2</v>
      </c>
      <c r="F13131" s="4" t="str">
        <f>TEXT( B13131, "ddd" )</f>
        <v>Fri</v>
      </c>
    </row>
    <row r="13132" spans="2:6" ht="13.8">
      <c r="B13132" s="187">
        <v>41043</v>
      </c>
      <c r="C13132" s="189">
        <v>1.78</v>
      </c>
      <c r="D13132" s="104">
        <f t="shared" si="205"/>
        <v>1.78E-2</v>
      </c>
    </row>
    <row r="13133" spans="2:6" ht="13.8">
      <c r="B13133" s="187">
        <v>41044</v>
      </c>
      <c r="C13133" s="189">
        <v>1.76</v>
      </c>
      <c r="D13133" s="104">
        <f t="shared" si="205"/>
        <v>1.7600000000000001E-2</v>
      </c>
    </row>
    <row r="13134" spans="2:6" ht="13.8">
      <c r="B13134" s="187">
        <v>41045</v>
      </c>
      <c r="C13134" s="189">
        <v>1.76</v>
      </c>
      <c r="D13134" s="104">
        <f t="shared" si="205"/>
        <v>1.7600000000000001E-2</v>
      </c>
    </row>
    <row r="13135" spans="2:6" ht="13.8">
      <c r="B13135" s="187">
        <v>41046</v>
      </c>
      <c r="C13135" s="189">
        <v>1.7</v>
      </c>
      <c r="D13135" s="104">
        <f t="shared" si="205"/>
        <v>1.7000000000000001E-2</v>
      </c>
    </row>
    <row r="13136" spans="2:6" ht="13.8">
      <c r="B13136" s="187">
        <v>41047</v>
      </c>
      <c r="C13136" s="189">
        <v>1.71</v>
      </c>
      <c r="D13136" s="104">
        <f t="shared" si="205"/>
        <v>1.7100000000000001E-2</v>
      </c>
      <c r="E13136" s="104">
        <f>AVERAGE( D13132:D13136)</f>
        <v>1.7420000000000001E-2</v>
      </c>
      <c r="F13136" s="4" t="str">
        <f>TEXT( B13136, "ddd" )</f>
        <v>Fri</v>
      </c>
    </row>
    <row r="13137" spans="2:6" ht="13.8">
      <c r="B13137" s="187">
        <v>41050</v>
      </c>
      <c r="C13137" s="189">
        <v>1.75</v>
      </c>
      <c r="D13137" s="104">
        <f t="shared" si="205"/>
        <v>1.7500000000000002E-2</v>
      </c>
    </row>
    <row r="13138" spans="2:6" ht="13.8">
      <c r="B13138" s="187">
        <v>41051</v>
      </c>
      <c r="C13138" s="189">
        <v>1.79</v>
      </c>
      <c r="D13138" s="104">
        <f t="shared" si="205"/>
        <v>1.7899999999999999E-2</v>
      </c>
    </row>
    <row r="13139" spans="2:6" ht="13.8">
      <c r="B13139" s="187">
        <v>41052</v>
      </c>
      <c r="C13139" s="189">
        <v>1.73</v>
      </c>
      <c r="D13139" s="104">
        <f t="shared" si="205"/>
        <v>1.7299999999999999E-2</v>
      </c>
    </row>
    <row r="13140" spans="2:6" ht="13.8">
      <c r="B13140" s="187">
        <v>41053</v>
      </c>
      <c r="C13140" s="189">
        <v>1.77</v>
      </c>
      <c r="D13140" s="104">
        <f t="shared" si="205"/>
        <v>1.77E-2</v>
      </c>
    </row>
    <row r="13141" spans="2:6" ht="13.8">
      <c r="B13141" s="187">
        <v>41054</v>
      </c>
      <c r="C13141" s="189">
        <v>1.75</v>
      </c>
      <c r="D13141" s="104">
        <f t="shared" si="205"/>
        <v>1.7500000000000002E-2</v>
      </c>
      <c r="E13141" s="104">
        <f>AVERAGE( D13137:D13141)</f>
        <v>1.7579999999999998E-2</v>
      </c>
      <c r="F13141" s="4" t="str">
        <f>TEXT( B13141, "ddd" )</f>
        <v>Fri</v>
      </c>
    </row>
    <row r="13142" spans="2:6" ht="13.8">
      <c r="B13142" s="187">
        <v>41057</v>
      </c>
      <c r="C13142" s="189" t="s">
        <v>380</v>
      </c>
      <c r="D13142" s="104">
        <f t="shared" si="205"/>
        <v>1.7500000000000002E-2</v>
      </c>
    </row>
    <row r="13143" spans="2:6" ht="13.8">
      <c r="B13143" s="187">
        <v>41058</v>
      </c>
      <c r="C13143" s="189">
        <v>1.74</v>
      </c>
      <c r="D13143" s="104">
        <f t="shared" si="205"/>
        <v>1.7399999999999999E-2</v>
      </c>
    </row>
    <row r="13144" spans="2:6" ht="13.8">
      <c r="B13144" s="187">
        <v>41059</v>
      </c>
      <c r="C13144" s="189">
        <v>1.63</v>
      </c>
      <c r="D13144" s="104">
        <f t="shared" si="205"/>
        <v>1.6299999999999999E-2</v>
      </c>
    </row>
    <row r="13145" spans="2:6" ht="13.8">
      <c r="B13145" s="187">
        <v>41060</v>
      </c>
      <c r="C13145" s="189">
        <v>1.59</v>
      </c>
      <c r="D13145" s="104">
        <f t="shared" si="205"/>
        <v>1.5900000000000001E-2</v>
      </c>
    </row>
    <row r="13146" spans="2:6" ht="13.8">
      <c r="B13146" s="187">
        <v>41061</v>
      </c>
      <c r="C13146" s="189">
        <v>1.47</v>
      </c>
      <c r="D13146" s="104">
        <f t="shared" si="205"/>
        <v>1.47E-2</v>
      </c>
      <c r="E13146" s="104">
        <f>AVERAGE( D13142:D13146)</f>
        <v>1.636E-2</v>
      </c>
      <c r="F13146" s="4" t="str">
        <f>TEXT( B13146, "ddd" )</f>
        <v>Fri</v>
      </c>
    </row>
    <row r="13147" spans="2:6" ht="13.8">
      <c r="B13147" s="187">
        <v>41064</v>
      </c>
      <c r="C13147" s="189">
        <v>1.53</v>
      </c>
      <c r="D13147" s="104">
        <f t="shared" si="205"/>
        <v>1.5300000000000001E-2</v>
      </c>
    </row>
    <row r="13148" spans="2:6" ht="13.8">
      <c r="B13148" s="187">
        <v>41065</v>
      </c>
      <c r="C13148" s="189">
        <v>1.57</v>
      </c>
      <c r="D13148" s="104">
        <f t="shared" si="205"/>
        <v>1.5700000000000002E-2</v>
      </c>
    </row>
    <row r="13149" spans="2:6" ht="13.8">
      <c r="B13149" s="187">
        <v>41066</v>
      </c>
      <c r="C13149" s="189">
        <v>1.66</v>
      </c>
      <c r="D13149" s="104">
        <f t="shared" si="205"/>
        <v>1.66E-2</v>
      </c>
    </row>
    <row r="13150" spans="2:6" ht="13.8">
      <c r="B13150" s="187">
        <v>41067</v>
      </c>
      <c r="C13150" s="189">
        <v>1.66</v>
      </c>
      <c r="D13150" s="104">
        <f t="shared" si="205"/>
        <v>1.66E-2</v>
      </c>
    </row>
    <row r="13151" spans="2:6" ht="13.8">
      <c r="B13151" s="187">
        <v>41068</v>
      </c>
      <c r="C13151" s="189">
        <v>1.65</v>
      </c>
      <c r="D13151" s="104">
        <f t="shared" si="205"/>
        <v>1.6500000000000001E-2</v>
      </c>
      <c r="E13151" s="104">
        <f>AVERAGE( D13147:D13151)</f>
        <v>1.6140000000000002E-2</v>
      </c>
      <c r="F13151" s="4" t="str">
        <f>TEXT( B13151, "ddd" )</f>
        <v>Fri</v>
      </c>
    </row>
    <row r="13152" spans="2:6" ht="13.8">
      <c r="B13152" s="187">
        <v>41071</v>
      </c>
      <c r="C13152" s="189">
        <v>1.6</v>
      </c>
      <c r="D13152" s="104">
        <f t="shared" si="205"/>
        <v>1.6E-2</v>
      </c>
    </row>
    <row r="13153" spans="2:6" ht="13.8">
      <c r="B13153" s="187">
        <v>41072</v>
      </c>
      <c r="C13153" s="189">
        <v>1.67</v>
      </c>
      <c r="D13153" s="104">
        <f t="shared" si="205"/>
        <v>1.67E-2</v>
      </c>
    </row>
    <row r="13154" spans="2:6" ht="13.8">
      <c r="B13154" s="187">
        <v>41073</v>
      </c>
      <c r="C13154" s="189">
        <v>1.61</v>
      </c>
      <c r="D13154" s="104">
        <f t="shared" si="205"/>
        <v>1.61E-2</v>
      </c>
    </row>
    <row r="13155" spans="2:6" ht="13.8">
      <c r="B13155" s="187">
        <v>41074</v>
      </c>
      <c r="C13155" s="189">
        <v>1.64</v>
      </c>
      <c r="D13155" s="104">
        <f t="shared" si="205"/>
        <v>1.6399999999999998E-2</v>
      </c>
    </row>
    <row r="13156" spans="2:6" ht="13.8">
      <c r="B13156" s="187">
        <v>41075</v>
      </c>
      <c r="C13156" s="189">
        <v>1.6</v>
      </c>
      <c r="D13156" s="104">
        <f t="shared" si="205"/>
        <v>1.6E-2</v>
      </c>
      <c r="E13156" s="104">
        <f>AVERAGE( D13152:D13156)</f>
        <v>1.6239999999999997E-2</v>
      </c>
      <c r="F13156" s="4" t="str">
        <f>TEXT( B13156, "ddd" )</f>
        <v>Fri</v>
      </c>
    </row>
    <row r="13157" spans="2:6" ht="13.8">
      <c r="B13157" s="187">
        <v>41078</v>
      </c>
      <c r="C13157" s="189">
        <v>1.59</v>
      </c>
      <c r="D13157" s="104">
        <f t="shared" si="205"/>
        <v>1.5900000000000001E-2</v>
      </c>
    </row>
    <row r="13158" spans="2:6" ht="13.8">
      <c r="B13158" s="187">
        <v>41079</v>
      </c>
      <c r="C13158" s="189">
        <v>1.64</v>
      </c>
      <c r="D13158" s="104">
        <f t="shared" si="205"/>
        <v>1.6399999999999998E-2</v>
      </c>
    </row>
    <row r="13159" spans="2:6" ht="13.8">
      <c r="B13159" s="187">
        <v>41080</v>
      </c>
      <c r="C13159" s="189">
        <v>1.65</v>
      </c>
      <c r="D13159" s="104">
        <f t="shared" si="205"/>
        <v>1.6500000000000001E-2</v>
      </c>
    </row>
    <row r="13160" spans="2:6" ht="13.8">
      <c r="B13160" s="187">
        <v>41081</v>
      </c>
      <c r="C13160" s="189">
        <v>1.63</v>
      </c>
      <c r="D13160" s="104">
        <f t="shared" si="205"/>
        <v>1.6299999999999999E-2</v>
      </c>
    </row>
    <row r="13161" spans="2:6" ht="13.8">
      <c r="B13161" s="187">
        <v>41082</v>
      </c>
      <c r="C13161" s="189">
        <v>1.69</v>
      </c>
      <c r="D13161" s="104">
        <f t="shared" si="205"/>
        <v>1.6899999999999998E-2</v>
      </c>
      <c r="E13161" s="104">
        <f>AVERAGE( D13157:D13161)</f>
        <v>1.6399999999999998E-2</v>
      </c>
      <c r="F13161" s="4" t="str">
        <f>TEXT( B13161, "ddd" )</f>
        <v>Fri</v>
      </c>
    </row>
    <row r="13162" spans="2:6" ht="13.8">
      <c r="B13162" s="187">
        <v>41085</v>
      </c>
      <c r="C13162" s="189">
        <v>1.63</v>
      </c>
      <c r="D13162" s="104">
        <f t="shared" si="205"/>
        <v>1.6299999999999999E-2</v>
      </c>
    </row>
    <row r="13163" spans="2:6" ht="13.8">
      <c r="B13163" s="187">
        <v>41086</v>
      </c>
      <c r="C13163" s="189">
        <v>1.66</v>
      </c>
      <c r="D13163" s="104">
        <f t="shared" si="205"/>
        <v>1.66E-2</v>
      </c>
    </row>
    <row r="13164" spans="2:6" ht="13.8">
      <c r="B13164" s="187">
        <v>41087</v>
      </c>
      <c r="C13164" s="189">
        <v>1.65</v>
      </c>
      <c r="D13164" s="104">
        <f t="shared" si="205"/>
        <v>1.6500000000000001E-2</v>
      </c>
    </row>
    <row r="13165" spans="2:6" ht="13.8">
      <c r="B13165" s="187">
        <v>41088</v>
      </c>
      <c r="C13165" s="189">
        <v>1.6</v>
      </c>
      <c r="D13165" s="104">
        <f t="shared" si="205"/>
        <v>1.6E-2</v>
      </c>
    </row>
    <row r="13166" spans="2:6" ht="13.8">
      <c r="B13166" s="187">
        <v>41089</v>
      </c>
      <c r="C13166" s="189">
        <v>1.67</v>
      </c>
      <c r="D13166" s="104">
        <f t="shared" si="205"/>
        <v>1.67E-2</v>
      </c>
      <c r="E13166" s="104">
        <f>AVERAGE( D13162:D13166)</f>
        <v>1.6420000000000001E-2</v>
      </c>
      <c r="F13166" s="4" t="str">
        <f>TEXT( B13166, "ddd" )</f>
        <v>Fri</v>
      </c>
    </row>
    <row r="13167" spans="2:6" ht="13.8">
      <c r="B13167" s="187">
        <v>41092</v>
      </c>
      <c r="C13167" s="189">
        <v>1.61</v>
      </c>
      <c r="D13167" s="104">
        <f t="shared" si="205"/>
        <v>1.61E-2</v>
      </c>
    </row>
    <row r="13168" spans="2:6" ht="13.8">
      <c r="B13168" s="187">
        <v>41093</v>
      </c>
      <c r="C13168" s="189">
        <v>1.65</v>
      </c>
      <c r="D13168" s="104">
        <f t="shared" si="205"/>
        <v>1.6500000000000001E-2</v>
      </c>
    </row>
    <row r="13169" spans="2:6" ht="13.8">
      <c r="B13169" s="187">
        <v>41094</v>
      </c>
      <c r="C13169" s="189" t="s">
        <v>380</v>
      </c>
      <c r="D13169" s="104">
        <f t="shared" si="205"/>
        <v>1.6500000000000001E-2</v>
      </c>
    </row>
    <row r="13170" spans="2:6" ht="13.8">
      <c r="B13170" s="187">
        <v>41095</v>
      </c>
      <c r="C13170" s="189">
        <v>1.62</v>
      </c>
      <c r="D13170" s="104">
        <f t="shared" si="205"/>
        <v>1.6200000000000003E-2</v>
      </c>
    </row>
    <row r="13171" spans="2:6" ht="13.8">
      <c r="B13171" s="187">
        <v>41096</v>
      </c>
      <c r="C13171" s="189">
        <v>1.57</v>
      </c>
      <c r="D13171" s="104">
        <f t="shared" si="205"/>
        <v>1.5700000000000002E-2</v>
      </c>
      <c r="E13171" s="104">
        <f>AVERAGE( D13167:D13171)</f>
        <v>1.6200000000000003E-2</v>
      </c>
      <c r="F13171" s="4" t="str">
        <f>TEXT( B13171, "ddd" )</f>
        <v>Fri</v>
      </c>
    </row>
    <row r="13172" spans="2:6" ht="13.8">
      <c r="B13172" s="187">
        <v>41099</v>
      </c>
      <c r="C13172" s="189">
        <v>1.53</v>
      </c>
      <c r="D13172" s="104">
        <f t="shared" si="205"/>
        <v>1.5300000000000001E-2</v>
      </c>
    </row>
    <row r="13173" spans="2:6" ht="13.8">
      <c r="B13173" s="187">
        <v>41100</v>
      </c>
      <c r="C13173" s="189">
        <v>1.53</v>
      </c>
      <c r="D13173" s="104">
        <f t="shared" ref="D13173:D13236" si="206">IF( LEN( C13173 ) = 0, #N/A, IF( C13173 = "ND", D13172, C13173 / 100 ) )</f>
        <v>1.5300000000000001E-2</v>
      </c>
    </row>
    <row r="13174" spans="2:6" ht="13.8">
      <c r="B13174" s="187">
        <v>41101</v>
      </c>
      <c r="C13174" s="189">
        <v>1.54</v>
      </c>
      <c r="D13174" s="104">
        <f t="shared" si="206"/>
        <v>1.54E-2</v>
      </c>
    </row>
    <row r="13175" spans="2:6" ht="13.8">
      <c r="B13175" s="187">
        <v>41102</v>
      </c>
      <c r="C13175" s="189">
        <v>1.5</v>
      </c>
      <c r="D13175" s="104">
        <f t="shared" si="206"/>
        <v>1.4999999999999999E-2</v>
      </c>
    </row>
    <row r="13176" spans="2:6" ht="13.8">
      <c r="B13176" s="187">
        <v>41103</v>
      </c>
      <c r="C13176" s="189">
        <v>1.52</v>
      </c>
      <c r="D13176" s="104">
        <f t="shared" si="206"/>
        <v>1.52E-2</v>
      </c>
      <c r="E13176" s="104">
        <f>AVERAGE( D13172:D13176)</f>
        <v>1.524E-2</v>
      </c>
      <c r="F13176" s="4" t="str">
        <f>TEXT( B13176, "ddd" )</f>
        <v>Fri</v>
      </c>
    </row>
    <row r="13177" spans="2:6" ht="13.8">
      <c r="B13177" s="187">
        <v>41106</v>
      </c>
      <c r="C13177" s="189">
        <v>1.5</v>
      </c>
      <c r="D13177" s="104">
        <f t="shared" si="206"/>
        <v>1.4999999999999999E-2</v>
      </c>
    </row>
    <row r="13178" spans="2:6" ht="13.8">
      <c r="B13178" s="187">
        <v>41107</v>
      </c>
      <c r="C13178" s="189">
        <v>1.53</v>
      </c>
      <c r="D13178" s="104">
        <f t="shared" si="206"/>
        <v>1.5300000000000001E-2</v>
      </c>
    </row>
    <row r="13179" spans="2:6" ht="13.8">
      <c r="B13179" s="187">
        <v>41108</v>
      </c>
      <c r="C13179" s="189">
        <v>1.52</v>
      </c>
      <c r="D13179" s="104">
        <f t="shared" si="206"/>
        <v>1.52E-2</v>
      </c>
    </row>
    <row r="13180" spans="2:6" ht="13.8">
      <c r="B13180" s="187">
        <v>41109</v>
      </c>
      <c r="C13180" s="189">
        <v>1.54</v>
      </c>
      <c r="D13180" s="104">
        <f t="shared" si="206"/>
        <v>1.54E-2</v>
      </c>
    </row>
    <row r="13181" spans="2:6" ht="13.8">
      <c r="B13181" s="187">
        <v>41110</v>
      </c>
      <c r="C13181" s="189">
        <v>1.49</v>
      </c>
      <c r="D13181" s="104">
        <f t="shared" si="206"/>
        <v>1.49E-2</v>
      </c>
      <c r="E13181" s="104">
        <f>AVERAGE( D13177:D13181)</f>
        <v>1.5159999999999998E-2</v>
      </c>
      <c r="F13181" s="4" t="str">
        <f>TEXT( B13181, "ddd" )</f>
        <v>Fri</v>
      </c>
    </row>
    <row r="13182" spans="2:6" ht="13.8">
      <c r="B13182" s="187">
        <v>41113</v>
      </c>
      <c r="C13182" s="189">
        <v>1.47</v>
      </c>
      <c r="D13182" s="104">
        <f t="shared" si="206"/>
        <v>1.47E-2</v>
      </c>
    </row>
    <row r="13183" spans="2:6" ht="13.8">
      <c r="B13183" s="187">
        <v>41114</v>
      </c>
      <c r="C13183" s="189">
        <v>1.44</v>
      </c>
      <c r="D13183" s="104">
        <f t="shared" si="206"/>
        <v>1.44E-2</v>
      </c>
    </row>
    <row r="13184" spans="2:6" ht="13.8">
      <c r="B13184" s="187">
        <v>41115</v>
      </c>
      <c r="C13184" s="189">
        <v>1.43</v>
      </c>
      <c r="D13184" s="104">
        <f t="shared" si="206"/>
        <v>1.43E-2</v>
      </c>
    </row>
    <row r="13185" spans="2:6" ht="13.8">
      <c r="B13185" s="187">
        <v>41116</v>
      </c>
      <c r="C13185" s="189">
        <v>1.45</v>
      </c>
      <c r="D13185" s="104">
        <f t="shared" si="206"/>
        <v>1.4499999999999999E-2</v>
      </c>
    </row>
    <row r="13186" spans="2:6" ht="13.8">
      <c r="B13186" s="187">
        <v>41117</v>
      </c>
      <c r="C13186" s="189">
        <v>1.58</v>
      </c>
      <c r="D13186" s="104">
        <f t="shared" si="206"/>
        <v>1.5800000000000002E-2</v>
      </c>
      <c r="E13186" s="104">
        <f>AVERAGE( D13182:D13186)</f>
        <v>1.474E-2</v>
      </c>
      <c r="F13186" s="4" t="str">
        <f>TEXT( B13186, "ddd" )</f>
        <v>Fri</v>
      </c>
    </row>
    <row r="13187" spans="2:6" ht="13.8">
      <c r="B13187" s="187">
        <v>41120</v>
      </c>
      <c r="C13187" s="189">
        <v>1.53</v>
      </c>
      <c r="D13187" s="104">
        <f t="shared" si="206"/>
        <v>1.5300000000000001E-2</v>
      </c>
    </row>
    <row r="13188" spans="2:6" ht="13.8">
      <c r="B13188" s="187">
        <v>41121</v>
      </c>
      <c r="C13188" s="189">
        <v>1.51</v>
      </c>
      <c r="D13188" s="104">
        <f t="shared" si="206"/>
        <v>1.5100000000000001E-2</v>
      </c>
    </row>
    <row r="13189" spans="2:6" ht="13.8">
      <c r="B13189" s="187">
        <v>41122</v>
      </c>
      <c r="C13189" s="189">
        <v>1.56</v>
      </c>
      <c r="D13189" s="104">
        <f t="shared" si="206"/>
        <v>1.5600000000000001E-2</v>
      </c>
    </row>
    <row r="13190" spans="2:6" ht="13.8">
      <c r="B13190" s="187">
        <v>41123</v>
      </c>
      <c r="C13190" s="189">
        <v>1.51</v>
      </c>
      <c r="D13190" s="104">
        <f t="shared" si="206"/>
        <v>1.5100000000000001E-2</v>
      </c>
    </row>
    <row r="13191" spans="2:6" ht="13.8">
      <c r="B13191" s="187">
        <v>41124</v>
      </c>
      <c r="C13191" s="189">
        <v>1.6</v>
      </c>
      <c r="D13191" s="104">
        <f t="shared" si="206"/>
        <v>1.6E-2</v>
      </c>
      <c r="E13191" s="104">
        <f>AVERAGE( D13187:D13191)</f>
        <v>1.542E-2</v>
      </c>
      <c r="F13191" s="4" t="str">
        <f>TEXT( B13191, "ddd" )</f>
        <v>Fri</v>
      </c>
    </row>
    <row r="13192" spans="2:6" ht="13.8">
      <c r="B13192" s="187">
        <v>41127</v>
      </c>
      <c r="C13192" s="189">
        <v>1.59</v>
      </c>
      <c r="D13192" s="104">
        <f t="shared" si="206"/>
        <v>1.5900000000000001E-2</v>
      </c>
    </row>
    <row r="13193" spans="2:6" ht="13.8">
      <c r="B13193" s="187">
        <v>41128</v>
      </c>
      <c r="C13193" s="189">
        <v>1.66</v>
      </c>
      <c r="D13193" s="104">
        <f t="shared" si="206"/>
        <v>1.66E-2</v>
      </c>
    </row>
    <row r="13194" spans="2:6" ht="13.8">
      <c r="B13194" s="187">
        <v>41129</v>
      </c>
      <c r="C13194" s="189">
        <v>1.68</v>
      </c>
      <c r="D13194" s="104">
        <f t="shared" si="206"/>
        <v>1.6799999999999999E-2</v>
      </c>
    </row>
    <row r="13195" spans="2:6" ht="13.8">
      <c r="B13195" s="187">
        <v>41130</v>
      </c>
      <c r="C13195" s="189">
        <v>1.69</v>
      </c>
      <c r="D13195" s="104">
        <f t="shared" si="206"/>
        <v>1.6899999999999998E-2</v>
      </c>
    </row>
    <row r="13196" spans="2:6" ht="13.8">
      <c r="B13196" s="187">
        <v>41131</v>
      </c>
      <c r="C13196" s="189">
        <v>1.65</v>
      </c>
      <c r="D13196" s="104">
        <f t="shared" si="206"/>
        <v>1.6500000000000001E-2</v>
      </c>
      <c r="E13196" s="104">
        <f>AVERAGE( D13192:D13196)</f>
        <v>1.6539999999999999E-2</v>
      </c>
      <c r="F13196" s="4" t="str">
        <f>TEXT( B13196, "ddd" )</f>
        <v>Fri</v>
      </c>
    </row>
    <row r="13197" spans="2:6" ht="13.8">
      <c r="B13197" s="187">
        <v>41134</v>
      </c>
      <c r="C13197" s="189">
        <v>1.65</v>
      </c>
      <c r="D13197" s="104">
        <f t="shared" si="206"/>
        <v>1.6500000000000001E-2</v>
      </c>
    </row>
    <row r="13198" spans="2:6" ht="13.8">
      <c r="B13198" s="187">
        <v>41135</v>
      </c>
      <c r="C13198" s="189">
        <v>1.73</v>
      </c>
      <c r="D13198" s="104">
        <f t="shared" si="206"/>
        <v>1.7299999999999999E-2</v>
      </c>
    </row>
    <row r="13199" spans="2:6" ht="13.8">
      <c r="B13199" s="187">
        <v>41136</v>
      </c>
      <c r="C13199" s="189">
        <v>1.8</v>
      </c>
      <c r="D13199" s="104">
        <f t="shared" si="206"/>
        <v>1.8000000000000002E-2</v>
      </c>
    </row>
    <row r="13200" spans="2:6" ht="13.8">
      <c r="B13200" s="187">
        <v>41137</v>
      </c>
      <c r="C13200" s="189">
        <v>1.83</v>
      </c>
      <c r="D13200" s="104">
        <f t="shared" si="206"/>
        <v>1.83E-2</v>
      </c>
    </row>
    <row r="13201" spans="2:6" ht="13.8">
      <c r="B13201" s="187">
        <v>41138</v>
      </c>
      <c r="C13201" s="189">
        <v>1.81</v>
      </c>
      <c r="D13201" s="104">
        <f t="shared" si="206"/>
        <v>1.8100000000000002E-2</v>
      </c>
      <c r="E13201" s="104">
        <f>AVERAGE( D13197:D13201)</f>
        <v>1.7639999999999999E-2</v>
      </c>
      <c r="F13201" s="4" t="str">
        <f>TEXT( B13201, "ddd" )</f>
        <v>Fri</v>
      </c>
    </row>
    <row r="13202" spans="2:6" ht="13.8">
      <c r="B13202" s="187">
        <v>41141</v>
      </c>
      <c r="C13202" s="189">
        <v>1.82</v>
      </c>
      <c r="D13202" s="104">
        <f t="shared" si="206"/>
        <v>1.8200000000000001E-2</v>
      </c>
    </row>
    <row r="13203" spans="2:6" ht="13.8">
      <c r="B13203" s="187">
        <v>41142</v>
      </c>
      <c r="C13203" s="189">
        <v>1.8</v>
      </c>
      <c r="D13203" s="104">
        <f t="shared" si="206"/>
        <v>1.8000000000000002E-2</v>
      </c>
    </row>
    <row r="13204" spans="2:6" ht="13.8">
      <c r="B13204" s="187">
        <v>41143</v>
      </c>
      <c r="C13204" s="189">
        <v>1.71</v>
      </c>
      <c r="D13204" s="104">
        <f t="shared" si="206"/>
        <v>1.7100000000000001E-2</v>
      </c>
    </row>
    <row r="13205" spans="2:6" ht="13.8">
      <c r="B13205" s="187">
        <v>41144</v>
      </c>
      <c r="C13205" s="189">
        <v>1.68</v>
      </c>
      <c r="D13205" s="104">
        <f t="shared" si="206"/>
        <v>1.6799999999999999E-2</v>
      </c>
    </row>
    <row r="13206" spans="2:6" ht="13.8">
      <c r="B13206" s="187">
        <v>41145</v>
      </c>
      <c r="C13206" s="189">
        <v>1.68</v>
      </c>
      <c r="D13206" s="104">
        <f t="shared" si="206"/>
        <v>1.6799999999999999E-2</v>
      </c>
      <c r="E13206" s="104">
        <f>AVERAGE( D13202:D13206)</f>
        <v>1.738E-2</v>
      </c>
      <c r="F13206" s="4" t="str">
        <f>TEXT( B13206, "ddd" )</f>
        <v>Fri</v>
      </c>
    </row>
    <row r="13207" spans="2:6" ht="13.8">
      <c r="B13207" s="187">
        <v>41148</v>
      </c>
      <c r="C13207" s="189">
        <v>1.65</v>
      </c>
      <c r="D13207" s="104">
        <f t="shared" si="206"/>
        <v>1.6500000000000001E-2</v>
      </c>
    </row>
    <row r="13208" spans="2:6" ht="13.8">
      <c r="B13208" s="187">
        <v>41149</v>
      </c>
      <c r="C13208" s="189">
        <v>1.64</v>
      </c>
      <c r="D13208" s="104">
        <f t="shared" si="206"/>
        <v>1.6399999999999998E-2</v>
      </c>
    </row>
    <row r="13209" spans="2:6" ht="13.8">
      <c r="B13209" s="187">
        <v>41150</v>
      </c>
      <c r="C13209" s="189">
        <v>1.66</v>
      </c>
      <c r="D13209" s="104">
        <f t="shared" si="206"/>
        <v>1.66E-2</v>
      </c>
    </row>
    <row r="13210" spans="2:6" ht="13.8">
      <c r="B13210" s="187">
        <v>41151</v>
      </c>
      <c r="C13210" s="189">
        <v>1.63</v>
      </c>
      <c r="D13210" s="104">
        <f t="shared" si="206"/>
        <v>1.6299999999999999E-2</v>
      </c>
    </row>
    <row r="13211" spans="2:6" ht="13.8">
      <c r="B13211" s="187">
        <v>41152</v>
      </c>
      <c r="C13211" s="189">
        <v>1.57</v>
      </c>
      <c r="D13211" s="104">
        <f t="shared" si="206"/>
        <v>1.5700000000000002E-2</v>
      </c>
      <c r="E13211" s="104">
        <f>AVERAGE( D13207:D13211)</f>
        <v>1.6300000000000002E-2</v>
      </c>
      <c r="F13211" s="4" t="str">
        <f>TEXT( B13211, "ddd" )</f>
        <v>Fri</v>
      </c>
    </row>
    <row r="13212" spans="2:6" ht="13.8">
      <c r="B13212" s="187">
        <v>41155</v>
      </c>
      <c r="C13212" s="189" t="s">
        <v>380</v>
      </c>
      <c r="D13212" s="104">
        <f t="shared" si="206"/>
        <v>1.5700000000000002E-2</v>
      </c>
    </row>
    <row r="13213" spans="2:6" ht="13.8">
      <c r="B13213" s="187">
        <v>41156</v>
      </c>
      <c r="C13213" s="189">
        <v>1.59</v>
      </c>
      <c r="D13213" s="104">
        <f t="shared" si="206"/>
        <v>1.5900000000000001E-2</v>
      </c>
    </row>
    <row r="13214" spans="2:6" ht="13.8">
      <c r="B13214" s="187">
        <v>41157</v>
      </c>
      <c r="C13214" s="189">
        <v>1.6</v>
      </c>
      <c r="D13214" s="104">
        <f t="shared" si="206"/>
        <v>1.6E-2</v>
      </c>
    </row>
    <row r="13215" spans="2:6" ht="13.8">
      <c r="B13215" s="187">
        <v>41158</v>
      </c>
      <c r="C13215" s="189">
        <v>1.68</v>
      </c>
      <c r="D13215" s="104">
        <f t="shared" si="206"/>
        <v>1.6799999999999999E-2</v>
      </c>
    </row>
    <row r="13216" spans="2:6" ht="13.8">
      <c r="B13216" s="187">
        <v>41159</v>
      </c>
      <c r="C13216" s="189">
        <v>1.67</v>
      </c>
      <c r="D13216" s="104">
        <f t="shared" si="206"/>
        <v>1.67E-2</v>
      </c>
      <c r="E13216" s="104">
        <f>AVERAGE( D13212:D13216)</f>
        <v>1.6220000000000002E-2</v>
      </c>
      <c r="F13216" s="4" t="str">
        <f>TEXT( B13216, "ddd" )</f>
        <v>Fri</v>
      </c>
    </row>
    <row r="13217" spans="2:6" ht="13.8">
      <c r="B13217" s="187">
        <v>41162</v>
      </c>
      <c r="C13217" s="189">
        <v>1.68</v>
      </c>
      <c r="D13217" s="104">
        <f t="shared" si="206"/>
        <v>1.6799999999999999E-2</v>
      </c>
    </row>
    <row r="13218" spans="2:6" ht="13.8">
      <c r="B13218" s="187">
        <v>41163</v>
      </c>
      <c r="C13218" s="189">
        <v>1.7</v>
      </c>
      <c r="D13218" s="104">
        <f t="shared" si="206"/>
        <v>1.7000000000000001E-2</v>
      </c>
    </row>
    <row r="13219" spans="2:6" ht="13.8">
      <c r="B13219" s="187">
        <v>41164</v>
      </c>
      <c r="C13219" s="189">
        <v>1.77</v>
      </c>
      <c r="D13219" s="104">
        <f t="shared" si="206"/>
        <v>1.77E-2</v>
      </c>
    </row>
    <row r="13220" spans="2:6" ht="13.8">
      <c r="B13220" s="187">
        <v>41165</v>
      </c>
      <c r="C13220" s="189">
        <v>1.75</v>
      </c>
      <c r="D13220" s="104">
        <f t="shared" si="206"/>
        <v>1.7500000000000002E-2</v>
      </c>
    </row>
    <row r="13221" spans="2:6" ht="13.8">
      <c r="B13221" s="187">
        <v>41166</v>
      </c>
      <c r="C13221" s="189">
        <v>1.88</v>
      </c>
      <c r="D13221" s="104">
        <f t="shared" si="206"/>
        <v>1.8799999999999997E-2</v>
      </c>
      <c r="E13221" s="104">
        <f>AVERAGE( D13217:D13221)</f>
        <v>1.7559999999999999E-2</v>
      </c>
      <c r="F13221" s="4" t="str">
        <f>TEXT( B13221, "ddd" )</f>
        <v>Fri</v>
      </c>
    </row>
    <row r="13222" spans="2:6" ht="13.8">
      <c r="B13222" s="187">
        <v>41169</v>
      </c>
      <c r="C13222" s="189">
        <v>1.85</v>
      </c>
      <c r="D13222" s="104">
        <f t="shared" si="206"/>
        <v>1.8500000000000003E-2</v>
      </c>
    </row>
    <row r="13223" spans="2:6" ht="13.8">
      <c r="B13223" s="187">
        <v>41170</v>
      </c>
      <c r="C13223" s="189">
        <v>1.82</v>
      </c>
      <c r="D13223" s="104">
        <f t="shared" si="206"/>
        <v>1.8200000000000001E-2</v>
      </c>
    </row>
    <row r="13224" spans="2:6" ht="13.8">
      <c r="B13224" s="187">
        <v>41171</v>
      </c>
      <c r="C13224" s="189">
        <v>1.79</v>
      </c>
      <c r="D13224" s="104">
        <f t="shared" si="206"/>
        <v>1.7899999999999999E-2</v>
      </c>
    </row>
    <row r="13225" spans="2:6" ht="13.8">
      <c r="B13225" s="187">
        <v>41172</v>
      </c>
      <c r="C13225" s="189">
        <v>1.8</v>
      </c>
      <c r="D13225" s="104">
        <f t="shared" si="206"/>
        <v>1.8000000000000002E-2</v>
      </c>
    </row>
    <row r="13226" spans="2:6" ht="13.8">
      <c r="B13226" s="187">
        <v>41173</v>
      </c>
      <c r="C13226" s="189">
        <v>1.77</v>
      </c>
      <c r="D13226" s="104">
        <f t="shared" si="206"/>
        <v>1.77E-2</v>
      </c>
      <c r="E13226" s="104">
        <f>AVERAGE( D13222:D13226)</f>
        <v>1.806E-2</v>
      </c>
      <c r="F13226" s="4" t="str">
        <f>TEXT( B13226, "ddd" )</f>
        <v>Fri</v>
      </c>
    </row>
    <row r="13227" spans="2:6" ht="13.8">
      <c r="B13227" s="187">
        <v>41176</v>
      </c>
      <c r="C13227" s="189">
        <v>1.74</v>
      </c>
      <c r="D13227" s="104">
        <f t="shared" si="206"/>
        <v>1.7399999999999999E-2</v>
      </c>
    </row>
    <row r="13228" spans="2:6" ht="13.8">
      <c r="B13228" s="187">
        <v>41177</v>
      </c>
      <c r="C13228" s="189">
        <v>1.7</v>
      </c>
      <c r="D13228" s="104">
        <f t="shared" si="206"/>
        <v>1.7000000000000001E-2</v>
      </c>
    </row>
    <row r="13229" spans="2:6" ht="13.8">
      <c r="B13229" s="187">
        <v>41178</v>
      </c>
      <c r="C13229" s="189">
        <v>1.64</v>
      </c>
      <c r="D13229" s="104">
        <f t="shared" si="206"/>
        <v>1.6399999999999998E-2</v>
      </c>
    </row>
    <row r="13230" spans="2:6" ht="13.8">
      <c r="B13230" s="187">
        <v>41179</v>
      </c>
      <c r="C13230" s="189">
        <v>1.66</v>
      </c>
      <c r="D13230" s="104">
        <f t="shared" si="206"/>
        <v>1.66E-2</v>
      </c>
    </row>
    <row r="13231" spans="2:6" ht="13.8">
      <c r="B13231" s="187">
        <v>41180</v>
      </c>
      <c r="C13231" s="189">
        <v>1.65</v>
      </c>
      <c r="D13231" s="104">
        <f t="shared" si="206"/>
        <v>1.6500000000000001E-2</v>
      </c>
      <c r="E13231" s="104">
        <f>AVERAGE( D13227:D13231)</f>
        <v>1.678E-2</v>
      </c>
      <c r="F13231" s="4" t="str">
        <f>TEXT( B13231, "ddd" )</f>
        <v>Fri</v>
      </c>
    </row>
    <row r="13232" spans="2:6" ht="13.8">
      <c r="B13232" s="187">
        <v>41183</v>
      </c>
      <c r="C13232" s="189">
        <v>1.64</v>
      </c>
      <c r="D13232" s="104">
        <f t="shared" si="206"/>
        <v>1.6399999999999998E-2</v>
      </c>
    </row>
    <row r="13233" spans="2:6" ht="13.8">
      <c r="B13233" s="187">
        <v>41184</v>
      </c>
      <c r="C13233" s="189">
        <v>1.64</v>
      </c>
      <c r="D13233" s="104">
        <f t="shared" si="206"/>
        <v>1.6399999999999998E-2</v>
      </c>
    </row>
    <row r="13234" spans="2:6" ht="13.8">
      <c r="B13234" s="187">
        <v>41185</v>
      </c>
      <c r="C13234" s="189">
        <v>1.64</v>
      </c>
      <c r="D13234" s="104">
        <f t="shared" si="206"/>
        <v>1.6399999999999998E-2</v>
      </c>
    </row>
    <row r="13235" spans="2:6" ht="13.8">
      <c r="B13235" s="187">
        <v>41186</v>
      </c>
      <c r="C13235" s="189">
        <v>1.7</v>
      </c>
      <c r="D13235" s="104">
        <f t="shared" si="206"/>
        <v>1.7000000000000001E-2</v>
      </c>
    </row>
    <row r="13236" spans="2:6" ht="13.8">
      <c r="B13236" s="187">
        <v>41187</v>
      </c>
      <c r="C13236" s="189">
        <v>1.75</v>
      </c>
      <c r="D13236" s="104">
        <f t="shared" si="206"/>
        <v>1.7500000000000002E-2</v>
      </c>
      <c r="E13236" s="104">
        <f>AVERAGE( D13232:D13236)</f>
        <v>1.6739999999999998E-2</v>
      </c>
      <c r="F13236" s="4" t="str">
        <f>TEXT( B13236, "ddd" )</f>
        <v>Fri</v>
      </c>
    </row>
    <row r="13237" spans="2:6" ht="13.8">
      <c r="B13237" s="187">
        <v>41190</v>
      </c>
      <c r="C13237" s="189" t="s">
        <v>380</v>
      </c>
      <c r="D13237" s="104">
        <f t="shared" ref="D13237:D13300" si="207">IF( LEN( C13237 ) = 0, #N/A, IF( C13237 = "ND", D13236, C13237 / 100 ) )</f>
        <v>1.7500000000000002E-2</v>
      </c>
    </row>
    <row r="13238" spans="2:6" ht="13.8">
      <c r="B13238" s="187">
        <v>41191</v>
      </c>
      <c r="C13238" s="189">
        <v>1.74</v>
      </c>
      <c r="D13238" s="104">
        <f t="shared" si="207"/>
        <v>1.7399999999999999E-2</v>
      </c>
    </row>
    <row r="13239" spans="2:6" ht="13.8">
      <c r="B13239" s="187">
        <v>41192</v>
      </c>
      <c r="C13239" s="189">
        <v>1.72</v>
      </c>
      <c r="D13239" s="104">
        <f t="shared" si="207"/>
        <v>1.72E-2</v>
      </c>
    </row>
    <row r="13240" spans="2:6" ht="13.8">
      <c r="B13240" s="187">
        <v>41193</v>
      </c>
      <c r="C13240" s="189">
        <v>1.7</v>
      </c>
      <c r="D13240" s="104">
        <f t="shared" si="207"/>
        <v>1.7000000000000001E-2</v>
      </c>
    </row>
    <row r="13241" spans="2:6" ht="13.8">
      <c r="B13241" s="187">
        <v>41194</v>
      </c>
      <c r="C13241" s="189">
        <v>1.69</v>
      </c>
      <c r="D13241" s="104">
        <f t="shared" si="207"/>
        <v>1.6899999999999998E-2</v>
      </c>
      <c r="E13241" s="104">
        <f>AVERAGE( D13237:D13241)</f>
        <v>1.72E-2</v>
      </c>
      <c r="F13241" s="4" t="str">
        <f>TEXT( B13241, "ddd" )</f>
        <v>Fri</v>
      </c>
    </row>
    <row r="13242" spans="2:6" ht="13.8">
      <c r="B13242" s="187">
        <v>41197</v>
      </c>
      <c r="C13242" s="189">
        <v>1.7</v>
      </c>
      <c r="D13242" s="104">
        <f t="shared" si="207"/>
        <v>1.7000000000000001E-2</v>
      </c>
    </row>
    <row r="13243" spans="2:6" ht="13.8">
      <c r="B13243" s="187">
        <v>41198</v>
      </c>
      <c r="C13243" s="189">
        <v>1.75</v>
      </c>
      <c r="D13243" s="104">
        <f t="shared" si="207"/>
        <v>1.7500000000000002E-2</v>
      </c>
    </row>
    <row r="13244" spans="2:6" ht="13.8">
      <c r="B13244" s="187">
        <v>41199</v>
      </c>
      <c r="C13244" s="189">
        <v>1.83</v>
      </c>
      <c r="D13244" s="104">
        <f t="shared" si="207"/>
        <v>1.83E-2</v>
      </c>
    </row>
    <row r="13245" spans="2:6" ht="13.8">
      <c r="B13245" s="187">
        <v>41200</v>
      </c>
      <c r="C13245" s="189">
        <v>1.86</v>
      </c>
      <c r="D13245" s="104">
        <f t="shared" si="207"/>
        <v>1.8600000000000002E-2</v>
      </c>
    </row>
    <row r="13246" spans="2:6" ht="13.8">
      <c r="B13246" s="187">
        <v>41201</v>
      </c>
      <c r="C13246" s="189">
        <v>1.79</v>
      </c>
      <c r="D13246" s="104">
        <f t="shared" si="207"/>
        <v>1.7899999999999999E-2</v>
      </c>
      <c r="E13246" s="104">
        <f>AVERAGE( D13242:D13246)</f>
        <v>1.7860000000000001E-2</v>
      </c>
      <c r="F13246" s="4" t="str">
        <f>TEXT( B13246, "ddd" )</f>
        <v>Fri</v>
      </c>
    </row>
    <row r="13247" spans="2:6" ht="13.8">
      <c r="B13247" s="187">
        <v>41204</v>
      </c>
      <c r="C13247" s="189">
        <v>1.83</v>
      </c>
      <c r="D13247" s="104">
        <f t="shared" si="207"/>
        <v>1.83E-2</v>
      </c>
    </row>
    <row r="13248" spans="2:6" ht="13.8">
      <c r="B13248" s="187">
        <v>41205</v>
      </c>
      <c r="C13248" s="189">
        <v>1.79</v>
      </c>
      <c r="D13248" s="104">
        <f t="shared" si="207"/>
        <v>1.7899999999999999E-2</v>
      </c>
    </row>
    <row r="13249" spans="2:6" ht="13.8">
      <c r="B13249" s="187">
        <v>41206</v>
      </c>
      <c r="C13249" s="189">
        <v>1.8</v>
      </c>
      <c r="D13249" s="104">
        <f t="shared" si="207"/>
        <v>1.8000000000000002E-2</v>
      </c>
    </row>
    <row r="13250" spans="2:6" ht="13.8">
      <c r="B13250" s="187">
        <v>41207</v>
      </c>
      <c r="C13250" s="189">
        <v>1.86</v>
      </c>
      <c r="D13250" s="104">
        <f t="shared" si="207"/>
        <v>1.8600000000000002E-2</v>
      </c>
    </row>
    <row r="13251" spans="2:6" ht="13.8">
      <c r="B13251" s="187">
        <v>41208</v>
      </c>
      <c r="C13251" s="189">
        <v>1.78</v>
      </c>
      <c r="D13251" s="104">
        <f t="shared" si="207"/>
        <v>1.78E-2</v>
      </c>
      <c r="E13251" s="104">
        <f>AVERAGE( D13247:D13251)</f>
        <v>1.8120000000000001E-2</v>
      </c>
      <c r="F13251" s="4" t="str">
        <f>TEXT( B13251, "ddd" )</f>
        <v>Fri</v>
      </c>
    </row>
    <row r="13252" spans="2:6" ht="13.8">
      <c r="B13252" s="187">
        <v>41211</v>
      </c>
      <c r="C13252" s="189">
        <v>1.74</v>
      </c>
      <c r="D13252" s="104">
        <f t="shared" si="207"/>
        <v>1.7399999999999999E-2</v>
      </c>
    </row>
    <row r="13253" spans="2:6" ht="13.8">
      <c r="B13253" s="187">
        <v>41212</v>
      </c>
      <c r="C13253" s="189" t="s">
        <v>380</v>
      </c>
      <c r="D13253" s="104">
        <f t="shared" si="207"/>
        <v>1.7399999999999999E-2</v>
      </c>
    </row>
    <row r="13254" spans="2:6" ht="13.8">
      <c r="B13254" s="187">
        <v>41213</v>
      </c>
      <c r="C13254" s="189">
        <v>1.72</v>
      </c>
      <c r="D13254" s="104">
        <f t="shared" si="207"/>
        <v>1.72E-2</v>
      </c>
    </row>
    <row r="13255" spans="2:6" ht="13.8">
      <c r="B13255" s="187">
        <v>41214</v>
      </c>
      <c r="C13255" s="189">
        <v>1.75</v>
      </c>
      <c r="D13255" s="104">
        <f t="shared" si="207"/>
        <v>1.7500000000000002E-2</v>
      </c>
    </row>
    <row r="13256" spans="2:6" ht="13.8">
      <c r="B13256" s="187">
        <v>41215</v>
      </c>
      <c r="C13256" s="189">
        <v>1.75</v>
      </c>
      <c r="D13256" s="104">
        <f t="shared" si="207"/>
        <v>1.7500000000000002E-2</v>
      </c>
      <c r="E13256" s="104">
        <f>AVERAGE( D13252:D13256)</f>
        <v>1.7400000000000002E-2</v>
      </c>
      <c r="F13256" s="4" t="str">
        <f>TEXT( B13256, "ddd" )</f>
        <v>Fri</v>
      </c>
    </row>
    <row r="13257" spans="2:6" ht="13.8">
      <c r="B13257" s="187">
        <v>41218</v>
      </c>
      <c r="C13257" s="189">
        <v>1.72</v>
      </c>
      <c r="D13257" s="104">
        <f t="shared" si="207"/>
        <v>1.72E-2</v>
      </c>
    </row>
    <row r="13258" spans="2:6" ht="13.8">
      <c r="B13258" s="187">
        <v>41219</v>
      </c>
      <c r="C13258" s="189">
        <v>1.78</v>
      </c>
      <c r="D13258" s="104">
        <f t="shared" si="207"/>
        <v>1.78E-2</v>
      </c>
    </row>
    <row r="13259" spans="2:6" ht="13.8">
      <c r="B13259" s="187">
        <v>41220</v>
      </c>
      <c r="C13259" s="189">
        <v>1.68</v>
      </c>
      <c r="D13259" s="104">
        <f t="shared" si="207"/>
        <v>1.6799999999999999E-2</v>
      </c>
    </row>
    <row r="13260" spans="2:6" ht="13.8">
      <c r="B13260" s="187">
        <v>41221</v>
      </c>
      <c r="C13260" s="189">
        <v>1.62</v>
      </c>
      <c r="D13260" s="104">
        <f t="shared" si="207"/>
        <v>1.6200000000000003E-2</v>
      </c>
    </row>
    <row r="13261" spans="2:6" ht="13.8">
      <c r="B13261" s="187">
        <v>41222</v>
      </c>
      <c r="C13261" s="189">
        <v>1.61</v>
      </c>
      <c r="D13261" s="104">
        <f t="shared" si="207"/>
        <v>1.61E-2</v>
      </c>
      <c r="E13261" s="104">
        <f>AVERAGE( D13257:D13261)</f>
        <v>1.6820000000000002E-2</v>
      </c>
      <c r="F13261" s="4" t="str">
        <f>TEXT( B13261, "ddd" )</f>
        <v>Fri</v>
      </c>
    </row>
    <row r="13262" spans="2:6" ht="13.8">
      <c r="B13262" s="187">
        <v>41225</v>
      </c>
      <c r="C13262" s="189" t="s">
        <v>380</v>
      </c>
      <c r="D13262" s="104">
        <f t="shared" si="207"/>
        <v>1.61E-2</v>
      </c>
    </row>
    <row r="13263" spans="2:6" ht="13.8">
      <c r="B13263" s="187">
        <v>41226</v>
      </c>
      <c r="C13263" s="189">
        <v>1.59</v>
      </c>
      <c r="D13263" s="104">
        <f t="shared" si="207"/>
        <v>1.5900000000000001E-2</v>
      </c>
    </row>
    <row r="13264" spans="2:6" ht="13.8">
      <c r="B13264" s="187">
        <v>41227</v>
      </c>
      <c r="C13264" s="189">
        <v>1.59</v>
      </c>
      <c r="D13264" s="104">
        <f t="shared" si="207"/>
        <v>1.5900000000000001E-2</v>
      </c>
    </row>
    <row r="13265" spans="2:6" ht="13.8">
      <c r="B13265" s="187">
        <v>41228</v>
      </c>
      <c r="C13265" s="189">
        <v>1.58</v>
      </c>
      <c r="D13265" s="104">
        <f t="shared" si="207"/>
        <v>1.5800000000000002E-2</v>
      </c>
    </row>
    <row r="13266" spans="2:6" ht="13.8">
      <c r="B13266" s="187">
        <v>41229</v>
      </c>
      <c r="C13266" s="189">
        <v>1.58</v>
      </c>
      <c r="D13266" s="104">
        <f t="shared" si="207"/>
        <v>1.5800000000000002E-2</v>
      </c>
      <c r="E13266" s="104">
        <f>AVERAGE( D13262:D13266)</f>
        <v>1.5900000000000004E-2</v>
      </c>
      <c r="F13266" s="4" t="str">
        <f>TEXT( B13266, "ddd" )</f>
        <v>Fri</v>
      </c>
    </row>
    <row r="13267" spans="2:6" ht="13.8">
      <c r="B13267" s="187">
        <v>41232</v>
      </c>
      <c r="C13267" s="189">
        <v>1.61</v>
      </c>
      <c r="D13267" s="104">
        <f t="shared" si="207"/>
        <v>1.61E-2</v>
      </c>
    </row>
    <row r="13268" spans="2:6" ht="13.8">
      <c r="B13268" s="187">
        <v>41233</v>
      </c>
      <c r="C13268" s="189">
        <v>1.66</v>
      </c>
      <c r="D13268" s="104">
        <f t="shared" si="207"/>
        <v>1.66E-2</v>
      </c>
    </row>
    <row r="13269" spans="2:6" ht="13.8">
      <c r="B13269" s="187">
        <v>41234</v>
      </c>
      <c r="C13269" s="189">
        <v>1.69</v>
      </c>
      <c r="D13269" s="104">
        <f t="shared" si="207"/>
        <v>1.6899999999999998E-2</v>
      </c>
    </row>
    <row r="13270" spans="2:6" ht="13.8">
      <c r="B13270" s="187">
        <v>41235</v>
      </c>
      <c r="C13270" s="189" t="s">
        <v>380</v>
      </c>
      <c r="D13270" s="104">
        <f t="shared" si="207"/>
        <v>1.6899999999999998E-2</v>
      </c>
    </row>
    <row r="13271" spans="2:6" ht="13.8">
      <c r="B13271" s="187">
        <v>41236</v>
      </c>
      <c r="C13271" s="189">
        <v>1.7</v>
      </c>
      <c r="D13271" s="104">
        <f t="shared" si="207"/>
        <v>1.7000000000000001E-2</v>
      </c>
      <c r="E13271" s="104">
        <f>AVERAGE( D13267:D13271)</f>
        <v>1.67E-2</v>
      </c>
      <c r="F13271" s="4" t="str">
        <f>TEXT( B13271, "ddd" )</f>
        <v>Fri</v>
      </c>
    </row>
    <row r="13272" spans="2:6" ht="13.8">
      <c r="B13272" s="187">
        <v>41239</v>
      </c>
      <c r="C13272" s="189">
        <v>1.66</v>
      </c>
      <c r="D13272" s="104">
        <f t="shared" si="207"/>
        <v>1.66E-2</v>
      </c>
    </row>
    <row r="13273" spans="2:6" ht="13.8">
      <c r="B13273" s="187">
        <v>41240</v>
      </c>
      <c r="C13273" s="189">
        <v>1.64</v>
      </c>
      <c r="D13273" s="104">
        <f t="shared" si="207"/>
        <v>1.6399999999999998E-2</v>
      </c>
    </row>
    <row r="13274" spans="2:6" ht="13.8">
      <c r="B13274" s="187">
        <v>41241</v>
      </c>
      <c r="C13274" s="189">
        <v>1.63</v>
      </c>
      <c r="D13274" s="104">
        <f t="shared" si="207"/>
        <v>1.6299999999999999E-2</v>
      </c>
    </row>
    <row r="13275" spans="2:6" ht="13.8">
      <c r="B13275" s="187">
        <v>41242</v>
      </c>
      <c r="C13275" s="189">
        <v>1.62</v>
      </c>
      <c r="D13275" s="104">
        <f t="shared" si="207"/>
        <v>1.6200000000000003E-2</v>
      </c>
    </row>
    <row r="13276" spans="2:6" ht="13.8">
      <c r="B13276" s="187">
        <v>41243</v>
      </c>
      <c r="C13276" s="189">
        <v>1.62</v>
      </c>
      <c r="D13276" s="104">
        <f t="shared" si="207"/>
        <v>1.6200000000000003E-2</v>
      </c>
      <c r="E13276" s="104">
        <f>AVERAGE( D13272:D13276)</f>
        <v>1.634E-2</v>
      </c>
      <c r="F13276" s="4" t="str">
        <f>TEXT( B13276, "ddd" )</f>
        <v>Fri</v>
      </c>
    </row>
    <row r="13277" spans="2:6" ht="13.8">
      <c r="B13277" s="187">
        <v>41246</v>
      </c>
      <c r="C13277" s="189">
        <v>1.63</v>
      </c>
      <c r="D13277" s="104">
        <f t="shared" si="207"/>
        <v>1.6299999999999999E-2</v>
      </c>
    </row>
    <row r="13278" spans="2:6" ht="13.8">
      <c r="B13278" s="187">
        <v>41247</v>
      </c>
      <c r="C13278" s="189">
        <v>1.62</v>
      </c>
      <c r="D13278" s="104">
        <f t="shared" si="207"/>
        <v>1.6200000000000003E-2</v>
      </c>
    </row>
    <row r="13279" spans="2:6" ht="13.8">
      <c r="B13279" s="187">
        <v>41248</v>
      </c>
      <c r="C13279" s="189">
        <v>1.6</v>
      </c>
      <c r="D13279" s="104">
        <f t="shared" si="207"/>
        <v>1.6E-2</v>
      </c>
    </row>
    <row r="13280" spans="2:6" ht="13.8">
      <c r="B13280" s="187">
        <v>41249</v>
      </c>
      <c r="C13280" s="189">
        <v>1.59</v>
      </c>
      <c r="D13280" s="104">
        <f t="shared" si="207"/>
        <v>1.5900000000000001E-2</v>
      </c>
    </row>
    <row r="13281" spans="2:6" ht="13.8">
      <c r="B13281" s="187">
        <v>41250</v>
      </c>
      <c r="C13281" s="189">
        <v>1.64</v>
      </c>
      <c r="D13281" s="104">
        <f t="shared" si="207"/>
        <v>1.6399999999999998E-2</v>
      </c>
      <c r="E13281" s="104">
        <f>AVERAGE( D13277:D13281)</f>
        <v>1.6160000000000001E-2</v>
      </c>
      <c r="F13281" s="4" t="str">
        <f>TEXT( B13281, "ddd" )</f>
        <v>Fri</v>
      </c>
    </row>
    <row r="13282" spans="2:6" ht="13.8">
      <c r="B13282" s="187">
        <v>41253</v>
      </c>
      <c r="C13282" s="189">
        <v>1.63</v>
      </c>
      <c r="D13282" s="104">
        <f t="shared" si="207"/>
        <v>1.6299999999999999E-2</v>
      </c>
    </row>
    <row r="13283" spans="2:6" ht="13.8">
      <c r="B13283" s="187">
        <v>41254</v>
      </c>
      <c r="C13283" s="189">
        <v>1.66</v>
      </c>
      <c r="D13283" s="104">
        <f t="shared" si="207"/>
        <v>1.66E-2</v>
      </c>
    </row>
    <row r="13284" spans="2:6" ht="13.8">
      <c r="B13284" s="187">
        <v>41255</v>
      </c>
      <c r="C13284" s="189">
        <v>1.72</v>
      </c>
      <c r="D13284" s="104">
        <f t="shared" si="207"/>
        <v>1.72E-2</v>
      </c>
    </row>
    <row r="13285" spans="2:6" ht="13.8">
      <c r="B13285" s="187">
        <v>41256</v>
      </c>
      <c r="C13285" s="189">
        <v>1.74</v>
      </c>
      <c r="D13285" s="104">
        <f t="shared" si="207"/>
        <v>1.7399999999999999E-2</v>
      </c>
    </row>
    <row r="13286" spans="2:6" ht="13.8">
      <c r="B13286" s="187">
        <v>41257</v>
      </c>
      <c r="C13286" s="189">
        <v>1.72</v>
      </c>
      <c r="D13286" s="104">
        <f t="shared" si="207"/>
        <v>1.72E-2</v>
      </c>
      <c r="E13286" s="104">
        <f>AVERAGE( D13282:D13286)</f>
        <v>1.694E-2</v>
      </c>
      <c r="F13286" s="4" t="str">
        <f>TEXT( B13286, "ddd" )</f>
        <v>Fri</v>
      </c>
    </row>
    <row r="13287" spans="2:6" ht="13.8">
      <c r="B13287" s="187">
        <v>41260</v>
      </c>
      <c r="C13287" s="189">
        <v>1.78</v>
      </c>
      <c r="D13287" s="104">
        <f t="shared" si="207"/>
        <v>1.78E-2</v>
      </c>
    </row>
    <row r="13288" spans="2:6" ht="13.8">
      <c r="B13288" s="187">
        <v>41261</v>
      </c>
      <c r="C13288" s="189">
        <v>1.84</v>
      </c>
      <c r="D13288" s="104">
        <f t="shared" si="207"/>
        <v>1.84E-2</v>
      </c>
    </row>
    <row r="13289" spans="2:6" ht="13.8">
      <c r="B13289" s="187">
        <v>41262</v>
      </c>
      <c r="C13289" s="189">
        <v>1.82</v>
      </c>
      <c r="D13289" s="104">
        <f t="shared" si="207"/>
        <v>1.8200000000000001E-2</v>
      </c>
    </row>
    <row r="13290" spans="2:6" ht="13.8">
      <c r="B13290" s="187">
        <v>41263</v>
      </c>
      <c r="C13290" s="189">
        <v>1.81</v>
      </c>
      <c r="D13290" s="104">
        <f t="shared" si="207"/>
        <v>1.8100000000000002E-2</v>
      </c>
    </row>
    <row r="13291" spans="2:6" ht="13.8">
      <c r="B13291" s="187">
        <v>41264</v>
      </c>
      <c r="C13291" s="189">
        <v>1.77</v>
      </c>
      <c r="D13291" s="104">
        <f t="shared" si="207"/>
        <v>1.77E-2</v>
      </c>
      <c r="E13291" s="104">
        <f>AVERAGE( D13287:D13291)</f>
        <v>1.804E-2</v>
      </c>
      <c r="F13291" s="4" t="str">
        <f>TEXT( B13291, "ddd" )</f>
        <v>Fri</v>
      </c>
    </row>
    <row r="13292" spans="2:6" ht="13.8">
      <c r="B13292" s="187">
        <v>41267</v>
      </c>
      <c r="C13292" s="189">
        <v>1.79</v>
      </c>
      <c r="D13292" s="104">
        <f t="shared" si="207"/>
        <v>1.7899999999999999E-2</v>
      </c>
    </row>
    <row r="13293" spans="2:6" ht="13.8">
      <c r="B13293" s="187">
        <v>41268</v>
      </c>
      <c r="C13293" s="189" t="s">
        <v>380</v>
      </c>
      <c r="D13293" s="104">
        <f t="shared" si="207"/>
        <v>1.7899999999999999E-2</v>
      </c>
    </row>
    <row r="13294" spans="2:6" ht="13.8">
      <c r="B13294" s="187">
        <v>41269</v>
      </c>
      <c r="C13294" s="189">
        <v>1.77</v>
      </c>
      <c r="D13294" s="104">
        <f t="shared" si="207"/>
        <v>1.77E-2</v>
      </c>
    </row>
    <row r="13295" spans="2:6" ht="13.8">
      <c r="B13295" s="187">
        <v>41270</v>
      </c>
      <c r="C13295" s="189">
        <v>1.74</v>
      </c>
      <c r="D13295" s="104">
        <f t="shared" si="207"/>
        <v>1.7399999999999999E-2</v>
      </c>
    </row>
    <row r="13296" spans="2:6" ht="13.8">
      <c r="B13296" s="187">
        <v>41271</v>
      </c>
      <c r="C13296" s="189">
        <v>1.73</v>
      </c>
      <c r="D13296" s="104">
        <f t="shared" si="207"/>
        <v>1.7299999999999999E-2</v>
      </c>
      <c r="E13296" s="104">
        <f>AVERAGE( D13292:D13296)</f>
        <v>1.7639999999999996E-2</v>
      </c>
      <c r="F13296" s="4" t="str">
        <f>TEXT( B13296, "ddd" )</f>
        <v>Fri</v>
      </c>
    </row>
    <row r="13297" spans="2:6" ht="13.8">
      <c r="B13297" s="187">
        <v>41274</v>
      </c>
      <c r="C13297" s="189">
        <v>1.78</v>
      </c>
      <c r="D13297" s="104">
        <f t="shared" si="207"/>
        <v>1.78E-2</v>
      </c>
    </row>
    <row r="13298" spans="2:6" ht="13.8">
      <c r="B13298" s="635">
        <v>41275</v>
      </c>
      <c r="C13298" s="636" t="s">
        <v>380</v>
      </c>
      <c r="D13298" s="104">
        <f t="shared" si="207"/>
        <v>1.78E-2</v>
      </c>
    </row>
    <row r="13299" spans="2:6" ht="13.8">
      <c r="B13299" s="635">
        <v>41276</v>
      </c>
      <c r="C13299" s="636">
        <v>1.86</v>
      </c>
      <c r="D13299" s="104">
        <f t="shared" si="207"/>
        <v>1.8600000000000002E-2</v>
      </c>
    </row>
    <row r="13300" spans="2:6" ht="13.8">
      <c r="B13300" s="635">
        <v>41277</v>
      </c>
      <c r="C13300" s="636">
        <v>1.92</v>
      </c>
      <c r="D13300" s="104">
        <f t="shared" si="207"/>
        <v>1.9199999999999998E-2</v>
      </c>
    </row>
    <row r="13301" spans="2:6" ht="13.8">
      <c r="B13301" s="635">
        <v>41278</v>
      </c>
      <c r="C13301" s="636">
        <v>1.93</v>
      </c>
      <c r="D13301" s="104">
        <f t="shared" ref="D13301:D13364" si="208">IF( LEN( C13301 ) = 0, #N/A, IF( C13301 = "ND", D13300, C13301 / 100 ) )</f>
        <v>1.9299999999999998E-2</v>
      </c>
      <c r="E13301" s="104">
        <f>AVERAGE( D13297:D13301)</f>
        <v>1.8539999999999997E-2</v>
      </c>
      <c r="F13301" s="4" t="str">
        <f>TEXT( B13301, "ddd" )</f>
        <v>Fri</v>
      </c>
    </row>
    <row r="13302" spans="2:6" ht="13.8">
      <c r="B13302" s="635">
        <v>41281</v>
      </c>
      <c r="C13302" s="636">
        <v>1.92</v>
      </c>
      <c r="D13302" s="104">
        <f t="shared" si="208"/>
        <v>1.9199999999999998E-2</v>
      </c>
    </row>
    <row r="13303" spans="2:6" ht="13.8">
      <c r="B13303" s="635">
        <v>41282</v>
      </c>
      <c r="C13303" s="636">
        <v>1.89</v>
      </c>
      <c r="D13303" s="104">
        <f t="shared" si="208"/>
        <v>1.89E-2</v>
      </c>
    </row>
    <row r="13304" spans="2:6" ht="13.8">
      <c r="B13304" s="635">
        <v>41283</v>
      </c>
      <c r="C13304" s="636">
        <v>1.88</v>
      </c>
      <c r="D13304" s="104">
        <f t="shared" si="208"/>
        <v>1.8799999999999997E-2</v>
      </c>
    </row>
    <row r="13305" spans="2:6" ht="13.8">
      <c r="B13305" s="635">
        <v>41284</v>
      </c>
      <c r="C13305" s="636">
        <v>1.91</v>
      </c>
      <c r="D13305" s="104">
        <f t="shared" si="208"/>
        <v>1.9099999999999999E-2</v>
      </c>
    </row>
    <row r="13306" spans="2:6" ht="13.8">
      <c r="B13306" s="635">
        <v>41285</v>
      </c>
      <c r="C13306" s="636">
        <v>1.89</v>
      </c>
      <c r="D13306" s="104">
        <f t="shared" si="208"/>
        <v>1.89E-2</v>
      </c>
      <c r="E13306" s="104">
        <f>AVERAGE( D13302:D13306)</f>
        <v>1.8979999999999997E-2</v>
      </c>
      <c r="F13306" s="4" t="str">
        <f>TEXT( B13306, "ddd" )</f>
        <v>Fri</v>
      </c>
    </row>
    <row r="13307" spans="2:6" ht="13.8">
      <c r="B13307" s="635">
        <v>41288</v>
      </c>
      <c r="C13307" s="636">
        <v>1.89</v>
      </c>
      <c r="D13307" s="104">
        <f t="shared" si="208"/>
        <v>1.89E-2</v>
      </c>
    </row>
    <row r="13308" spans="2:6" ht="13.8">
      <c r="B13308" s="635">
        <v>41289</v>
      </c>
      <c r="C13308" s="636">
        <v>1.86</v>
      </c>
      <c r="D13308" s="104">
        <f t="shared" si="208"/>
        <v>1.8600000000000002E-2</v>
      </c>
    </row>
    <row r="13309" spans="2:6" ht="13.8">
      <c r="B13309" s="635">
        <v>41290</v>
      </c>
      <c r="C13309" s="636">
        <v>1.84</v>
      </c>
      <c r="D13309" s="104">
        <f t="shared" si="208"/>
        <v>1.84E-2</v>
      </c>
    </row>
    <row r="13310" spans="2:6" ht="13.8">
      <c r="B13310" s="635">
        <v>41291</v>
      </c>
      <c r="C13310" s="636">
        <v>1.89</v>
      </c>
      <c r="D13310" s="104">
        <f t="shared" si="208"/>
        <v>1.89E-2</v>
      </c>
    </row>
    <row r="13311" spans="2:6" ht="13.8">
      <c r="B13311" s="635">
        <v>41292</v>
      </c>
      <c r="C13311" s="636">
        <v>1.87</v>
      </c>
      <c r="D13311" s="104">
        <f t="shared" si="208"/>
        <v>1.8700000000000001E-2</v>
      </c>
      <c r="E13311" s="104">
        <f>AVERAGE( D13307:D13311)</f>
        <v>1.8700000000000001E-2</v>
      </c>
      <c r="F13311" s="4" t="str">
        <f>TEXT( B13311, "ddd" )</f>
        <v>Fri</v>
      </c>
    </row>
    <row r="13312" spans="2:6" ht="13.8">
      <c r="B13312" s="635">
        <v>41295</v>
      </c>
      <c r="C13312" s="636" t="s">
        <v>380</v>
      </c>
      <c r="D13312" s="104">
        <f t="shared" si="208"/>
        <v>1.8700000000000001E-2</v>
      </c>
    </row>
    <row r="13313" spans="2:6" ht="13.8">
      <c r="B13313" s="635">
        <v>41296</v>
      </c>
      <c r="C13313" s="636">
        <v>1.86</v>
      </c>
      <c r="D13313" s="104">
        <f t="shared" si="208"/>
        <v>1.8600000000000002E-2</v>
      </c>
    </row>
    <row r="13314" spans="2:6" ht="13.8">
      <c r="B13314" s="635">
        <v>41297</v>
      </c>
      <c r="C13314" s="636">
        <v>1.86</v>
      </c>
      <c r="D13314" s="104">
        <f t="shared" si="208"/>
        <v>1.8600000000000002E-2</v>
      </c>
    </row>
    <row r="13315" spans="2:6" ht="13.8">
      <c r="B13315" s="635">
        <v>41298</v>
      </c>
      <c r="C13315" s="636">
        <v>1.88</v>
      </c>
      <c r="D13315" s="104">
        <f t="shared" si="208"/>
        <v>1.8799999999999997E-2</v>
      </c>
    </row>
    <row r="13316" spans="2:6" ht="13.8">
      <c r="B13316" s="635">
        <v>41299</v>
      </c>
      <c r="C13316" s="636">
        <v>1.98</v>
      </c>
      <c r="D13316" s="104">
        <f t="shared" si="208"/>
        <v>1.9799999999999998E-2</v>
      </c>
      <c r="E13316" s="104">
        <f>AVERAGE( D13312:D13316)</f>
        <v>1.89E-2</v>
      </c>
      <c r="F13316" s="4" t="str">
        <f>TEXT( B13316, "ddd" )</f>
        <v>Fri</v>
      </c>
    </row>
    <row r="13317" spans="2:6" ht="13.8">
      <c r="B13317" s="635">
        <v>41302</v>
      </c>
      <c r="C13317" s="636">
        <v>2</v>
      </c>
      <c r="D13317" s="104">
        <f t="shared" si="208"/>
        <v>0.02</v>
      </c>
    </row>
    <row r="13318" spans="2:6" ht="13.8">
      <c r="B13318" s="635">
        <v>41303</v>
      </c>
      <c r="C13318" s="636">
        <v>2.0299999999999998</v>
      </c>
      <c r="D13318" s="104">
        <f t="shared" si="208"/>
        <v>2.0299999999999999E-2</v>
      </c>
    </row>
    <row r="13319" spans="2:6" ht="13.8">
      <c r="B13319" s="635">
        <v>41304</v>
      </c>
      <c r="C13319" s="636">
        <v>2.0299999999999998</v>
      </c>
      <c r="D13319" s="104">
        <f t="shared" si="208"/>
        <v>2.0299999999999999E-2</v>
      </c>
    </row>
    <row r="13320" spans="2:6" ht="13.8">
      <c r="B13320" s="635">
        <v>41305</v>
      </c>
      <c r="C13320" s="636">
        <v>2.02</v>
      </c>
      <c r="D13320" s="104">
        <f t="shared" si="208"/>
        <v>2.0199999999999999E-2</v>
      </c>
    </row>
    <row r="13321" spans="2:6" ht="13.8">
      <c r="B13321" s="635">
        <v>41306</v>
      </c>
      <c r="C13321" s="636">
        <v>2.04</v>
      </c>
      <c r="D13321" s="104">
        <f t="shared" si="208"/>
        <v>2.0400000000000001E-2</v>
      </c>
      <c r="E13321" s="104">
        <f>AVERAGE( D13317:D13321)</f>
        <v>2.0240000000000001E-2</v>
      </c>
      <c r="F13321" s="4" t="str">
        <f>TEXT( B13321, "ddd" )</f>
        <v>Fri</v>
      </c>
    </row>
    <row r="13322" spans="2:6" ht="13.8">
      <c r="B13322" s="635">
        <v>41309</v>
      </c>
      <c r="C13322" s="636">
        <v>2</v>
      </c>
      <c r="D13322" s="104">
        <f t="shared" si="208"/>
        <v>0.02</v>
      </c>
    </row>
    <row r="13323" spans="2:6" ht="13.8">
      <c r="B13323" s="635">
        <v>41310</v>
      </c>
      <c r="C13323" s="636">
        <v>2.04</v>
      </c>
      <c r="D13323" s="104">
        <f t="shared" si="208"/>
        <v>2.0400000000000001E-2</v>
      </c>
    </row>
    <row r="13324" spans="2:6" ht="13.8">
      <c r="B13324" s="635">
        <v>41311</v>
      </c>
      <c r="C13324" s="636">
        <v>2</v>
      </c>
      <c r="D13324" s="104">
        <f t="shared" si="208"/>
        <v>0.02</v>
      </c>
    </row>
    <row r="13325" spans="2:6" ht="13.8">
      <c r="B13325" s="635">
        <v>41312</v>
      </c>
      <c r="C13325" s="636">
        <v>1.99</v>
      </c>
      <c r="D13325" s="104">
        <f t="shared" si="208"/>
        <v>1.9900000000000001E-2</v>
      </c>
    </row>
    <row r="13326" spans="2:6" ht="13.8">
      <c r="B13326" s="635">
        <v>41313</v>
      </c>
      <c r="C13326" s="636">
        <v>1.99</v>
      </c>
      <c r="D13326" s="104">
        <f t="shared" si="208"/>
        <v>1.9900000000000001E-2</v>
      </c>
      <c r="E13326" s="104">
        <f>AVERAGE( D13322:D13326)</f>
        <v>2.0040000000000002E-2</v>
      </c>
      <c r="F13326" s="4" t="str">
        <f>TEXT( B13326, "ddd" )</f>
        <v>Fri</v>
      </c>
    </row>
    <row r="13327" spans="2:6" ht="13.8">
      <c r="B13327" s="635">
        <v>41316</v>
      </c>
      <c r="C13327" s="636">
        <v>1.99</v>
      </c>
      <c r="D13327" s="104">
        <f t="shared" si="208"/>
        <v>1.9900000000000001E-2</v>
      </c>
    </row>
    <row r="13328" spans="2:6" ht="13.8">
      <c r="B13328" s="635">
        <v>41317</v>
      </c>
      <c r="C13328" s="636">
        <v>2.02</v>
      </c>
      <c r="D13328" s="104">
        <f t="shared" si="208"/>
        <v>2.0199999999999999E-2</v>
      </c>
    </row>
    <row r="13329" spans="2:6" ht="13.8">
      <c r="B13329" s="635">
        <v>41318</v>
      </c>
      <c r="C13329" s="636">
        <v>2.0499999999999998</v>
      </c>
      <c r="D13329" s="104">
        <f t="shared" si="208"/>
        <v>2.0499999999999997E-2</v>
      </c>
    </row>
    <row r="13330" spans="2:6" ht="13.8">
      <c r="B13330" s="635">
        <v>41319</v>
      </c>
      <c r="C13330" s="636">
        <v>2</v>
      </c>
      <c r="D13330" s="104">
        <f t="shared" si="208"/>
        <v>0.02</v>
      </c>
    </row>
    <row r="13331" spans="2:6" ht="13.8">
      <c r="B13331" s="635">
        <v>41320</v>
      </c>
      <c r="C13331" s="636">
        <v>2.0099999999999998</v>
      </c>
      <c r="D13331" s="104">
        <f t="shared" si="208"/>
        <v>2.0099999999999996E-2</v>
      </c>
      <c r="E13331" s="104">
        <f>AVERAGE( D13327:D13331)</f>
        <v>2.0139999999999998E-2</v>
      </c>
      <c r="F13331" s="4" t="str">
        <f>TEXT( B13331, "ddd" )</f>
        <v>Fri</v>
      </c>
    </row>
    <row r="13332" spans="2:6" ht="13.8">
      <c r="B13332" s="635">
        <v>41323</v>
      </c>
      <c r="C13332" s="636" t="s">
        <v>380</v>
      </c>
      <c r="D13332" s="104">
        <f t="shared" si="208"/>
        <v>2.0099999999999996E-2</v>
      </c>
    </row>
    <row r="13333" spans="2:6" ht="13.8">
      <c r="B13333" s="635">
        <v>41324</v>
      </c>
      <c r="C13333" s="636">
        <v>2.0299999999999998</v>
      </c>
      <c r="D13333" s="104">
        <f t="shared" si="208"/>
        <v>2.0299999999999999E-2</v>
      </c>
    </row>
    <row r="13334" spans="2:6" ht="13.8">
      <c r="B13334" s="635">
        <v>41325</v>
      </c>
      <c r="C13334" s="636">
        <v>2.02</v>
      </c>
      <c r="D13334" s="104">
        <f t="shared" si="208"/>
        <v>2.0199999999999999E-2</v>
      </c>
    </row>
    <row r="13335" spans="2:6" ht="13.8">
      <c r="B13335" s="635">
        <v>41326</v>
      </c>
      <c r="C13335" s="636">
        <v>1.99</v>
      </c>
      <c r="D13335" s="104">
        <f t="shared" si="208"/>
        <v>1.9900000000000001E-2</v>
      </c>
    </row>
    <row r="13336" spans="2:6" ht="13.8">
      <c r="B13336" s="635">
        <v>41327</v>
      </c>
      <c r="C13336" s="636">
        <v>1.97</v>
      </c>
      <c r="D13336" s="104">
        <f t="shared" si="208"/>
        <v>1.9699999999999999E-2</v>
      </c>
      <c r="E13336" s="104">
        <f>AVERAGE( D13332:D13336)</f>
        <v>2.0039999999999995E-2</v>
      </c>
      <c r="F13336" s="4" t="str">
        <f>TEXT( B13336, "ddd" )</f>
        <v>Fri</v>
      </c>
    </row>
    <row r="13337" spans="2:6" ht="13.8">
      <c r="B13337" s="635">
        <v>41330</v>
      </c>
      <c r="C13337" s="636">
        <v>1.88</v>
      </c>
      <c r="D13337" s="104">
        <f t="shared" si="208"/>
        <v>1.8799999999999997E-2</v>
      </c>
    </row>
    <row r="13338" spans="2:6" ht="13.8">
      <c r="B13338" s="635">
        <v>41331</v>
      </c>
      <c r="C13338" s="636">
        <v>1.88</v>
      </c>
      <c r="D13338" s="104">
        <f t="shared" si="208"/>
        <v>1.8799999999999997E-2</v>
      </c>
    </row>
    <row r="13339" spans="2:6" ht="13.8">
      <c r="B13339" s="635">
        <v>41332</v>
      </c>
      <c r="C13339" s="636">
        <v>1.91</v>
      </c>
      <c r="D13339" s="104">
        <f t="shared" si="208"/>
        <v>1.9099999999999999E-2</v>
      </c>
    </row>
    <row r="13340" spans="2:6" ht="13.8">
      <c r="B13340" s="635">
        <v>41333</v>
      </c>
      <c r="C13340" s="636">
        <v>1.89</v>
      </c>
      <c r="D13340" s="104">
        <f t="shared" si="208"/>
        <v>1.89E-2</v>
      </c>
    </row>
    <row r="13341" spans="2:6" ht="13.8">
      <c r="B13341" s="635">
        <v>41334</v>
      </c>
      <c r="C13341" s="636">
        <v>1.86</v>
      </c>
      <c r="D13341" s="104">
        <f t="shared" si="208"/>
        <v>1.8600000000000002E-2</v>
      </c>
      <c r="E13341" s="104">
        <f>AVERAGE( D13337:D13341)</f>
        <v>1.8840000000000003E-2</v>
      </c>
      <c r="F13341" s="4" t="str">
        <f>TEXT( B13341, "ddd" )</f>
        <v>Fri</v>
      </c>
    </row>
    <row r="13342" spans="2:6" ht="13.8">
      <c r="B13342" s="635">
        <v>41337</v>
      </c>
      <c r="C13342" s="636">
        <v>1.88</v>
      </c>
      <c r="D13342" s="104">
        <f t="shared" si="208"/>
        <v>1.8799999999999997E-2</v>
      </c>
    </row>
    <row r="13343" spans="2:6" ht="13.8">
      <c r="B13343" s="635">
        <v>41338</v>
      </c>
      <c r="C13343" s="636">
        <v>1.9</v>
      </c>
      <c r="D13343" s="104">
        <f t="shared" si="208"/>
        <v>1.9E-2</v>
      </c>
    </row>
    <row r="13344" spans="2:6" ht="13.8">
      <c r="B13344" s="635">
        <v>41339</v>
      </c>
      <c r="C13344" s="636">
        <v>1.95</v>
      </c>
      <c r="D13344" s="104">
        <f t="shared" si="208"/>
        <v>1.95E-2</v>
      </c>
    </row>
    <row r="13345" spans="2:6" ht="13.8">
      <c r="B13345" s="635">
        <v>41340</v>
      </c>
      <c r="C13345" s="636">
        <v>2</v>
      </c>
      <c r="D13345" s="104">
        <f t="shared" si="208"/>
        <v>0.02</v>
      </c>
    </row>
    <row r="13346" spans="2:6" ht="13.8">
      <c r="B13346" s="635">
        <v>41341</v>
      </c>
      <c r="C13346" s="636">
        <v>2.06</v>
      </c>
      <c r="D13346" s="104">
        <f t="shared" si="208"/>
        <v>2.06E-2</v>
      </c>
      <c r="E13346" s="104">
        <f>AVERAGE( D13342:D13346)</f>
        <v>1.9580000000000004E-2</v>
      </c>
      <c r="F13346" s="4" t="str">
        <f>TEXT( B13346, "ddd" )</f>
        <v>Fri</v>
      </c>
    </row>
    <row r="13347" spans="2:6" ht="13.8">
      <c r="B13347" s="635">
        <v>41344</v>
      </c>
      <c r="C13347" s="636">
        <v>2.0699999999999998</v>
      </c>
      <c r="D13347" s="104">
        <f t="shared" si="208"/>
        <v>2.07E-2</v>
      </c>
    </row>
    <row r="13348" spans="2:6" ht="13.8">
      <c r="B13348" s="635">
        <v>41345</v>
      </c>
      <c r="C13348" s="636">
        <v>2.0299999999999998</v>
      </c>
      <c r="D13348" s="104">
        <f t="shared" si="208"/>
        <v>2.0299999999999999E-2</v>
      </c>
    </row>
    <row r="13349" spans="2:6" ht="13.8">
      <c r="B13349" s="635">
        <v>41346</v>
      </c>
      <c r="C13349" s="636">
        <v>2.04</v>
      </c>
      <c r="D13349" s="104">
        <f t="shared" si="208"/>
        <v>2.0400000000000001E-2</v>
      </c>
    </row>
    <row r="13350" spans="2:6" ht="13.8">
      <c r="B13350" s="635">
        <v>41347</v>
      </c>
      <c r="C13350" s="636">
        <v>2.04</v>
      </c>
      <c r="D13350" s="104">
        <f t="shared" si="208"/>
        <v>2.0400000000000001E-2</v>
      </c>
    </row>
    <row r="13351" spans="2:6" ht="13.8">
      <c r="B13351" s="635">
        <v>41348</v>
      </c>
      <c r="C13351" s="636">
        <v>2.0099999999999998</v>
      </c>
      <c r="D13351" s="104">
        <f t="shared" si="208"/>
        <v>2.0099999999999996E-2</v>
      </c>
      <c r="E13351" s="104">
        <f>AVERAGE( D13347:D13351)</f>
        <v>2.0379999999999999E-2</v>
      </c>
      <c r="F13351" s="4" t="str">
        <f>TEXT( B13351, "ddd" )</f>
        <v>Fri</v>
      </c>
    </row>
    <row r="13352" spans="2:6" ht="13.8">
      <c r="B13352" s="635">
        <v>41351</v>
      </c>
      <c r="C13352" s="636">
        <v>1.96</v>
      </c>
      <c r="D13352" s="104">
        <f t="shared" si="208"/>
        <v>1.9599999999999999E-2</v>
      </c>
    </row>
    <row r="13353" spans="2:6" ht="13.8">
      <c r="B13353" s="635">
        <v>41352</v>
      </c>
      <c r="C13353" s="636">
        <v>1.92</v>
      </c>
      <c r="D13353" s="104">
        <f t="shared" si="208"/>
        <v>1.9199999999999998E-2</v>
      </c>
    </row>
    <row r="13354" spans="2:6" ht="13.8">
      <c r="B13354" s="635">
        <v>41353</v>
      </c>
      <c r="C13354" s="636">
        <v>1.96</v>
      </c>
      <c r="D13354" s="104">
        <f t="shared" si="208"/>
        <v>1.9599999999999999E-2</v>
      </c>
    </row>
    <row r="13355" spans="2:6" ht="13.8">
      <c r="B13355" s="635">
        <v>41354</v>
      </c>
      <c r="C13355" s="636">
        <v>1.95</v>
      </c>
      <c r="D13355" s="104">
        <f t="shared" si="208"/>
        <v>1.95E-2</v>
      </c>
    </row>
    <row r="13356" spans="2:6" ht="13.8">
      <c r="B13356" s="635">
        <v>41355</v>
      </c>
      <c r="C13356" s="636">
        <v>1.93</v>
      </c>
      <c r="D13356" s="104">
        <f t="shared" si="208"/>
        <v>1.9299999999999998E-2</v>
      </c>
      <c r="E13356" s="104">
        <f>AVERAGE( D13352:D13356)</f>
        <v>1.9439999999999999E-2</v>
      </c>
      <c r="F13356" s="4" t="str">
        <f>TEXT( B13356, "ddd" )</f>
        <v>Fri</v>
      </c>
    </row>
    <row r="13357" spans="2:6" ht="13.8">
      <c r="B13357" s="635">
        <v>41358</v>
      </c>
      <c r="C13357" s="636">
        <v>1.93</v>
      </c>
      <c r="D13357" s="104">
        <f t="shared" si="208"/>
        <v>1.9299999999999998E-2</v>
      </c>
    </row>
    <row r="13358" spans="2:6" ht="13.8">
      <c r="B13358" s="635">
        <v>41359</v>
      </c>
      <c r="C13358" s="636">
        <v>1.92</v>
      </c>
      <c r="D13358" s="104">
        <f t="shared" si="208"/>
        <v>1.9199999999999998E-2</v>
      </c>
    </row>
    <row r="13359" spans="2:6" ht="13.8">
      <c r="B13359" s="635">
        <v>41360</v>
      </c>
      <c r="C13359" s="636">
        <v>1.87</v>
      </c>
      <c r="D13359" s="104">
        <f t="shared" si="208"/>
        <v>1.8700000000000001E-2</v>
      </c>
    </row>
    <row r="13360" spans="2:6" ht="13.8">
      <c r="B13360" s="635">
        <v>41361</v>
      </c>
      <c r="C13360" s="636">
        <v>1.87</v>
      </c>
      <c r="D13360" s="104">
        <f t="shared" si="208"/>
        <v>1.8700000000000001E-2</v>
      </c>
    </row>
    <row r="13361" spans="2:6" ht="13.8">
      <c r="B13361" s="635">
        <v>41362</v>
      </c>
      <c r="C13361" s="636" t="s">
        <v>380</v>
      </c>
      <c r="D13361" s="104">
        <f t="shared" si="208"/>
        <v>1.8700000000000001E-2</v>
      </c>
      <c r="E13361" s="104">
        <f>AVERAGE( D13357:D13361)</f>
        <v>1.8919999999999999E-2</v>
      </c>
      <c r="F13361" s="4" t="str">
        <f>TEXT( B13361, "ddd" )</f>
        <v>Fri</v>
      </c>
    </row>
    <row r="13362" spans="2:6" ht="13.8">
      <c r="B13362" s="635">
        <v>41365</v>
      </c>
      <c r="C13362" s="636">
        <v>1.86</v>
      </c>
      <c r="D13362" s="104">
        <f t="shared" si="208"/>
        <v>1.8600000000000002E-2</v>
      </c>
    </row>
    <row r="13363" spans="2:6" ht="13.8">
      <c r="B13363" s="635">
        <v>41366</v>
      </c>
      <c r="C13363" s="636">
        <v>1.88</v>
      </c>
      <c r="D13363" s="104">
        <f t="shared" si="208"/>
        <v>1.8799999999999997E-2</v>
      </c>
    </row>
    <row r="13364" spans="2:6" ht="13.8">
      <c r="B13364" s="635">
        <v>41367</v>
      </c>
      <c r="C13364" s="636">
        <v>1.83</v>
      </c>
      <c r="D13364" s="104">
        <f t="shared" si="208"/>
        <v>1.83E-2</v>
      </c>
    </row>
    <row r="13365" spans="2:6" ht="13.8">
      <c r="B13365" s="635">
        <v>41368</v>
      </c>
      <c r="C13365" s="636">
        <v>1.78</v>
      </c>
      <c r="D13365" s="104">
        <f t="shared" ref="D13365:D13428" si="209">IF( LEN( C13365 ) = 0, #N/A, IF( C13365 = "ND", D13364, C13365 / 100 ) )</f>
        <v>1.78E-2</v>
      </c>
    </row>
    <row r="13366" spans="2:6" ht="13.8">
      <c r="B13366" s="635">
        <v>41369</v>
      </c>
      <c r="C13366" s="636">
        <v>1.72</v>
      </c>
      <c r="D13366" s="104">
        <f t="shared" si="209"/>
        <v>1.72E-2</v>
      </c>
      <c r="E13366" s="104">
        <f>AVERAGE( D13362:D13366)</f>
        <v>1.814E-2</v>
      </c>
      <c r="F13366" s="4" t="str">
        <f>TEXT( B13366, "ddd" )</f>
        <v>Fri</v>
      </c>
    </row>
    <row r="13367" spans="2:6" ht="13.8">
      <c r="B13367" s="635">
        <v>41372</v>
      </c>
      <c r="C13367" s="636">
        <v>1.76</v>
      </c>
      <c r="D13367" s="104">
        <f t="shared" si="209"/>
        <v>1.7600000000000001E-2</v>
      </c>
    </row>
    <row r="13368" spans="2:6" ht="13.8">
      <c r="B13368" s="635">
        <v>41373</v>
      </c>
      <c r="C13368" s="636">
        <v>1.78</v>
      </c>
      <c r="D13368" s="104">
        <f t="shared" si="209"/>
        <v>1.78E-2</v>
      </c>
    </row>
    <row r="13369" spans="2:6" ht="13.8">
      <c r="B13369" s="635">
        <v>41374</v>
      </c>
      <c r="C13369" s="636">
        <v>1.84</v>
      </c>
      <c r="D13369" s="104">
        <f t="shared" si="209"/>
        <v>1.84E-2</v>
      </c>
    </row>
    <row r="13370" spans="2:6" ht="13.8">
      <c r="B13370" s="635">
        <v>41375</v>
      </c>
      <c r="C13370" s="636">
        <v>1.82</v>
      </c>
      <c r="D13370" s="104">
        <f t="shared" si="209"/>
        <v>1.8200000000000001E-2</v>
      </c>
    </row>
    <row r="13371" spans="2:6" ht="13.8">
      <c r="B13371" s="635">
        <v>41376</v>
      </c>
      <c r="C13371" s="636">
        <v>1.75</v>
      </c>
      <c r="D13371" s="104">
        <f t="shared" si="209"/>
        <v>1.7500000000000002E-2</v>
      </c>
      <c r="E13371" s="104">
        <f>AVERAGE( D13367:D13371)</f>
        <v>1.7900000000000003E-2</v>
      </c>
      <c r="F13371" s="4" t="str">
        <f>TEXT( B13371, "ddd" )</f>
        <v>Fri</v>
      </c>
    </row>
    <row r="13372" spans="2:6" ht="13.8">
      <c r="B13372" s="635">
        <v>41379</v>
      </c>
      <c r="C13372" s="636">
        <v>1.72</v>
      </c>
      <c r="D13372" s="104">
        <f t="shared" si="209"/>
        <v>1.72E-2</v>
      </c>
    </row>
    <row r="13373" spans="2:6" ht="13.8">
      <c r="B13373" s="635">
        <v>41380</v>
      </c>
      <c r="C13373" s="636">
        <v>1.75</v>
      </c>
      <c r="D13373" s="104">
        <f t="shared" si="209"/>
        <v>1.7500000000000002E-2</v>
      </c>
    </row>
    <row r="13374" spans="2:6" ht="13.8">
      <c r="B13374" s="635">
        <v>41381</v>
      </c>
      <c r="C13374" s="636">
        <v>1.73</v>
      </c>
      <c r="D13374" s="104">
        <f t="shared" si="209"/>
        <v>1.7299999999999999E-2</v>
      </c>
    </row>
    <row r="13375" spans="2:6" ht="13.8">
      <c r="B13375" s="635">
        <v>41382</v>
      </c>
      <c r="C13375" s="636">
        <v>1.72</v>
      </c>
      <c r="D13375" s="104">
        <f t="shared" si="209"/>
        <v>1.72E-2</v>
      </c>
    </row>
    <row r="13376" spans="2:6" ht="13.8">
      <c r="B13376" s="635">
        <v>41383</v>
      </c>
      <c r="C13376" s="636">
        <v>1.73</v>
      </c>
      <c r="D13376" s="104">
        <f t="shared" si="209"/>
        <v>1.7299999999999999E-2</v>
      </c>
      <c r="E13376" s="104">
        <f>AVERAGE( D13372:D13376)</f>
        <v>1.7300000000000003E-2</v>
      </c>
      <c r="F13376" s="4" t="str">
        <f>TEXT( B13376, "ddd" )</f>
        <v>Fri</v>
      </c>
    </row>
    <row r="13377" spans="2:6" ht="13.8">
      <c r="B13377" s="635">
        <v>41386</v>
      </c>
      <c r="C13377" s="636">
        <v>1.72</v>
      </c>
      <c r="D13377" s="104">
        <f t="shared" si="209"/>
        <v>1.72E-2</v>
      </c>
    </row>
    <row r="13378" spans="2:6" ht="13.8">
      <c r="B13378" s="635">
        <v>41387</v>
      </c>
      <c r="C13378" s="636">
        <v>1.74</v>
      </c>
      <c r="D13378" s="104">
        <f t="shared" si="209"/>
        <v>1.7399999999999999E-2</v>
      </c>
    </row>
    <row r="13379" spans="2:6" ht="13.8">
      <c r="B13379" s="635">
        <v>41388</v>
      </c>
      <c r="C13379" s="636">
        <v>1.73</v>
      </c>
      <c r="D13379" s="104">
        <f t="shared" si="209"/>
        <v>1.7299999999999999E-2</v>
      </c>
    </row>
    <row r="13380" spans="2:6" ht="13.8">
      <c r="B13380" s="635">
        <v>41389</v>
      </c>
      <c r="C13380" s="636">
        <v>1.74</v>
      </c>
      <c r="D13380" s="104">
        <f t="shared" si="209"/>
        <v>1.7399999999999999E-2</v>
      </c>
    </row>
    <row r="13381" spans="2:6" ht="13.8">
      <c r="B13381" s="635">
        <v>41390</v>
      </c>
      <c r="C13381" s="636">
        <v>1.7</v>
      </c>
      <c r="D13381" s="104">
        <f t="shared" si="209"/>
        <v>1.7000000000000001E-2</v>
      </c>
      <c r="E13381" s="104">
        <f>AVERAGE( D13377:D13381)</f>
        <v>1.7260000000000001E-2</v>
      </c>
      <c r="F13381" s="4" t="str">
        <f>TEXT( B13381, "ddd" )</f>
        <v>Fri</v>
      </c>
    </row>
    <row r="13382" spans="2:6" ht="13.8">
      <c r="B13382" s="635">
        <v>41393</v>
      </c>
      <c r="C13382" s="636">
        <v>1.7</v>
      </c>
      <c r="D13382" s="104">
        <f t="shared" si="209"/>
        <v>1.7000000000000001E-2</v>
      </c>
    </row>
    <row r="13383" spans="2:6" ht="13.8">
      <c r="B13383" s="635">
        <v>41394</v>
      </c>
      <c r="C13383" s="636">
        <v>1.7</v>
      </c>
      <c r="D13383" s="104">
        <f t="shared" si="209"/>
        <v>1.7000000000000001E-2</v>
      </c>
    </row>
    <row r="13384" spans="2:6" ht="13.8">
      <c r="B13384" s="635">
        <v>41395</v>
      </c>
      <c r="C13384" s="636">
        <v>1.66</v>
      </c>
      <c r="D13384" s="104">
        <f t="shared" si="209"/>
        <v>1.66E-2</v>
      </c>
    </row>
    <row r="13385" spans="2:6" ht="13.8">
      <c r="B13385" s="635">
        <v>41396</v>
      </c>
      <c r="C13385" s="636">
        <v>1.66</v>
      </c>
      <c r="D13385" s="104">
        <f t="shared" si="209"/>
        <v>1.66E-2</v>
      </c>
    </row>
    <row r="13386" spans="2:6" ht="13.8">
      <c r="B13386" s="635">
        <v>41397</v>
      </c>
      <c r="C13386" s="636">
        <v>1.78</v>
      </c>
      <c r="D13386" s="104">
        <f t="shared" si="209"/>
        <v>1.78E-2</v>
      </c>
      <c r="E13386" s="104">
        <f>AVERAGE( D13382:D13386)</f>
        <v>1.7000000000000001E-2</v>
      </c>
      <c r="F13386" s="4" t="str">
        <f>TEXT( B13386, "ddd" )</f>
        <v>Fri</v>
      </c>
    </row>
    <row r="13387" spans="2:6" ht="13.8">
      <c r="B13387" s="635">
        <v>41400</v>
      </c>
      <c r="C13387" s="636">
        <v>1.8</v>
      </c>
      <c r="D13387" s="104">
        <f t="shared" si="209"/>
        <v>1.8000000000000002E-2</v>
      </c>
    </row>
    <row r="13388" spans="2:6" ht="13.8">
      <c r="B13388" s="635">
        <v>41401</v>
      </c>
      <c r="C13388" s="636">
        <v>1.82</v>
      </c>
      <c r="D13388" s="104">
        <f t="shared" si="209"/>
        <v>1.8200000000000001E-2</v>
      </c>
    </row>
    <row r="13389" spans="2:6" ht="13.8">
      <c r="B13389" s="635">
        <v>41402</v>
      </c>
      <c r="C13389" s="636">
        <v>1.81</v>
      </c>
      <c r="D13389" s="104">
        <f t="shared" si="209"/>
        <v>1.8100000000000002E-2</v>
      </c>
    </row>
    <row r="13390" spans="2:6" ht="13.8">
      <c r="B13390" s="635">
        <v>41403</v>
      </c>
      <c r="C13390" s="636">
        <v>1.81</v>
      </c>
      <c r="D13390" s="104">
        <f t="shared" si="209"/>
        <v>1.8100000000000002E-2</v>
      </c>
    </row>
    <row r="13391" spans="2:6" ht="13.8">
      <c r="B13391" s="635">
        <v>41404</v>
      </c>
      <c r="C13391" s="636">
        <v>1.9</v>
      </c>
      <c r="D13391" s="104">
        <f t="shared" si="209"/>
        <v>1.9E-2</v>
      </c>
      <c r="E13391" s="104">
        <f>AVERAGE( D13387:D13391)</f>
        <v>1.8280000000000001E-2</v>
      </c>
      <c r="F13391" s="4" t="str">
        <f>TEXT( B13391, "ddd" )</f>
        <v>Fri</v>
      </c>
    </row>
    <row r="13392" spans="2:6" ht="13.8">
      <c r="B13392" s="635">
        <v>41407</v>
      </c>
      <c r="C13392" s="636">
        <v>1.92</v>
      </c>
      <c r="D13392" s="104">
        <f t="shared" si="209"/>
        <v>1.9199999999999998E-2</v>
      </c>
    </row>
    <row r="13393" spans="2:6" ht="13.8">
      <c r="B13393" s="635">
        <v>41408</v>
      </c>
      <c r="C13393" s="636">
        <v>1.96</v>
      </c>
      <c r="D13393" s="104">
        <f t="shared" si="209"/>
        <v>1.9599999999999999E-2</v>
      </c>
    </row>
    <row r="13394" spans="2:6" ht="13.8">
      <c r="B13394" s="635">
        <v>41409</v>
      </c>
      <c r="C13394" s="636">
        <v>1.94</v>
      </c>
      <c r="D13394" s="104">
        <f t="shared" si="209"/>
        <v>1.9400000000000001E-2</v>
      </c>
    </row>
    <row r="13395" spans="2:6" ht="13.8">
      <c r="B13395" s="635">
        <v>41410</v>
      </c>
      <c r="C13395" s="636">
        <v>1.87</v>
      </c>
      <c r="D13395" s="104">
        <f t="shared" si="209"/>
        <v>1.8700000000000001E-2</v>
      </c>
    </row>
    <row r="13396" spans="2:6" ht="13.8">
      <c r="B13396" s="635">
        <v>41411</v>
      </c>
      <c r="C13396" s="636">
        <v>1.95</v>
      </c>
      <c r="D13396" s="104">
        <f t="shared" si="209"/>
        <v>1.95E-2</v>
      </c>
      <c r="E13396" s="104">
        <f>AVERAGE( D13392:D13396)</f>
        <v>1.9279999999999999E-2</v>
      </c>
      <c r="F13396" s="4" t="str">
        <f>TEXT( B13396, "ddd" )</f>
        <v>Fri</v>
      </c>
    </row>
    <row r="13397" spans="2:6" ht="13.8">
      <c r="B13397" s="635">
        <v>41414</v>
      </c>
      <c r="C13397" s="636">
        <v>1.97</v>
      </c>
      <c r="D13397" s="104">
        <f t="shared" si="209"/>
        <v>1.9699999999999999E-2</v>
      </c>
    </row>
    <row r="13398" spans="2:6" ht="13.8">
      <c r="B13398" s="635">
        <v>41415</v>
      </c>
      <c r="C13398" s="636">
        <v>1.94</v>
      </c>
      <c r="D13398" s="104">
        <f t="shared" si="209"/>
        <v>1.9400000000000001E-2</v>
      </c>
    </row>
    <row r="13399" spans="2:6" ht="13.8">
      <c r="B13399" s="635">
        <v>41416</v>
      </c>
      <c r="C13399" s="636">
        <v>2.0299999999999998</v>
      </c>
      <c r="D13399" s="104">
        <f t="shared" si="209"/>
        <v>2.0299999999999999E-2</v>
      </c>
    </row>
    <row r="13400" spans="2:6" ht="13.8">
      <c r="B13400" s="635">
        <v>41417</v>
      </c>
      <c r="C13400" s="636">
        <v>2.02</v>
      </c>
      <c r="D13400" s="104">
        <f t="shared" si="209"/>
        <v>2.0199999999999999E-2</v>
      </c>
    </row>
    <row r="13401" spans="2:6" ht="13.8">
      <c r="B13401" s="635">
        <v>41418</v>
      </c>
      <c r="C13401" s="636">
        <v>2.0099999999999998</v>
      </c>
      <c r="D13401" s="104">
        <f t="shared" si="209"/>
        <v>2.0099999999999996E-2</v>
      </c>
      <c r="E13401" s="104">
        <f>AVERAGE( D13397:D13401)</f>
        <v>1.9939999999999996E-2</v>
      </c>
      <c r="F13401" s="4" t="str">
        <f>TEXT( B13401, "ddd" )</f>
        <v>Fri</v>
      </c>
    </row>
    <row r="13402" spans="2:6" ht="13.8">
      <c r="B13402" s="635">
        <v>41421</v>
      </c>
      <c r="C13402" s="636" t="s">
        <v>380</v>
      </c>
      <c r="D13402" s="104">
        <f t="shared" si="209"/>
        <v>2.0099999999999996E-2</v>
      </c>
    </row>
    <row r="13403" spans="2:6" ht="13.8">
      <c r="B13403" s="635">
        <v>41422</v>
      </c>
      <c r="C13403" s="636">
        <v>2.15</v>
      </c>
      <c r="D13403" s="104">
        <f t="shared" si="209"/>
        <v>2.1499999999999998E-2</v>
      </c>
    </row>
    <row r="13404" spans="2:6" ht="13.8">
      <c r="B13404" s="635">
        <v>41423</v>
      </c>
      <c r="C13404" s="636">
        <v>2.13</v>
      </c>
      <c r="D13404" s="104">
        <f t="shared" si="209"/>
        <v>2.1299999999999999E-2</v>
      </c>
    </row>
    <row r="13405" spans="2:6" ht="13.8">
      <c r="B13405" s="635">
        <v>41424</v>
      </c>
      <c r="C13405" s="636">
        <v>2.13</v>
      </c>
      <c r="D13405" s="104">
        <f t="shared" si="209"/>
        <v>2.1299999999999999E-2</v>
      </c>
    </row>
    <row r="13406" spans="2:6" ht="13.8">
      <c r="B13406" s="635">
        <v>41425</v>
      </c>
      <c r="C13406" s="636">
        <v>2.16</v>
      </c>
      <c r="D13406" s="104">
        <f t="shared" si="209"/>
        <v>2.1600000000000001E-2</v>
      </c>
      <c r="E13406" s="104">
        <f>AVERAGE( D13402:D13406)</f>
        <v>2.1160000000000002E-2</v>
      </c>
      <c r="F13406" s="4" t="str">
        <f>TEXT( B13406, "ddd" )</f>
        <v>Fri</v>
      </c>
    </row>
    <row r="13407" spans="2:6" ht="13.8">
      <c r="B13407" s="635">
        <v>41428</v>
      </c>
      <c r="C13407" s="636">
        <v>2.13</v>
      </c>
      <c r="D13407" s="104">
        <f t="shared" si="209"/>
        <v>2.1299999999999999E-2</v>
      </c>
    </row>
    <row r="13408" spans="2:6" ht="13.8">
      <c r="B13408" s="635">
        <v>41429</v>
      </c>
      <c r="C13408" s="636">
        <v>2.14</v>
      </c>
      <c r="D13408" s="104">
        <f t="shared" si="209"/>
        <v>2.1400000000000002E-2</v>
      </c>
    </row>
    <row r="13409" spans="2:6" ht="13.8">
      <c r="B13409" s="635">
        <v>41430</v>
      </c>
      <c r="C13409" s="636">
        <v>2.1</v>
      </c>
      <c r="D13409" s="104">
        <f t="shared" si="209"/>
        <v>2.1000000000000001E-2</v>
      </c>
    </row>
    <row r="13410" spans="2:6" ht="13.8">
      <c r="B13410" s="635">
        <v>41431</v>
      </c>
      <c r="C13410" s="636">
        <v>2.08</v>
      </c>
      <c r="D13410" s="104">
        <f t="shared" si="209"/>
        <v>2.0799999999999999E-2</v>
      </c>
    </row>
    <row r="13411" spans="2:6" ht="13.8">
      <c r="B13411" s="635">
        <v>41432</v>
      </c>
      <c r="C13411" s="636">
        <v>2.17</v>
      </c>
      <c r="D13411" s="104">
        <f t="shared" si="209"/>
        <v>2.1700000000000001E-2</v>
      </c>
      <c r="E13411" s="104">
        <f>AVERAGE( D13407:D13411)</f>
        <v>2.1240000000000002E-2</v>
      </c>
      <c r="F13411" s="4" t="str">
        <f>TEXT( B13411, "ddd" )</f>
        <v>Fri</v>
      </c>
    </row>
    <row r="13412" spans="2:6" ht="13.8">
      <c r="B13412" s="635">
        <v>41435</v>
      </c>
      <c r="C13412" s="636">
        <v>2.2200000000000002</v>
      </c>
      <c r="D13412" s="104">
        <f t="shared" si="209"/>
        <v>2.2200000000000001E-2</v>
      </c>
    </row>
    <row r="13413" spans="2:6" ht="13.8">
      <c r="B13413" s="635">
        <v>41436</v>
      </c>
      <c r="C13413" s="636">
        <v>2.2000000000000002</v>
      </c>
      <c r="D13413" s="104">
        <f t="shared" si="209"/>
        <v>2.2000000000000002E-2</v>
      </c>
    </row>
    <row r="13414" spans="2:6" ht="13.8">
      <c r="B13414" s="635">
        <v>41437</v>
      </c>
      <c r="C13414" s="636">
        <v>2.25</v>
      </c>
      <c r="D13414" s="104">
        <f t="shared" si="209"/>
        <v>2.2499999999999999E-2</v>
      </c>
    </row>
    <row r="13415" spans="2:6" ht="13.8">
      <c r="B13415" s="635">
        <v>41438</v>
      </c>
      <c r="C13415" s="636">
        <v>2.19</v>
      </c>
      <c r="D13415" s="104">
        <f t="shared" si="209"/>
        <v>2.1899999999999999E-2</v>
      </c>
    </row>
    <row r="13416" spans="2:6" ht="13.8">
      <c r="B13416" s="635">
        <v>41439</v>
      </c>
      <c r="C13416" s="636">
        <v>2.14</v>
      </c>
      <c r="D13416" s="104">
        <f t="shared" si="209"/>
        <v>2.1400000000000002E-2</v>
      </c>
      <c r="E13416" s="104">
        <f>AVERAGE( D13412:D13416)</f>
        <v>2.2000000000000002E-2</v>
      </c>
      <c r="F13416" s="4" t="str">
        <f>TEXT( B13416, "ddd" )</f>
        <v>Fri</v>
      </c>
    </row>
    <row r="13417" spans="2:6" ht="13.8">
      <c r="B13417" s="635">
        <v>41442</v>
      </c>
      <c r="C13417" s="636">
        <v>2.19</v>
      </c>
      <c r="D13417" s="104">
        <f t="shared" si="209"/>
        <v>2.1899999999999999E-2</v>
      </c>
    </row>
    <row r="13418" spans="2:6" ht="13.8">
      <c r="B13418" s="635">
        <v>41443</v>
      </c>
      <c r="C13418" s="636">
        <v>2.2000000000000002</v>
      </c>
      <c r="D13418" s="104">
        <f t="shared" si="209"/>
        <v>2.2000000000000002E-2</v>
      </c>
    </row>
    <row r="13419" spans="2:6" ht="13.8">
      <c r="B13419" s="635">
        <v>41444</v>
      </c>
      <c r="C13419" s="636">
        <v>2.33</v>
      </c>
      <c r="D13419" s="104">
        <f t="shared" si="209"/>
        <v>2.3300000000000001E-2</v>
      </c>
    </row>
    <row r="13420" spans="2:6" ht="13.8">
      <c r="B13420" s="635">
        <v>41445</v>
      </c>
      <c r="C13420" s="636">
        <v>2.41</v>
      </c>
      <c r="D13420" s="104">
        <f t="shared" si="209"/>
        <v>2.41E-2</v>
      </c>
    </row>
    <row r="13421" spans="2:6" ht="13.8">
      <c r="B13421" s="635">
        <v>41446</v>
      </c>
      <c r="C13421" s="636">
        <v>2.52</v>
      </c>
      <c r="D13421" s="104">
        <f t="shared" si="209"/>
        <v>2.52E-2</v>
      </c>
      <c r="E13421" s="104">
        <f>AVERAGE( D13417:D13421)</f>
        <v>2.3300000000000001E-2</v>
      </c>
      <c r="F13421" s="4" t="str">
        <f>TEXT( B13421, "ddd" )</f>
        <v>Fri</v>
      </c>
    </row>
    <row r="13422" spans="2:6" ht="13.8">
      <c r="B13422" s="635">
        <v>41449</v>
      </c>
      <c r="C13422" s="636">
        <v>2.57</v>
      </c>
      <c r="D13422" s="104">
        <f t="shared" si="209"/>
        <v>2.5699999999999997E-2</v>
      </c>
    </row>
    <row r="13423" spans="2:6" ht="13.8">
      <c r="B13423" s="635">
        <v>41450</v>
      </c>
      <c r="C13423" s="636">
        <v>2.6</v>
      </c>
      <c r="D13423" s="104">
        <f t="shared" si="209"/>
        <v>2.6000000000000002E-2</v>
      </c>
    </row>
    <row r="13424" spans="2:6" ht="13.8">
      <c r="B13424" s="635">
        <v>41451</v>
      </c>
      <c r="C13424" s="636">
        <v>2.5499999999999998</v>
      </c>
      <c r="D13424" s="104">
        <f t="shared" si="209"/>
        <v>2.5499999999999998E-2</v>
      </c>
    </row>
    <row r="13425" spans="2:6" ht="13.8">
      <c r="B13425" s="635">
        <v>41452</v>
      </c>
      <c r="C13425" s="636">
        <v>2.4900000000000002</v>
      </c>
      <c r="D13425" s="104">
        <f t="shared" si="209"/>
        <v>2.4900000000000002E-2</v>
      </c>
    </row>
    <row r="13426" spans="2:6" ht="13.8">
      <c r="B13426" s="635">
        <v>41453</v>
      </c>
      <c r="C13426" s="636">
        <v>2.52</v>
      </c>
      <c r="D13426" s="104">
        <f t="shared" si="209"/>
        <v>2.52E-2</v>
      </c>
      <c r="E13426" s="104">
        <f>AVERAGE( D13422:D13426)</f>
        <v>2.546E-2</v>
      </c>
      <c r="F13426" s="4" t="str">
        <f>TEXT( B13426, "ddd" )</f>
        <v>Fri</v>
      </c>
    </row>
    <row r="13427" spans="2:6" ht="13.8">
      <c r="B13427" s="635">
        <v>41456</v>
      </c>
      <c r="C13427" s="636">
        <v>2.5</v>
      </c>
      <c r="D13427" s="104">
        <f t="shared" si="209"/>
        <v>2.5000000000000001E-2</v>
      </c>
    </row>
    <row r="13428" spans="2:6" ht="13.8">
      <c r="B13428" s="635">
        <v>41457</v>
      </c>
      <c r="C13428" s="636">
        <v>2.48</v>
      </c>
      <c r="D13428" s="104">
        <f t="shared" si="209"/>
        <v>2.4799999999999999E-2</v>
      </c>
    </row>
    <row r="13429" spans="2:6" ht="13.8">
      <c r="B13429" s="635">
        <v>41458</v>
      </c>
      <c r="C13429" s="636">
        <v>2.52</v>
      </c>
      <c r="D13429" s="104">
        <f t="shared" ref="D13429:D13492" si="210">IF( LEN( C13429 ) = 0, #N/A, IF( C13429 = "ND", D13428, C13429 / 100 ) )</f>
        <v>2.52E-2</v>
      </c>
    </row>
    <row r="13430" spans="2:6" ht="13.8">
      <c r="B13430" s="635">
        <v>41459</v>
      </c>
      <c r="C13430" s="636" t="s">
        <v>380</v>
      </c>
      <c r="D13430" s="104">
        <f t="shared" si="210"/>
        <v>2.52E-2</v>
      </c>
    </row>
    <row r="13431" spans="2:6" ht="13.8">
      <c r="B13431" s="635">
        <v>41460</v>
      </c>
      <c r="C13431" s="636">
        <v>2.73</v>
      </c>
      <c r="D13431" s="104">
        <f t="shared" si="210"/>
        <v>2.7300000000000001E-2</v>
      </c>
      <c r="E13431" s="104">
        <f>AVERAGE( D13427:D13431)</f>
        <v>2.5500000000000002E-2</v>
      </c>
      <c r="F13431" s="4" t="str">
        <f>TEXT( B13431, "ddd" )</f>
        <v>Fri</v>
      </c>
    </row>
    <row r="13432" spans="2:6" ht="13.8">
      <c r="B13432" s="635">
        <v>41463</v>
      </c>
      <c r="C13432" s="636">
        <v>2.65</v>
      </c>
      <c r="D13432" s="104">
        <f t="shared" si="210"/>
        <v>2.6499999999999999E-2</v>
      </c>
    </row>
    <row r="13433" spans="2:6" ht="13.8">
      <c r="B13433" s="635">
        <v>41464</v>
      </c>
      <c r="C13433" s="636">
        <v>2.65</v>
      </c>
      <c r="D13433" s="104">
        <f t="shared" si="210"/>
        <v>2.6499999999999999E-2</v>
      </c>
    </row>
    <row r="13434" spans="2:6" ht="13.8">
      <c r="B13434" s="635">
        <v>41465</v>
      </c>
      <c r="C13434" s="636">
        <v>2.7</v>
      </c>
      <c r="D13434" s="104">
        <f t="shared" si="210"/>
        <v>2.7000000000000003E-2</v>
      </c>
    </row>
    <row r="13435" spans="2:6" ht="13.8">
      <c r="B13435" s="635">
        <v>41466</v>
      </c>
      <c r="C13435" s="636">
        <v>2.6</v>
      </c>
      <c r="D13435" s="104">
        <f t="shared" si="210"/>
        <v>2.6000000000000002E-2</v>
      </c>
    </row>
    <row r="13436" spans="2:6" ht="13.8">
      <c r="B13436" s="635">
        <v>41467</v>
      </c>
      <c r="C13436" s="636">
        <v>2.61</v>
      </c>
      <c r="D13436" s="104">
        <f t="shared" si="210"/>
        <v>2.6099999999999998E-2</v>
      </c>
      <c r="E13436" s="104">
        <f>AVERAGE( D13432:D13436)</f>
        <v>2.6419999999999999E-2</v>
      </c>
      <c r="F13436" s="4" t="str">
        <f>TEXT( B13436, "ddd" )</f>
        <v>Fri</v>
      </c>
    </row>
    <row r="13437" spans="2:6" ht="13.8">
      <c r="B13437" s="635">
        <v>41470</v>
      </c>
      <c r="C13437" s="636">
        <v>2.57</v>
      </c>
      <c r="D13437" s="104">
        <f t="shared" si="210"/>
        <v>2.5699999999999997E-2</v>
      </c>
    </row>
    <row r="13438" spans="2:6" ht="13.8">
      <c r="B13438" s="635">
        <v>41471</v>
      </c>
      <c r="C13438" s="636">
        <v>2.5499999999999998</v>
      </c>
      <c r="D13438" s="104">
        <f t="shared" si="210"/>
        <v>2.5499999999999998E-2</v>
      </c>
    </row>
    <row r="13439" spans="2:6" ht="13.8">
      <c r="B13439" s="635">
        <v>41472</v>
      </c>
      <c r="C13439" s="636">
        <v>2.52</v>
      </c>
      <c r="D13439" s="104">
        <f t="shared" si="210"/>
        <v>2.52E-2</v>
      </c>
    </row>
    <row r="13440" spans="2:6" ht="13.8">
      <c r="B13440" s="635">
        <v>41473</v>
      </c>
      <c r="C13440" s="636">
        <v>2.56</v>
      </c>
      <c r="D13440" s="104">
        <f t="shared" si="210"/>
        <v>2.5600000000000001E-2</v>
      </c>
    </row>
    <row r="13441" spans="2:6" ht="13.8">
      <c r="B13441" s="635">
        <v>41474</v>
      </c>
      <c r="C13441" s="636">
        <v>2.5</v>
      </c>
      <c r="D13441" s="104">
        <f t="shared" si="210"/>
        <v>2.5000000000000001E-2</v>
      </c>
      <c r="E13441" s="104">
        <f>AVERAGE( D13437:D13441)</f>
        <v>2.5399999999999999E-2</v>
      </c>
      <c r="F13441" s="4" t="str">
        <f>TEXT( B13441, "ddd" )</f>
        <v>Fri</v>
      </c>
    </row>
    <row r="13442" spans="2:6" ht="13.8">
      <c r="B13442" s="635">
        <v>41477</v>
      </c>
      <c r="C13442" s="636">
        <v>2.5</v>
      </c>
      <c r="D13442" s="104">
        <f t="shared" si="210"/>
        <v>2.5000000000000001E-2</v>
      </c>
    </row>
    <row r="13443" spans="2:6" ht="13.8">
      <c r="B13443" s="635">
        <v>41478</v>
      </c>
      <c r="C13443" s="636">
        <v>2.5299999999999998</v>
      </c>
      <c r="D13443" s="104">
        <f t="shared" si="210"/>
        <v>2.53E-2</v>
      </c>
    </row>
    <row r="13444" spans="2:6" ht="13.8">
      <c r="B13444" s="635">
        <v>41479</v>
      </c>
      <c r="C13444" s="636">
        <v>2.61</v>
      </c>
      <c r="D13444" s="104">
        <f t="shared" si="210"/>
        <v>2.6099999999999998E-2</v>
      </c>
    </row>
    <row r="13445" spans="2:6" ht="13.8">
      <c r="B13445" s="635">
        <v>41480</v>
      </c>
      <c r="C13445" s="636">
        <v>2.61</v>
      </c>
      <c r="D13445" s="104">
        <f t="shared" si="210"/>
        <v>2.6099999999999998E-2</v>
      </c>
    </row>
    <row r="13446" spans="2:6" ht="13.8">
      <c r="B13446" s="635">
        <v>41481</v>
      </c>
      <c r="C13446" s="636">
        <v>2.58</v>
      </c>
      <c r="D13446" s="104">
        <f t="shared" si="210"/>
        <v>2.58E-2</v>
      </c>
      <c r="E13446" s="104">
        <f>AVERAGE( D13442:D13446)</f>
        <v>2.5659999999999999E-2</v>
      </c>
      <c r="F13446" s="4" t="str">
        <f>TEXT( B13446, "ddd" )</f>
        <v>Fri</v>
      </c>
    </row>
    <row r="13447" spans="2:6" ht="13.8">
      <c r="B13447" s="635">
        <v>41484</v>
      </c>
      <c r="C13447" s="636">
        <v>2.61</v>
      </c>
      <c r="D13447" s="104">
        <f t="shared" si="210"/>
        <v>2.6099999999999998E-2</v>
      </c>
    </row>
    <row r="13448" spans="2:6" ht="13.8">
      <c r="B13448" s="635">
        <v>41485</v>
      </c>
      <c r="C13448" s="636">
        <v>2.63</v>
      </c>
      <c r="D13448" s="104">
        <f t="shared" si="210"/>
        <v>2.63E-2</v>
      </c>
    </row>
    <row r="13449" spans="2:6" ht="13.8">
      <c r="B13449" s="635">
        <v>41486</v>
      </c>
      <c r="C13449" s="636">
        <v>2.6</v>
      </c>
      <c r="D13449" s="104">
        <f t="shared" si="210"/>
        <v>2.6000000000000002E-2</v>
      </c>
    </row>
    <row r="13450" spans="2:6" ht="13.8">
      <c r="B13450" s="635">
        <v>41487</v>
      </c>
      <c r="C13450" s="636">
        <v>2.74</v>
      </c>
      <c r="D13450" s="104">
        <f t="shared" si="210"/>
        <v>2.7400000000000001E-2</v>
      </c>
    </row>
    <row r="13451" spans="2:6" ht="13.8">
      <c r="B13451" s="635">
        <v>41488</v>
      </c>
      <c r="C13451" s="636">
        <v>2.63</v>
      </c>
      <c r="D13451" s="104">
        <f t="shared" si="210"/>
        <v>2.63E-2</v>
      </c>
      <c r="E13451" s="104">
        <f>AVERAGE( D13447:D13451)</f>
        <v>2.6419999999999999E-2</v>
      </c>
      <c r="F13451" s="4" t="str">
        <f>TEXT( B13451, "ddd" )</f>
        <v>Fri</v>
      </c>
    </row>
    <row r="13452" spans="2:6" ht="13.8">
      <c r="B13452" s="635">
        <v>41491</v>
      </c>
      <c r="C13452" s="636">
        <v>2.67</v>
      </c>
      <c r="D13452" s="104">
        <f t="shared" si="210"/>
        <v>2.6699999999999998E-2</v>
      </c>
    </row>
    <row r="13453" spans="2:6" ht="13.8">
      <c r="B13453" s="635">
        <v>41492</v>
      </c>
      <c r="C13453" s="636">
        <v>2.67</v>
      </c>
      <c r="D13453" s="104">
        <f t="shared" si="210"/>
        <v>2.6699999999999998E-2</v>
      </c>
    </row>
    <row r="13454" spans="2:6" ht="13.8">
      <c r="B13454" s="635">
        <v>41493</v>
      </c>
      <c r="C13454" s="636">
        <v>2.61</v>
      </c>
      <c r="D13454" s="104">
        <f t="shared" si="210"/>
        <v>2.6099999999999998E-2</v>
      </c>
    </row>
    <row r="13455" spans="2:6" ht="13.8">
      <c r="B13455" s="635">
        <v>41494</v>
      </c>
      <c r="C13455" s="636">
        <v>2.58</v>
      </c>
      <c r="D13455" s="104">
        <f t="shared" si="210"/>
        <v>2.58E-2</v>
      </c>
    </row>
    <row r="13456" spans="2:6" ht="13.8">
      <c r="B13456" s="635">
        <v>41495</v>
      </c>
      <c r="C13456" s="636">
        <v>2.57</v>
      </c>
      <c r="D13456" s="104">
        <f t="shared" si="210"/>
        <v>2.5699999999999997E-2</v>
      </c>
      <c r="E13456" s="104">
        <f>AVERAGE( D13452:D13456)</f>
        <v>2.6199999999999994E-2</v>
      </c>
      <c r="F13456" s="4" t="str">
        <f>TEXT( B13456, "ddd" )</f>
        <v>Fri</v>
      </c>
    </row>
    <row r="13457" spans="2:6" ht="13.8">
      <c r="B13457" s="635">
        <v>41498</v>
      </c>
      <c r="C13457" s="636">
        <v>2.61</v>
      </c>
      <c r="D13457" s="104">
        <f t="shared" si="210"/>
        <v>2.6099999999999998E-2</v>
      </c>
    </row>
    <row r="13458" spans="2:6" ht="13.8">
      <c r="B13458" s="635">
        <v>41499</v>
      </c>
      <c r="C13458" s="636">
        <v>2.71</v>
      </c>
      <c r="D13458" s="104">
        <f t="shared" si="210"/>
        <v>2.7099999999999999E-2</v>
      </c>
    </row>
    <row r="13459" spans="2:6" ht="13.8">
      <c r="B13459" s="635">
        <v>41500</v>
      </c>
      <c r="C13459" s="636">
        <v>2.71</v>
      </c>
      <c r="D13459" s="104">
        <f t="shared" si="210"/>
        <v>2.7099999999999999E-2</v>
      </c>
    </row>
    <row r="13460" spans="2:6" ht="13.8">
      <c r="B13460" s="635">
        <v>41501</v>
      </c>
      <c r="C13460" s="636">
        <v>2.77</v>
      </c>
      <c r="D13460" s="104">
        <f t="shared" si="210"/>
        <v>2.7699999999999999E-2</v>
      </c>
    </row>
    <row r="13461" spans="2:6" ht="13.8">
      <c r="B13461" s="635">
        <v>41502</v>
      </c>
      <c r="C13461" s="636">
        <v>2.84</v>
      </c>
      <c r="D13461" s="104">
        <f t="shared" si="210"/>
        <v>2.8399999999999998E-2</v>
      </c>
      <c r="E13461" s="104">
        <f>AVERAGE( D13457:D13461)</f>
        <v>2.7279999999999999E-2</v>
      </c>
      <c r="F13461" s="4" t="str">
        <f>TEXT( B13461, "ddd" )</f>
        <v>Fri</v>
      </c>
    </row>
    <row r="13462" spans="2:6" ht="13.8">
      <c r="B13462" s="635">
        <v>41505</v>
      </c>
      <c r="C13462" s="636">
        <v>2.88</v>
      </c>
      <c r="D13462" s="104">
        <f t="shared" si="210"/>
        <v>2.8799999999999999E-2</v>
      </c>
    </row>
    <row r="13463" spans="2:6" ht="13.8">
      <c r="B13463" s="635">
        <v>41506</v>
      </c>
      <c r="C13463" s="636">
        <v>2.82</v>
      </c>
      <c r="D13463" s="104">
        <f t="shared" si="210"/>
        <v>2.8199999999999999E-2</v>
      </c>
    </row>
    <row r="13464" spans="2:6" ht="13.8">
      <c r="B13464" s="635">
        <v>41507</v>
      </c>
      <c r="C13464" s="636">
        <v>2.87</v>
      </c>
      <c r="D13464" s="104">
        <f t="shared" si="210"/>
        <v>2.87E-2</v>
      </c>
    </row>
    <row r="13465" spans="2:6" ht="13.8">
      <c r="B13465" s="635">
        <v>41508</v>
      </c>
      <c r="C13465" s="636">
        <v>2.9</v>
      </c>
      <c r="D13465" s="104">
        <f t="shared" si="210"/>
        <v>2.8999999999999998E-2</v>
      </c>
    </row>
    <row r="13466" spans="2:6" ht="13.8">
      <c r="B13466" s="635">
        <v>41509</v>
      </c>
      <c r="C13466" s="636">
        <v>2.82</v>
      </c>
      <c r="D13466" s="104">
        <f t="shared" si="210"/>
        <v>2.8199999999999999E-2</v>
      </c>
      <c r="E13466" s="104">
        <f>AVERAGE( D13462:D13466)</f>
        <v>2.8580000000000001E-2</v>
      </c>
      <c r="F13466" s="4" t="str">
        <f>TEXT( B13466, "ddd" )</f>
        <v>Fri</v>
      </c>
    </row>
    <row r="13467" spans="2:6" ht="13.8">
      <c r="B13467" s="635">
        <v>41512</v>
      </c>
      <c r="C13467" s="636">
        <v>2.79</v>
      </c>
      <c r="D13467" s="104">
        <f t="shared" si="210"/>
        <v>2.7900000000000001E-2</v>
      </c>
    </row>
    <row r="13468" spans="2:6" ht="13.8">
      <c r="B13468" s="635">
        <v>41513</v>
      </c>
      <c r="C13468" s="636">
        <v>2.72</v>
      </c>
      <c r="D13468" s="104">
        <f t="shared" si="210"/>
        <v>2.7200000000000002E-2</v>
      </c>
    </row>
    <row r="13469" spans="2:6" ht="13.8">
      <c r="B13469" s="635">
        <v>41514</v>
      </c>
      <c r="C13469" s="636">
        <v>2.78</v>
      </c>
      <c r="D13469" s="104">
        <f t="shared" si="210"/>
        <v>2.7799999999999998E-2</v>
      </c>
    </row>
    <row r="13470" spans="2:6" ht="13.8">
      <c r="B13470" s="635">
        <v>41515</v>
      </c>
      <c r="C13470" s="636">
        <v>2.75</v>
      </c>
      <c r="D13470" s="104">
        <f t="shared" si="210"/>
        <v>2.75E-2</v>
      </c>
    </row>
    <row r="13471" spans="2:6" ht="13.8">
      <c r="B13471" s="635">
        <v>41516</v>
      </c>
      <c r="C13471" s="636">
        <v>2.78</v>
      </c>
      <c r="D13471" s="104">
        <f t="shared" si="210"/>
        <v>2.7799999999999998E-2</v>
      </c>
      <c r="E13471" s="104">
        <f>AVERAGE( D13467:D13471)</f>
        <v>2.7639999999999998E-2</v>
      </c>
      <c r="F13471" s="4" t="str">
        <f>TEXT( B13471, "ddd" )</f>
        <v>Fri</v>
      </c>
    </row>
    <row r="13472" spans="2:6" ht="13.8">
      <c r="B13472" s="635">
        <v>41519</v>
      </c>
      <c r="C13472" s="636" t="s">
        <v>380</v>
      </c>
      <c r="D13472" s="104">
        <f t="shared" si="210"/>
        <v>2.7799999999999998E-2</v>
      </c>
    </row>
    <row r="13473" spans="2:6" ht="13.8">
      <c r="B13473" s="635">
        <v>41520</v>
      </c>
      <c r="C13473" s="636">
        <v>2.86</v>
      </c>
      <c r="D13473" s="104">
        <f t="shared" si="210"/>
        <v>2.86E-2</v>
      </c>
    </row>
    <row r="13474" spans="2:6" ht="13.8">
      <c r="B13474" s="635">
        <v>41521</v>
      </c>
      <c r="C13474" s="636">
        <v>2.9</v>
      </c>
      <c r="D13474" s="104">
        <f t="shared" si="210"/>
        <v>2.8999999999999998E-2</v>
      </c>
    </row>
    <row r="13475" spans="2:6" ht="13.8">
      <c r="B13475" s="635">
        <v>41522</v>
      </c>
      <c r="C13475" s="636">
        <v>2.98</v>
      </c>
      <c r="D13475" s="104">
        <f t="shared" si="210"/>
        <v>2.98E-2</v>
      </c>
    </row>
    <row r="13476" spans="2:6" ht="13.8">
      <c r="B13476" s="635">
        <v>41523</v>
      </c>
      <c r="C13476" s="636">
        <v>2.94</v>
      </c>
      <c r="D13476" s="104">
        <f t="shared" si="210"/>
        <v>2.9399999999999999E-2</v>
      </c>
      <c r="E13476" s="104">
        <f>AVERAGE( D13472:D13476)</f>
        <v>2.8920000000000001E-2</v>
      </c>
      <c r="F13476" s="4" t="str">
        <f>TEXT( B13476, "ddd" )</f>
        <v>Fri</v>
      </c>
    </row>
    <row r="13477" spans="2:6" ht="13.8">
      <c r="B13477" s="635">
        <v>41526</v>
      </c>
      <c r="C13477" s="636">
        <v>2.9</v>
      </c>
      <c r="D13477" s="104">
        <f t="shared" si="210"/>
        <v>2.8999999999999998E-2</v>
      </c>
    </row>
    <row r="13478" spans="2:6" ht="13.8">
      <c r="B13478" s="635">
        <v>41527</v>
      </c>
      <c r="C13478" s="636">
        <v>2.96</v>
      </c>
      <c r="D13478" s="104">
        <f t="shared" si="210"/>
        <v>2.9600000000000001E-2</v>
      </c>
    </row>
    <row r="13479" spans="2:6" ht="13.8">
      <c r="B13479" s="635">
        <v>41528</v>
      </c>
      <c r="C13479" s="636">
        <v>2.93</v>
      </c>
      <c r="D13479" s="104">
        <f t="shared" si="210"/>
        <v>2.9300000000000003E-2</v>
      </c>
    </row>
    <row r="13480" spans="2:6" ht="13.8">
      <c r="B13480" s="635">
        <v>41529</v>
      </c>
      <c r="C13480" s="636">
        <v>2.92</v>
      </c>
      <c r="D13480" s="104">
        <f t="shared" si="210"/>
        <v>2.92E-2</v>
      </c>
    </row>
    <row r="13481" spans="2:6" ht="13.8">
      <c r="B13481" s="635">
        <v>41530</v>
      </c>
      <c r="C13481" s="636">
        <v>2.9</v>
      </c>
      <c r="D13481" s="104">
        <f t="shared" si="210"/>
        <v>2.8999999999999998E-2</v>
      </c>
      <c r="E13481" s="104">
        <f>AVERAGE( D13477:D13481)</f>
        <v>2.9220000000000003E-2</v>
      </c>
      <c r="F13481" s="4" t="str">
        <f>TEXT( B13481, "ddd" )</f>
        <v>Fri</v>
      </c>
    </row>
    <row r="13482" spans="2:6" ht="13.8">
      <c r="B13482" s="635">
        <v>41533</v>
      </c>
      <c r="C13482" s="636">
        <v>2.88</v>
      </c>
      <c r="D13482" s="104">
        <f t="shared" si="210"/>
        <v>2.8799999999999999E-2</v>
      </c>
    </row>
    <row r="13483" spans="2:6" ht="13.8">
      <c r="B13483" s="635">
        <v>41534</v>
      </c>
      <c r="C13483" s="636">
        <v>2.86</v>
      </c>
      <c r="D13483" s="104">
        <f t="shared" si="210"/>
        <v>2.86E-2</v>
      </c>
    </row>
    <row r="13484" spans="2:6" ht="13.8">
      <c r="B13484" s="635">
        <v>41535</v>
      </c>
      <c r="C13484" s="636">
        <v>2.69</v>
      </c>
      <c r="D13484" s="104">
        <f t="shared" si="210"/>
        <v>2.69E-2</v>
      </c>
    </row>
    <row r="13485" spans="2:6" ht="13.8">
      <c r="B13485" s="635">
        <v>41536</v>
      </c>
      <c r="C13485" s="636">
        <v>2.76</v>
      </c>
      <c r="D13485" s="104">
        <f t="shared" si="210"/>
        <v>2.76E-2</v>
      </c>
    </row>
    <row r="13486" spans="2:6" ht="13.8">
      <c r="B13486" s="635">
        <v>41537</v>
      </c>
      <c r="C13486" s="636">
        <v>2.75</v>
      </c>
      <c r="D13486" s="104">
        <f t="shared" si="210"/>
        <v>2.75E-2</v>
      </c>
      <c r="E13486" s="104">
        <f>AVERAGE( D13482:D13486)</f>
        <v>2.7879999999999999E-2</v>
      </c>
      <c r="F13486" s="4" t="str">
        <f>TEXT( B13486, "ddd" )</f>
        <v>Fri</v>
      </c>
    </row>
    <row r="13487" spans="2:6" ht="13.8">
      <c r="B13487" s="635">
        <v>41540</v>
      </c>
      <c r="C13487" s="636">
        <v>2.72</v>
      </c>
      <c r="D13487" s="104">
        <f t="shared" si="210"/>
        <v>2.7200000000000002E-2</v>
      </c>
    </row>
    <row r="13488" spans="2:6" ht="13.8">
      <c r="B13488" s="635">
        <v>41541</v>
      </c>
      <c r="C13488" s="636">
        <v>2.67</v>
      </c>
      <c r="D13488" s="104">
        <f t="shared" si="210"/>
        <v>2.6699999999999998E-2</v>
      </c>
    </row>
    <row r="13489" spans="2:6" ht="13.8">
      <c r="B13489" s="635">
        <v>41542</v>
      </c>
      <c r="C13489" s="636">
        <v>2.63</v>
      </c>
      <c r="D13489" s="104">
        <f t="shared" si="210"/>
        <v>2.63E-2</v>
      </c>
    </row>
    <row r="13490" spans="2:6" ht="13.8">
      <c r="B13490" s="635">
        <v>41543</v>
      </c>
      <c r="C13490" s="636">
        <v>2.66</v>
      </c>
      <c r="D13490" s="104">
        <f t="shared" si="210"/>
        <v>2.6600000000000002E-2</v>
      </c>
    </row>
    <row r="13491" spans="2:6" ht="13.8">
      <c r="B13491" s="635">
        <v>41544</v>
      </c>
      <c r="C13491" s="636">
        <v>2.64</v>
      </c>
      <c r="D13491" s="104">
        <f t="shared" si="210"/>
        <v>2.64E-2</v>
      </c>
      <c r="E13491" s="104">
        <f>AVERAGE( D13487:D13491)</f>
        <v>2.6640000000000004E-2</v>
      </c>
      <c r="F13491" s="4" t="str">
        <f>TEXT( B13491, "ddd" )</f>
        <v>Fri</v>
      </c>
    </row>
    <row r="13492" spans="2:6" ht="13.8">
      <c r="B13492" s="635">
        <v>41547</v>
      </c>
      <c r="C13492" s="636">
        <v>2.64</v>
      </c>
      <c r="D13492" s="104">
        <f t="shared" si="210"/>
        <v>2.64E-2</v>
      </c>
    </row>
    <row r="13493" spans="2:6" ht="13.8">
      <c r="B13493" s="635">
        <v>41548</v>
      </c>
      <c r="C13493" s="636">
        <v>2.66</v>
      </c>
      <c r="D13493" s="104">
        <f t="shared" ref="D13493:D13556" si="211">IF( LEN( C13493 ) = 0, #N/A, IF( C13493 = "ND", D13492, C13493 / 100 ) )</f>
        <v>2.6600000000000002E-2</v>
      </c>
    </row>
    <row r="13494" spans="2:6" ht="13.8">
      <c r="B13494" s="635">
        <v>41549</v>
      </c>
      <c r="C13494" s="636">
        <v>2.63</v>
      </c>
      <c r="D13494" s="104">
        <f t="shared" si="211"/>
        <v>2.63E-2</v>
      </c>
    </row>
    <row r="13495" spans="2:6" ht="13.8">
      <c r="B13495" s="635">
        <v>41550</v>
      </c>
      <c r="C13495" s="636">
        <v>2.62</v>
      </c>
      <c r="D13495" s="104">
        <f t="shared" si="211"/>
        <v>2.6200000000000001E-2</v>
      </c>
    </row>
    <row r="13496" spans="2:6" ht="13.8">
      <c r="B13496" s="635">
        <v>41551</v>
      </c>
      <c r="C13496" s="636">
        <v>2.66</v>
      </c>
      <c r="D13496" s="104">
        <f t="shared" si="211"/>
        <v>2.6600000000000002E-2</v>
      </c>
      <c r="E13496" s="104">
        <f>AVERAGE( D13492:D13496)</f>
        <v>2.6420000000000006E-2</v>
      </c>
      <c r="F13496" s="4" t="str">
        <f>TEXT( B13496, "ddd" )</f>
        <v>Fri</v>
      </c>
    </row>
    <row r="13497" spans="2:6" ht="13.8">
      <c r="B13497" s="635">
        <v>41554</v>
      </c>
      <c r="C13497" s="636">
        <v>2.65</v>
      </c>
      <c r="D13497" s="104">
        <f t="shared" si="211"/>
        <v>2.6499999999999999E-2</v>
      </c>
    </row>
    <row r="13498" spans="2:6" ht="13.8">
      <c r="B13498" s="635">
        <v>41555</v>
      </c>
      <c r="C13498" s="636">
        <v>2.66</v>
      </c>
      <c r="D13498" s="104">
        <f t="shared" si="211"/>
        <v>2.6600000000000002E-2</v>
      </c>
    </row>
    <row r="13499" spans="2:6" ht="13.8">
      <c r="B13499" s="635">
        <v>41556</v>
      </c>
      <c r="C13499" s="636">
        <v>2.68</v>
      </c>
      <c r="D13499" s="104">
        <f t="shared" si="211"/>
        <v>2.6800000000000001E-2</v>
      </c>
    </row>
    <row r="13500" spans="2:6" ht="13.8">
      <c r="B13500" s="635">
        <v>41557</v>
      </c>
      <c r="C13500" s="636">
        <v>2.71</v>
      </c>
      <c r="D13500" s="104">
        <f t="shared" si="211"/>
        <v>2.7099999999999999E-2</v>
      </c>
    </row>
    <row r="13501" spans="2:6" ht="13.8">
      <c r="B13501" s="635">
        <v>41558</v>
      </c>
      <c r="C13501" s="636">
        <v>2.7</v>
      </c>
      <c r="D13501" s="104">
        <f t="shared" si="211"/>
        <v>2.7000000000000003E-2</v>
      </c>
      <c r="E13501" s="104">
        <f>AVERAGE( D13497:D13501)</f>
        <v>2.6800000000000001E-2</v>
      </c>
      <c r="F13501" s="4" t="str">
        <f>TEXT( B13501, "ddd" )</f>
        <v>Fri</v>
      </c>
    </row>
    <row r="13502" spans="2:6" ht="13.8">
      <c r="B13502" s="635">
        <v>41561</v>
      </c>
      <c r="C13502" s="636" t="s">
        <v>380</v>
      </c>
      <c r="D13502" s="104">
        <f t="shared" si="211"/>
        <v>2.7000000000000003E-2</v>
      </c>
    </row>
    <row r="13503" spans="2:6" ht="13.8">
      <c r="B13503" s="635">
        <v>41562</v>
      </c>
      <c r="C13503" s="636">
        <v>2.75</v>
      </c>
      <c r="D13503" s="104">
        <f t="shared" si="211"/>
        <v>2.75E-2</v>
      </c>
    </row>
    <row r="13504" spans="2:6" ht="13.8">
      <c r="B13504" s="635">
        <v>41563</v>
      </c>
      <c r="C13504" s="636">
        <v>2.69</v>
      </c>
      <c r="D13504" s="104">
        <f t="shared" si="211"/>
        <v>2.69E-2</v>
      </c>
    </row>
    <row r="13505" spans="2:6" ht="13.8">
      <c r="B13505" s="635">
        <v>41564</v>
      </c>
      <c r="C13505" s="636">
        <v>2.61</v>
      </c>
      <c r="D13505" s="104">
        <f t="shared" si="211"/>
        <v>2.6099999999999998E-2</v>
      </c>
    </row>
    <row r="13506" spans="2:6" ht="13.8">
      <c r="B13506" s="635">
        <v>41565</v>
      </c>
      <c r="C13506" s="636">
        <v>2.6</v>
      </c>
      <c r="D13506" s="104">
        <f t="shared" si="211"/>
        <v>2.6000000000000002E-2</v>
      </c>
      <c r="E13506" s="104">
        <f>AVERAGE( D13502:D13506)</f>
        <v>2.6700000000000002E-2</v>
      </c>
      <c r="F13506" s="4" t="str">
        <f>TEXT( B13506, "ddd" )</f>
        <v>Fri</v>
      </c>
    </row>
    <row r="13507" spans="2:6" ht="13.8">
      <c r="B13507" s="635">
        <v>41568</v>
      </c>
      <c r="C13507" s="636">
        <v>2.63</v>
      </c>
      <c r="D13507" s="104">
        <f t="shared" si="211"/>
        <v>2.63E-2</v>
      </c>
    </row>
    <row r="13508" spans="2:6" ht="13.8">
      <c r="B13508" s="635">
        <v>41569</v>
      </c>
      <c r="C13508" s="636">
        <v>2.54</v>
      </c>
      <c r="D13508" s="104">
        <f t="shared" si="211"/>
        <v>2.5399999999999999E-2</v>
      </c>
    </row>
    <row r="13509" spans="2:6" ht="13.8">
      <c r="B13509" s="635">
        <v>41570</v>
      </c>
      <c r="C13509" s="636">
        <v>2.5099999999999998</v>
      </c>
      <c r="D13509" s="104">
        <f t="shared" si="211"/>
        <v>2.5099999999999997E-2</v>
      </c>
    </row>
    <row r="13510" spans="2:6" ht="13.8">
      <c r="B13510" s="635">
        <v>41571</v>
      </c>
      <c r="C13510" s="636">
        <v>2.5299999999999998</v>
      </c>
      <c r="D13510" s="104">
        <f t="shared" si="211"/>
        <v>2.53E-2</v>
      </c>
    </row>
    <row r="13511" spans="2:6" ht="13.8">
      <c r="B13511" s="635">
        <v>41572</v>
      </c>
      <c r="C13511" s="636">
        <v>2.5299999999999998</v>
      </c>
      <c r="D13511" s="104">
        <f t="shared" si="211"/>
        <v>2.53E-2</v>
      </c>
      <c r="E13511" s="104">
        <f>AVERAGE( D13507:D13511)</f>
        <v>2.5479999999999996E-2</v>
      </c>
      <c r="F13511" s="4" t="str">
        <f>TEXT( B13511, "ddd" )</f>
        <v>Fri</v>
      </c>
    </row>
    <row r="13512" spans="2:6" ht="13.8">
      <c r="B13512" s="635">
        <v>41575</v>
      </c>
      <c r="C13512" s="636">
        <v>2.54</v>
      </c>
      <c r="D13512" s="104">
        <f t="shared" si="211"/>
        <v>2.5399999999999999E-2</v>
      </c>
    </row>
    <row r="13513" spans="2:6" ht="13.8">
      <c r="B13513" s="635">
        <v>41576</v>
      </c>
      <c r="C13513" s="636">
        <v>2.5299999999999998</v>
      </c>
      <c r="D13513" s="104">
        <f t="shared" si="211"/>
        <v>2.53E-2</v>
      </c>
    </row>
    <row r="13514" spans="2:6" ht="13.8">
      <c r="B13514" s="635">
        <v>41577</v>
      </c>
      <c r="C13514" s="636">
        <v>2.5499999999999998</v>
      </c>
      <c r="D13514" s="104">
        <f t="shared" si="211"/>
        <v>2.5499999999999998E-2</v>
      </c>
    </row>
    <row r="13515" spans="2:6" ht="13.8">
      <c r="B13515" s="635">
        <v>41578</v>
      </c>
      <c r="C13515" s="636">
        <v>2.57</v>
      </c>
      <c r="D13515" s="104">
        <f t="shared" si="211"/>
        <v>2.5699999999999997E-2</v>
      </c>
    </row>
    <row r="13516" spans="2:6" ht="13.8">
      <c r="B13516" s="635">
        <v>41579</v>
      </c>
      <c r="C13516" s="636">
        <v>2.65</v>
      </c>
      <c r="D13516" s="104">
        <f t="shared" si="211"/>
        <v>2.6499999999999999E-2</v>
      </c>
      <c r="E13516" s="104">
        <f>AVERAGE( D13512:D13516)</f>
        <v>2.5679999999999998E-2</v>
      </c>
      <c r="F13516" s="4" t="str">
        <f>TEXT( B13516, "ddd" )</f>
        <v>Fri</v>
      </c>
    </row>
    <row r="13517" spans="2:6" ht="13.8">
      <c r="B13517" s="635">
        <v>41582</v>
      </c>
      <c r="C13517" s="636">
        <v>2.63</v>
      </c>
      <c r="D13517" s="104">
        <f t="shared" si="211"/>
        <v>2.63E-2</v>
      </c>
    </row>
    <row r="13518" spans="2:6" ht="13.8">
      <c r="B13518" s="635">
        <v>41583</v>
      </c>
      <c r="C13518" s="636">
        <v>2.69</v>
      </c>
      <c r="D13518" s="104">
        <f t="shared" si="211"/>
        <v>2.69E-2</v>
      </c>
    </row>
    <row r="13519" spans="2:6" ht="13.8">
      <c r="B13519" s="635">
        <v>41584</v>
      </c>
      <c r="C13519" s="636">
        <v>2.67</v>
      </c>
      <c r="D13519" s="104">
        <f t="shared" si="211"/>
        <v>2.6699999999999998E-2</v>
      </c>
    </row>
    <row r="13520" spans="2:6" ht="13.8">
      <c r="B13520" s="635">
        <v>41585</v>
      </c>
      <c r="C13520" s="636">
        <v>2.63</v>
      </c>
      <c r="D13520" s="104">
        <f t="shared" si="211"/>
        <v>2.63E-2</v>
      </c>
    </row>
    <row r="13521" spans="2:6" ht="13.8">
      <c r="B13521" s="635">
        <v>41586</v>
      </c>
      <c r="C13521" s="636">
        <v>2.77</v>
      </c>
      <c r="D13521" s="104">
        <f t="shared" si="211"/>
        <v>2.7699999999999999E-2</v>
      </c>
      <c r="E13521" s="104">
        <f>AVERAGE( D13517:D13521)</f>
        <v>2.6779999999999998E-2</v>
      </c>
      <c r="F13521" s="4" t="str">
        <f>TEXT( B13521, "ddd" )</f>
        <v>Fri</v>
      </c>
    </row>
    <row r="13522" spans="2:6" ht="13.8">
      <c r="B13522" s="635">
        <v>41589</v>
      </c>
      <c r="C13522" s="636" t="s">
        <v>380</v>
      </c>
      <c r="D13522" s="104">
        <f t="shared" si="211"/>
        <v>2.7699999999999999E-2</v>
      </c>
    </row>
    <row r="13523" spans="2:6" ht="13.8">
      <c r="B13523" s="635">
        <v>41590</v>
      </c>
      <c r="C13523" s="636">
        <v>2.8</v>
      </c>
      <c r="D13523" s="104">
        <f t="shared" si="211"/>
        <v>2.7999999999999997E-2</v>
      </c>
    </row>
    <row r="13524" spans="2:6" ht="13.8">
      <c r="B13524" s="635">
        <v>41591</v>
      </c>
      <c r="C13524" s="636">
        <v>2.75</v>
      </c>
      <c r="D13524" s="104">
        <f t="shared" si="211"/>
        <v>2.75E-2</v>
      </c>
    </row>
    <row r="13525" spans="2:6" ht="13.8">
      <c r="B13525" s="635">
        <v>41592</v>
      </c>
      <c r="C13525" s="636">
        <v>2.69</v>
      </c>
      <c r="D13525" s="104">
        <f t="shared" si="211"/>
        <v>2.69E-2</v>
      </c>
    </row>
    <row r="13526" spans="2:6" ht="13.8">
      <c r="B13526" s="635">
        <v>41593</v>
      </c>
      <c r="C13526" s="636">
        <v>2.71</v>
      </c>
      <c r="D13526" s="104">
        <f t="shared" si="211"/>
        <v>2.7099999999999999E-2</v>
      </c>
      <c r="E13526" s="104">
        <f>AVERAGE( D13522:D13526)</f>
        <v>2.7439999999999999E-2</v>
      </c>
      <c r="F13526" s="4" t="str">
        <f>TEXT( B13526, "ddd" )</f>
        <v>Fri</v>
      </c>
    </row>
    <row r="13527" spans="2:6" ht="13.8">
      <c r="B13527" s="635">
        <v>41596</v>
      </c>
      <c r="C13527" s="636">
        <v>2.67</v>
      </c>
      <c r="D13527" s="104">
        <f t="shared" si="211"/>
        <v>2.6699999999999998E-2</v>
      </c>
    </row>
    <row r="13528" spans="2:6" ht="13.8">
      <c r="B13528" s="635">
        <v>41597</v>
      </c>
      <c r="C13528" s="636">
        <v>2.71</v>
      </c>
      <c r="D13528" s="104">
        <f t="shared" si="211"/>
        <v>2.7099999999999999E-2</v>
      </c>
    </row>
    <row r="13529" spans="2:6" ht="13.8">
      <c r="B13529" s="635">
        <v>41598</v>
      </c>
      <c r="C13529" s="636">
        <v>2.8</v>
      </c>
      <c r="D13529" s="104">
        <f t="shared" si="211"/>
        <v>2.7999999999999997E-2</v>
      </c>
    </row>
    <row r="13530" spans="2:6" ht="13.8">
      <c r="B13530" s="635">
        <v>41599</v>
      </c>
      <c r="C13530" s="636">
        <v>2.79</v>
      </c>
      <c r="D13530" s="104">
        <f t="shared" si="211"/>
        <v>2.7900000000000001E-2</v>
      </c>
    </row>
    <row r="13531" spans="2:6" ht="13.8">
      <c r="B13531" s="635">
        <v>41600</v>
      </c>
      <c r="C13531" s="636">
        <v>2.75</v>
      </c>
      <c r="D13531" s="104">
        <f t="shared" si="211"/>
        <v>2.75E-2</v>
      </c>
      <c r="E13531" s="104">
        <f>AVERAGE( D13527:D13531)</f>
        <v>2.7439999999999999E-2</v>
      </c>
      <c r="F13531" s="4" t="str">
        <f>TEXT( B13531, "ddd" )</f>
        <v>Fri</v>
      </c>
    </row>
    <row r="13532" spans="2:6" ht="13.8">
      <c r="B13532" s="635">
        <v>41603</v>
      </c>
      <c r="C13532" s="636">
        <v>2.74</v>
      </c>
      <c r="D13532" s="104">
        <f t="shared" si="211"/>
        <v>2.7400000000000001E-2</v>
      </c>
    </row>
    <row r="13533" spans="2:6" ht="13.8">
      <c r="B13533" s="635">
        <v>41604</v>
      </c>
      <c r="C13533" s="636">
        <v>2.71</v>
      </c>
      <c r="D13533" s="104">
        <f t="shared" si="211"/>
        <v>2.7099999999999999E-2</v>
      </c>
    </row>
    <row r="13534" spans="2:6" ht="13.8">
      <c r="B13534" s="635">
        <v>41605</v>
      </c>
      <c r="C13534" s="636">
        <v>2.74</v>
      </c>
      <c r="D13534" s="104">
        <f t="shared" si="211"/>
        <v>2.7400000000000001E-2</v>
      </c>
    </row>
    <row r="13535" spans="2:6" ht="13.8">
      <c r="B13535" s="635">
        <v>41606</v>
      </c>
      <c r="C13535" s="636" t="s">
        <v>380</v>
      </c>
      <c r="D13535" s="104">
        <f t="shared" si="211"/>
        <v>2.7400000000000001E-2</v>
      </c>
    </row>
    <row r="13536" spans="2:6" ht="13.8">
      <c r="B13536" s="635">
        <v>41607</v>
      </c>
      <c r="C13536" s="636">
        <v>2.75</v>
      </c>
      <c r="D13536" s="104">
        <f t="shared" si="211"/>
        <v>2.75E-2</v>
      </c>
      <c r="E13536" s="104">
        <f>AVERAGE( D13532:D13536)</f>
        <v>2.7360000000000002E-2</v>
      </c>
      <c r="F13536" s="4" t="str">
        <f>TEXT( B13536, "ddd" )</f>
        <v>Fri</v>
      </c>
    </row>
    <row r="13537" spans="2:6" ht="13.8">
      <c r="B13537" s="635">
        <v>41610</v>
      </c>
      <c r="C13537" s="636">
        <v>2.81</v>
      </c>
      <c r="D13537" s="104">
        <f t="shared" si="211"/>
        <v>2.81E-2</v>
      </c>
    </row>
    <row r="13538" spans="2:6" ht="13.8">
      <c r="B13538" s="635">
        <v>41611</v>
      </c>
      <c r="C13538" s="636">
        <v>2.79</v>
      </c>
      <c r="D13538" s="104">
        <f t="shared" si="211"/>
        <v>2.7900000000000001E-2</v>
      </c>
    </row>
    <row r="13539" spans="2:6" ht="13.8">
      <c r="B13539" s="635">
        <v>41612</v>
      </c>
      <c r="C13539" s="636">
        <v>2.84</v>
      </c>
      <c r="D13539" s="104">
        <f t="shared" si="211"/>
        <v>2.8399999999999998E-2</v>
      </c>
    </row>
    <row r="13540" spans="2:6" ht="13.8">
      <c r="B13540" s="635">
        <v>41613</v>
      </c>
      <c r="C13540" s="636">
        <v>2.88</v>
      </c>
      <c r="D13540" s="104">
        <f t="shared" si="211"/>
        <v>2.8799999999999999E-2</v>
      </c>
    </row>
    <row r="13541" spans="2:6" ht="13.8">
      <c r="B13541" s="635">
        <v>41614</v>
      </c>
      <c r="C13541" s="636">
        <v>2.88</v>
      </c>
      <c r="D13541" s="104">
        <f t="shared" si="211"/>
        <v>2.8799999999999999E-2</v>
      </c>
      <c r="E13541" s="104">
        <f>AVERAGE( D13537:D13541)</f>
        <v>2.8399999999999998E-2</v>
      </c>
      <c r="F13541" s="4" t="str">
        <f>TEXT( B13541, "ddd" )</f>
        <v>Fri</v>
      </c>
    </row>
    <row r="13542" spans="2:6" ht="13.8">
      <c r="B13542" s="635">
        <v>41617</v>
      </c>
      <c r="C13542" s="636">
        <v>2.86</v>
      </c>
      <c r="D13542" s="104">
        <f t="shared" si="211"/>
        <v>2.86E-2</v>
      </c>
    </row>
    <row r="13543" spans="2:6" ht="13.8">
      <c r="B13543" s="635">
        <v>41618</v>
      </c>
      <c r="C13543" s="636">
        <v>2.81</v>
      </c>
      <c r="D13543" s="104">
        <f t="shared" si="211"/>
        <v>2.81E-2</v>
      </c>
    </row>
    <row r="13544" spans="2:6" ht="13.8">
      <c r="B13544" s="635">
        <v>41619</v>
      </c>
      <c r="C13544" s="636">
        <v>2.86</v>
      </c>
      <c r="D13544" s="104">
        <f t="shared" si="211"/>
        <v>2.86E-2</v>
      </c>
    </row>
    <row r="13545" spans="2:6" ht="13.8">
      <c r="B13545" s="635">
        <v>41620</v>
      </c>
      <c r="C13545" s="636">
        <v>2.89</v>
      </c>
      <c r="D13545" s="104">
        <f t="shared" si="211"/>
        <v>2.8900000000000002E-2</v>
      </c>
    </row>
    <row r="13546" spans="2:6" ht="13.8">
      <c r="B13546" s="635">
        <v>41621</v>
      </c>
      <c r="C13546" s="636">
        <v>2.88</v>
      </c>
      <c r="D13546" s="104">
        <f t="shared" si="211"/>
        <v>2.8799999999999999E-2</v>
      </c>
      <c r="E13546" s="104">
        <f>AVERAGE( D13542:D13546)</f>
        <v>2.8599999999999997E-2</v>
      </c>
      <c r="F13546" s="4" t="str">
        <f>TEXT( B13546, "ddd" )</f>
        <v>Fri</v>
      </c>
    </row>
    <row r="13547" spans="2:6" ht="13.8">
      <c r="B13547" s="635">
        <v>41624</v>
      </c>
      <c r="C13547" s="636">
        <v>2.89</v>
      </c>
      <c r="D13547" s="104">
        <f t="shared" si="211"/>
        <v>2.8900000000000002E-2</v>
      </c>
    </row>
    <row r="13548" spans="2:6" ht="13.8">
      <c r="B13548" s="635">
        <v>41625</v>
      </c>
      <c r="C13548" s="636">
        <v>2.85</v>
      </c>
      <c r="D13548" s="104">
        <f t="shared" si="211"/>
        <v>2.8500000000000001E-2</v>
      </c>
    </row>
    <row r="13549" spans="2:6" ht="13.8">
      <c r="B13549" s="635">
        <v>41626</v>
      </c>
      <c r="C13549" s="636">
        <v>2.89</v>
      </c>
      <c r="D13549" s="104">
        <f t="shared" si="211"/>
        <v>2.8900000000000002E-2</v>
      </c>
    </row>
    <row r="13550" spans="2:6" ht="13.8">
      <c r="B13550" s="635">
        <v>41627</v>
      </c>
      <c r="C13550" s="636">
        <v>2.94</v>
      </c>
      <c r="D13550" s="104">
        <f t="shared" si="211"/>
        <v>2.9399999999999999E-2</v>
      </c>
    </row>
    <row r="13551" spans="2:6" ht="13.8">
      <c r="B13551" s="635">
        <v>41628</v>
      </c>
      <c r="C13551" s="636">
        <v>2.89</v>
      </c>
      <c r="D13551" s="104">
        <f t="shared" si="211"/>
        <v>2.8900000000000002E-2</v>
      </c>
      <c r="E13551" s="104">
        <f>AVERAGE( D13547:D13551)</f>
        <v>2.8920000000000001E-2</v>
      </c>
      <c r="F13551" s="4" t="str">
        <f>TEXT( B13551, "ddd" )</f>
        <v>Fri</v>
      </c>
    </row>
    <row r="13552" spans="2:6" ht="13.8">
      <c r="B13552" s="635">
        <v>41631</v>
      </c>
      <c r="C13552" s="636">
        <v>2.94</v>
      </c>
      <c r="D13552" s="104">
        <f t="shared" si="211"/>
        <v>2.9399999999999999E-2</v>
      </c>
    </row>
    <row r="13553" spans="2:6" ht="13.8">
      <c r="B13553" s="635">
        <v>41632</v>
      </c>
      <c r="C13553" s="636">
        <v>2.99</v>
      </c>
      <c r="D13553" s="104">
        <f t="shared" si="211"/>
        <v>2.9900000000000003E-2</v>
      </c>
    </row>
    <row r="13554" spans="2:6" ht="13.8">
      <c r="B13554" s="635">
        <v>41633</v>
      </c>
      <c r="C13554" s="636" t="s">
        <v>380</v>
      </c>
      <c r="D13554" s="104">
        <f t="shared" si="211"/>
        <v>2.9900000000000003E-2</v>
      </c>
    </row>
    <row r="13555" spans="2:6" ht="13.8">
      <c r="B13555" s="635">
        <v>41634</v>
      </c>
      <c r="C13555" s="636">
        <v>3</v>
      </c>
      <c r="D13555" s="104">
        <f t="shared" si="211"/>
        <v>0.03</v>
      </c>
    </row>
    <row r="13556" spans="2:6" ht="13.8">
      <c r="B13556" s="635">
        <v>41635</v>
      </c>
      <c r="C13556" s="636">
        <v>3.02</v>
      </c>
      <c r="D13556" s="104">
        <f t="shared" si="211"/>
        <v>3.0200000000000001E-2</v>
      </c>
      <c r="E13556" s="104">
        <f>AVERAGE( D13552:D13556)</f>
        <v>2.988E-2</v>
      </c>
      <c r="F13556" s="4" t="str">
        <f>TEXT( B13556, "ddd" )</f>
        <v>Fri</v>
      </c>
    </row>
    <row r="13557" spans="2:6" ht="13.8">
      <c r="B13557" s="187">
        <v>41638</v>
      </c>
      <c r="C13557" s="189">
        <v>2.99</v>
      </c>
      <c r="D13557" s="104">
        <f t="shared" ref="D13557:D13620" si="212">IF( LEN( C13557 ) = 0, #N/A, IF( C13557 = "ND", D13556, C13557 / 100 ) )</f>
        <v>2.9900000000000003E-2</v>
      </c>
    </row>
    <row r="13558" spans="2:6" ht="13.8">
      <c r="B13558" s="187">
        <v>41639</v>
      </c>
      <c r="C13558" s="189">
        <v>3.04</v>
      </c>
      <c r="D13558" s="104">
        <f t="shared" si="212"/>
        <v>3.04E-2</v>
      </c>
    </row>
    <row r="13559" spans="2:6" ht="13.8">
      <c r="B13559" s="187">
        <v>41640</v>
      </c>
      <c r="C13559" s="189" t="s">
        <v>380</v>
      </c>
      <c r="D13559" s="104">
        <f t="shared" si="212"/>
        <v>3.04E-2</v>
      </c>
    </row>
    <row r="13560" spans="2:6" ht="13.8">
      <c r="B13560" s="187">
        <v>41641</v>
      </c>
      <c r="C13560" s="189">
        <v>3</v>
      </c>
      <c r="D13560" s="104">
        <f t="shared" si="212"/>
        <v>0.03</v>
      </c>
    </row>
    <row r="13561" spans="2:6" ht="13.8">
      <c r="B13561" s="187">
        <v>41642</v>
      </c>
      <c r="C13561" s="189">
        <v>3.01</v>
      </c>
      <c r="D13561" s="104">
        <f t="shared" si="212"/>
        <v>3.0099999999999998E-2</v>
      </c>
      <c r="E13561" s="104">
        <f>AVERAGE( D13557:D13561)</f>
        <v>3.0159999999999999E-2</v>
      </c>
      <c r="F13561" s="4" t="str">
        <f>TEXT( B13561, "ddd" )</f>
        <v>Fri</v>
      </c>
    </row>
    <row r="13562" spans="2:6" ht="13.8">
      <c r="B13562" s="187">
        <v>41645</v>
      </c>
      <c r="C13562" s="189">
        <v>2.98</v>
      </c>
      <c r="D13562" s="104">
        <f t="shared" si="212"/>
        <v>2.98E-2</v>
      </c>
    </row>
    <row r="13563" spans="2:6" ht="13.8">
      <c r="B13563" s="187">
        <v>41646</v>
      </c>
      <c r="C13563" s="189">
        <v>2.96</v>
      </c>
      <c r="D13563" s="104">
        <f t="shared" si="212"/>
        <v>2.9600000000000001E-2</v>
      </c>
    </row>
    <row r="13564" spans="2:6" ht="13.8">
      <c r="B13564" s="187">
        <v>41647</v>
      </c>
      <c r="C13564" s="189">
        <v>3.01</v>
      </c>
      <c r="D13564" s="104">
        <f t="shared" si="212"/>
        <v>3.0099999999999998E-2</v>
      </c>
    </row>
    <row r="13565" spans="2:6" ht="13.8">
      <c r="B13565" s="187">
        <v>41648</v>
      </c>
      <c r="C13565" s="189">
        <v>2.97</v>
      </c>
      <c r="D13565" s="104">
        <f t="shared" si="212"/>
        <v>2.9700000000000001E-2</v>
      </c>
    </row>
    <row r="13566" spans="2:6" ht="13.8">
      <c r="B13566" s="187">
        <v>41649</v>
      </c>
      <c r="C13566" s="189">
        <v>2.88</v>
      </c>
      <c r="D13566" s="104">
        <f t="shared" si="212"/>
        <v>2.8799999999999999E-2</v>
      </c>
      <c r="E13566" s="104">
        <f>AVERAGE( D13562:D13566)</f>
        <v>2.9599999999999998E-2</v>
      </c>
      <c r="F13566" s="4" t="str">
        <f>TEXT( B13566, "ddd" )</f>
        <v>Fri</v>
      </c>
    </row>
    <row r="13567" spans="2:6" ht="13.8">
      <c r="B13567" s="187">
        <v>41652</v>
      </c>
      <c r="C13567" s="189">
        <v>2.84</v>
      </c>
      <c r="D13567" s="104">
        <f t="shared" si="212"/>
        <v>2.8399999999999998E-2</v>
      </c>
    </row>
    <row r="13568" spans="2:6" ht="13.8">
      <c r="B13568" s="187">
        <v>41653</v>
      </c>
      <c r="C13568" s="189">
        <v>2.88</v>
      </c>
      <c r="D13568" s="104">
        <f t="shared" si="212"/>
        <v>2.8799999999999999E-2</v>
      </c>
    </row>
    <row r="13569" spans="2:6" ht="13.8">
      <c r="B13569" s="187">
        <v>41654</v>
      </c>
      <c r="C13569" s="189">
        <v>2.9</v>
      </c>
      <c r="D13569" s="104">
        <f t="shared" si="212"/>
        <v>2.8999999999999998E-2</v>
      </c>
    </row>
    <row r="13570" spans="2:6" ht="13.8">
      <c r="B13570" s="187">
        <v>41655</v>
      </c>
      <c r="C13570" s="189">
        <v>2.86</v>
      </c>
      <c r="D13570" s="104">
        <f t="shared" si="212"/>
        <v>2.86E-2</v>
      </c>
    </row>
    <row r="13571" spans="2:6" ht="13.8">
      <c r="B13571" s="187">
        <v>41656</v>
      </c>
      <c r="C13571" s="189">
        <v>2.84</v>
      </c>
      <c r="D13571" s="104">
        <f t="shared" si="212"/>
        <v>2.8399999999999998E-2</v>
      </c>
      <c r="E13571" s="104">
        <f>AVERAGE( D13567:D13571)</f>
        <v>2.8639999999999999E-2</v>
      </c>
      <c r="F13571" s="4" t="str">
        <f>TEXT( B13571, "ddd" )</f>
        <v>Fri</v>
      </c>
    </row>
    <row r="13572" spans="2:6" ht="13.8">
      <c r="B13572" s="187">
        <v>41659</v>
      </c>
      <c r="C13572" s="189" t="s">
        <v>380</v>
      </c>
      <c r="D13572" s="104">
        <f t="shared" si="212"/>
        <v>2.8399999999999998E-2</v>
      </c>
    </row>
    <row r="13573" spans="2:6" ht="13.8">
      <c r="B13573" s="187">
        <v>41660</v>
      </c>
      <c r="C13573" s="189">
        <v>2.85</v>
      </c>
      <c r="D13573" s="104">
        <f t="shared" si="212"/>
        <v>2.8500000000000001E-2</v>
      </c>
    </row>
    <row r="13574" spans="2:6" ht="13.8">
      <c r="B13574" s="187">
        <v>41661</v>
      </c>
      <c r="C13574" s="189">
        <v>2.87</v>
      </c>
      <c r="D13574" s="104">
        <f t="shared" si="212"/>
        <v>2.87E-2</v>
      </c>
    </row>
    <row r="13575" spans="2:6" ht="13.8">
      <c r="B13575" s="187">
        <v>41662</v>
      </c>
      <c r="C13575" s="189">
        <v>2.79</v>
      </c>
      <c r="D13575" s="104">
        <f t="shared" si="212"/>
        <v>2.7900000000000001E-2</v>
      </c>
    </row>
    <row r="13576" spans="2:6" ht="13.8">
      <c r="B13576" s="187">
        <v>41663</v>
      </c>
      <c r="C13576" s="189">
        <v>2.75</v>
      </c>
      <c r="D13576" s="104">
        <f t="shared" si="212"/>
        <v>2.75E-2</v>
      </c>
      <c r="E13576" s="104">
        <f>AVERAGE( D13572:D13576)</f>
        <v>2.8199999999999996E-2</v>
      </c>
      <c r="F13576" s="4" t="str">
        <f>TEXT( B13576, "ddd" )</f>
        <v>Fri</v>
      </c>
    </row>
    <row r="13577" spans="2:6" ht="13.8">
      <c r="B13577" s="187">
        <v>41666</v>
      </c>
      <c r="C13577" s="189">
        <v>2.78</v>
      </c>
      <c r="D13577" s="104">
        <f t="shared" si="212"/>
        <v>2.7799999999999998E-2</v>
      </c>
    </row>
    <row r="13578" spans="2:6" ht="13.8">
      <c r="B13578" s="187">
        <v>41667</v>
      </c>
      <c r="C13578" s="189">
        <v>2.77</v>
      </c>
      <c r="D13578" s="104">
        <f t="shared" si="212"/>
        <v>2.7699999999999999E-2</v>
      </c>
    </row>
    <row r="13579" spans="2:6" ht="13.8">
      <c r="B13579" s="187">
        <v>41668</v>
      </c>
      <c r="C13579" s="189">
        <v>2.69</v>
      </c>
      <c r="D13579" s="104">
        <f t="shared" si="212"/>
        <v>2.69E-2</v>
      </c>
    </row>
    <row r="13580" spans="2:6" ht="13.8">
      <c r="B13580" s="187">
        <v>41669</v>
      </c>
      <c r="C13580" s="189">
        <v>2.72</v>
      </c>
      <c r="D13580" s="104">
        <f t="shared" si="212"/>
        <v>2.7200000000000002E-2</v>
      </c>
    </row>
    <row r="13581" spans="2:6" ht="13.8">
      <c r="B13581" s="187">
        <v>41670</v>
      </c>
      <c r="C13581" s="189">
        <v>2.67</v>
      </c>
      <c r="D13581" s="104">
        <f t="shared" si="212"/>
        <v>2.6699999999999998E-2</v>
      </c>
      <c r="E13581" s="104">
        <f>AVERAGE( D13577:D13581)</f>
        <v>2.726E-2</v>
      </c>
      <c r="F13581" s="4" t="str">
        <f>TEXT( B13581, "ddd" )</f>
        <v>Fri</v>
      </c>
    </row>
    <row r="13582" spans="2:6" ht="13.8">
      <c r="B13582" s="187">
        <v>41673</v>
      </c>
      <c r="C13582" s="189">
        <v>2.61</v>
      </c>
      <c r="D13582" s="104">
        <f t="shared" si="212"/>
        <v>2.6099999999999998E-2</v>
      </c>
    </row>
    <row r="13583" spans="2:6" ht="13.8">
      <c r="B13583" s="187">
        <v>41674</v>
      </c>
      <c r="C13583" s="189">
        <v>2.64</v>
      </c>
      <c r="D13583" s="104">
        <f t="shared" si="212"/>
        <v>2.64E-2</v>
      </c>
    </row>
    <row r="13584" spans="2:6" ht="13.8">
      <c r="B13584" s="187">
        <v>41675</v>
      </c>
      <c r="C13584" s="189">
        <v>2.7</v>
      </c>
      <c r="D13584" s="104">
        <f t="shared" si="212"/>
        <v>2.7000000000000003E-2</v>
      </c>
    </row>
    <row r="13585" spans="2:6" ht="13.8">
      <c r="B13585" s="187">
        <v>41676</v>
      </c>
      <c r="C13585" s="189">
        <v>2.73</v>
      </c>
      <c r="D13585" s="104">
        <f t="shared" si="212"/>
        <v>2.7300000000000001E-2</v>
      </c>
    </row>
    <row r="13586" spans="2:6" ht="13.8">
      <c r="B13586" s="187">
        <v>41677</v>
      </c>
      <c r="C13586" s="189">
        <v>2.71</v>
      </c>
      <c r="D13586" s="104">
        <f t="shared" si="212"/>
        <v>2.7099999999999999E-2</v>
      </c>
      <c r="E13586" s="104">
        <f>AVERAGE( D13582:D13586)</f>
        <v>2.6780000000000005E-2</v>
      </c>
      <c r="F13586" s="4" t="str">
        <f>TEXT( B13586, "ddd" )</f>
        <v>Fri</v>
      </c>
    </row>
    <row r="13587" spans="2:6" ht="13.8">
      <c r="B13587" s="187">
        <v>41680</v>
      </c>
      <c r="C13587" s="189">
        <v>2.7</v>
      </c>
      <c r="D13587" s="104">
        <f t="shared" si="212"/>
        <v>2.7000000000000003E-2</v>
      </c>
    </row>
    <row r="13588" spans="2:6" ht="13.8">
      <c r="B13588" s="187">
        <v>41681</v>
      </c>
      <c r="C13588" s="189">
        <v>2.75</v>
      </c>
      <c r="D13588" s="104">
        <f t="shared" si="212"/>
        <v>2.75E-2</v>
      </c>
    </row>
    <row r="13589" spans="2:6" ht="13.8">
      <c r="B13589" s="187">
        <v>41682</v>
      </c>
      <c r="C13589" s="189">
        <v>2.8</v>
      </c>
      <c r="D13589" s="104">
        <f t="shared" si="212"/>
        <v>2.7999999999999997E-2</v>
      </c>
    </row>
    <row r="13590" spans="2:6" ht="13.8">
      <c r="B13590" s="187">
        <v>41683</v>
      </c>
      <c r="C13590" s="189">
        <v>2.73</v>
      </c>
      <c r="D13590" s="104">
        <f t="shared" si="212"/>
        <v>2.7300000000000001E-2</v>
      </c>
    </row>
    <row r="13591" spans="2:6" ht="13.8">
      <c r="B13591" s="187">
        <v>41684</v>
      </c>
      <c r="C13591" s="189">
        <v>2.75</v>
      </c>
      <c r="D13591" s="104">
        <f t="shared" si="212"/>
        <v>2.75E-2</v>
      </c>
      <c r="E13591" s="104">
        <f>AVERAGE( D13587:D13591)</f>
        <v>2.7460000000000002E-2</v>
      </c>
      <c r="F13591" s="4" t="str">
        <f>TEXT( B13591, "ddd" )</f>
        <v>Fri</v>
      </c>
    </row>
    <row r="13592" spans="2:6" ht="13.8">
      <c r="B13592" s="187">
        <v>41687</v>
      </c>
      <c r="C13592" s="189" t="s">
        <v>380</v>
      </c>
      <c r="D13592" s="104">
        <f t="shared" si="212"/>
        <v>2.75E-2</v>
      </c>
    </row>
    <row r="13593" spans="2:6" ht="13.8">
      <c r="B13593" s="187">
        <v>41688</v>
      </c>
      <c r="C13593" s="189">
        <v>2.71</v>
      </c>
      <c r="D13593" s="104">
        <f t="shared" si="212"/>
        <v>2.7099999999999999E-2</v>
      </c>
    </row>
    <row r="13594" spans="2:6" ht="13.8">
      <c r="B13594" s="187">
        <v>41689</v>
      </c>
      <c r="C13594" s="189">
        <v>2.73</v>
      </c>
      <c r="D13594" s="104">
        <f t="shared" si="212"/>
        <v>2.7300000000000001E-2</v>
      </c>
    </row>
    <row r="13595" spans="2:6" ht="13.8">
      <c r="B13595" s="187">
        <v>41690</v>
      </c>
      <c r="C13595" s="189">
        <v>2.76</v>
      </c>
      <c r="D13595" s="104">
        <f t="shared" si="212"/>
        <v>2.76E-2</v>
      </c>
    </row>
    <row r="13596" spans="2:6" ht="13.8">
      <c r="B13596" s="187">
        <v>41691</v>
      </c>
      <c r="C13596" s="189">
        <v>2.73</v>
      </c>
      <c r="D13596" s="104">
        <f t="shared" si="212"/>
        <v>2.7300000000000001E-2</v>
      </c>
      <c r="E13596" s="104">
        <f>AVERAGE( D13592:D13596)</f>
        <v>2.7360000000000002E-2</v>
      </c>
      <c r="F13596" s="4" t="str">
        <f>TEXT( B13596, "ddd" )</f>
        <v>Fri</v>
      </c>
    </row>
    <row r="13597" spans="2:6" ht="13.8">
      <c r="B13597" s="187">
        <v>41694</v>
      </c>
      <c r="C13597" s="189">
        <v>2.75</v>
      </c>
      <c r="D13597" s="104">
        <f t="shared" si="212"/>
        <v>2.75E-2</v>
      </c>
    </row>
    <row r="13598" spans="2:6" ht="13.8">
      <c r="B13598" s="187">
        <v>41695</v>
      </c>
      <c r="C13598" s="189">
        <v>2.7</v>
      </c>
      <c r="D13598" s="104">
        <f t="shared" si="212"/>
        <v>2.7000000000000003E-2</v>
      </c>
    </row>
    <row r="13599" spans="2:6" ht="13.8">
      <c r="B13599" s="187">
        <v>41696</v>
      </c>
      <c r="C13599" s="189">
        <v>2.67</v>
      </c>
      <c r="D13599" s="104">
        <f t="shared" si="212"/>
        <v>2.6699999999999998E-2</v>
      </c>
    </row>
    <row r="13600" spans="2:6" ht="13.8">
      <c r="B13600" s="187">
        <v>41697</v>
      </c>
      <c r="C13600" s="189">
        <v>2.65</v>
      </c>
      <c r="D13600" s="104">
        <f t="shared" si="212"/>
        <v>2.6499999999999999E-2</v>
      </c>
    </row>
    <row r="13601" spans="2:6" ht="13.8">
      <c r="B13601" s="187">
        <v>41698</v>
      </c>
      <c r="C13601" s="189">
        <v>2.66</v>
      </c>
      <c r="D13601" s="104">
        <f t="shared" si="212"/>
        <v>2.6600000000000002E-2</v>
      </c>
      <c r="E13601" s="104">
        <f>AVERAGE( D13597:D13601)</f>
        <v>2.6860000000000002E-2</v>
      </c>
      <c r="F13601" s="4" t="str">
        <f>TEXT( B13601, "ddd" )</f>
        <v>Fri</v>
      </c>
    </row>
    <row r="13602" spans="2:6" ht="13.8">
      <c r="B13602" s="187">
        <v>41701</v>
      </c>
      <c r="C13602" s="189">
        <v>2.6</v>
      </c>
      <c r="D13602" s="104">
        <f t="shared" si="212"/>
        <v>2.6000000000000002E-2</v>
      </c>
    </row>
    <row r="13603" spans="2:6" ht="13.8">
      <c r="B13603" s="187">
        <v>41702</v>
      </c>
      <c r="C13603" s="189">
        <v>2.7</v>
      </c>
      <c r="D13603" s="104">
        <f t="shared" si="212"/>
        <v>2.7000000000000003E-2</v>
      </c>
    </row>
    <row r="13604" spans="2:6" ht="13.8">
      <c r="B13604" s="187">
        <v>41703</v>
      </c>
      <c r="C13604" s="189">
        <v>2.7</v>
      </c>
      <c r="D13604" s="104">
        <f t="shared" si="212"/>
        <v>2.7000000000000003E-2</v>
      </c>
    </row>
    <row r="13605" spans="2:6" ht="13.8">
      <c r="B13605" s="187">
        <v>41704</v>
      </c>
      <c r="C13605" s="189">
        <v>2.74</v>
      </c>
      <c r="D13605" s="104">
        <f t="shared" si="212"/>
        <v>2.7400000000000001E-2</v>
      </c>
    </row>
    <row r="13606" spans="2:6" ht="13.8">
      <c r="B13606" s="187">
        <v>41705</v>
      </c>
      <c r="C13606" s="189">
        <v>2.8</v>
      </c>
      <c r="D13606" s="104">
        <f t="shared" si="212"/>
        <v>2.7999999999999997E-2</v>
      </c>
      <c r="E13606" s="104">
        <f>AVERAGE( D13602:D13606)</f>
        <v>2.7080000000000003E-2</v>
      </c>
      <c r="F13606" s="4" t="str">
        <f>TEXT( B13606, "ddd" )</f>
        <v>Fri</v>
      </c>
    </row>
    <row r="13607" spans="2:6" ht="13.8">
      <c r="B13607" s="187">
        <v>41708</v>
      </c>
      <c r="C13607" s="189">
        <v>2.79</v>
      </c>
      <c r="D13607" s="104">
        <f t="shared" si="212"/>
        <v>2.7900000000000001E-2</v>
      </c>
    </row>
    <row r="13608" spans="2:6" ht="13.8">
      <c r="B13608" s="187">
        <v>41709</v>
      </c>
      <c r="C13608" s="189">
        <v>2.77</v>
      </c>
      <c r="D13608" s="104">
        <f t="shared" si="212"/>
        <v>2.7699999999999999E-2</v>
      </c>
    </row>
    <row r="13609" spans="2:6" ht="13.8">
      <c r="B13609" s="187">
        <v>41710</v>
      </c>
      <c r="C13609" s="189">
        <v>2.73</v>
      </c>
      <c r="D13609" s="104">
        <f t="shared" si="212"/>
        <v>2.7300000000000001E-2</v>
      </c>
    </row>
    <row r="13610" spans="2:6" ht="13.8">
      <c r="B13610" s="187">
        <v>41711</v>
      </c>
      <c r="C13610" s="189">
        <v>2.66</v>
      </c>
      <c r="D13610" s="104">
        <f t="shared" si="212"/>
        <v>2.6600000000000002E-2</v>
      </c>
    </row>
    <row r="13611" spans="2:6" ht="13.8">
      <c r="B13611" s="187">
        <v>41712</v>
      </c>
      <c r="C13611" s="189">
        <v>2.65</v>
      </c>
      <c r="D13611" s="104">
        <f t="shared" si="212"/>
        <v>2.6499999999999999E-2</v>
      </c>
      <c r="E13611" s="104">
        <f>AVERAGE( D13607:D13611)</f>
        <v>2.7200000000000002E-2</v>
      </c>
      <c r="F13611" s="4" t="str">
        <f>TEXT( B13611, "ddd" )</f>
        <v>Fri</v>
      </c>
    </row>
    <row r="13612" spans="2:6" ht="13.8">
      <c r="B13612" s="187">
        <v>41715</v>
      </c>
      <c r="C13612" s="189">
        <v>2.7</v>
      </c>
      <c r="D13612" s="104">
        <f t="shared" si="212"/>
        <v>2.7000000000000003E-2</v>
      </c>
    </row>
    <row r="13613" spans="2:6" ht="13.8">
      <c r="B13613" s="187">
        <v>41716</v>
      </c>
      <c r="C13613" s="189">
        <v>2.68</v>
      </c>
      <c r="D13613" s="104">
        <f t="shared" si="212"/>
        <v>2.6800000000000001E-2</v>
      </c>
    </row>
    <row r="13614" spans="2:6" ht="13.8">
      <c r="B13614" s="187">
        <v>41717</v>
      </c>
      <c r="C13614" s="189">
        <v>2.78</v>
      </c>
      <c r="D13614" s="104">
        <f t="shared" si="212"/>
        <v>2.7799999999999998E-2</v>
      </c>
    </row>
    <row r="13615" spans="2:6" ht="13.8">
      <c r="B13615" s="187">
        <v>41718</v>
      </c>
      <c r="C13615" s="189">
        <v>2.79</v>
      </c>
      <c r="D13615" s="104">
        <f t="shared" si="212"/>
        <v>2.7900000000000001E-2</v>
      </c>
    </row>
    <row r="13616" spans="2:6" ht="13.8">
      <c r="B13616" s="187">
        <v>41719</v>
      </c>
      <c r="C13616" s="189">
        <v>2.75</v>
      </c>
      <c r="D13616" s="104">
        <f t="shared" si="212"/>
        <v>2.75E-2</v>
      </c>
      <c r="E13616" s="104">
        <f>AVERAGE( D13612:D13616)</f>
        <v>2.7400000000000001E-2</v>
      </c>
      <c r="F13616" s="4" t="str">
        <f>TEXT( B13616, "ddd" )</f>
        <v>Fri</v>
      </c>
    </row>
    <row r="13617" spans="2:6" ht="13.8">
      <c r="B13617" s="187">
        <v>41722</v>
      </c>
      <c r="C13617" s="189">
        <v>2.74</v>
      </c>
      <c r="D13617" s="104">
        <f t="shared" si="212"/>
        <v>2.7400000000000001E-2</v>
      </c>
    </row>
    <row r="13618" spans="2:6" ht="13.8">
      <c r="B13618" s="187">
        <v>41723</v>
      </c>
      <c r="C13618" s="189">
        <v>2.75</v>
      </c>
      <c r="D13618" s="104">
        <f t="shared" si="212"/>
        <v>2.75E-2</v>
      </c>
    </row>
    <row r="13619" spans="2:6" ht="13.8">
      <c r="B13619" s="187">
        <v>41724</v>
      </c>
      <c r="C13619" s="189">
        <v>2.71</v>
      </c>
      <c r="D13619" s="104">
        <f t="shared" si="212"/>
        <v>2.7099999999999999E-2</v>
      </c>
    </row>
    <row r="13620" spans="2:6" ht="13.8">
      <c r="B13620" s="187">
        <v>41725</v>
      </c>
      <c r="C13620" s="189">
        <v>2.69</v>
      </c>
      <c r="D13620" s="104">
        <f t="shared" si="212"/>
        <v>2.69E-2</v>
      </c>
    </row>
    <row r="13621" spans="2:6" ht="13.8">
      <c r="B13621" s="187">
        <v>41726</v>
      </c>
      <c r="C13621" s="189">
        <v>2.73</v>
      </c>
      <c r="D13621" s="104">
        <f t="shared" ref="D13621:D13684" si="213">IF( LEN( C13621 ) = 0, #N/A, IF( C13621 = "ND", D13620, C13621 / 100 ) )</f>
        <v>2.7300000000000001E-2</v>
      </c>
      <c r="E13621" s="104">
        <f>AVERAGE( D13617:D13621)</f>
        <v>2.7239999999999997E-2</v>
      </c>
      <c r="F13621" s="4" t="str">
        <f>TEXT( B13621, "ddd" )</f>
        <v>Fri</v>
      </c>
    </row>
    <row r="13622" spans="2:6" ht="13.8">
      <c r="B13622" s="187">
        <v>41729</v>
      </c>
      <c r="C13622" s="189">
        <v>2.73</v>
      </c>
      <c r="D13622" s="104">
        <f t="shared" si="213"/>
        <v>2.7300000000000001E-2</v>
      </c>
    </row>
    <row r="13623" spans="2:6" ht="13.8">
      <c r="B13623" s="187">
        <v>41730</v>
      </c>
      <c r="C13623" s="189">
        <v>2.77</v>
      </c>
      <c r="D13623" s="104">
        <f t="shared" si="213"/>
        <v>2.7699999999999999E-2</v>
      </c>
    </row>
    <row r="13624" spans="2:6" ht="13.8">
      <c r="B13624" s="187">
        <v>41731</v>
      </c>
      <c r="C13624" s="189">
        <v>2.82</v>
      </c>
      <c r="D13624" s="104">
        <f t="shared" si="213"/>
        <v>2.8199999999999999E-2</v>
      </c>
    </row>
    <row r="13625" spans="2:6" ht="13.8">
      <c r="B13625" s="187">
        <v>41732</v>
      </c>
      <c r="C13625" s="189">
        <v>2.8</v>
      </c>
      <c r="D13625" s="104">
        <f t="shared" si="213"/>
        <v>2.7999999999999997E-2</v>
      </c>
    </row>
    <row r="13626" spans="2:6" ht="13.8">
      <c r="B13626" s="187">
        <v>41733</v>
      </c>
      <c r="C13626" s="189">
        <v>2.74</v>
      </c>
      <c r="D13626" s="104">
        <f t="shared" si="213"/>
        <v>2.7400000000000001E-2</v>
      </c>
      <c r="E13626" s="104">
        <f>AVERAGE( D13622:D13626)</f>
        <v>2.7720000000000002E-2</v>
      </c>
      <c r="F13626" s="4" t="str">
        <f>TEXT( B13626, "ddd" )</f>
        <v>Fri</v>
      </c>
    </row>
    <row r="13627" spans="2:6" ht="13.8">
      <c r="B13627" s="187">
        <v>41736</v>
      </c>
      <c r="C13627" s="189">
        <v>2.71</v>
      </c>
      <c r="D13627" s="104">
        <f t="shared" si="213"/>
        <v>2.7099999999999999E-2</v>
      </c>
    </row>
    <row r="13628" spans="2:6" ht="13.8">
      <c r="B13628" s="187">
        <v>41737</v>
      </c>
      <c r="C13628" s="189">
        <v>2.69</v>
      </c>
      <c r="D13628" s="104">
        <f t="shared" si="213"/>
        <v>2.69E-2</v>
      </c>
    </row>
    <row r="13629" spans="2:6" ht="13.8">
      <c r="B13629" s="187">
        <v>41738</v>
      </c>
      <c r="C13629" s="189">
        <v>2.71</v>
      </c>
      <c r="D13629" s="104">
        <f t="shared" si="213"/>
        <v>2.7099999999999999E-2</v>
      </c>
    </row>
    <row r="13630" spans="2:6" ht="13.8">
      <c r="B13630" s="187">
        <v>41739</v>
      </c>
      <c r="C13630" s="189">
        <v>2.65</v>
      </c>
      <c r="D13630" s="104">
        <f t="shared" si="213"/>
        <v>2.6499999999999999E-2</v>
      </c>
    </row>
    <row r="13631" spans="2:6" ht="13.8">
      <c r="B13631" s="187">
        <v>41740</v>
      </c>
      <c r="C13631" s="189">
        <v>2.63</v>
      </c>
      <c r="D13631" s="104">
        <f t="shared" si="213"/>
        <v>2.63E-2</v>
      </c>
      <c r="E13631" s="104">
        <f>AVERAGE( D13627:D13631)</f>
        <v>2.6779999999999998E-2</v>
      </c>
      <c r="F13631" s="4" t="str">
        <f>TEXT( B13631, "ddd" )</f>
        <v>Fri</v>
      </c>
    </row>
    <row r="13632" spans="2:6" ht="13.8">
      <c r="B13632" s="187">
        <v>41743</v>
      </c>
      <c r="C13632" s="189">
        <v>2.65</v>
      </c>
      <c r="D13632" s="104">
        <f t="shared" si="213"/>
        <v>2.6499999999999999E-2</v>
      </c>
    </row>
    <row r="13633" spans="2:6" ht="13.8">
      <c r="B13633" s="187">
        <v>41744</v>
      </c>
      <c r="C13633" s="189">
        <v>2.64</v>
      </c>
      <c r="D13633" s="104">
        <f t="shared" si="213"/>
        <v>2.64E-2</v>
      </c>
    </row>
    <row r="13634" spans="2:6" ht="13.8">
      <c r="B13634" s="187">
        <v>41745</v>
      </c>
      <c r="C13634" s="189">
        <v>2.65</v>
      </c>
      <c r="D13634" s="104">
        <f t="shared" si="213"/>
        <v>2.6499999999999999E-2</v>
      </c>
    </row>
    <row r="13635" spans="2:6" ht="13.8">
      <c r="B13635" s="187">
        <v>41746</v>
      </c>
      <c r="C13635" s="189">
        <v>2.73</v>
      </c>
      <c r="D13635" s="104">
        <f t="shared" si="213"/>
        <v>2.7300000000000001E-2</v>
      </c>
    </row>
    <row r="13636" spans="2:6" ht="13.8">
      <c r="B13636" s="187">
        <v>41747</v>
      </c>
      <c r="C13636" s="189" t="s">
        <v>380</v>
      </c>
      <c r="D13636" s="104">
        <f t="shared" si="213"/>
        <v>2.7300000000000001E-2</v>
      </c>
      <c r="E13636" s="104">
        <f>AVERAGE( D13632:D13636)</f>
        <v>2.6800000000000001E-2</v>
      </c>
      <c r="F13636" s="4" t="str">
        <f>TEXT( B13636, "ddd" )</f>
        <v>Fri</v>
      </c>
    </row>
    <row r="13637" spans="2:6" ht="13.8">
      <c r="B13637" s="187">
        <v>41750</v>
      </c>
      <c r="C13637" s="189">
        <v>2.73</v>
      </c>
      <c r="D13637" s="104">
        <f t="shared" si="213"/>
        <v>2.7300000000000001E-2</v>
      </c>
    </row>
    <row r="13638" spans="2:6" ht="13.8">
      <c r="B13638" s="187">
        <v>41751</v>
      </c>
      <c r="C13638" s="189">
        <v>2.73</v>
      </c>
      <c r="D13638" s="104">
        <f t="shared" si="213"/>
        <v>2.7300000000000001E-2</v>
      </c>
    </row>
    <row r="13639" spans="2:6" ht="13.8">
      <c r="B13639" s="187">
        <v>41752</v>
      </c>
      <c r="C13639" s="189">
        <v>2.7</v>
      </c>
      <c r="D13639" s="104">
        <f t="shared" si="213"/>
        <v>2.7000000000000003E-2</v>
      </c>
    </row>
    <row r="13640" spans="2:6" ht="13.8">
      <c r="B13640" s="187">
        <v>41753</v>
      </c>
      <c r="C13640" s="189">
        <v>2.7</v>
      </c>
      <c r="D13640" s="104">
        <f t="shared" si="213"/>
        <v>2.7000000000000003E-2</v>
      </c>
    </row>
    <row r="13641" spans="2:6" ht="13.8">
      <c r="B13641" s="187">
        <v>41754</v>
      </c>
      <c r="C13641" s="189">
        <v>2.68</v>
      </c>
      <c r="D13641" s="104">
        <f t="shared" si="213"/>
        <v>2.6800000000000001E-2</v>
      </c>
      <c r="E13641" s="104">
        <f>AVERAGE( D13637:D13641)</f>
        <v>2.708E-2</v>
      </c>
      <c r="F13641" s="4" t="str">
        <f>TEXT( B13641, "ddd" )</f>
        <v>Fri</v>
      </c>
    </row>
    <row r="13642" spans="2:6" ht="13.8">
      <c r="B13642" s="187">
        <v>41757</v>
      </c>
      <c r="C13642" s="189">
        <v>2.7</v>
      </c>
      <c r="D13642" s="104">
        <f t="shared" si="213"/>
        <v>2.7000000000000003E-2</v>
      </c>
    </row>
    <row r="13643" spans="2:6" ht="13.8">
      <c r="B13643" s="187">
        <v>41758</v>
      </c>
      <c r="C13643" s="189">
        <v>2.71</v>
      </c>
      <c r="D13643" s="104">
        <f t="shared" si="213"/>
        <v>2.7099999999999999E-2</v>
      </c>
    </row>
    <row r="13644" spans="2:6" ht="13.8">
      <c r="B13644" s="187">
        <v>41759</v>
      </c>
      <c r="C13644" s="189">
        <v>2.67</v>
      </c>
      <c r="D13644" s="104">
        <f t="shared" si="213"/>
        <v>2.6699999999999998E-2</v>
      </c>
    </row>
    <row r="13645" spans="2:6" ht="13.8">
      <c r="B13645" s="187">
        <v>41760</v>
      </c>
      <c r="C13645" s="189">
        <v>2.63</v>
      </c>
      <c r="D13645" s="104">
        <f t="shared" si="213"/>
        <v>2.63E-2</v>
      </c>
    </row>
    <row r="13646" spans="2:6" ht="13.8">
      <c r="B13646" s="187">
        <v>41761</v>
      </c>
      <c r="C13646" s="189">
        <v>2.6</v>
      </c>
      <c r="D13646" s="104">
        <f t="shared" si="213"/>
        <v>2.6000000000000002E-2</v>
      </c>
      <c r="E13646" s="104">
        <f>AVERAGE( D13642:D13646)</f>
        <v>2.6619999999999998E-2</v>
      </c>
      <c r="F13646" s="4" t="str">
        <f>TEXT( B13646, "ddd" )</f>
        <v>Fri</v>
      </c>
    </row>
    <row r="13647" spans="2:6" ht="13.8">
      <c r="B13647" s="187">
        <v>41764</v>
      </c>
      <c r="C13647" s="189">
        <v>2.63</v>
      </c>
      <c r="D13647" s="104">
        <f t="shared" si="213"/>
        <v>2.63E-2</v>
      </c>
    </row>
    <row r="13648" spans="2:6" ht="13.8">
      <c r="B13648" s="187">
        <v>41765</v>
      </c>
      <c r="C13648" s="189">
        <v>2.61</v>
      </c>
      <c r="D13648" s="104">
        <f t="shared" si="213"/>
        <v>2.6099999999999998E-2</v>
      </c>
    </row>
    <row r="13649" spans="2:6" ht="13.8">
      <c r="B13649" s="187">
        <v>41766</v>
      </c>
      <c r="C13649" s="189">
        <v>2.62</v>
      </c>
      <c r="D13649" s="104">
        <f t="shared" si="213"/>
        <v>2.6200000000000001E-2</v>
      </c>
    </row>
    <row r="13650" spans="2:6" ht="13.8">
      <c r="B13650" s="187">
        <v>41767</v>
      </c>
      <c r="C13650" s="189">
        <v>2.61</v>
      </c>
      <c r="D13650" s="104">
        <f t="shared" si="213"/>
        <v>2.6099999999999998E-2</v>
      </c>
    </row>
    <row r="13651" spans="2:6" ht="13.8">
      <c r="B13651" s="187">
        <v>41768</v>
      </c>
      <c r="C13651" s="189">
        <v>2.62</v>
      </c>
      <c r="D13651" s="104">
        <f t="shared" si="213"/>
        <v>2.6200000000000001E-2</v>
      </c>
      <c r="E13651" s="104">
        <f>AVERAGE( D13647:D13651)</f>
        <v>2.6180000000000002E-2</v>
      </c>
      <c r="F13651" s="4" t="str">
        <f>TEXT( B13651, "ddd" )</f>
        <v>Fri</v>
      </c>
    </row>
    <row r="13652" spans="2:6" ht="13.8">
      <c r="B13652" s="187">
        <v>41771</v>
      </c>
      <c r="C13652" s="189">
        <v>2.66</v>
      </c>
      <c r="D13652" s="104">
        <f t="shared" si="213"/>
        <v>2.6600000000000002E-2</v>
      </c>
    </row>
    <row r="13653" spans="2:6" ht="13.8">
      <c r="B13653" s="187">
        <v>41772</v>
      </c>
      <c r="C13653" s="189">
        <v>2.61</v>
      </c>
      <c r="D13653" s="104">
        <f t="shared" si="213"/>
        <v>2.6099999999999998E-2</v>
      </c>
    </row>
    <row r="13654" spans="2:6" ht="13.8">
      <c r="B13654" s="187">
        <v>41773</v>
      </c>
      <c r="C13654" s="189">
        <v>2.54</v>
      </c>
      <c r="D13654" s="104">
        <f t="shared" si="213"/>
        <v>2.5399999999999999E-2</v>
      </c>
    </row>
    <row r="13655" spans="2:6" ht="13.8">
      <c r="B13655" s="187">
        <v>41774</v>
      </c>
      <c r="C13655" s="189">
        <v>2.5</v>
      </c>
      <c r="D13655" s="104">
        <f t="shared" si="213"/>
        <v>2.5000000000000001E-2</v>
      </c>
    </row>
    <row r="13656" spans="2:6" ht="13.8">
      <c r="B13656" s="187">
        <v>41775</v>
      </c>
      <c r="C13656" s="189">
        <v>2.52</v>
      </c>
      <c r="D13656" s="104">
        <f t="shared" si="213"/>
        <v>2.52E-2</v>
      </c>
      <c r="E13656" s="104">
        <f>AVERAGE( D13652:D13656)</f>
        <v>2.5659999999999999E-2</v>
      </c>
      <c r="F13656" s="4" t="str">
        <f>TEXT( B13656, "ddd" )</f>
        <v>Fri</v>
      </c>
    </row>
    <row r="13657" spans="2:6" ht="13.8">
      <c r="B13657" s="187">
        <v>41778</v>
      </c>
      <c r="C13657" s="189">
        <v>2.54</v>
      </c>
      <c r="D13657" s="104">
        <f t="shared" si="213"/>
        <v>2.5399999999999999E-2</v>
      </c>
    </row>
    <row r="13658" spans="2:6" ht="13.8">
      <c r="B13658" s="187">
        <v>41779</v>
      </c>
      <c r="C13658" s="189">
        <v>2.52</v>
      </c>
      <c r="D13658" s="104">
        <f t="shared" si="213"/>
        <v>2.52E-2</v>
      </c>
    </row>
    <row r="13659" spans="2:6" ht="13.8">
      <c r="B13659" s="187">
        <v>41780</v>
      </c>
      <c r="C13659" s="189">
        <v>2.54</v>
      </c>
      <c r="D13659" s="104">
        <f t="shared" si="213"/>
        <v>2.5399999999999999E-2</v>
      </c>
    </row>
    <row r="13660" spans="2:6" ht="13.8">
      <c r="B13660" s="187">
        <v>41781</v>
      </c>
      <c r="C13660" s="189">
        <v>2.56</v>
      </c>
      <c r="D13660" s="104">
        <f t="shared" si="213"/>
        <v>2.5600000000000001E-2</v>
      </c>
    </row>
    <row r="13661" spans="2:6" ht="13.8">
      <c r="B13661" s="187">
        <v>41782</v>
      </c>
      <c r="C13661" s="189">
        <v>2.54</v>
      </c>
      <c r="D13661" s="104">
        <f t="shared" si="213"/>
        <v>2.5399999999999999E-2</v>
      </c>
      <c r="E13661" s="104">
        <f>AVERAGE( D13657:D13661)</f>
        <v>2.5399999999999999E-2</v>
      </c>
      <c r="F13661" s="4" t="str">
        <f>TEXT( B13661, "ddd" )</f>
        <v>Fri</v>
      </c>
    </row>
    <row r="13662" spans="2:6" ht="13.8">
      <c r="B13662" s="187">
        <v>41785</v>
      </c>
      <c r="C13662" s="189" t="s">
        <v>380</v>
      </c>
      <c r="D13662" s="104">
        <f t="shared" si="213"/>
        <v>2.5399999999999999E-2</v>
      </c>
    </row>
    <row r="13663" spans="2:6" ht="13.8">
      <c r="B13663" s="187">
        <v>41786</v>
      </c>
      <c r="C13663" s="189">
        <v>2.52</v>
      </c>
      <c r="D13663" s="104">
        <f t="shared" si="213"/>
        <v>2.52E-2</v>
      </c>
    </row>
    <row r="13664" spans="2:6" ht="13.8">
      <c r="B13664" s="187">
        <v>41787</v>
      </c>
      <c r="C13664" s="189">
        <v>2.44</v>
      </c>
      <c r="D13664" s="104">
        <f t="shared" si="213"/>
        <v>2.4399999999999998E-2</v>
      </c>
    </row>
    <row r="13665" spans="2:6" ht="13.8">
      <c r="B13665" s="187">
        <v>41788</v>
      </c>
      <c r="C13665" s="189">
        <v>2.4500000000000002</v>
      </c>
      <c r="D13665" s="104">
        <f t="shared" si="213"/>
        <v>2.4500000000000001E-2</v>
      </c>
    </row>
    <row r="13666" spans="2:6" ht="13.8">
      <c r="B13666" s="187">
        <v>41789</v>
      </c>
      <c r="C13666" s="189">
        <v>2.48</v>
      </c>
      <c r="D13666" s="104">
        <f t="shared" si="213"/>
        <v>2.4799999999999999E-2</v>
      </c>
      <c r="E13666" s="104">
        <f>AVERAGE( D13662:D13666)</f>
        <v>2.486E-2</v>
      </c>
      <c r="F13666" s="4" t="str">
        <f>TEXT( B13666, "ddd" )</f>
        <v>Fri</v>
      </c>
    </row>
    <row r="13667" spans="2:6" ht="13.8">
      <c r="B13667" s="187">
        <v>41792</v>
      </c>
      <c r="C13667" s="189">
        <v>2.54</v>
      </c>
      <c r="D13667" s="104">
        <f t="shared" si="213"/>
        <v>2.5399999999999999E-2</v>
      </c>
    </row>
    <row r="13668" spans="2:6" ht="13.8">
      <c r="B13668" s="187">
        <v>41793</v>
      </c>
      <c r="C13668" s="189">
        <v>2.6</v>
      </c>
      <c r="D13668" s="104">
        <f t="shared" si="213"/>
        <v>2.6000000000000002E-2</v>
      </c>
    </row>
    <row r="13669" spans="2:6" ht="13.8">
      <c r="B13669" s="187">
        <v>41794</v>
      </c>
      <c r="C13669" s="189">
        <v>2.61</v>
      </c>
      <c r="D13669" s="104">
        <f t="shared" si="213"/>
        <v>2.6099999999999998E-2</v>
      </c>
    </row>
    <row r="13670" spans="2:6" ht="13.8">
      <c r="B13670" s="187">
        <v>41795</v>
      </c>
      <c r="C13670" s="189">
        <v>2.59</v>
      </c>
      <c r="D13670" s="104">
        <f t="shared" si="213"/>
        <v>2.5899999999999999E-2</v>
      </c>
    </row>
    <row r="13671" spans="2:6" ht="13.8">
      <c r="B13671" s="187">
        <v>41796</v>
      </c>
      <c r="C13671" s="189">
        <v>2.6</v>
      </c>
      <c r="D13671" s="104">
        <f t="shared" si="213"/>
        <v>2.6000000000000002E-2</v>
      </c>
      <c r="E13671" s="104">
        <f>AVERAGE( D13667:D13671)</f>
        <v>2.5879999999999997E-2</v>
      </c>
      <c r="F13671" s="4" t="str">
        <f>TEXT( B13671, "ddd" )</f>
        <v>Fri</v>
      </c>
    </row>
    <row r="13672" spans="2:6" ht="13.8">
      <c r="B13672" s="187">
        <v>41799</v>
      </c>
      <c r="C13672" s="189">
        <v>2.62</v>
      </c>
      <c r="D13672" s="104">
        <f t="shared" si="213"/>
        <v>2.6200000000000001E-2</v>
      </c>
    </row>
    <row r="13673" spans="2:6" ht="13.8">
      <c r="B13673" s="187">
        <v>41800</v>
      </c>
      <c r="C13673" s="189">
        <v>2.64</v>
      </c>
      <c r="D13673" s="104">
        <f t="shared" si="213"/>
        <v>2.64E-2</v>
      </c>
    </row>
    <row r="13674" spans="2:6" ht="13.8">
      <c r="B13674" s="187">
        <v>41801</v>
      </c>
      <c r="C13674" s="189">
        <v>2.65</v>
      </c>
      <c r="D13674" s="104">
        <f t="shared" si="213"/>
        <v>2.6499999999999999E-2</v>
      </c>
    </row>
    <row r="13675" spans="2:6" ht="13.8">
      <c r="B13675" s="187">
        <v>41802</v>
      </c>
      <c r="C13675" s="189">
        <v>2.58</v>
      </c>
      <c r="D13675" s="104">
        <f t="shared" si="213"/>
        <v>2.58E-2</v>
      </c>
    </row>
    <row r="13676" spans="2:6" ht="13.8">
      <c r="B13676" s="187">
        <v>41803</v>
      </c>
      <c r="C13676" s="189">
        <v>2.6</v>
      </c>
      <c r="D13676" s="104">
        <f t="shared" si="213"/>
        <v>2.6000000000000002E-2</v>
      </c>
      <c r="E13676" s="104">
        <f>AVERAGE( D13672:D13676)</f>
        <v>2.6180000000000002E-2</v>
      </c>
      <c r="F13676" s="4" t="str">
        <f>TEXT( B13676, "ddd" )</f>
        <v>Fri</v>
      </c>
    </row>
    <row r="13677" spans="2:6" ht="13.8">
      <c r="B13677" s="187">
        <v>41806</v>
      </c>
      <c r="C13677" s="189">
        <v>2.61</v>
      </c>
      <c r="D13677" s="104">
        <f t="shared" si="213"/>
        <v>2.6099999999999998E-2</v>
      </c>
    </row>
    <row r="13678" spans="2:6" ht="13.8">
      <c r="B13678" s="187">
        <v>41807</v>
      </c>
      <c r="C13678" s="189">
        <v>2.66</v>
      </c>
      <c r="D13678" s="104">
        <f t="shared" si="213"/>
        <v>2.6600000000000002E-2</v>
      </c>
    </row>
    <row r="13679" spans="2:6" ht="13.8">
      <c r="B13679" s="187">
        <v>41808</v>
      </c>
      <c r="C13679" s="189">
        <v>2.61</v>
      </c>
      <c r="D13679" s="104">
        <f t="shared" si="213"/>
        <v>2.6099999999999998E-2</v>
      </c>
    </row>
    <row r="13680" spans="2:6" ht="13.8">
      <c r="B13680" s="187">
        <v>41809</v>
      </c>
      <c r="C13680" s="189">
        <v>2.64</v>
      </c>
      <c r="D13680" s="104">
        <f t="shared" si="213"/>
        <v>2.64E-2</v>
      </c>
    </row>
    <row r="13681" spans="2:6" ht="13.8">
      <c r="B13681" s="187">
        <v>41810</v>
      </c>
      <c r="C13681" s="189">
        <v>2.63</v>
      </c>
      <c r="D13681" s="104">
        <f t="shared" si="213"/>
        <v>2.63E-2</v>
      </c>
      <c r="E13681" s="104">
        <f>AVERAGE( D13677:D13681)</f>
        <v>2.6299999999999997E-2</v>
      </c>
      <c r="F13681" s="4" t="str">
        <f>TEXT( B13681, "ddd" )</f>
        <v>Fri</v>
      </c>
    </row>
    <row r="13682" spans="2:6" ht="13.8">
      <c r="B13682" s="187">
        <v>41813</v>
      </c>
      <c r="C13682" s="189">
        <v>2.63</v>
      </c>
      <c r="D13682" s="104">
        <f t="shared" si="213"/>
        <v>2.63E-2</v>
      </c>
    </row>
    <row r="13683" spans="2:6" ht="13.8">
      <c r="B13683" s="187">
        <v>41814</v>
      </c>
      <c r="C13683" s="189">
        <v>2.59</v>
      </c>
      <c r="D13683" s="104">
        <f t="shared" si="213"/>
        <v>2.5899999999999999E-2</v>
      </c>
    </row>
    <row r="13684" spans="2:6" ht="13.8">
      <c r="B13684" s="187">
        <v>41815</v>
      </c>
      <c r="C13684" s="189">
        <v>2.57</v>
      </c>
      <c r="D13684" s="104">
        <f t="shared" si="213"/>
        <v>2.5699999999999997E-2</v>
      </c>
    </row>
    <row r="13685" spans="2:6" ht="13.8">
      <c r="B13685" s="187">
        <v>41816</v>
      </c>
      <c r="C13685" s="189">
        <v>2.5299999999999998</v>
      </c>
      <c r="D13685" s="104">
        <f t="shared" ref="D13685:D13748" si="214">IF( LEN( C13685 ) = 0, #N/A, IF( C13685 = "ND", D13684, C13685 / 100 ) )</f>
        <v>2.53E-2</v>
      </c>
    </row>
    <row r="13686" spans="2:6" ht="13.8">
      <c r="B13686" s="187">
        <v>41817</v>
      </c>
      <c r="C13686" s="189">
        <v>2.54</v>
      </c>
      <c r="D13686" s="104">
        <f t="shared" si="214"/>
        <v>2.5399999999999999E-2</v>
      </c>
      <c r="E13686" s="104">
        <f>AVERAGE( D13682:D13686)</f>
        <v>2.572E-2</v>
      </c>
      <c r="F13686" s="4" t="str">
        <f>TEXT( B13686, "ddd" )</f>
        <v>Fri</v>
      </c>
    </row>
    <row r="13687" spans="2:6" ht="13.8">
      <c r="B13687" s="187">
        <v>41820</v>
      </c>
      <c r="C13687" s="189">
        <v>2.5299999999999998</v>
      </c>
      <c r="D13687" s="104">
        <f t="shared" si="214"/>
        <v>2.53E-2</v>
      </c>
    </row>
    <row r="13688" spans="2:6" ht="13.8">
      <c r="B13688" s="187">
        <v>41821</v>
      </c>
      <c r="C13688" s="189">
        <v>2.58</v>
      </c>
      <c r="D13688" s="104">
        <f t="shared" si="214"/>
        <v>2.58E-2</v>
      </c>
    </row>
    <row r="13689" spans="2:6" ht="13.8">
      <c r="B13689" s="187">
        <v>41822</v>
      </c>
      <c r="C13689" s="189">
        <v>2.64</v>
      </c>
      <c r="D13689" s="104">
        <f t="shared" si="214"/>
        <v>2.64E-2</v>
      </c>
    </row>
    <row r="13690" spans="2:6" ht="13.8">
      <c r="B13690" s="187">
        <v>41823</v>
      </c>
      <c r="C13690" s="189">
        <v>2.65</v>
      </c>
      <c r="D13690" s="104">
        <f t="shared" si="214"/>
        <v>2.6499999999999999E-2</v>
      </c>
    </row>
    <row r="13691" spans="2:6" ht="13.8">
      <c r="B13691" s="187">
        <v>41824</v>
      </c>
      <c r="C13691" s="189" t="s">
        <v>380</v>
      </c>
      <c r="D13691" s="104">
        <f t="shared" si="214"/>
        <v>2.6499999999999999E-2</v>
      </c>
      <c r="E13691" s="104">
        <f>AVERAGE( D13687:D13691)</f>
        <v>2.6100000000000002E-2</v>
      </c>
      <c r="F13691" s="4" t="str">
        <f>TEXT( B13691, "ddd" )</f>
        <v>Fri</v>
      </c>
    </row>
    <row r="13692" spans="2:6" ht="13.8">
      <c r="B13692" s="187">
        <v>41827</v>
      </c>
      <c r="C13692" s="189">
        <v>2.63</v>
      </c>
      <c r="D13692" s="104">
        <f t="shared" si="214"/>
        <v>2.63E-2</v>
      </c>
    </row>
    <row r="13693" spans="2:6" ht="13.8">
      <c r="B13693" s="187">
        <v>41828</v>
      </c>
      <c r="C13693" s="189">
        <v>2.58</v>
      </c>
      <c r="D13693" s="104">
        <f t="shared" si="214"/>
        <v>2.58E-2</v>
      </c>
    </row>
    <row r="13694" spans="2:6" ht="13.8">
      <c r="B13694" s="187">
        <v>41829</v>
      </c>
      <c r="C13694" s="189">
        <v>2.57</v>
      </c>
      <c r="D13694" s="104">
        <f t="shared" si="214"/>
        <v>2.5699999999999997E-2</v>
      </c>
    </row>
    <row r="13695" spans="2:6" ht="13.8">
      <c r="B13695" s="187">
        <v>41830</v>
      </c>
      <c r="C13695" s="189">
        <v>2.5499999999999998</v>
      </c>
      <c r="D13695" s="104">
        <f t="shared" si="214"/>
        <v>2.5499999999999998E-2</v>
      </c>
    </row>
    <row r="13696" spans="2:6" ht="13.8">
      <c r="B13696" s="187">
        <v>41831</v>
      </c>
      <c r="C13696" s="189">
        <v>2.5299999999999998</v>
      </c>
      <c r="D13696" s="104">
        <f t="shared" si="214"/>
        <v>2.53E-2</v>
      </c>
      <c r="E13696" s="104">
        <f>AVERAGE( D13692:D13696)</f>
        <v>2.572E-2</v>
      </c>
      <c r="F13696" s="4" t="str">
        <f>TEXT( B13696, "ddd" )</f>
        <v>Fri</v>
      </c>
    </row>
    <row r="13697" spans="2:6" ht="13.8">
      <c r="B13697" s="187">
        <v>41834</v>
      </c>
      <c r="C13697" s="189">
        <v>2.5499999999999998</v>
      </c>
      <c r="D13697" s="104">
        <f t="shared" si="214"/>
        <v>2.5499999999999998E-2</v>
      </c>
    </row>
    <row r="13698" spans="2:6" ht="13.8">
      <c r="B13698" s="187">
        <v>41835</v>
      </c>
      <c r="C13698" s="189">
        <v>2.56</v>
      </c>
      <c r="D13698" s="104">
        <f t="shared" si="214"/>
        <v>2.5600000000000001E-2</v>
      </c>
    </row>
    <row r="13699" spans="2:6" ht="13.8">
      <c r="B13699" s="187">
        <v>41836</v>
      </c>
      <c r="C13699" s="189">
        <v>2.5499999999999998</v>
      </c>
      <c r="D13699" s="104">
        <f t="shared" si="214"/>
        <v>2.5499999999999998E-2</v>
      </c>
    </row>
    <row r="13700" spans="2:6" ht="13.8">
      <c r="B13700" s="187">
        <v>41837</v>
      </c>
      <c r="C13700" s="189">
        <v>2.4700000000000002</v>
      </c>
      <c r="D13700" s="104">
        <f t="shared" si="214"/>
        <v>2.4700000000000003E-2</v>
      </c>
    </row>
    <row r="13701" spans="2:6" ht="13.8">
      <c r="B13701" s="187">
        <v>41838</v>
      </c>
      <c r="C13701" s="189">
        <v>2.5</v>
      </c>
      <c r="D13701" s="104">
        <f t="shared" si="214"/>
        <v>2.5000000000000001E-2</v>
      </c>
      <c r="E13701" s="104">
        <f>AVERAGE( D13697:D13701)</f>
        <v>2.5259999999999998E-2</v>
      </c>
      <c r="F13701" s="4" t="str">
        <f>TEXT( B13701, "ddd" )</f>
        <v>Fri</v>
      </c>
    </row>
    <row r="13702" spans="2:6" ht="13.8">
      <c r="B13702" s="187">
        <v>41841</v>
      </c>
      <c r="C13702" s="189">
        <v>2.4900000000000002</v>
      </c>
      <c r="D13702" s="104">
        <f t="shared" si="214"/>
        <v>2.4900000000000002E-2</v>
      </c>
    </row>
    <row r="13703" spans="2:6" ht="13.8">
      <c r="B13703" s="187">
        <v>41842</v>
      </c>
      <c r="C13703" s="189">
        <v>2.48</v>
      </c>
      <c r="D13703" s="104">
        <f t="shared" si="214"/>
        <v>2.4799999999999999E-2</v>
      </c>
    </row>
    <row r="13704" spans="2:6" ht="13.8">
      <c r="B13704" s="187">
        <v>41843</v>
      </c>
      <c r="C13704" s="189">
        <v>2.48</v>
      </c>
      <c r="D13704" s="104">
        <f t="shared" si="214"/>
        <v>2.4799999999999999E-2</v>
      </c>
    </row>
    <row r="13705" spans="2:6" ht="13.8">
      <c r="B13705" s="187">
        <v>41844</v>
      </c>
      <c r="C13705" s="189">
        <v>2.52</v>
      </c>
      <c r="D13705" s="104">
        <f t="shared" si="214"/>
        <v>2.52E-2</v>
      </c>
    </row>
    <row r="13706" spans="2:6" ht="13.8">
      <c r="B13706" s="187">
        <v>41845</v>
      </c>
      <c r="C13706" s="189">
        <v>2.48</v>
      </c>
      <c r="D13706" s="104">
        <f t="shared" si="214"/>
        <v>2.4799999999999999E-2</v>
      </c>
      <c r="E13706" s="104">
        <f>AVERAGE( D13702:D13706)</f>
        <v>2.4899999999999999E-2</v>
      </c>
      <c r="F13706" s="4" t="str">
        <f>TEXT( B13706, "ddd" )</f>
        <v>Fri</v>
      </c>
    </row>
    <row r="13707" spans="2:6" ht="13.8">
      <c r="B13707" s="187">
        <v>41848</v>
      </c>
      <c r="C13707" s="189">
        <v>2.5</v>
      </c>
      <c r="D13707" s="104">
        <f t="shared" si="214"/>
        <v>2.5000000000000001E-2</v>
      </c>
    </row>
    <row r="13708" spans="2:6" ht="13.8">
      <c r="B13708" s="187">
        <v>41849</v>
      </c>
      <c r="C13708" s="189">
        <v>2.4700000000000002</v>
      </c>
      <c r="D13708" s="104">
        <f t="shared" si="214"/>
        <v>2.4700000000000003E-2</v>
      </c>
    </row>
    <row r="13709" spans="2:6" ht="13.8">
      <c r="B13709" s="187">
        <v>41850</v>
      </c>
      <c r="C13709" s="189">
        <v>2.57</v>
      </c>
      <c r="D13709" s="104">
        <f t="shared" si="214"/>
        <v>2.5699999999999997E-2</v>
      </c>
    </row>
    <row r="13710" spans="2:6" ht="13.8">
      <c r="B13710" s="187">
        <v>41851</v>
      </c>
      <c r="C13710" s="189">
        <v>2.58</v>
      </c>
      <c r="D13710" s="104">
        <f t="shared" si="214"/>
        <v>2.58E-2</v>
      </c>
    </row>
    <row r="13711" spans="2:6" ht="13.8">
      <c r="B13711" s="187">
        <v>41852</v>
      </c>
      <c r="C13711" s="189">
        <v>2.52</v>
      </c>
      <c r="D13711" s="104">
        <f t="shared" si="214"/>
        <v>2.52E-2</v>
      </c>
      <c r="E13711" s="104">
        <f>AVERAGE( D13707:D13711)</f>
        <v>2.5280000000000004E-2</v>
      </c>
      <c r="F13711" s="4" t="str">
        <f>TEXT( B13711, "ddd" )</f>
        <v>Fri</v>
      </c>
    </row>
    <row r="13712" spans="2:6" ht="13.8">
      <c r="B13712" s="187">
        <v>41855</v>
      </c>
      <c r="C13712" s="189">
        <v>2.5099999999999998</v>
      </c>
      <c r="D13712" s="104">
        <f t="shared" si="214"/>
        <v>2.5099999999999997E-2</v>
      </c>
    </row>
    <row r="13713" spans="2:6" ht="13.8">
      <c r="B13713" s="187">
        <v>41856</v>
      </c>
      <c r="C13713" s="189">
        <v>2.4900000000000002</v>
      </c>
      <c r="D13713" s="104">
        <f t="shared" si="214"/>
        <v>2.4900000000000002E-2</v>
      </c>
    </row>
    <row r="13714" spans="2:6" ht="13.8">
      <c r="B13714" s="187">
        <v>41857</v>
      </c>
      <c r="C13714" s="189">
        <v>2.4900000000000002</v>
      </c>
      <c r="D13714" s="104">
        <f t="shared" si="214"/>
        <v>2.4900000000000002E-2</v>
      </c>
    </row>
    <row r="13715" spans="2:6" ht="13.8">
      <c r="B13715" s="187">
        <v>41858</v>
      </c>
      <c r="C13715" s="189">
        <v>2.4300000000000002</v>
      </c>
      <c r="D13715" s="104">
        <f t="shared" si="214"/>
        <v>2.4300000000000002E-2</v>
      </c>
    </row>
    <row r="13716" spans="2:6" ht="13.8">
      <c r="B13716" s="187">
        <v>41859</v>
      </c>
      <c r="C13716" s="189">
        <v>2.44</v>
      </c>
      <c r="D13716" s="104">
        <f t="shared" si="214"/>
        <v>2.4399999999999998E-2</v>
      </c>
      <c r="E13716" s="104">
        <f>AVERAGE( D13712:D13716)</f>
        <v>2.4720000000000002E-2</v>
      </c>
      <c r="F13716" s="4" t="str">
        <f>TEXT( B13716, "ddd" )</f>
        <v>Fri</v>
      </c>
    </row>
    <row r="13717" spans="2:6" ht="13.8">
      <c r="B13717" s="187">
        <v>41862</v>
      </c>
      <c r="C13717" s="189">
        <v>2.44</v>
      </c>
      <c r="D13717" s="104">
        <f t="shared" si="214"/>
        <v>2.4399999999999998E-2</v>
      </c>
    </row>
    <row r="13718" spans="2:6" ht="13.8">
      <c r="B13718" s="187">
        <v>41863</v>
      </c>
      <c r="C13718" s="189">
        <v>2.46</v>
      </c>
      <c r="D13718" s="104">
        <f t="shared" si="214"/>
        <v>2.46E-2</v>
      </c>
    </row>
    <row r="13719" spans="2:6" ht="13.8">
      <c r="B13719" s="187">
        <v>41864</v>
      </c>
      <c r="C13719" s="189">
        <v>2.4300000000000002</v>
      </c>
      <c r="D13719" s="104">
        <f t="shared" si="214"/>
        <v>2.4300000000000002E-2</v>
      </c>
    </row>
    <row r="13720" spans="2:6" ht="13.8">
      <c r="B13720" s="187">
        <v>41865</v>
      </c>
      <c r="C13720" s="189">
        <v>2.4</v>
      </c>
      <c r="D13720" s="104">
        <f t="shared" si="214"/>
        <v>2.4E-2</v>
      </c>
    </row>
    <row r="13721" spans="2:6" ht="13.8">
      <c r="B13721" s="187">
        <v>41866</v>
      </c>
      <c r="C13721" s="189">
        <v>2.34</v>
      </c>
      <c r="D13721" s="104">
        <f t="shared" si="214"/>
        <v>2.3399999999999997E-2</v>
      </c>
      <c r="E13721" s="104">
        <f>AVERAGE( D13717:D13721)</f>
        <v>2.4140000000000002E-2</v>
      </c>
      <c r="F13721" s="4" t="str">
        <f>TEXT( B13721, "ddd" )</f>
        <v>Fri</v>
      </c>
    </row>
    <row r="13722" spans="2:6" ht="13.8">
      <c r="B13722" s="187">
        <v>41869</v>
      </c>
      <c r="C13722" s="189">
        <v>2.39</v>
      </c>
      <c r="D13722" s="104">
        <f t="shared" si="214"/>
        <v>2.3900000000000001E-2</v>
      </c>
    </row>
    <row r="13723" spans="2:6" ht="13.8">
      <c r="B13723" s="187">
        <v>41870</v>
      </c>
      <c r="C13723" s="189">
        <v>2.4</v>
      </c>
      <c r="D13723" s="104">
        <f t="shared" si="214"/>
        <v>2.4E-2</v>
      </c>
    </row>
    <row r="13724" spans="2:6" ht="13.8">
      <c r="B13724" s="187">
        <v>41871</v>
      </c>
      <c r="C13724" s="189">
        <v>2.4300000000000002</v>
      </c>
      <c r="D13724" s="104">
        <f t="shared" si="214"/>
        <v>2.4300000000000002E-2</v>
      </c>
    </row>
    <row r="13725" spans="2:6" ht="13.8">
      <c r="B13725" s="187">
        <v>41872</v>
      </c>
      <c r="C13725" s="189">
        <v>2.41</v>
      </c>
      <c r="D13725" s="104">
        <f t="shared" si="214"/>
        <v>2.41E-2</v>
      </c>
    </row>
    <row r="13726" spans="2:6" ht="13.8">
      <c r="B13726" s="187">
        <v>41873</v>
      </c>
      <c r="C13726" s="189">
        <v>2.4</v>
      </c>
      <c r="D13726" s="104">
        <f t="shared" si="214"/>
        <v>2.4E-2</v>
      </c>
      <c r="E13726" s="104">
        <f>AVERAGE( D13722:D13726)</f>
        <v>2.4059999999999998E-2</v>
      </c>
      <c r="F13726" s="4" t="str">
        <f>TEXT( B13726, "ddd" )</f>
        <v>Fri</v>
      </c>
    </row>
    <row r="13727" spans="2:6" ht="13.8">
      <c r="B13727" s="187">
        <v>41876</v>
      </c>
      <c r="C13727" s="189">
        <v>2.39</v>
      </c>
      <c r="D13727" s="104">
        <f t="shared" si="214"/>
        <v>2.3900000000000001E-2</v>
      </c>
    </row>
    <row r="13728" spans="2:6" ht="13.8">
      <c r="B13728" s="187">
        <v>41877</v>
      </c>
      <c r="C13728" s="189">
        <v>2.39</v>
      </c>
      <c r="D13728" s="104">
        <f t="shared" si="214"/>
        <v>2.3900000000000001E-2</v>
      </c>
    </row>
    <row r="13729" spans="2:6" ht="13.8">
      <c r="B13729" s="187">
        <v>41878</v>
      </c>
      <c r="C13729" s="189">
        <v>2.37</v>
      </c>
      <c r="D13729" s="104">
        <f t="shared" si="214"/>
        <v>2.3700000000000002E-2</v>
      </c>
    </row>
    <row r="13730" spans="2:6" ht="13.8">
      <c r="B13730" s="187">
        <v>41879</v>
      </c>
      <c r="C13730" s="189">
        <v>2.34</v>
      </c>
      <c r="D13730" s="104">
        <f t="shared" si="214"/>
        <v>2.3399999999999997E-2</v>
      </c>
    </row>
    <row r="13731" spans="2:6" ht="13.8">
      <c r="B13731" s="187">
        <v>41880</v>
      </c>
      <c r="C13731" s="189">
        <v>2.35</v>
      </c>
      <c r="D13731" s="104">
        <f t="shared" si="214"/>
        <v>2.35E-2</v>
      </c>
      <c r="E13731" s="104">
        <f>AVERAGE( D13727:D13731)</f>
        <v>2.368E-2</v>
      </c>
      <c r="F13731" s="4" t="str">
        <f>TEXT( B13731, "ddd" )</f>
        <v>Fri</v>
      </c>
    </row>
    <row r="13732" spans="2:6" ht="13.8">
      <c r="B13732" s="187">
        <v>41883</v>
      </c>
      <c r="C13732" s="189" t="s">
        <v>380</v>
      </c>
      <c r="D13732" s="104">
        <f t="shared" si="214"/>
        <v>2.35E-2</v>
      </c>
    </row>
    <row r="13733" spans="2:6" ht="13.8">
      <c r="B13733" s="187">
        <v>41884</v>
      </c>
      <c r="C13733" s="189">
        <v>2.42</v>
      </c>
      <c r="D13733" s="104">
        <f t="shared" si="214"/>
        <v>2.4199999999999999E-2</v>
      </c>
    </row>
    <row r="13734" spans="2:6" ht="13.8">
      <c r="B13734" s="187">
        <v>41885</v>
      </c>
      <c r="C13734" s="189">
        <v>2.41</v>
      </c>
      <c r="D13734" s="104">
        <f t="shared" si="214"/>
        <v>2.41E-2</v>
      </c>
    </row>
    <row r="13735" spans="2:6" ht="13.8">
      <c r="B13735" s="187">
        <v>41886</v>
      </c>
      <c r="C13735" s="189">
        <v>2.4500000000000002</v>
      </c>
      <c r="D13735" s="104">
        <f t="shared" si="214"/>
        <v>2.4500000000000001E-2</v>
      </c>
    </row>
    <row r="13736" spans="2:6" ht="13.8">
      <c r="B13736" s="187">
        <v>41887</v>
      </c>
      <c r="C13736" s="189">
        <v>2.46</v>
      </c>
      <c r="D13736" s="104">
        <f t="shared" si="214"/>
        <v>2.46E-2</v>
      </c>
      <c r="E13736" s="104">
        <f>AVERAGE( D13732:D13736)</f>
        <v>2.418E-2</v>
      </c>
      <c r="F13736" s="4" t="str">
        <f>TEXT( B13736, "ddd" )</f>
        <v>Fri</v>
      </c>
    </row>
    <row r="13737" spans="2:6" ht="13.8">
      <c r="B13737" s="187">
        <v>41890</v>
      </c>
      <c r="C13737" s="189">
        <v>2.48</v>
      </c>
      <c r="D13737" s="104">
        <f t="shared" si="214"/>
        <v>2.4799999999999999E-2</v>
      </c>
    </row>
    <row r="13738" spans="2:6" ht="13.8">
      <c r="B13738" s="187">
        <v>41891</v>
      </c>
      <c r="C13738" s="189">
        <v>2.5</v>
      </c>
      <c r="D13738" s="104">
        <f t="shared" si="214"/>
        <v>2.5000000000000001E-2</v>
      </c>
    </row>
    <row r="13739" spans="2:6" ht="13.8">
      <c r="B13739" s="187">
        <v>41892</v>
      </c>
      <c r="C13739" s="189">
        <v>2.54</v>
      </c>
      <c r="D13739" s="104">
        <f t="shared" si="214"/>
        <v>2.5399999999999999E-2</v>
      </c>
    </row>
    <row r="13740" spans="2:6" ht="13.8">
      <c r="B13740" s="187">
        <v>41893</v>
      </c>
      <c r="C13740" s="189">
        <v>2.54</v>
      </c>
      <c r="D13740" s="104">
        <f t="shared" si="214"/>
        <v>2.5399999999999999E-2</v>
      </c>
    </row>
    <row r="13741" spans="2:6" ht="13.8">
      <c r="B13741" s="187">
        <v>41894</v>
      </c>
      <c r="C13741" s="189">
        <v>2.62</v>
      </c>
      <c r="D13741" s="104">
        <f t="shared" si="214"/>
        <v>2.6200000000000001E-2</v>
      </c>
      <c r="E13741" s="104">
        <f>AVERAGE( D13737:D13741)</f>
        <v>2.5360000000000001E-2</v>
      </c>
      <c r="F13741" s="4" t="str">
        <f>TEXT( B13741, "ddd" )</f>
        <v>Fri</v>
      </c>
    </row>
    <row r="13742" spans="2:6" ht="13.8">
      <c r="B13742" s="187">
        <v>41897</v>
      </c>
      <c r="C13742" s="189">
        <v>2.6</v>
      </c>
      <c r="D13742" s="104">
        <f t="shared" si="214"/>
        <v>2.6000000000000002E-2</v>
      </c>
    </row>
    <row r="13743" spans="2:6" ht="13.8">
      <c r="B13743" s="187">
        <v>41898</v>
      </c>
      <c r="C13743" s="189">
        <v>2.6</v>
      </c>
      <c r="D13743" s="104">
        <f t="shared" si="214"/>
        <v>2.6000000000000002E-2</v>
      </c>
    </row>
    <row r="13744" spans="2:6" ht="13.8">
      <c r="B13744" s="187">
        <v>41899</v>
      </c>
      <c r="C13744" s="189">
        <v>2.62</v>
      </c>
      <c r="D13744" s="104">
        <f t="shared" si="214"/>
        <v>2.6200000000000001E-2</v>
      </c>
    </row>
    <row r="13745" spans="2:6" ht="13.8">
      <c r="B13745" s="187">
        <v>41900</v>
      </c>
      <c r="C13745" s="189">
        <v>2.63</v>
      </c>
      <c r="D13745" s="104">
        <f t="shared" si="214"/>
        <v>2.63E-2</v>
      </c>
    </row>
    <row r="13746" spans="2:6" ht="13.8">
      <c r="B13746" s="187">
        <v>41901</v>
      </c>
      <c r="C13746" s="189">
        <v>2.59</v>
      </c>
      <c r="D13746" s="104">
        <f t="shared" si="214"/>
        <v>2.5899999999999999E-2</v>
      </c>
      <c r="E13746" s="104">
        <f>AVERAGE( D13742:D13746)</f>
        <v>2.6080000000000002E-2</v>
      </c>
      <c r="F13746" s="4" t="str">
        <f>TEXT( B13746, "ddd" )</f>
        <v>Fri</v>
      </c>
    </row>
    <row r="13747" spans="2:6" ht="13.8">
      <c r="B13747" s="187">
        <v>41904</v>
      </c>
      <c r="C13747" s="189">
        <v>2.57</v>
      </c>
      <c r="D13747" s="104">
        <f t="shared" si="214"/>
        <v>2.5699999999999997E-2</v>
      </c>
    </row>
    <row r="13748" spans="2:6" ht="13.8">
      <c r="B13748" s="187">
        <v>41905</v>
      </c>
      <c r="C13748" s="189">
        <v>2.54</v>
      </c>
      <c r="D13748" s="104">
        <f t="shared" si="214"/>
        <v>2.5399999999999999E-2</v>
      </c>
    </row>
    <row r="13749" spans="2:6" ht="13.8">
      <c r="B13749" s="187">
        <v>41906</v>
      </c>
      <c r="C13749" s="189">
        <v>2.57</v>
      </c>
      <c r="D13749" s="104">
        <f t="shared" ref="D13749:D13812" si="215">IF( LEN( C13749 ) = 0, #N/A, IF( C13749 = "ND", D13748, C13749 / 100 ) )</f>
        <v>2.5699999999999997E-2</v>
      </c>
    </row>
    <row r="13750" spans="2:6" ht="13.8">
      <c r="B13750" s="187">
        <v>41907</v>
      </c>
      <c r="C13750" s="189">
        <v>2.52</v>
      </c>
      <c r="D13750" s="104">
        <f t="shared" si="215"/>
        <v>2.52E-2</v>
      </c>
    </row>
    <row r="13751" spans="2:6" ht="13.8">
      <c r="B13751" s="187">
        <v>41908</v>
      </c>
      <c r="C13751" s="189">
        <v>2.54</v>
      </c>
      <c r="D13751" s="104">
        <f t="shared" si="215"/>
        <v>2.5399999999999999E-2</v>
      </c>
      <c r="E13751" s="104">
        <f>AVERAGE( D13747:D13751)</f>
        <v>2.5479999999999996E-2</v>
      </c>
      <c r="F13751" s="4" t="str">
        <f>TEXT( B13751, "ddd" )</f>
        <v>Fri</v>
      </c>
    </row>
    <row r="13752" spans="2:6" ht="13.8">
      <c r="B13752" s="187">
        <v>41911</v>
      </c>
      <c r="C13752" s="189">
        <v>2.5</v>
      </c>
      <c r="D13752" s="104">
        <f t="shared" si="215"/>
        <v>2.5000000000000001E-2</v>
      </c>
    </row>
    <row r="13753" spans="2:6" ht="13.8">
      <c r="B13753" s="187">
        <v>41912</v>
      </c>
      <c r="C13753" s="189">
        <v>2.52</v>
      </c>
      <c r="D13753" s="104">
        <f t="shared" si="215"/>
        <v>2.52E-2</v>
      </c>
    </row>
    <row r="13754" spans="2:6" ht="13.8">
      <c r="B13754" s="187">
        <v>41913</v>
      </c>
      <c r="C13754" s="189">
        <v>2.42</v>
      </c>
      <c r="D13754" s="104">
        <f t="shared" si="215"/>
        <v>2.4199999999999999E-2</v>
      </c>
    </row>
    <row r="13755" spans="2:6" ht="13.8">
      <c r="B13755" s="187">
        <v>41914</v>
      </c>
      <c r="C13755" s="189">
        <v>2.44</v>
      </c>
      <c r="D13755" s="104">
        <f t="shared" si="215"/>
        <v>2.4399999999999998E-2</v>
      </c>
    </row>
    <row r="13756" spans="2:6" ht="13.8">
      <c r="B13756" s="187">
        <v>41915</v>
      </c>
      <c r="C13756" s="189">
        <v>2.4500000000000002</v>
      </c>
      <c r="D13756" s="104">
        <f t="shared" si="215"/>
        <v>2.4500000000000001E-2</v>
      </c>
      <c r="E13756" s="104">
        <f>AVERAGE( D13752:D13756)</f>
        <v>2.4659999999999998E-2</v>
      </c>
      <c r="F13756" s="4" t="str">
        <f>TEXT( B13756, "ddd" )</f>
        <v>Fri</v>
      </c>
    </row>
    <row r="13757" spans="2:6" ht="13.8">
      <c r="B13757" s="187">
        <v>41918</v>
      </c>
      <c r="C13757" s="189">
        <v>2.4300000000000002</v>
      </c>
      <c r="D13757" s="104">
        <f t="shared" si="215"/>
        <v>2.4300000000000002E-2</v>
      </c>
    </row>
    <row r="13758" spans="2:6" ht="13.8">
      <c r="B13758" s="187">
        <v>41919</v>
      </c>
      <c r="C13758" s="189">
        <v>2.36</v>
      </c>
      <c r="D13758" s="104">
        <f t="shared" si="215"/>
        <v>2.3599999999999999E-2</v>
      </c>
    </row>
    <row r="13759" spans="2:6" ht="13.8">
      <c r="B13759" s="187">
        <v>41920</v>
      </c>
      <c r="C13759" s="189">
        <v>2.35</v>
      </c>
      <c r="D13759" s="104">
        <f t="shared" si="215"/>
        <v>2.35E-2</v>
      </c>
    </row>
    <row r="13760" spans="2:6" ht="13.8">
      <c r="B13760" s="187">
        <v>41921</v>
      </c>
      <c r="C13760" s="189">
        <v>2.34</v>
      </c>
      <c r="D13760" s="104">
        <f t="shared" si="215"/>
        <v>2.3399999999999997E-2</v>
      </c>
    </row>
    <row r="13761" spans="2:6" ht="13.8">
      <c r="B13761" s="187">
        <v>41922</v>
      </c>
      <c r="C13761" s="189">
        <v>2.31</v>
      </c>
      <c r="D13761" s="104">
        <f t="shared" si="215"/>
        <v>2.3099999999999999E-2</v>
      </c>
      <c r="E13761" s="104">
        <f>AVERAGE( D13757:D13761)</f>
        <v>2.3579999999999997E-2</v>
      </c>
      <c r="F13761" s="4" t="str">
        <f>TEXT( B13761, "ddd" )</f>
        <v>Fri</v>
      </c>
    </row>
    <row r="13762" spans="2:6" ht="13.8">
      <c r="B13762" s="187">
        <v>41925</v>
      </c>
      <c r="C13762" s="189" t="s">
        <v>380</v>
      </c>
      <c r="D13762" s="104">
        <f t="shared" si="215"/>
        <v>2.3099999999999999E-2</v>
      </c>
    </row>
    <row r="13763" spans="2:6" ht="13.8">
      <c r="B13763" s="187">
        <v>41926</v>
      </c>
      <c r="C13763" s="189">
        <v>2.21</v>
      </c>
      <c r="D13763" s="104">
        <f t="shared" si="215"/>
        <v>2.2099999999999998E-2</v>
      </c>
    </row>
    <row r="13764" spans="2:6" ht="13.8">
      <c r="B13764" s="187">
        <v>41927</v>
      </c>
      <c r="C13764" s="189">
        <v>2.15</v>
      </c>
      <c r="D13764" s="104">
        <f t="shared" si="215"/>
        <v>2.1499999999999998E-2</v>
      </c>
    </row>
    <row r="13765" spans="2:6" ht="13.8">
      <c r="B13765" s="187">
        <v>41928</v>
      </c>
      <c r="C13765" s="189">
        <v>2.17</v>
      </c>
      <c r="D13765" s="104">
        <f t="shared" si="215"/>
        <v>2.1700000000000001E-2</v>
      </c>
    </row>
    <row r="13766" spans="2:6" ht="13.8">
      <c r="B13766" s="187">
        <v>41929</v>
      </c>
      <c r="C13766" s="189">
        <v>2.2200000000000002</v>
      </c>
      <c r="D13766" s="104">
        <f t="shared" si="215"/>
        <v>2.2200000000000001E-2</v>
      </c>
      <c r="E13766" s="104">
        <f>AVERAGE( D13762:D13766)</f>
        <v>2.2119999999999997E-2</v>
      </c>
      <c r="F13766" s="4" t="str">
        <f>TEXT( B13766, "ddd" )</f>
        <v>Fri</v>
      </c>
    </row>
    <row r="13767" spans="2:6" ht="13.8">
      <c r="B13767" s="187">
        <v>41932</v>
      </c>
      <c r="C13767" s="189">
        <v>2.2000000000000002</v>
      </c>
      <c r="D13767" s="104">
        <f t="shared" si="215"/>
        <v>2.2000000000000002E-2</v>
      </c>
    </row>
    <row r="13768" spans="2:6" ht="13.8">
      <c r="B13768" s="187">
        <v>41933</v>
      </c>
      <c r="C13768" s="189">
        <v>2.23</v>
      </c>
      <c r="D13768" s="104">
        <f t="shared" si="215"/>
        <v>2.23E-2</v>
      </c>
    </row>
    <row r="13769" spans="2:6" ht="13.8">
      <c r="B13769" s="187">
        <v>41934</v>
      </c>
      <c r="C13769" s="189">
        <v>2.25</v>
      </c>
      <c r="D13769" s="104">
        <f t="shared" si="215"/>
        <v>2.2499999999999999E-2</v>
      </c>
    </row>
    <row r="13770" spans="2:6" ht="13.8">
      <c r="B13770" s="187">
        <v>41935</v>
      </c>
      <c r="C13770" s="189">
        <v>2.29</v>
      </c>
      <c r="D13770" s="104">
        <f t="shared" si="215"/>
        <v>2.29E-2</v>
      </c>
    </row>
    <row r="13771" spans="2:6" ht="13.8">
      <c r="B13771" s="187">
        <v>41936</v>
      </c>
      <c r="C13771" s="189">
        <v>2.29</v>
      </c>
      <c r="D13771" s="104">
        <f t="shared" si="215"/>
        <v>2.29E-2</v>
      </c>
      <c r="E13771" s="104">
        <f>AVERAGE( D13767:D13771)</f>
        <v>2.2520000000000002E-2</v>
      </c>
      <c r="F13771" s="4" t="str">
        <f>TEXT( B13771, "ddd" )</f>
        <v>Fri</v>
      </c>
    </row>
    <row r="13772" spans="2:6" ht="13.8">
      <c r="B13772" s="187">
        <v>41939</v>
      </c>
      <c r="C13772" s="189">
        <v>2.27</v>
      </c>
      <c r="D13772" s="104">
        <f t="shared" si="215"/>
        <v>2.2700000000000001E-2</v>
      </c>
    </row>
    <row r="13773" spans="2:6" ht="13.8">
      <c r="B13773" s="187">
        <v>41940</v>
      </c>
      <c r="C13773" s="189">
        <v>2.2999999999999998</v>
      </c>
      <c r="D13773" s="104">
        <f t="shared" si="215"/>
        <v>2.3E-2</v>
      </c>
    </row>
    <row r="13774" spans="2:6" ht="13.8">
      <c r="B13774" s="187">
        <v>41941</v>
      </c>
      <c r="C13774" s="189">
        <v>2.34</v>
      </c>
      <c r="D13774" s="104">
        <f t="shared" si="215"/>
        <v>2.3399999999999997E-2</v>
      </c>
    </row>
    <row r="13775" spans="2:6" ht="13.8">
      <c r="B13775" s="187">
        <v>41942</v>
      </c>
      <c r="C13775" s="189">
        <v>2.3199999999999998</v>
      </c>
      <c r="D13775" s="104">
        <f t="shared" si="215"/>
        <v>2.3199999999999998E-2</v>
      </c>
    </row>
    <row r="13776" spans="2:6" ht="13.8">
      <c r="B13776" s="187">
        <v>41943</v>
      </c>
      <c r="C13776" s="189">
        <v>2.35</v>
      </c>
      <c r="D13776" s="104">
        <f t="shared" si="215"/>
        <v>2.35E-2</v>
      </c>
      <c r="E13776" s="104">
        <f>AVERAGE( D13772:D13776)</f>
        <v>2.3159999999999997E-2</v>
      </c>
      <c r="F13776" s="4" t="str">
        <f>TEXT( B13776, "ddd" )</f>
        <v>Fri</v>
      </c>
    </row>
    <row r="13777" spans="2:6" ht="13.8">
      <c r="B13777" s="187">
        <v>41946</v>
      </c>
      <c r="C13777" s="189">
        <v>2.36</v>
      </c>
      <c r="D13777" s="104">
        <f t="shared" si="215"/>
        <v>2.3599999999999999E-2</v>
      </c>
    </row>
    <row r="13778" spans="2:6" ht="13.8">
      <c r="B13778" s="187">
        <v>41947</v>
      </c>
      <c r="C13778" s="189">
        <v>2.35</v>
      </c>
      <c r="D13778" s="104">
        <f t="shared" si="215"/>
        <v>2.35E-2</v>
      </c>
    </row>
    <row r="13779" spans="2:6" ht="13.8">
      <c r="B13779" s="187">
        <v>41948</v>
      </c>
      <c r="C13779" s="189">
        <v>2.36</v>
      </c>
      <c r="D13779" s="104">
        <f t="shared" si="215"/>
        <v>2.3599999999999999E-2</v>
      </c>
    </row>
    <row r="13780" spans="2:6" ht="13.8">
      <c r="B13780" s="187">
        <v>41949</v>
      </c>
      <c r="C13780" s="189">
        <v>2.39</v>
      </c>
      <c r="D13780" s="104">
        <f t="shared" si="215"/>
        <v>2.3900000000000001E-2</v>
      </c>
    </row>
    <row r="13781" spans="2:6" ht="13.8">
      <c r="B13781" s="187">
        <v>41950</v>
      </c>
      <c r="C13781" s="189">
        <v>2.3199999999999998</v>
      </c>
      <c r="D13781" s="104">
        <f t="shared" si="215"/>
        <v>2.3199999999999998E-2</v>
      </c>
      <c r="E13781" s="104">
        <f>AVERAGE( D13777:D13781)</f>
        <v>2.3560000000000001E-2</v>
      </c>
      <c r="F13781" s="4" t="str">
        <f>TEXT( B13781, "ddd" )</f>
        <v>Fri</v>
      </c>
    </row>
    <row r="13782" spans="2:6" ht="13.8">
      <c r="B13782" s="187">
        <v>41953</v>
      </c>
      <c r="C13782" s="189">
        <v>2.38</v>
      </c>
      <c r="D13782" s="104">
        <f t="shared" si="215"/>
        <v>2.3799999999999998E-2</v>
      </c>
    </row>
    <row r="13783" spans="2:6" ht="13.8">
      <c r="B13783" s="187">
        <v>41954</v>
      </c>
      <c r="C13783" s="189" t="s">
        <v>380</v>
      </c>
      <c r="D13783" s="104">
        <f t="shared" si="215"/>
        <v>2.3799999999999998E-2</v>
      </c>
    </row>
    <row r="13784" spans="2:6" ht="13.8">
      <c r="B13784" s="187">
        <v>41955</v>
      </c>
      <c r="C13784" s="189">
        <v>2.37</v>
      </c>
      <c r="D13784" s="104">
        <f t="shared" si="215"/>
        <v>2.3700000000000002E-2</v>
      </c>
    </row>
    <row r="13785" spans="2:6" ht="13.8">
      <c r="B13785" s="187">
        <v>41956</v>
      </c>
      <c r="C13785" s="189">
        <v>2.35</v>
      </c>
      <c r="D13785" s="104">
        <f t="shared" si="215"/>
        <v>2.35E-2</v>
      </c>
    </row>
    <row r="13786" spans="2:6" ht="13.8">
      <c r="B13786" s="187">
        <v>41957</v>
      </c>
      <c r="C13786" s="189">
        <v>2.3199999999999998</v>
      </c>
      <c r="D13786" s="104">
        <f t="shared" si="215"/>
        <v>2.3199999999999998E-2</v>
      </c>
      <c r="E13786" s="104">
        <f>AVERAGE( D13782:D13786)</f>
        <v>2.3599999999999999E-2</v>
      </c>
      <c r="F13786" s="4" t="str">
        <f>TEXT( B13786, "ddd" )</f>
        <v>Fri</v>
      </c>
    </row>
    <row r="13787" spans="2:6" ht="13.8">
      <c r="B13787" s="187">
        <v>41960</v>
      </c>
      <c r="C13787" s="189">
        <v>2.34</v>
      </c>
      <c r="D13787" s="104">
        <f t="shared" si="215"/>
        <v>2.3399999999999997E-2</v>
      </c>
    </row>
    <row r="13788" spans="2:6" ht="13.8">
      <c r="B13788" s="187">
        <v>41961</v>
      </c>
      <c r="C13788" s="189">
        <v>2.3199999999999998</v>
      </c>
      <c r="D13788" s="104">
        <f t="shared" si="215"/>
        <v>2.3199999999999998E-2</v>
      </c>
    </row>
    <row r="13789" spans="2:6" ht="13.8">
      <c r="B13789" s="187">
        <v>41962</v>
      </c>
      <c r="C13789" s="189">
        <v>2.36</v>
      </c>
      <c r="D13789" s="104">
        <f t="shared" si="215"/>
        <v>2.3599999999999999E-2</v>
      </c>
    </row>
    <row r="13790" spans="2:6" ht="13.8">
      <c r="B13790" s="187">
        <v>41963</v>
      </c>
      <c r="C13790" s="189">
        <v>2.34</v>
      </c>
      <c r="D13790" s="104">
        <f t="shared" si="215"/>
        <v>2.3399999999999997E-2</v>
      </c>
    </row>
    <row r="13791" spans="2:6" ht="13.8">
      <c r="B13791" s="187">
        <v>41964</v>
      </c>
      <c r="C13791" s="189">
        <v>2.31</v>
      </c>
      <c r="D13791" s="104">
        <f t="shared" si="215"/>
        <v>2.3099999999999999E-2</v>
      </c>
      <c r="E13791" s="104">
        <f>AVERAGE( D13787:D13791)</f>
        <v>2.3339999999999996E-2</v>
      </c>
      <c r="F13791" s="4" t="str">
        <f>TEXT( B13791, "ddd" )</f>
        <v>Fri</v>
      </c>
    </row>
    <row r="13792" spans="2:6" ht="13.8">
      <c r="B13792" s="187">
        <v>41967</v>
      </c>
      <c r="C13792" s="189">
        <v>2.2999999999999998</v>
      </c>
      <c r="D13792" s="104">
        <f t="shared" si="215"/>
        <v>2.3E-2</v>
      </c>
    </row>
    <row r="13793" spans="2:6" ht="13.8">
      <c r="B13793" s="187">
        <v>41968</v>
      </c>
      <c r="C13793" s="189">
        <v>2.27</v>
      </c>
      <c r="D13793" s="104">
        <f t="shared" si="215"/>
        <v>2.2700000000000001E-2</v>
      </c>
    </row>
    <row r="13794" spans="2:6" ht="13.8">
      <c r="B13794" s="187">
        <v>41969</v>
      </c>
      <c r="C13794" s="189">
        <v>2.2400000000000002</v>
      </c>
      <c r="D13794" s="104">
        <f t="shared" si="215"/>
        <v>2.2400000000000003E-2</v>
      </c>
    </row>
    <row r="13795" spans="2:6" ht="13.8">
      <c r="B13795" s="187">
        <v>41970</v>
      </c>
      <c r="C13795" s="189" t="s">
        <v>380</v>
      </c>
      <c r="D13795" s="104">
        <f t="shared" si="215"/>
        <v>2.2400000000000003E-2</v>
      </c>
    </row>
    <row r="13796" spans="2:6" ht="13.8">
      <c r="B13796" s="187">
        <v>41971</v>
      </c>
      <c r="C13796" s="189">
        <v>2.1800000000000002</v>
      </c>
      <c r="D13796" s="104">
        <f t="shared" si="215"/>
        <v>2.18E-2</v>
      </c>
      <c r="E13796" s="104">
        <f>AVERAGE( D13792:D13796)</f>
        <v>2.2460000000000001E-2</v>
      </c>
      <c r="F13796" s="4" t="str">
        <f>TEXT( B13796, "ddd" )</f>
        <v>Fri</v>
      </c>
    </row>
    <row r="13797" spans="2:6" ht="13.8">
      <c r="B13797" s="187">
        <v>41974</v>
      </c>
      <c r="C13797" s="189">
        <v>2.2200000000000002</v>
      </c>
      <c r="D13797" s="104">
        <f t="shared" si="215"/>
        <v>2.2200000000000001E-2</v>
      </c>
    </row>
    <row r="13798" spans="2:6" ht="13.8">
      <c r="B13798" s="187">
        <v>41975</v>
      </c>
      <c r="C13798" s="189">
        <v>2.2799999999999998</v>
      </c>
      <c r="D13798" s="104">
        <f t="shared" si="215"/>
        <v>2.2799999999999997E-2</v>
      </c>
    </row>
    <row r="13799" spans="2:6" ht="13.8">
      <c r="B13799" s="187">
        <v>41976</v>
      </c>
      <c r="C13799" s="189">
        <v>2.29</v>
      </c>
      <c r="D13799" s="104">
        <f t="shared" si="215"/>
        <v>2.29E-2</v>
      </c>
    </row>
    <row r="13800" spans="2:6" ht="13.8">
      <c r="B13800" s="187">
        <v>41977</v>
      </c>
      <c r="C13800" s="189">
        <v>2.25</v>
      </c>
      <c r="D13800" s="104">
        <f t="shared" si="215"/>
        <v>2.2499999999999999E-2</v>
      </c>
    </row>
    <row r="13801" spans="2:6" ht="13.8">
      <c r="B13801" s="187">
        <v>41978</v>
      </c>
      <c r="C13801" s="189">
        <v>2.31</v>
      </c>
      <c r="D13801" s="104">
        <f t="shared" si="215"/>
        <v>2.3099999999999999E-2</v>
      </c>
      <c r="E13801" s="104">
        <f>AVERAGE( D13797:D13801)</f>
        <v>2.2700000000000001E-2</v>
      </c>
      <c r="F13801" s="4" t="str">
        <f>TEXT( B13801, "ddd" )</f>
        <v>Fri</v>
      </c>
    </row>
    <row r="13802" spans="2:6" ht="13.8">
      <c r="B13802" s="187">
        <v>41981</v>
      </c>
      <c r="C13802" s="189">
        <v>2.2599999999999998</v>
      </c>
      <c r="D13802" s="104">
        <f t="shared" si="215"/>
        <v>2.2599999999999999E-2</v>
      </c>
    </row>
    <row r="13803" spans="2:6" ht="13.8">
      <c r="B13803" s="187">
        <v>41982</v>
      </c>
      <c r="C13803" s="189">
        <v>2.2200000000000002</v>
      </c>
      <c r="D13803" s="104">
        <f t="shared" si="215"/>
        <v>2.2200000000000001E-2</v>
      </c>
    </row>
    <row r="13804" spans="2:6" ht="13.8">
      <c r="B13804" s="187">
        <v>41983</v>
      </c>
      <c r="C13804" s="189">
        <v>2.1800000000000002</v>
      </c>
      <c r="D13804" s="104">
        <f t="shared" si="215"/>
        <v>2.18E-2</v>
      </c>
    </row>
    <row r="13805" spans="2:6" ht="13.8">
      <c r="B13805" s="187">
        <v>41984</v>
      </c>
      <c r="C13805" s="189">
        <v>2.19</v>
      </c>
      <c r="D13805" s="104">
        <f t="shared" si="215"/>
        <v>2.1899999999999999E-2</v>
      </c>
    </row>
    <row r="13806" spans="2:6" ht="13.8">
      <c r="B13806" s="187">
        <v>41985</v>
      </c>
      <c r="C13806" s="189">
        <v>2.1</v>
      </c>
      <c r="D13806" s="104">
        <f t="shared" si="215"/>
        <v>2.1000000000000001E-2</v>
      </c>
      <c r="E13806" s="104">
        <f>AVERAGE( D13802:D13806)</f>
        <v>2.1899999999999999E-2</v>
      </c>
      <c r="F13806" s="4" t="str">
        <f>TEXT( B13806, "ddd" )</f>
        <v>Fri</v>
      </c>
    </row>
    <row r="13807" spans="2:6" ht="13.8">
      <c r="B13807" s="187">
        <v>41988</v>
      </c>
      <c r="C13807" s="189">
        <v>2.12</v>
      </c>
      <c r="D13807" s="104">
        <f t="shared" si="215"/>
        <v>2.12E-2</v>
      </c>
    </row>
    <row r="13808" spans="2:6" ht="13.8">
      <c r="B13808" s="187">
        <v>41989</v>
      </c>
      <c r="C13808" s="189">
        <v>2.0699999999999998</v>
      </c>
      <c r="D13808" s="104">
        <f t="shared" si="215"/>
        <v>2.07E-2</v>
      </c>
    </row>
    <row r="13809" spans="2:6" ht="13.8">
      <c r="B13809" s="187">
        <v>41990</v>
      </c>
      <c r="C13809" s="189">
        <v>2.14</v>
      </c>
      <c r="D13809" s="104">
        <f t="shared" si="215"/>
        <v>2.1400000000000002E-2</v>
      </c>
    </row>
    <row r="13810" spans="2:6" ht="13.8">
      <c r="B13810" s="187">
        <v>41991</v>
      </c>
      <c r="C13810" s="189">
        <v>2.2200000000000002</v>
      </c>
      <c r="D13810" s="104">
        <f t="shared" si="215"/>
        <v>2.2200000000000001E-2</v>
      </c>
    </row>
    <row r="13811" spans="2:6" ht="13.8">
      <c r="B13811" s="187">
        <v>41992</v>
      </c>
      <c r="C13811" s="189">
        <v>2.17</v>
      </c>
      <c r="D13811" s="104">
        <f t="shared" si="215"/>
        <v>2.1700000000000001E-2</v>
      </c>
      <c r="E13811" s="104">
        <f>AVERAGE( D13807:D13811)</f>
        <v>2.1439999999999997E-2</v>
      </c>
      <c r="F13811" s="4" t="str">
        <f>TEXT( B13811, "ddd" )</f>
        <v>Fri</v>
      </c>
    </row>
    <row r="13812" spans="2:6" ht="13.8">
      <c r="B13812" s="187">
        <v>41995</v>
      </c>
      <c r="C13812" s="189">
        <v>2.17</v>
      </c>
      <c r="D13812" s="104">
        <f t="shared" si="215"/>
        <v>2.1700000000000001E-2</v>
      </c>
    </row>
    <row r="13813" spans="2:6" ht="13.8">
      <c r="B13813" s="187">
        <v>41996</v>
      </c>
      <c r="C13813" s="189">
        <v>2.2599999999999998</v>
      </c>
      <c r="D13813" s="104">
        <f t="shared" ref="D13813:D13876" si="216">IF( LEN( C13813 ) = 0, #N/A, IF( C13813 = "ND", D13812, C13813 / 100 ) )</f>
        <v>2.2599999999999999E-2</v>
      </c>
    </row>
    <row r="13814" spans="2:6" ht="13.8">
      <c r="B13814" s="187">
        <v>41997</v>
      </c>
      <c r="C13814" s="189">
        <v>2.27</v>
      </c>
      <c r="D13814" s="104">
        <f t="shared" si="216"/>
        <v>2.2700000000000001E-2</v>
      </c>
    </row>
    <row r="13815" spans="2:6" ht="13.8">
      <c r="B13815" s="187">
        <v>41998</v>
      </c>
      <c r="C13815" s="189" t="s">
        <v>380</v>
      </c>
      <c r="D13815" s="104">
        <f t="shared" si="216"/>
        <v>2.2700000000000001E-2</v>
      </c>
    </row>
    <row r="13816" spans="2:6" ht="13.8">
      <c r="B13816" s="187">
        <v>41999</v>
      </c>
      <c r="C13816" s="189">
        <v>2.25</v>
      </c>
      <c r="D13816" s="104">
        <f t="shared" si="216"/>
        <v>2.2499999999999999E-2</v>
      </c>
      <c r="E13816" s="104">
        <f>AVERAGE( D13812:D13816)</f>
        <v>2.2439999999999998E-2</v>
      </c>
      <c r="F13816" s="4" t="str">
        <f>TEXT( B13816, "ddd" )</f>
        <v>Fri</v>
      </c>
    </row>
    <row r="13817" spans="2:6" ht="13.8">
      <c r="B13817" s="187">
        <v>42002</v>
      </c>
      <c r="C13817" s="189">
        <v>2.2200000000000002</v>
      </c>
      <c r="D13817" s="104">
        <f t="shared" si="216"/>
        <v>2.2200000000000001E-2</v>
      </c>
    </row>
    <row r="13818" spans="2:6" ht="13.8">
      <c r="B13818" s="187">
        <v>42003</v>
      </c>
      <c r="C13818" s="189">
        <v>2.2000000000000002</v>
      </c>
      <c r="D13818" s="104">
        <f t="shared" si="216"/>
        <v>2.2000000000000002E-2</v>
      </c>
    </row>
    <row r="13819" spans="2:6" ht="13.8">
      <c r="B13819" s="187">
        <v>42004</v>
      </c>
      <c r="C13819" s="189">
        <v>2.17</v>
      </c>
      <c r="D13819" s="104">
        <f t="shared" si="216"/>
        <v>2.1700000000000001E-2</v>
      </c>
    </row>
    <row r="13820" spans="2:6" ht="13.8">
      <c r="B13820" s="187">
        <v>42005</v>
      </c>
      <c r="C13820" s="189" t="s">
        <v>380</v>
      </c>
      <c r="D13820" s="104">
        <f t="shared" si="216"/>
        <v>2.1700000000000001E-2</v>
      </c>
    </row>
    <row r="13821" spans="2:6" ht="13.8">
      <c r="B13821" s="187">
        <v>42006</v>
      </c>
      <c r="C13821" s="189">
        <v>2.12</v>
      </c>
      <c r="D13821" s="104">
        <f t="shared" si="216"/>
        <v>2.12E-2</v>
      </c>
      <c r="E13821" s="104">
        <f>AVERAGE( D13817:D13821)</f>
        <v>2.1759999999999998E-2</v>
      </c>
      <c r="F13821" s="4" t="str">
        <f>TEXT( B13821, "ddd" )</f>
        <v>Fri</v>
      </c>
    </row>
    <row r="13822" spans="2:6" ht="13.8">
      <c r="B13822" s="187">
        <v>42009</v>
      </c>
      <c r="C13822" s="189">
        <v>2.04</v>
      </c>
      <c r="D13822" s="104">
        <f t="shared" si="216"/>
        <v>2.0400000000000001E-2</v>
      </c>
    </row>
    <row r="13823" spans="2:6" ht="13.8">
      <c r="B13823" s="187">
        <v>42010</v>
      </c>
      <c r="C13823" s="189">
        <v>1.97</v>
      </c>
      <c r="D13823" s="104">
        <f t="shared" si="216"/>
        <v>1.9699999999999999E-2</v>
      </c>
    </row>
    <row r="13824" spans="2:6" ht="13.8">
      <c r="B13824" s="187">
        <v>42011</v>
      </c>
      <c r="C13824" s="189">
        <v>1.96</v>
      </c>
      <c r="D13824" s="104">
        <f t="shared" si="216"/>
        <v>1.9599999999999999E-2</v>
      </c>
    </row>
    <row r="13825" spans="2:6" ht="13.8">
      <c r="B13825" s="187">
        <v>42012</v>
      </c>
      <c r="C13825" s="189">
        <v>2.0299999999999998</v>
      </c>
      <c r="D13825" s="104">
        <f t="shared" si="216"/>
        <v>2.0299999999999999E-2</v>
      </c>
    </row>
    <row r="13826" spans="2:6" ht="13.8">
      <c r="B13826" s="187">
        <v>42013</v>
      </c>
      <c r="C13826" s="189">
        <v>1.98</v>
      </c>
      <c r="D13826" s="104">
        <f t="shared" si="216"/>
        <v>1.9799999999999998E-2</v>
      </c>
      <c r="E13826" s="104">
        <f>AVERAGE( D13822:D13826)</f>
        <v>1.9959999999999999E-2</v>
      </c>
      <c r="F13826" s="4" t="str">
        <f>TEXT( B13826, "ddd" )</f>
        <v>Fri</v>
      </c>
    </row>
    <row r="13827" spans="2:6" ht="13.8">
      <c r="B13827" s="187">
        <v>42016</v>
      </c>
      <c r="C13827" s="189">
        <v>1.92</v>
      </c>
      <c r="D13827" s="104">
        <f t="shared" si="216"/>
        <v>1.9199999999999998E-2</v>
      </c>
    </row>
    <row r="13828" spans="2:6" ht="13.8">
      <c r="B13828" s="187">
        <v>42017</v>
      </c>
      <c r="C13828" s="189">
        <v>1.91</v>
      </c>
      <c r="D13828" s="104">
        <f t="shared" si="216"/>
        <v>1.9099999999999999E-2</v>
      </c>
    </row>
    <row r="13829" spans="2:6" ht="13.8">
      <c r="B13829" s="187">
        <v>42018</v>
      </c>
      <c r="C13829" s="189">
        <v>1.86</v>
      </c>
      <c r="D13829" s="104">
        <f t="shared" si="216"/>
        <v>1.8600000000000002E-2</v>
      </c>
    </row>
    <row r="13830" spans="2:6" ht="13.8">
      <c r="B13830" s="187">
        <v>42019</v>
      </c>
      <c r="C13830" s="189">
        <v>1.77</v>
      </c>
      <c r="D13830" s="104">
        <f t="shared" si="216"/>
        <v>1.77E-2</v>
      </c>
    </row>
    <row r="13831" spans="2:6" ht="13.8">
      <c r="B13831" s="187">
        <v>42020</v>
      </c>
      <c r="C13831" s="189">
        <v>1.83</v>
      </c>
      <c r="D13831" s="104">
        <f t="shared" si="216"/>
        <v>1.83E-2</v>
      </c>
      <c r="E13831" s="104">
        <f>AVERAGE( D13827:D13831)</f>
        <v>1.8579999999999999E-2</v>
      </c>
      <c r="F13831" s="4" t="str">
        <f>TEXT( B13831, "ddd" )</f>
        <v>Fri</v>
      </c>
    </row>
    <row r="13832" spans="2:6" ht="13.8">
      <c r="B13832" s="187">
        <v>42023</v>
      </c>
      <c r="C13832" s="189" t="s">
        <v>380</v>
      </c>
      <c r="D13832" s="104">
        <f t="shared" si="216"/>
        <v>1.83E-2</v>
      </c>
    </row>
    <row r="13833" spans="2:6" ht="13.8">
      <c r="B13833" s="187">
        <v>42024</v>
      </c>
      <c r="C13833" s="189">
        <v>1.82</v>
      </c>
      <c r="D13833" s="104">
        <f t="shared" si="216"/>
        <v>1.8200000000000001E-2</v>
      </c>
    </row>
    <row r="13834" spans="2:6" ht="13.8">
      <c r="B13834" s="187">
        <v>42025</v>
      </c>
      <c r="C13834" s="189">
        <v>1.87</v>
      </c>
      <c r="D13834" s="104">
        <f t="shared" si="216"/>
        <v>1.8700000000000001E-2</v>
      </c>
    </row>
    <row r="13835" spans="2:6" ht="13.8">
      <c r="B13835" s="187">
        <v>42026</v>
      </c>
      <c r="C13835" s="189">
        <v>1.9</v>
      </c>
      <c r="D13835" s="104">
        <f t="shared" si="216"/>
        <v>1.9E-2</v>
      </c>
    </row>
    <row r="13836" spans="2:6" ht="13.8">
      <c r="B13836" s="187">
        <v>42027</v>
      </c>
      <c r="C13836" s="189">
        <v>1.81</v>
      </c>
      <c r="D13836" s="104">
        <f t="shared" si="216"/>
        <v>1.8100000000000002E-2</v>
      </c>
      <c r="E13836" s="104">
        <f>AVERAGE( D13832:D13836)</f>
        <v>1.8460000000000001E-2</v>
      </c>
      <c r="F13836" s="4" t="str">
        <f>TEXT( B13836, "ddd" )</f>
        <v>Fri</v>
      </c>
    </row>
    <row r="13837" spans="2:6" ht="13.8">
      <c r="B13837" s="187">
        <v>42030</v>
      </c>
      <c r="C13837" s="189">
        <v>1.83</v>
      </c>
      <c r="D13837" s="104">
        <f t="shared" si="216"/>
        <v>1.83E-2</v>
      </c>
    </row>
    <row r="13838" spans="2:6" ht="13.8">
      <c r="B13838" s="187">
        <v>42031</v>
      </c>
      <c r="C13838" s="189">
        <v>1.83</v>
      </c>
      <c r="D13838" s="104">
        <f t="shared" si="216"/>
        <v>1.83E-2</v>
      </c>
    </row>
    <row r="13839" spans="2:6" ht="13.8">
      <c r="B13839" s="187">
        <v>42032</v>
      </c>
      <c r="C13839" s="189">
        <v>1.73</v>
      </c>
      <c r="D13839" s="104">
        <f t="shared" si="216"/>
        <v>1.7299999999999999E-2</v>
      </c>
    </row>
    <row r="13840" spans="2:6" ht="13.8">
      <c r="B13840" s="187">
        <v>42033</v>
      </c>
      <c r="C13840" s="189">
        <v>1.77</v>
      </c>
      <c r="D13840" s="104">
        <f t="shared" si="216"/>
        <v>1.77E-2</v>
      </c>
    </row>
    <row r="13841" spans="2:6" ht="13.8">
      <c r="B13841" s="187">
        <v>42034</v>
      </c>
      <c r="C13841" s="189">
        <v>1.68</v>
      </c>
      <c r="D13841" s="104">
        <f t="shared" si="216"/>
        <v>1.6799999999999999E-2</v>
      </c>
      <c r="E13841" s="104">
        <f>AVERAGE( D13837:D13841)</f>
        <v>1.7679999999999998E-2</v>
      </c>
      <c r="F13841" s="4" t="str">
        <f>TEXT( B13841, "ddd" )</f>
        <v>Fri</v>
      </c>
    </row>
    <row r="13842" spans="2:6" ht="13.8">
      <c r="B13842" s="187">
        <v>42037</v>
      </c>
      <c r="C13842" s="189">
        <v>1.68</v>
      </c>
      <c r="D13842" s="104">
        <f t="shared" si="216"/>
        <v>1.6799999999999999E-2</v>
      </c>
    </row>
    <row r="13843" spans="2:6" ht="13.8">
      <c r="B13843" s="187">
        <v>42038</v>
      </c>
      <c r="C13843" s="189">
        <v>1.79</v>
      </c>
      <c r="D13843" s="104">
        <f t="shared" si="216"/>
        <v>1.7899999999999999E-2</v>
      </c>
    </row>
    <row r="13844" spans="2:6" ht="13.8">
      <c r="B13844" s="187">
        <v>42039</v>
      </c>
      <c r="C13844" s="189">
        <v>1.81</v>
      </c>
      <c r="D13844" s="104">
        <f t="shared" si="216"/>
        <v>1.8100000000000002E-2</v>
      </c>
    </row>
    <row r="13845" spans="2:6" ht="13.8">
      <c r="B13845" s="187">
        <v>42040</v>
      </c>
      <c r="C13845" s="189">
        <v>1.83</v>
      </c>
      <c r="D13845" s="104">
        <f t="shared" si="216"/>
        <v>1.83E-2</v>
      </c>
    </row>
    <row r="13846" spans="2:6" ht="13.8">
      <c r="B13846" s="187">
        <v>42041</v>
      </c>
      <c r="C13846" s="189">
        <v>1.95</v>
      </c>
      <c r="D13846" s="104">
        <f t="shared" si="216"/>
        <v>1.95E-2</v>
      </c>
      <c r="E13846" s="104">
        <f>AVERAGE( D13842:D13846)</f>
        <v>1.8120000000000001E-2</v>
      </c>
      <c r="F13846" s="4" t="str">
        <f>TEXT( B13846, "ddd" )</f>
        <v>Fri</v>
      </c>
    </row>
    <row r="13847" spans="2:6" ht="13.8">
      <c r="B13847" s="187">
        <v>42044</v>
      </c>
      <c r="C13847" s="189">
        <v>1.96</v>
      </c>
      <c r="D13847" s="104">
        <f t="shared" si="216"/>
        <v>1.9599999999999999E-2</v>
      </c>
    </row>
    <row r="13848" spans="2:6" ht="13.8">
      <c r="B13848" s="187">
        <v>42045</v>
      </c>
      <c r="C13848" s="189">
        <v>2.0099999999999998</v>
      </c>
      <c r="D13848" s="104">
        <f t="shared" si="216"/>
        <v>2.0099999999999996E-2</v>
      </c>
    </row>
    <row r="13849" spans="2:6" ht="13.8">
      <c r="B13849" s="187">
        <v>42046</v>
      </c>
      <c r="C13849" s="189">
        <v>2</v>
      </c>
      <c r="D13849" s="104">
        <f t="shared" si="216"/>
        <v>0.02</v>
      </c>
    </row>
    <row r="13850" spans="2:6" ht="13.8">
      <c r="B13850" s="187">
        <v>42047</v>
      </c>
      <c r="C13850" s="189">
        <v>1.99</v>
      </c>
      <c r="D13850" s="104">
        <f t="shared" si="216"/>
        <v>1.9900000000000001E-2</v>
      </c>
    </row>
    <row r="13851" spans="2:6" ht="13.8">
      <c r="B13851" s="187">
        <v>42048</v>
      </c>
      <c r="C13851" s="189">
        <v>2.02</v>
      </c>
      <c r="D13851" s="104">
        <f t="shared" si="216"/>
        <v>2.0199999999999999E-2</v>
      </c>
      <c r="E13851" s="104">
        <f>AVERAGE( D13847:D13851)</f>
        <v>1.9959999999999999E-2</v>
      </c>
      <c r="F13851" s="4" t="str">
        <f>TEXT( B13851, "ddd" )</f>
        <v>Fri</v>
      </c>
    </row>
    <row r="13852" spans="2:6" ht="13.8">
      <c r="B13852" s="187">
        <v>42051</v>
      </c>
      <c r="C13852" s="189" t="s">
        <v>380</v>
      </c>
      <c r="D13852" s="104">
        <f t="shared" si="216"/>
        <v>2.0199999999999999E-2</v>
      </c>
    </row>
    <row r="13853" spans="2:6" ht="13.8">
      <c r="B13853" s="187">
        <v>42052</v>
      </c>
      <c r="C13853" s="189">
        <v>2.14</v>
      </c>
      <c r="D13853" s="104">
        <f t="shared" si="216"/>
        <v>2.1400000000000002E-2</v>
      </c>
    </row>
    <row r="13854" spans="2:6" ht="13.8">
      <c r="B13854" s="187">
        <v>42053</v>
      </c>
      <c r="C13854" s="189">
        <v>2.0699999999999998</v>
      </c>
      <c r="D13854" s="104">
        <f t="shared" si="216"/>
        <v>2.07E-2</v>
      </c>
    </row>
    <row r="13855" spans="2:6" ht="13.8">
      <c r="B13855" s="187">
        <v>42054</v>
      </c>
      <c r="C13855" s="189">
        <v>2.11</v>
      </c>
      <c r="D13855" s="104">
        <f t="shared" si="216"/>
        <v>2.1099999999999997E-2</v>
      </c>
    </row>
    <row r="13856" spans="2:6" ht="13.8">
      <c r="B13856" s="187">
        <v>42055</v>
      </c>
      <c r="C13856" s="189">
        <v>2.13</v>
      </c>
      <c r="D13856" s="104">
        <f t="shared" si="216"/>
        <v>2.1299999999999999E-2</v>
      </c>
      <c r="E13856" s="104">
        <f>AVERAGE( D13852:D13856)</f>
        <v>2.0939999999999997E-2</v>
      </c>
      <c r="F13856" s="4" t="str">
        <f>TEXT( B13856, "ddd" )</f>
        <v>Fri</v>
      </c>
    </row>
    <row r="13857" spans="2:6" ht="13.8">
      <c r="B13857" s="187">
        <v>42058</v>
      </c>
      <c r="C13857" s="189">
        <v>2.06</v>
      </c>
      <c r="D13857" s="104">
        <f t="shared" si="216"/>
        <v>2.06E-2</v>
      </c>
    </row>
    <row r="13858" spans="2:6" ht="13.8">
      <c r="B13858" s="187">
        <v>42059</v>
      </c>
      <c r="C13858" s="189">
        <v>1.99</v>
      </c>
      <c r="D13858" s="104">
        <f t="shared" si="216"/>
        <v>1.9900000000000001E-2</v>
      </c>
    </row>
    <row r="13859" spans="2:6" ht="13.8">
      <c r="B13859" s="187">
        <v>42060</v>
      </c>
      <c r="C13859" s="189">
        <v>1.96</v>
      </c>
      <c r="D13859" s="104">
        <f t="shared" si="216"/>
        <v>1.9599999999999999E-2</v>
      </c>
    </row>
    <row r="13860" spans="2:6" ht="13.8">
      <c r="B13860" s="187">
        <v>42061</v>
      </c>
      <c r="C13860" s="189">
        <v>2.0299999999999998</v>
      </c>
      <c r="D13860" s="104">
        <f t="shared" si="216"/>
        <v>2.0299999999999999E-2</v>
      </c>
    </row>
    <row r="13861" spans="2:6" ht="13.8">
      <c r="B13861" s="187">
        <v>42062</v>
      </c>
      <c r="C13861" s="189">
        <v>2</v>
      </c>
      <c r="D13861" s="104">
        <f t="shared" si="216"/>
        <v>0.02</v>
      </c>
      <c r="E13861" s="104">
        <f>AVERAGE( D13857:D13861)</f>
        <v>2.0080000000000001E-2</v>
      </c>
      <c r="F13861" s="4" t="str">
        <f>TEXT( B13861, "ddd" )</f>
        <v>Fri</v>
      </c>
    </row>
    <row r="13862" spans="2:6" ht="13.8">
      <c r="B13862" s="187">
        <v>42065</v>
      </c>
      <c r="C13862" s="189">
        <v>2.08</v>
      </c>
      <c r="D13862" s="104">
        <f t="shared" si="216"/>
        <v>2.0799999999999999E-2</v>
      </c>
    </row>
    <row r="13863" spans="2:6" ht="13.8">
      <c r="B13863" s="187">
        <v>42066</v>
      </c>
      <c r="C13863" s="189">
        <v>2.12</v>
      </c>
      <c r="D13863" s="104">
        <f t="shared" si="216"/>
        <v>2.12E-2</v>
      </c>
    </row>
    <row r="13864" spans="2:6" ht="13.8">
      <c r="B13864" s="187">
        <v>42067</v>
      </c>
      <c r="C13864" s="189">
        <v>2.12</v>
      </c>
      <c r="D13864" s="104">
        <f t="shared" si="216"/>
        <v>2.12E-2</v>
      </c>
    </row>
    <row r="13865" spans="2:6" ht="13.8">
      <c r="B13865" s="187">
        <v>42068</v>
      </c>
      <c r="C13865" s="189">
        <v>2.11</v>
      </c>
      <c r="D13865" s="104">
        <f t="shared" si="216"/>
        <v>2.1099999999999997E-2</v>
      </c>
    </row>
    <row r="13866" spans="2:6" ht="13.8">
      <c r="B13866" s="187">
        <v>42069</v>
      </c>
      <c r="C13866" s="189">
        <v>2.2400000000000002</v>
      </c>
      <c r="D13866" s="104">
        <f t="shared" si="216"/>
        <v>2.2400000000000003E-2</v>
      </c>
      <c r="E13866" s="104">
        <f>AVERAGE( D13862:D13866)</f>
        <v>2.1339999999999998E-2</v>
      </c>
      <c r="F13866" s="4" t="str">
        <f>TEXT( B13866, "ddd" )</f>
        <v>Fri</v>
      </c>
    </row>
    <row r="13867" spans="2:6" ht="13.8">
      <c r="B13867" s="187">
        <v>42072</v>
      </c>
      <c r="C13867" s="189">
        <v>2.2000000000000002</v>
      </c>
      <c r="D13867" s="104">
        <f t="shared" si="216"/>
        <v>2.2000000000000002E-2</v>
      </c>
    </row>
    <row r="13868" spans="2:6" ht="13.8">
      <c r="B13868" s="187">
        <v>42073</v>
      </c>
      <c r="C13868" s="189">
        <v>2.14</v>
      </c>
      <c r="D13868" s="104">
        <f t="shared" si="216"/>
        <v>2.1400000000000002E-2</v>
      </c>
    </row>
    <row r="13869" spans="2:6" ht="13.8">
      <c r="B13869" s="187">
        <v>42074</v>
      </c>
      <c r="C13869" s="189">
        <v>2.11</v>
      </c>
      <c r="D13869" s="104">
        <f t="shared" si="216"/>
        <v>2.1099999999999997E-2</v>
      </c>
    </row>
    <row r="13870" spans="2:6" ht="13.8">
      <c r="B13870" s="187">
        <v>42075</v>
      </c>
      <c r="C13870" s="189">
        <v>2.1</v>
      </c>
      <c r="D13870" s="104">
        <f t="shared" si="216"/>
        <v>2.1000000000000001E-2</v>
      </c>
    </row>
    <row r="13871" spans="2:6" ht="13.8">
      <c r="B13871" s="187">
        <v>42076</v>
      </c>
      <c r="C13871" s="189">
        <v>2.13</v>
      </c>
      <c r="D13871" s="104">
        <f t="shared" si="216"/>
        <v>2.1299999999999999E-2</v>
      </c>
      <c r="E13871" s="104">
        <f>AVERAGE( D13867:D13871)</f>
        <v>2.1360000000000001E-2</v>
      </c>
      <c r="F13871" s="4" t="str">
        <f>TEXT( B13871, "ddd" )</f>
        <v>Fri</v>
      </c>
    </row>
    <row r="13872" spans="2:6" ht="13.8">
      <c r="B13872" s="187">
        <v>42079</v>
      </c>
      <c r="C13872" s="189">
        <v>2.1</v>
      </c>
      <c r="D13872" s="104">
        <f t="shared" si="216"/>
        <v>2.1000000000000001E-2</v>
      </c>
    </row>
    <row r="13873" spans="2:8" ht="13.8">
      <c r="B13873" s="187">
        <v>42080</v>
      </c>
      <c r="C13873" s="189">
        <v>2.06</v>
      </c>
      <c r="D13873" s="104">
        <f t="shared" si="216"/>
        <v>2.06E-2</v>
      </c>
    </row>
    <row r="13874" spans="2:8" ht="13.8">
      <c r="B13874" s="187">
        <v>42081</v>
      </c>
      <c r="C13874" s="189">
        <v>1.93</v>
      </c>
      <c r="D13874" s="104">
        <f t="shared" si="216"/>
        <v>1.9299999999999998E-2</v>
      </c>
    </row>
    <row r="13875" spans="2:8" ht="13.8">
      <c r="B13875" s="187">
        <v>42082</v>
      </c>
      <c r="C13875" s="189">
        <v>1.98</v>
      </c>
      <c r="D13875" s="104">
        <f t="shared" si="216"/>
        <v>1.9799999999999998E-2</v>
      </c>
    </row>
    <row r="13876" spans="2:8" ht="13.8">
      <c r="B13876" s="187">
        <v>42083</v>
      </c>
      <c r="C13876" s="189">
        <v>1.93</v>
      </c>
      <c r="D13876" s="104">
        <f t="shared" si="216"/>
        <v>1.9299999999999998E-2</v>
      </c>
      <c r="E13876" s="104">
        <f>AVERAGE( D13872:D13876)</f>
        <v>1.9999999999999997E-2</v>
      </c>
      <c r="F13876" s="4" t="str">
        <f>TEXT( B13876, "ddd" )</f>
        <v>Fri</v>
      </c>
    </row>
    <row r="13877" spans="2:8" ht="13.8">
      <c r="B13877" s="187">
        <v>42086</v>
      </c>
      <c r="C13877" s="189">
        <v>1.92</v>
      </c>
      <c r="D13877" s="104">
        <f t="shared" ref="D13877:D13887" si="217">IF( LEN( C13877 ) = 0, #N/A, IF( C13877 = "ND", D13876, C13877 / 100 ) )</f>
        <v>1.9199999999999998E-2</v>
      </c>
    </row>
    <row r="13878" spans="2:8" ht="13.8">
      <c r="B13878" s="187">
        <v>42087</v>
      </c>
      <c r="C13878" s="189">
        <v>1.88</v>
      </c>
      <c r="D13878" s="104">
        <f t="shared" si="217"/>
        <v>1.8799999999999997E-2</v>
      </c>
    </row>
    <row r="13879" spans="2:8" ht="13.8">
      <c r="B13879" s="187">
        <v>42088</v>
      </c>
      <c r="C13879" s="189">
        <v>1.93</v>
      </c>
      <c r="D13879" s="104">
        <f t="shared" si="217"/>
        <v>1.9299999999999998E-2</v>
      </c>
    </row>
    <row r="13880" spans="2:8" ht="13.8">
      <c r="B13880" s="187">
        <v>42089</v>
      </c>
      <c r="C13880" s="189">
        <v>2.0099999999999998</v>
      </c>
      <c r="D13880" s="104">
        <f t="shared" si="217"/>
        <v>2.0099999999999996E-2</v>
      </c>
    </row>
    <row r="13881" spans="2:8" ht="13.8">
      <c r="B13881" s="187">
        <v>42090</v>
      </c>
      <c r="C13881" s="189">
        <v>1.95</v>
      </c>
      <c r="D13881" s="104">
        <f t="shared" si="217"/>
        <v>1.95E-2</v>
      </c>
      <c r="E13881" s="104">
        <f>AVERAGE( D13877:D13881)</f>
        <v>1.9379999999999998E-2</v>
      </c>
      <c r="F13881" s="4" t="str">
        <f>TEXT( B13881, "ddd" )</f>
        <v>Fri</v>
      </c>
    </row>
    <row r="13882" spans="2:8" ht="13.8">
      <c r="B13882" s="187">
        <v>42093</v>
      </c>
      <c r="C13882" s="189">
        <v>1.96</v>
      </c>
      <c r="D13882" s="104">
        <f t="shared" si="217"/>
        <v>1.9599999999999999E-2</v>
      </c>
    </row>
    <row r="13883" spans="2:8" ht="13.8">
      <c r="B13883" s="187">
        <v>42094</v>
      </c>
      <c r="C13883" s="189">
        <v>1.94</v>
      </c>
      <c r="D13883" s="104">
        <f t="shared" si="217"/>
        <v>1.9400000000000001E-2</v>
      </c>
    </row>
    <row r="13884" spans="2:8" ht="13.8">
      <c r="B13884" s="187">
        <v>42095</v>
      </c>
      <c r="C13884" s="189">
        <v>1.87</v>
      </c>
      <c r="D13884" s="104">
        <f t="shared" si="217"/>
        <v>1.8700000000000001E-2</v>
      </c>
      <c r="G13884" s="8"/>
      <c r="H13884" s="8"/>
    </row>
    <row r="13885" spans="2:8" ht="13.8">
      <c r="B13885" s="187">
        <v>42096</v>
      </c>
      <c r="C13885" s="189">
        <v>1.92</v>
      </c>
      <c r="D13885" s="104">
        <f t="shared" si="217"/>
        <v>1.9199999999999998E-2</v>
      </c>
      <c r="G13885" s="8"/>
      <c r="H13885" s="8"/>
    </row>
    <row r="13886" spans="2:8" ht="13.8">
      <c r="B13886" s="187">
        <v>42097</v>
      </c>
      <c r="C13886" s="189">
        <v>1.85</v>
      </c>
      <c r="D13886" s="104">
        <f t="shared" si="217"/>
        <v>1.8500000000000003E-2</v>
      </c>
      <c r="E13886" s="104">
        <f>AVERAGE( D13882:D13886)</f>
        <v>1.908E-2</v>
      </c>
      <c r="F13886" s="4" t="str">
        <f>TEXT( B13886, "ddd" )</f>
        <v>Fri</v>
      </c>
      <c r="G13886" s="8"/>
      <c r="H13886" s="8"/>
    </row>
    <row r="13887" spans="2:8" ht="13.8">
      <c r="B13887" s="187">
        <v>42100</v>
      </c>
      <c r="C13887" s="189">
        <v>1.92</v>
      </c>
      <c r="D13887" s="104">
        <f t="shared" si="217"/>
        <v>1.9199999999999998E-2</v>
      </c>
      <c r="G13887" s="8"/>
      <c r="H13887" s="8"/>
    </row>
    <row r="13888" spans="2:8" ht="13.8">
      <c r="B13888" s="187">
        <v>42101</v>
      </c>
      <c r="C13888" s="189">
        <v>1.89</v>
      </c>
      <c r="D13888" s="104">
        <f t="shared" ref="D13888:D13951" si="218">IF( LEN( C13888 ) = 0, #N/A, IF( C13888 = "ND", D13887, C13888 / 100 ) )</f>
        <v>1.89E-2</v>
      </c>
      <c r="G13888" s="8"/>
      <c r="H13888" s="8"/>
    </row>
    <row r="13889" spans="2:8" ht="13.8">
      <c r="B13889" s="187">
        <v>42102</v>
      </c>
      <c r="C13889" s="189">
        <v>1.92</v>
      </c>
      <c r="D13889" s="104">
        <f t="shared" si="218"/>
        <v>1.9199999999999998E-2</v>
      </c>
      <c r="G13889" s="8"/>
      <c r="H13889" s="8"/>
    </row>
    <row r="13890" spans="2:8" ht="13.8">
      <c r="B13890" s="187">
        <v>42103</v>
      </c>
      <c r="C13890" s="189">
        <v>1.97</v>
      </c>
      <c r="D13890" s="104">
        <f t="shared" si="218"/>
        <v>1.9699999999999999E-2</v>
      </c>
      <c r="G13890" s="8"/>
      <c r="H13890" s="8"/>
    </row>
    <row r="13891" spans="2:8" ht="13.8">
      <c r="B13891" s="187">
        <v>42104</v>
      </c>
      <c r="C13891" s="189">
        <v>1.96</v>
      </c>
      <c r="D13891" s="104">
        <f t="shared" si="218"/>
        <v>1.9599999999999999E-2</v>
      </c>
      <c r="E13891" s="104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 ht="13.8">
      <c r="B13892" s="187">
        <v>42107</v>
      </c>
      <c r="C13892" s="189">
        <v>1.94</v>
      </c>
      <c r="D13892" s="104">
        <f t="shared" si="218"/>
        <v>1.9400000000000001E-2</v>
      </c>
      <c r="G13892" s="8"/>
      <c r="H13892" s="8"/>
    </row>
    <row r="13893" spans="2:8" ht="13.8">
      <c r="B13893" s="187">
        <v>42108</v>
      </c>
      <c r="C13893" s="189">
        <v>1.9</v>
      </c>
      <c r="D13893" s="104">
        <f t="shared" si="218"/>
        <v>1.9E-2</v>
      </c>
      <c r="G13893" s="8"/>
      <c r="H13893" s="8"/>
    </row>
    <row r="13894" spans="2:8" ht="13.8">
      <c r="B13894" s="187">
        <v>42109</v>
      </c>
      <c r="C13894" s="189">
        <v>1.91</v>
      </c>
      <c r="D13894" s="104">
        <f t="shared" si="218"/>
        <v>1.9099999999999999E-2</v>
      </c>
    </row>
    <row r="13895" spans="2:8" ht="13.8">
      <c r="B13895" s="187">
        <v>42110</v>
      </c>
      <c r="C13895" s="189">
        <v>1.9</v>
      </c>
      <c r="D13895" s="104">
        <f t="shared" si="218"/>
        <v>1.9E-2</v>
      </c>
    </row>
    <row r="13896" spans="2:8" ht="13.8">
      <c r="B13896" s="187">
        <v>42111</v>
      </c>
      <c r="C13896" s="189">
        <v>1.87</v>
      </c>
      <c r="D13896" s="104">
        <f t="shared" si="218"/>
        <v>1.8700000000000001E-2</v>
      </c>
      <c r="E13896" s="104">
        <f>AVERAGE( D13892:D13896)</f>
        <v>1.9040000000000001E-2</v>
      </c>
      <c r="F13896" s="4" t="str">
        <f>TEXT( B13896, "ddd" )</f>
        <v>Fri</v>
      </c>
    </row>
    <row r="13897" spans="2:8" ht="13.8">
      <c r="B13897" s="187">
        <v>42114</v>
      </c>
      <c r="C13897" s="189">
        <v>1.9</v>
      </c>
      <c r="D13897" s="104">
        <f t="shared" si="218"/>
        <v>1.9E-2</v>
      </c>
    </row>
    <row r="13898" spans="2:8" ht="13.8">
      <c r="B13898" s="187">
        <v>42115</v>
      </c>
      <c r="C13898" s="189">
        <v>1.92</v>
      </c>
      <c r="D13898" s="104">
        <f t="shared" si="218"/>
        <v>1.9199999999999998E-2</v>
      </c>
    </row>
    <row r="13899" spans="2:8" ht="13.8">
      <c r="B13899" s="187">
        <v>42116</v>
      </c>
      <c r="C13899" s="189">
        <v>1.99</v>
      </c>
      <c r="D13899" s="104">
        <f t="shared" si="218"/>
        <v>1.9900000000000001E-2</v>
      </c>
    </row>
    <row r="13900" spans="2:8" ht="13.8">
      <c r="B13900" s="187">
        <v>42117</v>
      </c>
      <c r="C13900" s="189">
        <v>1.96</v>
      </c>
      <c r="D13900" s="104">
        <f t="shared" si="218"/>
        <v>1.9599999999999999E-2</v>
      </c>
    </row>
    <row r="13901" spans="2:8" ht="13.8">
      <c r="B13901" s="187">
        <v>42118</v>
      </c>
      <c r="C13901" s="189">
        <v>1.93</v>
      </c>
      <c r="D13901" s="104">
        <f t="shared" si="218"/>
        <v>1.9299999999999998E-2</v>
      </c>
      <c r="E13901" s="104">
        <f>AVERAGE( D13897:D13901)</f>
        <v>1.9399999999999997E-2</v>
      </c>
      <c r="F13901" s="4" t="str">
        <f>TEXT( B13901, "ddd" )</f>
        <v>Fri</v>
      </c>
    </row>
    <row r="13902" spans="2:8" ht="13.8">
      <c r="B13902" s="187">
        <v>42121</v>
      </c>
      <c r="C13902" s="189">
        <v>1.94</v>
      </c>
      <c r="D13902" s="104">
        <f t="shared" si="218"/>
        <v>1.9400000000000001E-2</v>
      </c>
    </row>
    <row r="13903" spans="2:8" ht="13.8">
      <c r="B13903" s="187">
        <v>42122</v>
      </c>
      <c r="C13903" s="189">
        <v>2</v>
      </c>
      <c r="D13903" s="104">
        <f t="shared" si="218"/>
        <v>0.02</v>
      </c>
    </row>
    <row r="13904" spans="2:8" ht="13.8">
      <c r="B13904" s="187">
        <v>42123</v>
      </c>
      <c r="C13904" s="189">
        <v>2.06</v>
      </c>
      <c r="D13904" s="104">
        <f t="shared" si="218"/>
        <v>2.06E-2</v>
      </c>
    </row>
    <row r="13905" spans="2:6" ht="13.8">
      <c r="B13905" s="187">
        <v>42124</v>
      </c>
      <c r="C13905" s="189">
        <v>2.0499999999999998</v>
      </c>
      <c r="D13905" s="104">
        <f t="shared" si="218"/>
        <v>2.0499999999999997E-2</v>
      </c>
    </row>
    <row r="13906" spans="2:6" ht="13.8">
      <c r="B13906" s="187">
        <v>42125</v>
      </c>
      <c r="C13906" s="189">
        <v>2.12</v>
      </c>
      <c r="D13906" s="104">
        <f t="shared" si="218"/>
        <v>2.12E-2</v>
      </c>
      <c r="E13906" s="104">
        <f>AVERAGE( D13902:D13906)</f>
        <v>2.034E-2</v>
      </c>
      <c r="F13906" s="4" t="str">
        <f>TEXT( B13906, "ddd" )</f>
        <v>Fri</v>
      </c>
    </row>
    <row r="13907" spans="2:6" ht="13.8">
      <c r="B13907" s="187">
        <v>42128</v>
      </c>
      <c r="C13907" s="189">
        <v>2.16</v>
      </c>
      <c r="D13907" s="104">
        <f t="shared" si="218"/>
        <v>2.1600000000000001E-2</v>
      </c>
    </row>
    <row r="13908" spans="2:6" ht="13.8">
      <c r="B13908" s="187">
        <v>42129</v>
      </c>
      <c r="C13908" s="189">
        <v>2.19</v>
      </c>
      <c r="D13908" s="104">
        <f t="shared" si="218"/>
        <v>2.1899999999999999E-2</v>
      </c>
    </row>
    <row r="13909" spans="2:6" ht="13.8">
      <c r="B13909" s="187">
        <v>42130</v>
      </c>
      <c r="C13909" s="189">
        <v>2.25</v>
      </c>
      <c r="D13909" s="104">
        <f t="shared" si="218"/>
        <v>2.2499999999999999E-2</v>
      </c>
    </row>
    <row r="13910" spans="2:6" ht="13.8">
      <c r="B13910" s="187">
        <v>42131</v>
      </c>
      <c r="C13910" s="189">
        <v>2.1800000000000002</v>
      </c>
      <c r="D13910" s="104">
        <f t="shared" si="218"/>
        <v>2.18E-2</v>
      </c>
    </row>
    <row r="13911" spans="2:6" ht="13.8">
      <c r="B13911" s="187">
        <v>42132</v>
      </c>
      <c r="C13911" s="189">
        <v>2.16</v>
      </c>
      <c r="D13911" s="104">
        <f t="shared" si="218"/>
        <v>2.1600000000000001E-2</v>
      </c>
      <c r="E13911" s="104">
        <f>AVERAGE( D13907:D13911)</f>
        <v>2.188E-2</v>
      </c>
      <c r="F13911" s="4" t="str">
        <f>TEXT( B13911, "ddd" )</f>
        <v>Fri</v>
      </c>
    </row>
    <row r="13912" spans="2:6" ht="13.8">
      <c r="B13912" s="187">
        <v>42135</v>
      </c>
      <c r="C13912" s="189">
        <v>2.2799999999999998</v>
      </c>
      <c r="D13912" s="104">
        <f t="shared" si="218"/>
        <v>2.2799999999999997E-2</v>
      </c>
    </row>
    <row r="13913" spans="2:6" ht="13.8">
      <c r="B13913" s="187">
        <v>42136</v>
      </c>
      <c r="C13913" s="189">
        <v>2.2799999999999998</v>
      </c>
      <c r="D13913" s="104">
        <f t="shared" si="218"/>
        <v>2.2799999999999997E-2</v>
      </c>
    </row>
    <row r="13914" spans="2:6" ht="13.8">
      <c r="B13914" s="187">
        <v>42137</v>
      </c>
      <c r="C13914" s="189">
        <v>2.27</v>
      </c>
      <c r="D13914" s="104">
        <f t="shared" si="218"/>
        <v>2.2700000000000001E-2</v>
      </c>
    </row>
    <row r="13915" spans="2:6" ht="13.8">
      <c r="B13915" s="187">
        <v>42138</v>
      </c>
      <c r="C13915" s="189">
        <v>2.23</v>
      </c>
      <c r="D13915" s="104">
        <f t="shared" si="218"/>
        <v>2.23E-2</v>
      </c>
    </row>
    <row r="13916" spans="2:6" ht="13.8">
      <c r="B13916" s="187">
        <v>42139</v>
      </c>
      <c r="C13916" s="189">
        <v>2.14</v>
      </c>
      <c r="D13916" s="104">
        <f t="shared" si="218"/>
        <v>2.1400000000000002E-2</v>
      </c>
      <c r="E13916" s="104">
        <f>AVERAGE( D13912:D13916)</f>
        <v>2.24E-2</v>
      </c>
      <c r="F13916" s="4" t="str">
        <f>TEXT( B13916, "ddd" )</f>
        <v>Fri</v>
      </c>
    </row>
    <row r="13917" spans="2:6" ht="13.8">
      <c r="B13917" s="187">
        <v>42142</v>
      </c>
      <c r="C13917" s="189">
        <v>2.23</v>
      </c>
      <c r="D13917" s="104">
        <f t="shared" si="218"/>
        <v>2.23E-2</v>
      </c>
    </row>
    <row r="13918" spans="2:6" ht="13.8">
      <c r="B13918" s="187">
        <v>42143</v>
      </c>
      <c r="C13918" s="189">
        <v>2.27</v>
      </c>
      <c r="D13918" s="104">
        <f t="shared" si="218"/>
        <v>2.2700000000000001E-2</v>
      </c>
    </row>
    <row r="13919" spans="2:6" ht="13.8">
      <c r="B13919" s="187">
        <v>42144</v>
      </c>
      <c r="C13919" s="189">
        <v>2.2599999999999998</v>
      </c>
      <c r="D13919" s="104">
        <f t="shared" si="218"/>
        <v>2.2599999999999999E-2</v>
      </c>
    </row>
    <row r="13920" spans="2:6" ht="13.8">
      <c r="B13920" s="187">
        <v>42145</v>
      </c>
      <c r="C13920" s="189">
        <v>2.19</v>
      </c>
      <c r="D13920" s="104">
        <f t="shared" si="218"/>
        <v>2.1899999999999999E-2</v>
      </c>
    </row>
    <row r="13921" spans="2:6" ht="13.8">
      <c r="B13921" s="187">
        <v>42146</v>
      </c>
      <c r="C13921" s="189">
        <v>2.21</v>
      </c>
      <c r="D13921" s="104">
        <f t="shared" si="218"/>
        <v>2.2099999999999998E-2</v>
      </c>
      <c r="E13921" s="104">
        <f>AVERAGE( D13917:D13921)</f>
        <v>2.232E-2</v>
      </c>
      <c r="F13921" s="4" t="str">
        <f>TEXT( B13921, "ddd" )</f>
        <v>Fri</v>
      </c>
    </row>
    <row r="13922" spans="2:6" ht="13.8">
      <c r="B13922" s="187">
        <v>42149</v>
      </c>
      <c r="C13922" s="189" t="s">
        <v>380</v>
      </c>
      <c r="D13922" s="104">
        <f t="shared" si="218"/>
        <v>2.2099999999999998E-2</v>
      </c>
    </row>
    <row r="13923" spans="2:6" ht="13.8">
      <c r="B13923" s="187">
        <v>42150</v>
      </c>
      <c r="C13923" s="189">
        <v>2.14</v>
      </c>
      <c r="D13923" s="104">
        <f t="shared" si="218"/>
        <v>2.1400000000000002E-2</v>
      </c>
    </row>
    <row r="13924" spans="2:6" ht="13.8">
      <c r="B13924" s="187">
        <v>42151</v>
      </c>
      <c r="C13924" s="189">
        <v>2.14</v>
      </c>
      <c r="D13924" s="104">
        <f t="shared" si="218"/>
        <v>2.1400000000000002E-2</v>
      </c>
    </row>
    <row r="13925" spans="2:6" ht="13.8">
      <c r="B13925" s="187">
        <v>42152</v>
      </c>
      <c r="C13925" s="189">
        <v>2.13</v>
      </c>
      <c r="D13925" s="104">
        <f t="shared" si="218"/>
        <v>2.1299999999999999E-2</v>
      </c>
    </row>
    <row r="13926" spans="2:6" ht="13.8">
      <c r="B13926" s="187">
        <v>42153</v>
      </c>
      <c r="C13926" s="189">
        <v>2.12</v>
      </c>
      <c r="D13926" s="104">
        <f t="shared" si="218"/>
        <v>2.12E-2</v>
      </c>
      <c r="E13926" s="104">
        <f>AVERAGE( D13922:D13926)</f>
        <v>2.1479999999999999E-2</v>
      </c>
      <c r="F13926" s="4" t="str">
        <f>TEXT( B13926, "ddd" )</f>
        <v>Fri</v>
      </c>
    </row>
    <row r="13927" spans="2:6" ht="13.8">
      <c r="B13927" s="187">
        <v>42156</v>
      </c>
      <c r="C13927" s="189">
        <v>2.19</v>
      </c>
      <c r="D13927" s="104">
        <f t="shared" si="218"/>
        <v>2.1899999999999999E-2</v>
      </c>
    </row>
    <row r="13928" spans="2:6" ht="13.8">
      <c r="B13928" s="187">
        <v>42157</v>
      </c>
      <c r="C13928" s="189">
        <v>2.27</v>
      </c>
      <c r="D13928" s="104">
        <f t="shared" si="218"/>
        <v>2.2700000000000001E-2</v>
      </c>
    </row>
    <row r="13929" spans="2:6" ht="13.8">
      <c r="B13929" s="187">
        <v>42158</v>
      </c>
      <c r="C13929" s="189">
        <v>2.38</v>
      </c>
      <c r="D13929" s="104">
        <f t="shared" si="218"/>
        <v>2.3799999999999998E-2</v>
      </c>
    </row>
    <row r="13930" spans="2:6" ht="13.8">
      <c r="B13930" s="187">
        <v>42159</v>
      </c>
      <c r="C13930" s="189">
        <v>2.31</v>
      </c>
      <c r="D13930" s="104">
        <f t="shared" si="218"/>
        <v>2.3099999999999999E-2</v>
      </c>
    </row>
    <row r="13931" spans="2:6" ht="13.8">
      <c r="B13931" s="187">
        <v>42160</v>
      </c>
      <c r="C13931" s="189">
        <v>2.41</v>
      </c>
      <c r="D13931" s="104">
        <f t="shared" si="218"/>
        <v>2.41E-2</v>
      </c>
      <c r="E13931" s="104">
        <f>AVERAGE( D13927:D13931)</f>
        <v>2.3119999999999998E-2</v>
      </c>
      <c r="F13931" s="4" t="str">
        <f>TEXT( B13931, "ddd" )</f>
        <v>Fri</v>
      </c>
    </row>
    <row r="13932" spans="2:6" ht="13.8">
      <c r="B13932" s="187">
        <v>42163</v>
      </c>
      <c r="C13932" s="189">
        <v>2.39</v>
      </c>
      <c r="D13932" s="104">
        <f t="shared" si="218"/>
        <v>2.3900000000000001E-2</v>
      </c>
    </row>
    <row r="13933" spans="2:6" ht="13.8">
      <c r="B13933" s="187">
        <v>42164</v>
      </c>
      <c r="C13933" s="189">
        <v>2.42</v>
      </c>
      <c r="D13933" s="104">
        <f t="shared" si="218"/>
        <v>2.4199999999999999E-2</v>
      </c>
    </row>
    <row r="13934" spans="2:6" ht="13.8">
      <c r="B13934" s="187">
        <v>42165</v>
      </c>
      <c r="C13934" s="189">
        <v>2.5</v>
      </c>
      <c r="D13934" s="104">
        <f t="shared" si="218"/>
        <v>2.5000000000000001E-2</v>
      </c>
    </row>
    <row r="13935" spans="2:6" ht="13.8">
      <c r="B13935" s="187">
        <v>42166</v>
      </c>
      <c r="C13935" s="189">
        <v>2.39</v>
      </c>
      <c r="D13935" s="104">
        <f t="shared" si="218"/>
        <v>2.3900000000000001E-2</v>
      </c>
    </row>
    <row r="13936" spans="2:6" ht="13.8">
      <c r="B13936" s="187">
        <v>42167</v>
      </c>
      <c r="C13936" s="189">
        <v>2.39</v>
      </c>
      <c r="D13936" s="104">
        <f t="shared" si="218"/>
        <v>2.3900000000000001E-2</v>
      </c>
      <c r="E13936" s="104">
        <f>AVERAGE( D13932:D13936)</f>
        <v>2.418E-2</v>
      </c>
      <c r="F13936" s="4" t="str">
        <f>TEXT( B13936, "ddd" )</f>
        <v>Fri</v>
      </c>
    </row>
    <row r="13937" spans="2:6" ht="13.8">
      <c r="B13937" s="187">
        <v>42170</v>
      </c>
      <c r="C13937" s="189">
        <v>2.36</v>
      </c>
      <c r="D13937" s="104">
        <f t="shared" si="218"/>
        <v>2.3599999999999999E-2</v>
      </c>
    </row>
    <row r="13938" spans="2:6" ht="13.8">
      <c r="B13938" s="187">
        <v>42171</v>
      </c>
      <c r="C13938" s="189">
        <v>2.3199999999999998</v>
      </c>
      <c r="D13938" s="104">
        <f t="shared" si="218"/>
        <v>2.3199999999999998E-2</v>
      </c>
    </row>
    <row r="13939" spans="2:6" ht="13.8">
      <c r="B13939" s="187">
        <v>42172</v>
      </c>
      <c r="C13939" s="189">
        <v>2.3199999999999998</v>
      </c>
      <c r="D13939" s="104">
        <f t="shared" si="218"/>
        <v>2.3199999999999998E-2</v>
      </c>
    </row>
    <row r="13940" spans="2:6" ht="13.8">
      <c r="B13940" s="187">
        <v>42173</v>
      </c>
      <c r="C13940" s="189">
        <v>2.35</v>
      </c>
      <c r="D13940" s="104">
        <f t="shared" si="218"/>
        <v>2.35E-2</v>
      </c>
    </row>
    <row r="13941" spans="2:6" ht="13.8">
      <c r="B13941" s="187">
        <v>42174</v>
      </c>
      <c r="C13941" s="189">
        <v>2.2599999999999998</v>
      </c>
      <c r="D13941" s="104">
        <f t="shared" si="218"/>
        <v>2.2599999999999999E-2</v>
      </c>
      <c r="E13941" s="104">
        <f>AVERAGE( D13937:D13941)</f>
        <v>2.3219999999999998E-2</v>
      </c>
      <c r="F13941" s="4" t="str">
        <f>TEXT( B13941, "ddd" )</f>
        <v>Fri</v>
      </c>
    </row>
    <row r="13942" spans="2:6" ht="13.8">
      <c r="B13942" s="187">
        <v>42177</v>
      </c>
      <c r="C13942" s="189">
        <v>2.37</v>
      </c>
      <c r="D13942" s="104">
        <f t="shared" si="218"/>
        <v>2.3700000000000002E-2</v>
      </c>
    </row>
    <row r="13943" spans="2:6" ht="13.8">
      <c r="B13943" s="187">
        <v>42178</v>
      </c>
      <c r="C13943" s="189">
        <v>2.42</v>
      </c>
      <c r="D13943" s="104">
        <f t="shared" si="218"/>
        <v>2.4199999999999999E-2</v>
      </c>
    </row>
    <row r="13944" spans="2:6" ht="13.8">
      <c r="B13944" s="187">
        <v>42179</v>
      </c>
      <c r="C13944" s="189">
        <v>2.38</v>
      </c>
      <c r="D13944" s="104">
        <f t="shared" si="218"/>
        <v>2.3799999999999998E-2</v>
      </c>
    </row>
    <row r="13945" spans="2:6" ht="13.8">
      <c r="B13945" s="187">
        <v>42180</v>
      </c>
      <c r="C13945" s="189">
        <v>2.4</v>
      </c>
      <c r="D13945" s="104">
        <f t="shared" si="218"/>
        <v>2.4E-2</v>
      </c>
    </row>
    <row r="13946" spans="2:6" ht="13.8">
      <c r="B13946" s="187">
        <v>42181</v>
      </c>
      <c r="C13946" s="189">
        <v>2.4900000000000002</v>
      </c>
      <c r="D13946" s="104">
        <f t="shared" si="218"/>
        <v>2.4900000000000002E-2</v>
      </c>
      <c r="E13946" s="104">
        <f>AVERAGE( D13942:D13946)</f>
        <v>2.4120000000000003E-2</v>
      </c>
      <c r="F13946" s="4" t="str">
        <f>TEXT( B13946, "ddd" )</f>
        <v>Fri</v>
      </c>
    </row>
    <row r="13947" spans="2:6" ht="13.8">
      <c r="B13947" s="187">
        <v>42184</v>
      </c>
      <c r="C13947" s="189">
        <v>2.33</v>
      </c>
      <c r="D13947" s="104">
        <f t="shared" si="218"/>
        <v>2.3300000000000001E-2</v>
      </c>
    </row>
    <row r="13948" spans="2:6" ht="13.8">
      <c r="B13948" s="187">
        <v>42185</v>
      </c>
      <c r="C13948" s="189">
        <v>2.35</v>
      </c>
      <c r="D13948" s="104">
        <f t="shared" si="218"/>
        <v>2.35E-2</v>
      </c>
    </row>
    <row r="13949" spans="2:6" ht="13.8">
      <c r="B13949" s="187">
        <v>42186</v>
      </c>
      <c r="C13949" s="189">
        <v>2.4300000000000002</v>
      </c>
      <c r="D13949" s="104">
        <f t="shared" si="218"/>
        <v>2.4300000000000002E-2</v>
      </c>
    </row>
    <row r="13950" spans="2:6" ht="13.8">
      <c r="B13950" s="187">
        <v>42187</v>
      </c>
      <c r="C13950" s="189">
        <v>2.4</v>
      </c>
      <c r="D13950" s="104">
        <f t="shared" si="218"/>
        <v>2.4E-2</v>
      </c>
    </row>
    <row r="13951" spans="2:6" ht="13.8">
      <c r="B13951" s="187">
        <v>42188</v>
      </c>
      <c r="C13951" s="189" t="s">
        <v>380</v>
      </c>
      <c r="D13951" s="104">
        <f t="shared" si="218"/>
        <v>2.4E-2</v>
      </c>
      <c r="E13951" s="104">
        <f>AVERAGE( D13947:D13951)</f>
        <v>2.3819999999999997E-2</v>
      </c>
      <c r="F13951" s="4" t="str">
        <f>TEXT( B13951, "ddd" )</f>
        <v>Fri</v>
      </c>
    </row>
    <row r="13952" spans="2:6" ht="13.8">
      <c r="B13952" s="187">
        <v>42191</v>
      </c>
      <c r="C13952" s="189">
        <v>2.2999999999999998</v>
      </c>
      <c r="D13952" s="104">
        <f t="shared" ref="D13952:D14014" si="219">IF( LEN( C13952 ) = 0, #N/A, IF( C13952 = "ND", D13951, C13952 / 100 ) )</f>
        <v>2.3E-2</v>
      </c>
    </row>
    <row r="13953" spans="2:6" ht="13.8">
      <c r="B13953" s="187">
        <v>42192</v>
      </c>
      <c r="C13953" s="189">
        <v>2.27</v>
      </c>
      <c r="D13953" s="104">
        <f t="shared" si="219"/>
        <v>2.2700000000000001E-2</v>
      </c>
    </row>
    <row r="13954" spans="2:6" ht="13.8">
      <c r="B13954" s="187">
        <v>42193</v>
      </c>
      <c r="C13954" s="189">
        <v>2.2200000000000002</v>
      </c>
      <c r="D13954" s="104">
        <f t="shared" si="219"/>
        <v>2.2200000000000001E-2</v>
      </c>
    </row>
    <row r="13955" spans="2:6" ht="13.8">
      <c r="B13955" s="187">
        <v>42194</v>
      </c>
      <c r="C13955" s="189">
        <v>2.3199999999999998</v>
      </c>
      <c r="D13955" s="104">
        <f t="shared" si="219"/>
        <v>2.3199999999999998E-2</v>
      </c>
    </row>
    <row r="13956" spans="2:6" ht="13.8">
      <c r="B13956" s="187">
        <v>42195</v>
      </c>
      <c r="C13956" s="189">
        <v>2.42</v>
      </c>
      <c r="D13956" s="104">
        <f t="shared" si="219"/>
        <v>2.4199999999999999E-2</v>
      </c>
      <c r="E13956" s="104">
        <f>AVERAGE( D13952:D13956)</f>
        <v>2.3060000000000001E-2</v>
      </c>
      <c r="F13956" s="4" t="str">
        <f>TEXT( B13956, "ddd" )</f>
        <v>Fri</v>
      </c>
    </row>
    <row r="13957" spans="2:6" ht="13.8">
      <c r="B13957" s="187">
        <v>42198</v>
      </c>
      <c r="C13957" s="189">
        <v>2.44</v>
      </c>
      <c r="D13957" s="104">
        <f t="shared" si="219"/>
        <v>2.4399999999999998E-2</v>
      </c>
    </row>
    <row r="13958" spans="2:6" ht="13.8">
      <c r="B13958" s="187">
        <v>42199</v>
      </c>
      <c r="C13958" s="189">
        <v>2.41</v>
      </c>
      <c r="D13958" s="104">
        <f t="shared" si="219"/>
        <v>2.41E-2</v>
      </c>
    </row>
    <row r="13959" spans="2:6" ht="13.8">
      <c r="B13959" s="187">
        <v>42200</v>
      </c>
      <c r="C13959" s="189">
        <v>2.36</v>
      </c>
      <c r="D13959" s="104">
        <f t="shared" si="219"/>
        <v>2.3599999999999999E-2</v>
      </c>
    </row>
    <row r="13960" spans="2:6" ht="13.8">
      <c r="B13960" s="187">
        <v>42201</v>
      </c>
      <c r="C13960" s="189">
        <v>2.36</v>
      </c>
      <c r="D13960" s="104">
        <f t="shared" si="219"/>
        <v>2.3599999999999999E-2</v>
      </c>
    </row>
    <row r="13961" spans="2:6" ht="13.8">
      <c r="B13961" s="187">
        <v>42202</v>
      </c>
      <c r="C13961" s="189">
        <v>2.34</v>
      </c>
      <c r="D13961" s="104">
        <f t="shared" si="219"/>
        <v>2.3399999999999997E-2</v>
      </c>
      <c r="E13961" s="104">
        <f>AVERAGE( D13957:D13961)</f>
        <v>2.3819999999999997E-2</v>
      </c>
      <c r="F13961" s="4" t="str">
        <f>TEXT( B13961, "ddd" )</f>
        <v>Fri</v>
      </c>
    </row>
    <row r="13962" spans="2:6" ht="13.8">
      <c r="B13962" s="187">
        <v>42205</v>
      </c>
      <c r="C13962" s="189">
        <v>2.38</v>
      </c>
      <c r="D13962" s="104">
        <f t="shared" si="219"/>
        <v>2.3799999999999998E-2</v>
      </c>
    </row>
    <row r="13963" spans="2:6" ht="13.8">
      <c r="B13963" s="187">
        <v>42206</v>
      </c>
      <c r="C13963" s="189">
        <v>2.35</v>
      </c>
      <c r="D13963" s="104">
        <f t="shared" si="219"/>
        <v>2.35E-2</v>
      </c>
    </row>
    <row r="13964" spans="2:6" ht="13.8">
      <c r="B13964" s="187">
        <v>42207</v>
      </c>
      <c r="C13964" s="189">
        <v>2.33</v>
      </c>
      <c r="D13964" s="104">
        <f t="shared" si="219"/>
        <v>2.3300000000000001E-2</v>
      </c>
    </row>
    <row r="13965" spans="2:6" ht="13.8">
      <c r="B13965" s="187">
        <v>42208</v>
      </c>
      <c r="C13965" s="189">
        <v>2.2799999999999998</v>
      </c>
      <c r="D13965" s="104">
        <f t="shared" si="219"/>
        <v>2.2799999999999997E-2</v>
      </c>
    </row>
    <row r="13966" spans="2:6" ht="13.8">
      <c r="B13966" s="187">
        <v>42209</v>
      </c>
      <c r="C13966" s="189">
        <v>2.27</v>
      </c>
      <c r="D13966" s="104">
        <f t="shared" si="219"/>
        <v>2.2700000000000001E-2</v>
      </c>
      <c r="E13966" s="104">
        <f>AVERAGE( D13962:D13966)</f>
        <v>2.3219999999999998E-2</v>
      </c>
      <c r="F13966" s="4" t="str">
        <f>TEXT( B13966, "ddd" )</f>
        <v>Fri</v>
      </c>
    </row>
    <row r="13967" spans="2:6" ht="13.8">
      <c r="B13967" s="187">
        <v>42212</v>
      </c>
      <c r="C13967" s="189">
        <v>2.23</v>
      </c>
      <c r="D13967" s="104">
        <f t="shared" si="219"/>
        <v>2.23E-2</v>
      </c>
    </row>
    <row r="13968" spans="2:6" ht="13.8">
      <c r="B13968" s="187">
        <v>42213</v>
      </c>
      <c r="C13968" s="189">
        <v>2.2599999999999998</v>
      </c>
      <c r="D13968" s="104">
        <f t="shared" si="219"/>
        <v>2.2599999999999999E-2</v>
      </c>
    </row>
    <row r="13969" spans="2:6" ht="13.8">
      <c r="B13969" s="187">
        <v>42214</v>
      </c>
      <c r="C13969" s="189">
        <v>2.29</v>
      </c>
      <c r="D13969" s="104">
        <f t="shared" si="219"/>
        <v>2.29E-2</v>
      </c>
    </row>
    <row r="13970" spans="2:6" ht="13.8">
      <c r="B13970" s="187">
        <v>42215</v>
      </c>
      <c r="C13970" s="189">
        <v>2.2799999999999998</v>
      </c>
      <c r="D13970" s="104">
        <f t="shared" si="219"/>
        <v>2.2799999999999997E-2</v>
      </c>
    </row>
    <row r="13971" spans="2:6" ht="13.8">
      <c r="B13971" s="187">
        <v>42216</v>
      </c>
      <c r="C13971" s="189">
        <v>2.2000000000000002</v>
      </c>
      <c r="D13971" s="104">
        <f t="shared" si="219"/>
        <v>2.2000000000000002E-2</v>
      </c>
      <c r="E13971" s="104">
        <f>AVERAGE( D13967:D13971)</f>
        <v>2.2520000000000002E-2</v>
      </c>
      <c r="F13971" s="4" t="str">
        <f>TEXT( B13971, "ddd" )</f>
        <v>Fri</v>
      </c>
    </row>
    <row r="13972" spans="2:6" ht="13.8">
      <c r="B13972" s="187">
        <v>42219</v>
      </c>
      <c r="C13972" s="189">
        <v>2.16</v>
      </c>
      <c r="D13972" s="104">
        <f t="shared" si="219"/>
        <v>2.1600000000000001E-2</v>
      </c>
    </row>
    <row r="13973" spans="2:6" ht="13.8">
      <c r="B13973" s="187">
        <v>42220</v>
      </c>
      <c r="C13973" s="189">
        <v>2.23</v>
      </c>
      <c r="D13973" s="104">
        <f t="shared" si="219"/>
        <v>2.23E-2</v>
      </c>
    </row>
    <row r="13974" spans="2:6" ht="13.8">
      <c r="B13974" s="187">
        <v>42221</v>
      </c>
      <c r="C13974" s="189">
        <v>2.2799999999999998</v>
      </c>
      <c r="D13974" s="104">
        <f t="shared" si="219"/>
        <v>2.2799999999999997E-2</v>
      </c>
    </row>
    <row r="13975" spans="2:6" ht="13.8">
      <c r="B13975" s="187">
        <v>42222</v>
      </c>
      <c r="C13975" s="189">
        <v>2.23</v>
      </c>
      <c r="D13975" s="104">
        <f t="shared" si="219"/>
        <v>2.23E-2</v>
      </c>
    </row>
    <row r="13976" spans="2:6" ht="13.8">
      <c r="B13976" s="187">
        <v>42223</v>
      </c>
      <c r="C13976" s="189">
        <v>2.1800000000000002</v>
      </c>
      <c r="D13976" s="104">
        <f t="shared" si="219"/>
        <v>2.18E-2</v>
      </c>
      <c r="E13976" s="104">
        <f>AVERAGE( D13972:D13976)</f>
        <v>2.2159999999999999E-2</v>
      </c>
      <c r="F13976" s="4" t="str">
        <f>TEXT( B13976, "ddd" )</f>
        <v>Fri</v>
      </c>
    </row>
    <row r="13977" spans="2:6" ht="13.8">
      <c r="B13977" s="187">
        <v>42226</v>
      </c>
      <c r="C13977" s="189">
        <v>2.2400000000000002</v>
      </c>
      <c r="D13977" s="104">
        <f t="shared" si="219"/>
        <v>2.2400000000000003E-2</v>
      </c>
    </row>
    <row r="13978" spans="2:6" ht="13.8">
      <c r="B13978" s="187">
        <v>42227</v>
      </c>
      <c r="C13978" s="189">
        <v>2.15</v>
      </c>
      <c r="D13978" s="104">
        <f t="shared" si="219"/>
        <v>2.1499999999999998E-2</v>
      </c>
    </row>
    <row r="13979" spans="2:6" ht="13.8">
      <c r="B13979" s="187">
        <v>42228</v>
      </c>
      <c r="C13979" s="189">
        <v>2.14</v>
      </c>
      <c r="D13979" s="104">
        <f t="shared" si="219"/>
        <v>2.1400000000000002E-2</v>
      </c>
    </row>
    <row r="13980" spans="2:6" ht="13.8">
      <c r="B13980" s="187">
        <v>42229</v>
      </c>
      <c r="C13980" s="189">
        <v>2.19</v>
      </c>
      <c r="D13980" s="104">
        <f t="shared" si="219"/>
        <v>2.1899999999999999E-2</v>
      </c>
    </row>
    <row r="13981" spans="2:6" ht="13.8">
      <c r="B13981" s="187">
        <v>42230</v>
      </c>
      <c r="C13981" s="189">
        <v>2.2000000000000002</v>
      </c>
      <c r="D13981" s="104">
        <f t="shared" si="219"/>
        <v>2.2000000000000002E-2</v>
      </c>
      <c r="E13981" s="104">
        <f>AVERAGE( D13977:D13981)</f>
        <v>2.1840000000000002E-2</v>
      </c>
      <c r="F13981" s="4" t="str">
        <f>TEXT( B13981, "ddd" )</f>
        <v>Fri</v>
      </c>
    </row>
    <row r="13982" spans="2:6" ht="13.8">
      <c r="B13982" s="187">
        <v>42233</v>
      </c>
      <c r="C13982" s="189">
        <v>2.16</v>
      </c>
      <c r="D13982" s="104">
        <f t="shared" si="219"/>
        <v>2.1600000000000001E-2</v>
      </c>
    </row>
    <row r="13983" spans="2:6" ht="13.8">
      <c r="B13983" s="187">
        <v>42234</v>
      </c>
      <c r="C13983" s="189">
        <v>2.2000000000000002</v>
      </c>
      <c r="D13983" s="104">
        <f t="shared" si="219"/>
        <v>2.2000000000000002E-2</v>
      </c>
    </row>
    <row r="13984" spans="2:6" ht="13.8">
      <c r="B13984" s="187">
        <v>42235</v>
      </c>
      <c r="C13984" s="189">
        <v>2.12</v>
      </c>
      <c r="D13984" s="104">
        <f t="shared" si="219"/>
        <v>2.12E-2</v>
      </c>
    </row>
    <row r="13985" spans="2:6" ht="13.8">
      <c r="B13985" s="187">
        <v>42236</v>
      </c>
      <c r="C13985" s="189">
        <v>2.09</v>
      </c>
      <c r="D13985" s="104">
        <f t="shared" si="219"/>
        <v>2.0899999999999998E-2</v>
      </c>
    </row>
    <row r="13986" spans="2:6" ht="13.8">
      <c r="B13986" s="187">
        <v>42237</v>
      </c>
      <c r="C13986" s="189">
        <v>2.0499999999999998</v>
      </c>
      <c r="D13986" s="104">
        <f t="shared" si="219"/>
        <v>2.0499999999999997E-2</v>
      </c>
      <c r="E13986" s="104">
        <f>AVERAGE( D13982:D13986)</f>
        <v>2.1239999999999998E-2</v>
      </c>
      <c r="F13986" s="4" t="str">
        <f>TEXT( B13986, "ddd" )</f>
        <v>Fri</v>
      </c>
    </row>
    <row r="13987" spans="2:6" ht="13.8">
      <c r="B13987" s="187">
        <v>42240</v>
      </c>
      <c r="C13987" s="189">
        <v>2.0099999999999998</v>
      </c>
      <c r="D13987" s="104">
        <f t="shared" si="219"/>
        <v>2.0099999999999996E-2</v>
      </c>
    </row>
    <row r="13988" spans="2:6" ht="13.8">
      <c r="B13988" s="187">
        <v>42241</v>
      </c>
      <c r="C13988" s="189">
        <v>2.12</v>
      </c>
      <c r="D13988" s="104">
        <f t="shared" si="219"/>
        <v>2.12E-2</v>
      </c>
    </row>
    <row r="13989" spans="2:6" ht="13.8">
      <c r="B13989" s="187">
        <v>42242</v>
      </c>
      <c r="C13989" s="189">
        <v>2.1800000000000002</v>
      </c>
      <c r="D13989" s="104">
        <f t="shared" si="219"/>
        <v>2.18E-2</v>
      </c>
    </row>
    <row r="13990" spans="2:6" ht="13.8">
      <c r="B13990" s="187">
        <v>42243</v>
      </c>
      <c r="C13990" s="189">
        <v>2.1800000000000002</v>
      </c>
      <c r="D13990" s="104">
        <f t="shared" si="219"/>
        <v>2.18E-2</v>
      </c>
    </row>
    <row r="13991" spans="2:6" ht="13.8">
      <c r="B13991" s="187">
        <v>42244</v>
      </c>
      <c r="C13991" s="189">
        <v>2.19</v>
      </c>
      <c r="D13991" s="104">
        <f t="shared" si="219"/>
        <v>2.1899999999999999E-2</v>
      </c>
      <c r="E13991" s="104">
        <f>AVERAGE( D13987:D13991)</f>
        <v>2.1359999999999997E-2</v>
      </c>
      <c r="F13991" s="4" t="str">
        <f>TEXT( B13991, "ddd" )</f>
        <v>Fri</v>
      </c>
    </row>
    <row r="13992" spans="2:6" ht="13.8">
      <c r="B13992" s="187">
        <v>42247</v>
      </c>
      <c r="C13992" s="189">
        <v>2.21</v>
      </c>
      <c r="D13992" s="104">
        <f t="shared" si="219"/>
        <v>2.2099999999999998E-2</v>
      </c>
    </row>
    <row r="13993" spans="2:6" ht="13.8">
      <c r="B13993" s="187">
        <v>42248</v>
      </c>
      <c r="C13993" s="189">
        <v>2.17</v>
      </c>
      <c r="D13993" s="104">
        <f t="shared" si="219"/>
        <v>2.1700000000000001E-2</v>
      </c>
    </row>
    <row r="13994" spans="2:6" ht="13.8">
      <c r="B13994" s="187">
        <v>42249</v>
      </c>
      <c r="C13994" s="189">
        <v>2.2000000000000002</v>
      </c>
      <c r="D13994" s="104">
        <f t="shared" si="219"/>
        <v>2.2000000000000002E-2</v>
      </c>
    </row>
    <row r="13995" spans="2:6" ht="13.8">
      <c r="B13995" s="187">
        <v>42250</v>
      </c>
      <c r="C13995" s="189">
        <v>2.1800000000000002</v>
      </c>
      <c r="D13995" s="104">
        <f t="shared" si="219"/>
        <v>2.18E-2</v>
      </c>
    </row>
    <row r="13996" spans="2:6" ht="13.8">
      <c r="B13996" s="187">
        <v>42251</v>
      </c>
      <c r="C13996" s="189">
        <v>2.13</v>
      </c>
      <c r="D13996" s="104">
        <f t="shared" si="219"/>
        <v>2.1299999999999999E-2</v>
      </c>
      <c r="E13996" s="104">
        <f>AVERAGE( D13992:D13996)</f>
        <v>2.1780000000000001E-2</v>
      </c>
      <c r="F13996" s="4" t="str">
        <f>TEXT( B13996, "ddd" )</f>
        <v>Fri</v>
      </c>
    </row>
    <row r="13997" spans="2:6" ht="13.8">
      <c r="B13997" s="187">
        <v>42254</v>
      </c>
      <c r="C13997" s="189" t="s">
        <v>380</v>
      </c>
      <c r="D13997" s="104">
        <f>IF( LEN( C13997 ) = 0, #N/A, IF( C13997 = "ND", D13996, C13997 / 100 ) )</f>
        <v>2.1299999999999999E-2</v>
      </c>
    </row>
    <row r="13998" spans="2:6" ht="13.8">
      <c r="B13998" s="187">
        <v>42255</v>
      </c>
      <c r="C13998" s="189">
        <v>2.2000000000000002</v>
      </c>
      <c r="D13998" s="104">
        <f t="shared" si="219"/>
        <v>2.2000000000000002E-2</v>
      </c>
    </row>
    <row r="13999" spans="2:6" ht="13.8">
      <c r="B13999" s="187">
        <v>42256</v>
      </c>
      <c r="C13999" s="189">
        <v>2.21</v>
      </c>
      <c r="D13999" s="104">
        <f t="shared" si="219"/>
        <v>2.2099999999999998E-2</v>
      </c>
    </row>
    <row r="14000" spans="2:6" ht="13.8">
      <c r="B14000" s="187">
        <v>42257</v>
      </c>
      <c r="C14000" s="189">
        <v>2.23</v>
      </c>
      <c r="D14000" s="104">
        <f t="shared" si="219"/>
        <v>2.23E-2</v>
      </c>
    </row>
    <row r="14001" spans="2:6" ht="13.8">
      <c r="B14001" s="187">
        <v>42258</v>
      </c>
      <c r="C14001" s="189">
        <v>2.2000000000000002</v>
      </c>
      <c r="D14001" s="104">
        <f t="shared" si="219"/>
        <v>2.2000000000000002E-2</v>
      </c>
      <c r="E14001" s="104">
        <f>AVERAGE( D13997:D14001)</f>
        <v>2.1940000000000001E-2</v>
      </c>
      <c r="F14001" s="4" t="str">
        <f>TEXT( B14001, "ddd" )</f>
        <v>Fri</v>
      </c>
    </row>
    <row r="14002" spans="2:6" ht="13.8">
      <c r="B14002" s="187">
        <v>42261</v>
      </c>
      <c r="C14002" s="189">
        <v>2.1800000000000002</v>
      </c>
      <c r="D14002" s="104">
        <f t="shared" si="219"/>
        <v>2.18E-2</v>
      </c>
    </row>
    <row r="14003" spans="2:6" ht="13.8">
      <c r="B14003" s="187">
        <v>42262</v>
      </c>
      <c r="C14003" s="189">
        <v>2.2799999999999998</v>
      </c>
      <c r="D14003" s="104">
        <f t="shared" si="219"/>
        <v>2.2799999999999997E-2</v>
      </c>
    </row>
    <row r="14004" spans="2:6" ht="13.8">
      <c r="B14004" s="187">
        <v>42263</v>
      </c>
      <c r="C14004" s="189">
        <v>2.2999999999999998</v>
      </c>
      <c r="D14004" s="104">
        <f t="shared" si="219"/>
        <v>2.3E-2</v>
      </c>
    </row>
    <row r="14005" spans="2:6" ht="13.8">
      <c r="B14005" s="187">
        <v>42264</v>
      </c>
      <c r="C14005" s="189">
        <v>2.21</v>
      </c>
      <c r="D14005" s="104">
        <f t="shared" si="219"/>
        <v>2.2099999999999998E-2</v>
      </c>
    </row>
    <row r="14006" spans="2:6" ht="13.8">
      <c r="B14006" s="187">
        <v>42265</v>
      </c>
      <c r="C14006" s="189">
        <v>2.13</v>
      </c>
      <c r="D14006" s="104">
        <f t="shared" si="219"/>
        <v>2.1299999999999999E-2</v>
      </c>
      <c r="E14006" s="104">
        <f>AVERAGE( D14002:D14006)</f>
        <v>2.2199999999999998E-2</v>
      </c>
      <c r="F14006" s="4" t="str">
        <f>TEXT( B14006, "ddd" )</f>
        <v>Fri</v>
      </c>
    </row>
    <row r="14007" spans="2:6" ht="13.8">
      <c r="B14007" s="187">
        <v>42268</v>
      </c>
      <c r="C14007" s="189">
        <v>2.2000000000000002</v>
      </c>
      <c r="D14007" s="104">
        <f t="shared" si="219"/>
        <v>2.2000000000000002E-2</v>
      </c>
    </row>
    <row r="14008" spans="2:6" ht="13.8">
      <c r="B14008" s="187">
        <v>42269</v>
      </c>
      <c r="C14008" s="189">
        <v>2.14</v>
      </c>
      <c r="D14008" s="104">
        <f t="shared" si="219"/>
        <v>2.1400000000000002E-2</v>
      </c>
    </row>
    <row r="14009" spans="2:6" ht="13.8">
      <c r="B14009" s="187">
        <v>42270</v>
      </c>
      <c r="C14009" s="189">
        <v>2.16</v>
      </c>
      <c r="D14009" s="104">
        <f t="shared" si="219"/>
        <v>2.1600000000000001E-2</v>
      </c>
    </row>
    <row r="14010" spans="2:6" ht="13.8">
      <c r="B14010" s="187">
        <v>42271</v>
      </c>
      <c r="C14010" s="189">
        <v>2.13</v>
      </c>
      <c r="D14010" s="104">
        <f t="shared" si="219"/>
        <v>2.1299999999999999E-2</v>
      </c>
    </row>
    <row r="14011" spans="2:6" ht="13.8">
      <c r="B14011" s="187">
        <v>42272</v>
      </c>
      <c r="C14011" s="189">
        <v>2.17</v>
      </c>
      <c r="D14011" s="104">
        <f t="shared" si="219"/>
        <v>2.1700000000000001E-2</v>
      </c>
      <c r="E14011" s="104">
        <f>AVERAGE( D14007:D14011)</f>
        <v>2.1600000000000001E-2</v>
      </c>
      <c r="F14011" s="4" t="str">
        <f>TEXT( B14011, "ddd" )</f>
        <v>Fri</v>
      </c>
    </row>
    <row r="14012" spans="2:6" ht="13.8">
      <c r="B14012" s="187">
        <v>42275</v>
      </c>
      <c r="C14012" s="189">
        <v>2.1</v>
      </c>
      <c r="D14012" s="104">
        <f t="shared" si="219"/>
        <v>2.1000000000000001E-2</v>
      </c>
    </row>
    <row r="14013" spans="2:6" ht="13.8">
      <c r="B14013" s="187">
        <v>42276</v>
      </c>
      <c r="C14013" s="189">
        <v>2.0499999999999998</v>
      </c>
      <c r="D14013" s="104">
        <f t="shared" si="219"/>
        <v>2.0499999999999997E-2</v>
      </c>
    </row>
    <row r="14014" spans="2:6" ht="13.8">
      <c r="B14014" s="187">
        <v>42277</v>
      </c>
      <c r="C14014" s="189">
        <v>2.06</v>
      </c>
      <c r="D14014" s="104">
        <f t="shared" si="219"/>
        <v>2.06E-2</v>
      </c>
    </row>
    <row r="14015" spans="2:6" ht="13.8">
      <c r="B14015" s="187">
        <v>42278</v>
      </c>
      <c r="C14015" s="189">
        <v>2.0499999999999998</v>
      </c>
      <c r="D14015" s="104">
        <f t="shared" ref="D14015:D14078" si="220">IF( LEN( C14015 ) = 0, #N/A, IF( C14015 = "ND", D14014, C14015 / 100 ) )</f>
        <v>2.0499999999999997E-2</v>
      </c>
    </row>
    <row r="14016" spans="2:6" ht="13.8">
      <c r="B14016" s="187">
        <v>42279</v>
      </c>
      <c r="C14016" s="189">
        <v>1.99</v>
      </c>
      <c r="D14016" s="104">
        <f t="shared" si="220"/>
        <v>1.9900000000000001E-2</v>
      </c>
      <c r="E14016" s="104">
        <f>AVERAGE( D14012:D14016)</f>
        <v>2.0499999999999997E-2</v>
      </c>
      <c r="F14016" s="4" t="str">
        <f>TEXT( B14016, "ddd" )</f>
        <v>Fri</v>
      </c>
    </row>
    <row r="14017" spans="2:6" ht="13.8">
      <c r="B14017" s="187">
        <v>42282</v>
      </c>
      <c r="C14017" s="189">
        <v>2.0699999999999998</v>
      </c>
      <c r="D14017" s="104">
        <f t="shared" si="220"/>
        <v>2.07E-2</v>
      </c>
    </row>
    <row r="14018" spans="2:6" ht="13.8">
      <c r="B14018" s="187">
        <v>42283</v>
      </c>
      <c r="C14018" s="189">
        <v>2.0499999999999998</v>
      </c>
      <c r="D14018" s="104">
        <f t="shared" si="220"/>
        <v>2.0499999999999997E-2</v>
      </c>
    </row>
    <row r="14019" spans="2:6" ht="13.8">
      <c r="B14019" s="187">
        <v>42284</v>
      </c>
      <c r="C14019" s="189">
        <v>2.08</v>
      </c>
      <c r="D14019" s="104">
        <f t="shared" si="220"/>
        <v>2.0799999999999999E-2</v>
      </c>
    </row>
    <row r="14020" spans="2:6" ht="13.8">
      <c r="B14020" s="187">
        <v>42285</v>
      </c>
      <c r="C14020" s="189">
        <v>2.12</v>
      </c>
      <c r="D14020" s="104">
        <f t="shared" si="220"/>
        <v>2.12E-2</v>
      </c>
    </row>
    <row r="14021" spans="2:6" ht="13.8">
      <c r="B14021" s="187">
        <v>42286</v>
      </c>
      <c r="C14021" s="189">
        <v>2.12</v>
      </c>
      <c r="D14021" s="104">
        <f t="shared" si="220"/>
        <v>2.12E-2</v>
      </c>
      <c r="E14021" s="104">
        <f>AVERAGE( D14017:D14021)</f>
        <v>2.0879999999999999E-2</v>
      </c>
      <c r="F14021" s="4" t="str">
        <f>TEXT( B14021, "ddd" )</f>
        <v>Fri</v>
      </c>
    </row>
    <row r="14022" spans="2:6" ht="13.8">
      <c r="B14022" s="187">
        <v>42289</v>
      </c>
      <c r="C14022" s="189" t="s">
        <v>380</v>
      </c>
      <c r="D14022" s="104">
        <f t="shared" si="220"/>
        <v>2.12E-2</v>
      </c>
    </row>
    <row r="14023" spans="2:6" ht="13.8">
      <c r="B14023" s="187">
        <v>42290</v>
      </c>
      <c r="C14023" s="189">
        <v>2.06</v>
      </c>
      <c r="D14023" s="104">
        <f t="shared" si="220"/>
        <v>2.06E-2</v>
      </c>
    </row>
    <row r="14024" spans="2:6" ht="13.8">
      <c r="B14024" s="187">
        <v>42291</v>
      </c>
      <c r="C14024" s="189">
        <v>1.99</v>
      </c>
      <c r="D14024" s="104">
        <f t="shared" si="220"/>
        <v>1.9900000000000001E-2</v>
      </c>
    </row>
    <row r="14025" spans="2:6" ht="13.8">
      <c r="B14025" s="187">
        <v>42292</v>
      </c>
      <c r="C14025" s="189">
        <v>2.04</v>
      </c>
      <c r="D14025" s="104">
        <f t="shared" si="220"/>
        <v>2.0400000000000001E-2</v>
      </c>
    </row>
    <row r="14026" spans="2:6" ht="13.8">
      <c r="B14026" s="187">
        <v>42293</v>
      </c>
      <c r="C14026" s="189">
        <v>2.04</v>
      </c>
      <c r="D14026" s="104">
        <f t="shared" si="220"/>
        <v>2.0400000000000001E-2</v>
      </c>
      <c r="E14026" s="104">
        <f>AVERAGE( D14022:D14026)</f>
        <v>2.0500000000000001E-2</v>
      </c>
      <c r="F14026" s="4" t="str">
        <f>TEXT( B14026, "ddd" )</f>
        <v>Fri</v>
      </c>
    </row>
    <row r="14027" spans="2:6" ht="13.8">
      <c r="B14027" s="187">
        <v>42296</v>
      </c>
      <c r="C14027" s="189">
        <v>2.04</v>
      </c>
      <c r="D14027" s="104">
        <f t="shared" si="220"/>
        <v>2.0400000000000001E-2</v>
      </c>
    </row>
    <row r="14028" spans="2:6" ht="13.8">
      <c r="B14028" s="187">
        <v>42297</v>
      </c>
      <c r="C14028" s="189">
        <v>2.08</v>
      </c>
      <c r="D14028" s="104">
        <f t="shared" si="220"/>
        <v>2.0799999999999999E-2</v>
      </c>
    </row>
    <row r="14029" spans="2:6" ht="13.8">
      <c r="B14029" s="187">
        <v>42298</v>
      </c>
      <c r="C14029" s="189">
        <v>2.04</v>
      </c>
      <c r="D14029" s="104">
        <f t="shared" si="220"/>
        <v>2.0400000000000001E-2</v>
      </c>
    </row>
    <row r="14030" spans="2:6" ht="13.8">
      <c r="B14030" s="187">
        <v>42299</v>
      </c>
      <c r="C14030" s="189">
        <v>2.04</v>
      </c>
      <c r="D14030" s="104">
        <f t="shared" si="220"/>
        <v>2.0400000000000001E-2</v>
      </c>
    </row>
    <row r="14031" spans="2:6" ht="13.8">
      <c r="B14031" s="187">
        <v>42300</v>
      </c>
      <c r="C14031" s="189">
        <v>2.09</v>
      </c>
      <c r="D14031" s="104">
        <f t="shared" si="220"/>
        <v>2.0899999999999998E-2</v>
      </c>
      <c r="E14031" s="104">
        <f>AVERAGE( D14027:D14031)</f>
        <v>2.0580000000000001E-2</v>
      </c>
      <c r="F14031" s="4" t="str">
        <f>TEXT( B14031, "ddd" )</f>
        <v>Fri</v>
      </c>
    </row>
    <row r="14032" spans="2:6" ht="13.8">
      <c r="B14032" s="187">
        <v>42303</v>
      </c>
      <c r="C14032" s="189">
        <v>2.0699999999999998</v>
      </c>
      <c r="D14032" s="104">
        <f t="shared" si="220"/>
        <v>2.07E-2</v>
      </c>
    </row>
    <row r="14033" spans="2:6" ht="13.8">
      <c r="B14033" s="187">
        <v>42304</v>
      </c>
      <c r="C14033" s="189">
        <v>2.0499999999999998</v>
      </c>
      <c r="D14033" s="104">
        <f t="shared" si="220"/>
        <v>2.0499999999999997E-2</v>
      </c>
    </row>
    <row r="14034" spans="2:6" ht="13.8">
      <c r="B14034" s="187">
        <v>42305</v>
      </c>
      <c r="C14034" s="189">
        <v>2.1</v>
      </c>
      <c r="D14034" s="104">
        <f t="shared" si="220"/>
        <v>2.1000000000000001E-2</v>
      </c>
    </row>
    <row r="14035" spans="2:6" ht="13.8">
      <c r="B14035" s="187">
        <v>42306</v>
      </c>
      <c r="C14035" s="189">
        <v>2.19</v>
      </c>
      <c r="D14035" s="104">
        <f t="shared" si="220"/>
        <v>2.1899999999999999E-2</v>
      </c>
    </row>
    <row r="14036" spans="2:6" ht="13.8">
      <c r="B14036" s="187">
        <v>42307</v>
      </c>
      <c r="C14036" s="189">
        <v>2.16</v>
      </c>
      <c r="D14036" s="104">
        <f t="shared" si="220"/>
        <v>2.1600000000000001E-2</v>
      </c>
      <c r="E14036" s="104">
        <f>AVERAGE( D14032:D14036)</f>
        <v>2.1140000000000003E-2</v>
      </c>
      <c r="F14036" s="4" t="str">
        <f>TEXT( B14036, "ddd" )</f>
        <v>Fri</v>
      </c>
    </row>
    <row r="14037" spans="2:6" ht="13.8">
      <c r="B14037" s="187">
        <v>42310</v>
      </c>
      <c r="C14037" s="189">
        <v>2.2000000000000002</v>
      </c>
      <c r="D14037" s="104">
        <f t="shared" si="220"/>
        <v>2.2000000000000002E-2</v>
      </c>
    </row>
    <row r="14038" spans="2:6" ht="13.8">
      <c r="B14038" s="187">
        <v>42311</v>
      </c>
      <c r="C14038" s="189">
        <v>2.23</v>
      </c>
      <c r="D14038" s="104">
        <f t="shared" si="220"/>
        <v>2.23E-2</v>
      </c>
    </row>
    <row r="14039" spans="2:6" ht="13.8">
      <c r="B14039" s="187">
        <v>42312</v>
      </c>
      <c r="C14039" s="189">
        <v>2.25</v>
      </c>
      <c r="D14039" s="104">
        <f t="shared" si="220"/>
        <v>2.2499999999999999E-2</v>
      </c>
    </row>
    <row r="14040" spans="2:6" ht="13.8">
      <c r="B14040" s="187">
        <v>42313</v>
      </c>
      <c r="C14040" s="189">
        <v>2.2599999999999998</v>
      </c>
      <c r="D14040" s="104">
        <f t="shared" si="220"/>
        <v>2.2599999999999999E-2</v>
      </c>
    </row>
    <row r="14041" spans="2:6" ht="13.8">
      <c r="B14041" s="187">
        <v>42314</v>
      </c>
      <c r="C14041" s="189">
        <v>2.34</v>
      </c>
      <c r="D14041" s="104">
        <f t="shared" si="220"/>
        <v>2.3399999999999997E-2</v>
      </c>
      <c r="E14041" s="104">
        <f>AVERAGE( D14037:D14041)</f>
        <v>2.2559999999999997E-2</v>
      </c>
      <c r="F14041" s="4" t="str">
        <f>TEXT( B14041, "ddd" )</f>
        <v>Fri</v>
      </c>
    </row>
    <row r="14042" spans="2:6" ht="13.8">
      <c r="B14042" s="187">
        <v>42317</v>
      </c>
      <c r="C14042" s="189">
        <v>2.36</v>
      </c>
      <c r="D14042" s="104">
        <f t="shared" si="220"/>
        <v>2.3599999999999999E-2</v>
      </c>
    </row>
    <row r="14043" spans="2:6" ht="13.8">
      <c r="B14043" s="187">
        <v>42318</v>
      </c>
      <c r="C14043" s="189">
        <v>2.3199999999999998</v>
      </c>
      <c r="D14043" s="104">
        <f t="shared" si="220"/>
        <v>2.3199999999999998E-2</v>
      </c>
    </row>
    <row r="14044" spans="2:6" ht="13.8">
      <c r="B14044" s="187">
        <v>42319</v>
      </c>
      <c r="C14044" s="189" t="s">
        <v>380</v>
      </c>
      <c r="D14044" s="104">
        <f t="shared" si="220"/>
        <v>2.3199999999999998E-2</v>
      </c>
    </row>
    <row r="14045" spans="2:6" ht="13.8">
      <c r="B14045" s="187">
        <v>42320</v>
      </c>
      <c r="C14045" s="189">
        <v>2.3199999999999998</v>
      </c>
      <c r="D14045" s="104">
        <f t="shared" si="220"/>
        <v>2.3199999999999998E-2</v>
      </c>
    </row>
    <row r="14046" spans="2:6" ht="13.8">
      <c r="B14046" s="187">
        <v>42321</v>
      </c>
      <c r="C14046" s="189">
        <v>2.2799999999999998</v>
      </c>
      <c r="D14046" s="104">
        <f t="shared" si="220"/>
        <v>2.2799999999999997E-2</v>
      </c>
      <c r="E14046" s="104">
        <f>AVERAGE( D14042:D14046)</f>
        <v>2.3199999999999998E-2</v>
      </c>
      <c r="F14046" s="4" t="str">
        <f>TEXT( B14046, "ddd" )</f>
        <v>Fri</v>
      </c>
    </row>
    <row r="14047" spans="2:6" ht="13.8">
      <c r="B14047" s="187">
        <v>42324</v>
      </c>
      <c r="C14047" s="189">
        <v>2.27</v>
      </c>
      <c r="D14047" s="104">
        <f t="shared" si="220"/>
        <v>2.2700000000000001E-2</v>
      </c>
    </row>
    <row r="14048" spans="2:6" ht="13.8">
      <c r="B14048" s="187">
        <v>42325</v>
      </c>
      <c r="C14048" s="189">
        <v>2.25</v>
      </c>
      <c r="D14048" s="104">
        <f t="shared" si="220"/>
        <v>2.2499999999999999E-2</v>
      </c>
    </row>
    <row r="14049" spans="2:6" ht="13.8">
      <c r="B14049" s="187">
        <v>42326</v>
      </c>
      <c r="C14049" s="189">
        <v>2.27</v>
      </c>
      <c r="D14049" s="104">
        <f t="shared" si="220"/>
        <v>2.2700000000000001E-2</v>
      </c>
    </row>
    <row r="14050" spans="2:6" ht="13.8">
      <c r="B14050" s="187">
        <v>42327</v>
      </c>
      <c r="C14050" s="189">
        <v>2.2400000000000002</v>
      </c>
      <c r="D14050" s="104">
        <f t="shared" si="220"/>
        <v>2.2400000000000003E-2</v>
      </c>
    </row>
    <row r="14051" spans="2:6" ht="13.8">
      <c r="B14051" s="187">
        <v>42328</v>
      </c>
      <c r="C14051" s="189">
        <v>2.2599999999999998</v>
      </c>
      <c r="D14051" s="104">
        <f t="shared" si="220"/>
        <v>2.2599999999999999E-2</v>
      </c>
      <c r="E14051" s="104">
        <f>AVERAGE( D14047:D14051)</f>
        <v>2.2579999999999999E-2</v>
      </c>
      <c r="F14051" s="4" t="str">
        <f>TEXT( B14051, "ddd" )</f>
        <v>Fri</v>
      </c>
    </row>
    <row r="14052" spans="2:6" ht="13.8">
      <c r="B14052" s="187">
        <v>42331</v>
      </c>
      <c r="C14052" s="189">
        <v>2.25</v>
      </c>
      <c r="D14052" s="104">
        <f t="shared" si="220"/>
        <v>2.2499999999999999E-2</v>
      </c>
    </row>
    <row r="14053" spans="2:6" ht="13.8">
      <c r="B14053" s="187">
        <v>42332</v>
      </c>
      <c r="C14053" s="189">
        <v>2.2400000000000002</v>
      </c>
      <c r="D14053" s="104">
        <f t="shared" si="220"/>
        <v>2.2400000000000003E-2</v>
      </c>
    </row>
    <row r="14054" spans="2:6" ht="13.8">
      <c r="B14054" s="187">
        <v>42333</v>
      </c>
      <c r="C14054" s="189">
        <v>2.23</v>
      </c>
      <c r="D14054" s="104">
        <f t="shared" si="220"/>
        <v>2.23E-2</v>
      </c>
    </row>
    <row r="14055" spans="2:6" ht="13.8">
      <c r="B14055" s="187">
        <v>42334</v>
      </c>
      <c r="C14055" s="189" t="s">
        <v>380</v>
      </c>
      <c r="D14055" s="104">
        <f t="shared" si="220"/>
        <v>2.23E-2</v>
      </c>
    </row>
    <row r="14056" spans="2:6" ht="13.8">
      <c r="B14056" s="187">
        <v>42335</v>
      </c>
      <c r="C14056" s="189">
        <v>2.2200000000000002</v>
      </c>
      <c r="D14056" s="104">
        <f t="shared" si="220"/>
        <v>2.2200000000000001E-2</v>
      </c>
      <c r="E14056" s="104">
        <f>AVERAGE( D14052:D14056)</f>
        <v>2.2340000000000002E-2</v>
      </c>
      <c r="F14056" s="4" t="str">
        <f>TEXT( B14056, "ddd" )</f>
        <v>Fri</v>
      </c>
    </row>
    <row r="14057" spans="2:6" ht="13.8">
      <c r="B14057" s="187">
        <v>42338</v>
      </c>
      <c r="C14057" s="189">
        <v>2.21</v>
      </c>
      <c r="D14057" s="104">
        <f t="shared" si="220"/>
        <v>2.2099999999999998E-2</v>
      </c>
    </row>
    <row r="14058" spans="2:6" ht="13.8">
      <c r="B14058" s="187">
        <v>42339</v>
      </c>
      <c r="C14058" s="189">
        <v>2.15</v>
      </c>
      <c r="D14058" s="104">
        <f t="shared" si="220"/>
        <v>2.1499999999999998E-2</v>
      </c>
    </row>
    <row r="14059" spans="2:6" ht="13.8">
      <c r="B14059" s="187">
        <v>42340</v>
      </c>
      <c r="C14059" s="189">
        <v>2.1800000000000002</v>
      </c>
      <c r="D14059" s="104">
        <f t="shared" si="220"/>
        <v>2.18E-2</v>
      </c>
    </row>
    <row r="14060" spans="2:6" ht="13.8">
      <c r="B14060" s="187">
        <v>42341</v>
      </c>
      <c r="C14060" s="189">
        <v>2.33</v>
      </c>
      <c r="D14060" s="104">
        <f t="shared" si="220"/>
        <v>2.3300000000000001E-2</v>
      </c>
    </row>
    <row r="14061" spans="2:6" ht="13.8">
      <c r="B14061" s="187">
        <v>42342</v>
      </c>
      <c r="C14061" s="189">
        <v>2.2799999999999998</v>
      </c>
      <c r="D14061" s="104">
        <f t="shared" si="220"/>
        <v>2.2799999999999997E-2</v>
      </c>
      <c r="E14061" s="104">
        <f>AVERAGE( D14057:D14061)</f>
        <v>2.23E-2</v>
      </c>
      <c r="F14061" s="4" t="str">
        <f>TEXT( B14061, "ddd" )</f>
        <v>Fri</v>
      </c>
    </row>
    <row r="14062" spans="2:6" ht="13.8">
      <c r="B14062" s="187">
        <v>42345</v>
      </c>
      <c r="C14062" s="189">
        <v>2.23</v>
      </c>
      <c r="D14062" s="104">
        <f t="shared" si="220"/>
        <v>2.23E-2</v>
      </c>
    </row>
    <row r="14063" spans="2:6" ht="13.8">
      <c r="B14063" s="187">
        <v>42346</v>
      </c>
      <c r="C14063" s="189">
        <v>2.2400000000000002</v>
      </c>
      <c r="D14063" s="104">
        <f t="shared" si="220"/>
        <v>2.2400000000000003E-2</v>
      </c>
    </row>
    <row r="14064" spans="2:6" ht="13.8">
      <c r="B14064" s="187">
        <v>42347</v>
      </c>
      <c r="C14064" s="189">
        <v>2.2200000000000002</v>
      </c>
      <c r="D14064" s="104">
        <f t="shared" si="220"/>
        <v>2.2200000000000001E-2</v>
      </c>
    </row>
    <row r="14065" spans="2:6" ht="13.8">
      <c r="B14065" s="187">
        <v>42348</v>
      </c>
      <c r="C14065" s="189">
        <v>2.2400000000000002</v>
      </c>
      <c r="D14065" s="104">
        <f t="shared" si="220"/>
        <v>2.2400000000000003E-2</v>
      </c>
    </row>
    <row r="14066" spans="2:6" ht="13.8">
      <c r="B14066" s="187">
        <v>42349</v>
      </c>
      <c r="C14066" s="189">
        <v>2.13</v>
      </c>
      <c r="D14066" s="104">
        <f t="shared" si="220"/>
        <v>2.1299999999999999E-2</v>
      </c>
      <c r="E14066" s="104">
        <f>AVERAGE( D14062:D14066)</f>
        <v>2.2120000000000001E-2</v>
      </c>
      <c r="F14066" s="4" t="str">
        <f>TEXT( B14066, "ddd" )</f>
        <v>Fri</v>
      </c>
    </row>
    <row r="14067" spans="2:6" ht="13.8">
      <c r="B14067" s="187">
        <v>42352</v>
      </c>
      <c r="C14067" s="189">
        <v>2.23</v>
      </c>
      <c r="D14067" s="104">
        <f t="shared" si="220"/>
        <v>2.23E-2</v>
      </c>
    </row>
    <row r="14068" spans="2:6" ht="13.8">
      <c r="B14068" s="187">
        <v>42353</v>
      </c>
      <c r="C14068" s="189">
        <v>2.2799999999999998</v>
      </c>
      <c r="D14068" s="104">
        <f t="shared" si="220"/>
        <v>2.2799999999999997E-2</v>
      </c>
    </row>
    <row r="14069" spans="2:6" ht="13.8">
      <c r="B14069" s="187">
        <v>42354</v>
      </c>
      <c r="C14069" s="189">
        <v>2.2999999999999998</v>
      </c>
      <c r="D14069" s="104">
        <f t="shared" si="220"/>
        <v>2.3E-2</v>
      </c>
    </row>
    <row r="14070" spans="2:6" ht="13.8">
      <c r="B14070" s="187">
        <v>42355</v>
      </c>
      <c r="C14070" s="189">
        <v>2.2400000000000002</v>
      </c>
      <c r="D14070" s="104">
        <f t="shared" si="220"/>
        <v>2.2400000000000003E-2</v>
      </c>
    </row>
    <row r="14071" spans="2:6" ht="13.8">
      <c r="B14071" s="187">
        <v>42356</v>
      </c>
      <c r="C14071" s="189">
        <v>2.19</v>
      </c>
      <c r="D14071" s="104">
        <f t="shared" si="220"/>
        <v>2.1899999999999999E-2</v>
      </c>
      <c r="E14071" s="104">
        <f>AVERAGE( D14067:D14071)</f>
        <v>2.248E-2</v>
      </c>
      <c r="F14071" s="4" t="str">
        <f>TEXT( B14071, "ddd" )</f>
        <v>Fri</v>
      </c>
    </row>
    <row r="14072" spans="2:6" ht="13.8">
      <c r="B14072" s="187">
        <v>42359</v>
      </c>
      <c r="C14072" s="189">
        <v>2.2000000000000002</v>
      </c>
      <c r="D14072" s="104">
        <f t="shared" si="220"/>
        <v>2.2000000000000002E-2</v>
      </c>
    </row>
    <row r="14073" spans="2:6" ht="13.8">
      <c r="B14073" s="187">
        <v>42360</v>
      </c>
      <c r="C14073" s="189">
        <v>2.2400000000000002</v>
      </c>
      <c r="D14073" s="104">
        <f t="shared" si="220"/>
        <v>2.2400000000000003E-2</v>
      </c>
    </row>
    <row r="14074" spans="2:6" ht="13.8">
      <c r="B14074" s="187">
        <v>42361</v>
      </c>
      <c r="C14074" s="189">
        <v>2.27</v>
      </c>
      <c r="D14074" s="104">
        <f t="shared" si="220"/>
        <v>2.2700000000000001E-2</v>
      </c>
    </row>
    <row r="14075" spans="2:6" ht="13.8">
      <c r="B14075" s="187">
        <v>42362</v>
      </c>
      <c r="C14075" s="189">
        <v>2.25</v>
      </c>
      <c r="D14075" s="104">
        <f t="shared" si="220"/>
        <v>2.2499999999999999E-2</v>
      </c>
    </row>
    <row r="14076" spans="2:6" ht="13.8">
      <c r="B14076" s="187">
        <v>42363</v>
      </c>
      <c r="C14076" s="189" t="s">
        <v>380</v>
      </c>
      <c r="D14076" s="104">
        <f t="shared" si="220"/>
        <v>2.2499999999999999E-2</v>
      </c>
      <c r="E14076" s="104">
        <f>AVERAGE( D14072:D14076)</f>
        <v>2.2420000000000002E-2</v>
      </c>
      <c r="F14076" s="4" t="str">
        <f>TEXT( B14076, "ddd" )</f>
        <v>Fri</v>
      </c>
    </row>
    <row r="14077" spans="2:6" ht="13.8">
      <c r="B14077" s="187">
        <v>42366</v>
      </c>
      <c r="C14077" s="189">
        <v>2.2400000000000002</v>
      </c>
      <c r="D14077" s="104">
        <f t="shared" si="220"/>
        <v>2.2400000000000003E-2</v>
      </c>
    </row>
    <row r="14078" spans="2:6" ht="13.8">
      <c r="B14078" s="187">
        <v>42367</v>
      </c>
      <c r="C14078" s="189">
        <v>2.3199999999999998</v>
      </c>
      <c r="D14078" s="104">
        <f t="shared" si="220"/>
        <v>2.3199999999999998E-2</v>
      </c>
    </row>
    <row r="14079" spans="2:6" ht="13.8">
      <c r="B14079" s="187">
        <v>42368</v>
      </c>
      <c r="C14079" s="189">
        <v>2.31</v>
      </c>
      <c r="D14079" s="104">
        <f t="shared" ref="D14079:D14083" si="221">IF( LEN( C14079 ) = 0, #N/A, IF( C14079 = "ND", D14078, C14079 / 100 ) )</f>
        <v>2.3099999999999999E-2</v>
      </c>
    </row>
    <row r="14080" spans="2:6" ht="13.8">
      <c r="B14080" s="187">
        <v>42369</v>
      </c>
      <c r="C14080" s="189">
        <v>2.27</v>
      </c>
      <c r="D14080" s="104">
        <f t="shared" si="221"/>
        <v>2.2700000000000001E-2</v>
      </c>
    </row>
    <row r="14081" spans="2:6" ht="13.8">
      <c r="B14081" s="187">
        <v>42370</v>
      </c>
      <c r="C14081" s="189" t="s">
        <v>380</v>
      </c>
      <c r="D14081" s="104">
        <f t="shared" si="221"/>
        <v>2.2700000000000001E-2</v>
      </c>
      <c r="E14081" s="104">
        <f>AVERAGE( D14077:D14081)</f>
        <v>2.282E-2</v>
      </c>
      <c r="F14081" s="4" t="str">
        <f>TEXT( B14081, "ddd" )</f>
        <v>Fri</v>
      </c>
    </row>
    <row r="14082" spans="2:6" ht="13.8">
      <c r="B14082" s="187">
        <v>42373</v>
      </c>
      <c r="C14082" s="189">
        <v>2.2400000000000002</v>
      </c>
      <c r="D14082" s="104">
        <f t="shared" si="221"/>
        <v>2.2400000000000003E-2</v>
      </c>
    </row>
    <row r="14083" spans="2:6" ht="13.8">
      <c r="B14083" s="187">
        <v>42374</v>
      </c>
      <c r="C14083" s="189">
        <v>2.25</v>
      </c>
      <c r="D14083" s="104">
        <f t="shared" si="221"/>
        <v>2.2499999999999999E-2</v>
      </c>
    </row>
    <row r="14084" spans="2:6" ht="13.8">
      <c r="B14084" s="187">
        <v>42375</v>
      </c>
      <c r="C14084" s="189">
        <v>2.1800000000000002</v>
      </c>
      <c r="D14084" s="104">
        <f t="shared" ref="D14084:D14128" si="222">IF( LEN( C14084 ) = 0, #N/A, IF( C14084 = "ND", D14083, C14084 / 100 ) )</f>
        <v>2.18E-2</v>
      </c>
    </row>
    <row r="14085" spans="2:6" ht="13.8">
      <c r="B14085" s="187">
        <v>42376</v>
      </c>
      <c r="C14085" s="189">
        <v>2.16</v>
      </c>
      <c r="D14085" s="104">
        <f t="shared" si="222"/>
        <v>2.1600000000000001E-2</v>
      </c>
    </row>
    <row r="14086" spans="2:6" ht="13.8">
      <c r="B14086" s="187">
        <v>42377</v>
      </c>
      <c r="C14086" s="189">
        <v>2.13</v>
      </c>
      <c r="D14086" s="104">
        <f t="shared" si="222"/>
        <v>2.1299999999999999E-2</v>
      </c>
      <c r="E14086" s="104">
        <f>AVERAGE( D14082:D14086)</f>
        <v>2.1920000000000002E-2</v>
      </c>
      <c r="F14086" s="4" t="str">
        <f>TEXT( B14086, "ddd" )</f>
        <v>Fri</v>
      </c>
    </row>
    <row r="14087" spans="2:6" ht="13.8">
      <c r="B14087" s="187">
        <v>42380</v>
      </c>
      <c r="C14087" s="189">
        <v>2.17</v>
      </c>
      <c r="D14087" s="104">
        <f t="shared" si="222"/>
        <v>2.1700000000000001E-2</v>
      </c>
    </row>
    <row r="14088" spans="2:6" ht="13.8">
      <c r="B14088" s="187">
        <v>42381</v>
      </c>
      <c r="C14088" s="189">
        <v>2.12</v>
      </c>
      <c r="D14088" s="104">
        <f t="shared" si="222"/>
        <v>2.12E-2</v>
      </c>
    </row>
    <row r="14089" spans="2:6" ht="13.8">
      <c r="B14089" s="187">
        <v>42382</v>
      </c>
      <c r="C14089" s="189">
        <v>2.08</v>
      </c>
      <c r="D14089" s="104">
        <f t="shared" si="222"/>
        <v>2.0799999999999999E-2</v>
      </c>
    </row>
    <row r="14090" spans="2:6" ht="13.8">
      <c r="B14090" s="187">
        <v>42383</v>
      </c>
      <c r="C14090" s="189">
        <v>2.1</v>
      </c>
      <c r="D14090" s="104">
        <f t="shared" si="222"/>
        <v>2.1000000000000001E-2</v>
      </c>
    </row>
    <row r="14091" spans="2:6" ht="13.8">
      <c r="B14091" s="187">
        <v>42384</v>
      </c>
      <c r="C14091" s="189">
        <v>2.0299999999999998</v>
      </c>
      <c r="D14091" s="104">
        <f t="shared" si="222"/>
        <v>2.0299999999999999E-2</v>
      </c>
      <c r="E14091" s="104">
        <f>AVERAGE( D14087:D14091)</f>
        <v>2.1000000000000001E-2</v>
      </c>
      <c r="F14091" s="4" t="str">
        <f>TEXT( B14091, "ddd" )</f>
        <v>Fri</v>
      </c>
    </row>
    <row r="14092" spans="2:6" ht="13.8">
      <c r="B14092" s="187">
        <v>42387</v>
      </c>
      <c r="C14092" s="189" t="s">
        <v>380</v>
      </c>
      <c r="D14092" s="104">
        <f t="shared" si="222"/>
        <v>2.0299999999999999E-2</v>
      </c>
    </row>
    <row r="14093" spans="2:6" ht="13.8">
      <c r="B14093" s="187">
        <v>42388</v>
      </c>
      <c r="C14093" s="189">
        <v>2.06</v>
      </c>
      <c r="D14093" s="104">
        <f t="shared" si="222"/>
        <v>2.06E-2</v>
      </c>
    </row>
    <row r="14094" spans="2:6" ht="13.8">
      <c r="B14094" s="187">
        <v>42389</v>
      </c>
      <c r="C14094" s="189">
        <v>2.0099999999999998</v>
      </c>
      <c r="D14094" s="104">
        <f t="shared" si="222"/>
        <v>2.0099999999999996E-2</v>
      </c>
    </row>
    <row r="14095" spans="2:6" ht="13.8">
      <c r="B14095" s="187">
        <v>42390</v>
      </c>
      <c r="C14095" s="189">
        <v>2.02</v>
      </c>
      <c r="D14095" s="104">
        <f t="shared" si="222"/>
        <v>2.0199999999999999E-2</v>
      </c>
    </row>
    <row r="14096" spans="2:6" ht="13.8">
      <c r="B14096" s="187">
        <v>42391</v>
      </c>
      <c r="C14096" s="189">
        <v>2.0699999999999998</v>
      </c>
      <c r="D14096" s="104">
        <f t="shared" si="222"/>
        <v>2.07E-2</v>
      </c>
      <c r="E14096" s="104">
        <f>AVERAGE( D14092:D14096)</f>
        <v>2.0379999999999999E-2</v>
      </c>
      <c r="F14096" s="4" t="str">
        <f>TEXT( B14096, "ddd" )</f>
        <v>Fri</v>
      </c>
    </row>
    <row r="14097" spans="2:6" ht="13.8">
      <c r="B14097" s="187">
        <v>42394</v>
      </c>
      <c r="C14097" s="189">
        <v>2.0299999999999998</v>
      </c>
      <c r="D14097" s="104">
        <f t="shared" si="222"/>
        <v>2.0299999999999999E-2</v>
      </c>
    </row>
    <row r="14098" spans="2:6" ht="13.8">
      <c r="B14098" s="187">
        <v>42395</v>
      </c>
      <c r="C14098" s="189">
        <v>2.0099999999999998</v>
      </c>
      <c r="D14098" s="104">
        <f t="shared" si="222"/>
        <v>2.0099999999999996E-2</v>
      </c>
    </row>
    <row r="14099" spans="2:6" ht="13.8">
      <c r="B14099" s="187">
        <v>42396</v>
      </c>
      <c r="C14099" s="189">
        <v>2.02</v>
      </c>
      <c r="D14099" s="104">
        <f t="shared" si="222"/>
        <v>2.0199999999999999E-2</v>
      </c>
    </row>
    <row r="14100" spans="2:6" ht="13.8">
      <c r="B14100" s="187">
        <v>42397</v>
      </c>
      <c r="C14100" s="189">
        <v>2</v>
      </c>
      <c r="D14100" s="104">
        <f t="shared" si="222"/>
        <v>0.02</v>
      </c>
    </row>
    <row r="14101" spans="2:6" ht="13.8">
      <c r="B14101" s="187">
        <v>42398</v>
      </c>
      <c r="C14101" s="189">
        <v>1.94</v>
      </c>
      <c r="D14101" s="104">
        <f t="shared" si="222"/>
        <v>1.9400000000000001E-2</v>
      </c>
      <c r="E14101" s="104">
        <f>AVERAGE( D14097:D14101)</f>
        <v>1.9999999999999997E-2</v>
      </c>
      <c r="F14101" s="4" t="str">
        <f>TEXT( B14101, "ddd" )</f>
        <v>Fri</v>
      </c>
    </row>
    <row r="14102" spans="2:6" ht="13.8">
      <c r="B14102" s="187">
        <v>42401</v>
      </c>
      <c r="C14102" s="189">
        <v>1.97</v>
      </c>
      <c r="D14102" s="104">
        <f t="shared" si="222"/>
        <v>1.9699999999999999E-2</v>
      </c>
    </row>
    <row r="14103" spans="2:6" ht="13.8">
      <c r="B14103" s="187">
        <v>42402</v>
      </c>
      <c r="C14103" s="189">
        <v>1.87</v>
      </c>
      <c r="D14103" s="104">
        <f t="shared" si="222"/>
        <v>1.8700000000000001E-2</v>
      </c>
    </row>
    <row r="14104" spans="2:6" ht="13.8">
      <c r="B14104" s="187">
        <v>42403</v>
      </c>
      <c r="C14104" s="189">
        <v>1.88</v>
      </c>
      <c r="D14104" s="104">
        <f t="shared" si="222"/>
        <v>1.8799999999999997E-2</v>
      </c>
    </row>
    <row r="14105" spans="2:6" ht="13.8">
      <c r="B14105" s="187">
        <v>42404</v>
      </c>
      <c r="C14105" s="189">
        <v>1.87</v>
      </c>
      <c r="D14105" s="104">
        <f t="shared" si="222"/>
        <v>1.8700000000000001E-2</v>
      </c>
    </row>
    <row r="14106" spans="2:6" ht="13.8">
      <c r="B14106" s="187">
        <v>42405</v>
      </c>
      <c r="C14106" s="189">
        <v>1.86</v>
      </c>
      <c r="D14106" s="104">
        <f t="shared" si="222"/>
        <v>1.8600000000000002E-2</v>
      </c>
      <c r="E14106" s="104">
        <f>AVERAGE( D14102:D14106)</f>
        <v>1.89E-2</v>
      </c>
      <c r="F14106" s="4" t="str">
        <f>TEXT( B14106, "ddd" )</f>
        <v>Fri</v>
      </c>
    </row>
    <row r="14107" spans="2:6" ht="13.8">
      <c r="B14107" s="187">
        <v>42408</v>
      </c>
      <c r="C14107" s="189">
        <v>1.75</v>
      </c>
      <c r="D14107" s="104">
        <f t="shared" si="222"/>
        <v>1.7500000000000002E-2</v>
      </c>
    </row>
    <row r="14108" spans="2:6" ht="13.8">
      <c r="B14108" s="187">
        <v>42409</v>
      </c>
      <c r="C14108" s="189">
        <v>1.74</v>
      </c>
      <c r="D14108" s="104">
        <f t="shared" si="222"/>
        <v>1.7399999999999999E-2</v>
      </c>
    </row>
    <row r="14109" spans="2:6" ht="13.8">
      <c r="B14109" s="187">
        <v>42410</v>
      </c>
      <c r="C14109" s="189">
        <v>1.71</v>
      </c>
      <c r="D14109" s="104">
        <f t="shared" si="222"/>
        <v>1.7100000000000001E-2</v>
      </c>
    </row>
    <row r="14110" spans="2:6" ht="13.8">
      <c r="B14110" s="187">
        <v>42411</v>
      </c>
      <c r="C14110" s="189">
        <v>1.63</v>
      </c>
      <c r="D14110" s="104">
        <f t="shared" si="222"/>
        <v>1.6299999999999999E-2</v>
      </c>
    </row>
    <row r="14111" spans="2:6" ht="13.8">
      <c r="B14111" s="187">
        <v>42412</v>
      </c>
      <c r="C14111" s="189">
        <v>1.74</v>
      </c>
      <c r="D14111" s="104">
        <f t="shared" si="222"/>
        <v>1.7399999999999999E-2</v>
      </c>
      <c r="E14111" s="104">
        <f>AVERAGE( D14107:D14111)</f>
        <v>1.7139999999999999E-2</v>
      </c>
      <c r="F14111" s="4" t="str">
        <f>TEXT( B14111, "ddd" )</f>
        <v>Fri</v>
      </c>
    </row>
    <row r="14112" spans="2:6" ht="13.8">
      <c r="B14112" s="187">
        <v>42415</v>
      </c>
      <c r="C14112" s="189" t="s">
        <v>380</v>
      </c>
      <c r="D14112" s="104">
        <f t="shared" si="222"/>
        <v>1.7399999999999999E-2</v>
      </c>
    </row>
    <row r="14113" spans="2:6" ht="13.8">
      <c r="B14113" s="187">
        <v>42416</v>
      </c>
      <c r="C14113" s="189">
        <v>1.78</v>
      </c>
      <c r="D14113" s="104">
        <f t="shared" si="222"/>
        <v>1.78E-2</v>
      </c>
    </row>
    <row r="14114" spans="2:6" ht="13.8">
      <c r="B14114" s="187">
        <v>42417</v>
      </c>
      <c r="C14114" s="189">
        <v>1.81</v>
      </c>
      <c r="D14114" s="104">
        <f t="shared" si="222"/>
        <v>1.8100000000000002E-2</v>
      </c>
    </row>
    <row r="14115" spans="2:6" ht="13.8">
      <c r="B14115" s="187">
        <v>42418</v>
      </c>
      <c r="C14115" s="189">
        <v>1.75</v>
      </c>
      <c r="D14115" s="104">
        <f t="shared" si="222"/>
        <v>1.7500000000000002E-2</v>
      </c>
    </row>
    <row r="14116" spans="2:6" ht="13.8">
      <c r="B14116" s="187">
        <v>42419</v>
      </c>
      <c r="C14116" s="189">
        <v>1.76</v>
      </c>
      <c r="D14116" s="104">
        <f t="shared" si="222"/>
        <v>1.7600000000000001E-2</v>
      </c>
      <c r="E14116" s="104">
        <f>AVERAGE( D14112:D14116)</f>
        <v>1.7680000000000001E-2</v>
      </c>
      <c r="F14116" s="4" t="str">
        <f>TEXT( B14116, "ddd" )</f>
        <v>Fri</v>
      </c>
    </row>
    <row r="14117" spans="2:6" ht="13.8">
      <c r="B14117" s="187">
        <v>42422</v>
      </c>
      <c r="C14117" s="189">
        <v>1.77</v>
      </c>
      <c r="D14117" s="104">
        <f t="shared" si="222"/>
        <v>1.77E-2</v>
      </c>
    </row>
    <row r="14118" spans="2:6" ht="13.8">
      <c r="B14118" s="187">
        <v>42423</v>
      </c>
      <c r="C14118" s="189">
        <v>1.74</v>
      </c>
      <c r="D14118" s="104">
        <f t="shared" si="222"/>
        <v>1.7399999999999999E-2</v>
      </c>
    </row>
    <row r="14119" spans="2:6" ht="13.8">
      <c r="B14119" s="187">
        <v>42424</v>
      </c>
      <c r="C14119" s="189">
        <v>1.75</v>
      </c>
      <c r="D14119" s="104">
        <f t="shared" si="222"/>
        <v>1.7500000000000002E-2</v>
      </c>
    </row>
    <row r="14120" spans="2:6" ht="13.8">
      <c r="B14120" s="187">
        <v>42425</v>
      </c>
      <c r="C14120" s="189">
        <v>1.71</v>
      </c>
      <c r="D14120" s="104">
        <f t="shared" si="222"/>
        <v>1.7100000000000001E-2</v>
      </c>
    </row>
    <row r="14121" spans="2:6" ht="13.8">
      <c r="B14121" s="187">
        <v>42426</v>
      </c>
      <c r="C14121" s="189">
        <v>1.76</v>
      </c>
      <c r="D14121" s="104">
        <f t="shared" si="222"/>
        <v>1.7600000000000001E-2</v>
      </c>
      <c r="E14121" s="104">
        <f>AVERAGE( D14117:D14121)</f>
        <v>1.746E-2</v>
      </c>
      <c r="F14121" s="4" t="str">
        <f>TEXT( B14121, "ddd" )</f>
        <v>Fri</v>
      </c>
    </row>
    <row r="14122" spans="2:6" ht="13.8">
      <c r="B14122" s="187">
        <v>42429</v>
      </c>
      <c r="C14122" s="189">
        <v>1.74</v>
      </c>
      <c r="D14122" s="104">
        <f t="shared" si="222"/>
        <v>1.7399999999999999E-2</v>
      </c>
    </row>
    <row r="14123" spans="2:6" ht="13.8">
      <c r="B14123" s="187">
        <v>42430</v>
      </c>
      <c r="C14123" s="189">
        <v>1.83</v>
      </c>
      <c r="D14123" s="104">
        <f t="shared" si="222"/>
        <v>1.83E-2</v>
      </c>
    </row>
    <row r="14124" spans="2:6" ht="13.8">
      <c r="B14124" s="187">
        <v>42431</v>
      </c>
      <c r="C14124" s="189">
        <v>1.84</v>
      </c>
      <c r="D14124" s="104">
        <f t="shared" si="222"/>
        <v>1.84E-2</v>
      </c>
    </row>
    <row r="14125" spans="2:6" ht="13.8">
      <c r="B14125" s="187">
        <v>42432</v>
      </c>
      <c r="C14125" s="189">
        <v>1.83</v>
      </c>
      <c r="D14125" s="104">
        <f t="shared" si="222"/>
        <v>1.83E-2</v>
      </c>
    </row>
    <row r="14126" spans="2:6" ht="13.8">
      <c r="B14126" s="187">
        <v>42433</v>
      </c>
      <c r="C14126" s="189">
        <v>1.88</v>
      </c>
      <c r="D14126" s="104">
        <f t="shared" si="222"/>
        <v>1.8799999999999997E-2</v>
      </c>
      <c r="E14126" s="104">
        <f>AVERAGE( D14122:D14126)</f>
        <v>1.8239999999999999E-2</v>
      </c>
      <c r="F14126" s="4" t="str">
        <f>TEXT( B14126, "ddd" )</f>
        <v>Fri</v>
      </c>
    </row>
    <row r="14127" spans="2:6" ht="13.8">
      <c r="B14127" s="187">
        <v>42436</v>
      </c>
      <c r="C14127" s="189">
        <v>1.91</v>
      </c>
      <c r="D14127" s="104">
        <f t="shared" si="222"/>
        <v>1.9099999999999999E-2</v>
      </c>
    </row>
    <row r="14128" spans="2:6" ht="13.8">
      <c r="B14128" s="187">
        <v>42437</v>
      </c>
      <c r="C14128" s="189">
        <v>1.83</v>
      </c>
      <c r="D14128" s="104">
        <f t="shared" si="222"/>
        <v>1.83E-2</v>
      </c>
    </row>
    <row r="14129" spans="2:6" ht="13.8">
      <c r="B14129" s="187">
        <v>42438</v>
      </c>
      <c r="C14129" s="189">
        <v>1.9</v>
      </c>
      <c r="D14129" s="104">
        <f t="shared" ref="D14129:D14158" si="223">IF( LEN( C14129 ) = 0, #N/A, IF( C14129 = "ND", D14128, C14129 / 100 ) )</f>
        <v>1.9E-2</v>
      </c>
    </row>
    <row r="14130" spans="2:6" ht="13.8">
      <c r="B14130" s="187">
        <v>42439</v>
      </c>
      <c r="C14130" s="189">
        <v>1.93</v>
      </c>
      <c r="D14130" s="104">
        <f t="shared" si="223"/>
        <v>1.9299999999999998E-2</v>
      </c>
    </row>
    <row r="14131" spans="2:6" ht="13.8">
      <c r="B14131" s="187">
        <v>42440</v>
      </c>
      <c r="C14131" s="189">
        <v>1.98</v>
      </c>
      <c r="D14131" s="104">
        <f t="shared" si="223"/>
        <v>1.9799999999999998E-2</v>
      </c>
      <c r="E14131" s="104">
        <f>AVERAGE( D14127:D14131)</f>
        <v>1.9099999999999999E-2</v>
      </c>
      <c r="F14131" s="4" t="str">
        <f>TEXT( B14131, "ddd" )</f>
        <v>Fri</v>
      </c>
    </row>
    <row r="14132" spans="2:6" ht="13.8">
      <c r="B14132" s="187">
        <v>42443</v>
      </c>
      <c r="C14132" s="189">
        <v>1.97</v>
      </c>
      <c r="D14132" s="104">
        <f t="shared" si="223"/>
        <v>1.9699999999999999E-2</v>
      </c>
    </row>
    <row r="14133" spans="2:6" ht="13.8">
      <c r="B14133" s="187">
        <v>42444</v>
      </c>
      <c r="C14133" s="189">
        <v>1.97</v>
      </c>
      <c r="D14133" s="104">
        <f t="shared" si="223"/>
        <v>1.9699999999999999E-2</v>
      </c>
    </row>
    <row r="14134" spans="2:6" ht="13.8">
      <c r="B14134" s="187">
        <v>42445</v>
      </c>
      <c r="C14134" s="189">
        <v>1.94</v>
      </c>
      <c r="D14134" s="104">
        <f t="shared" si="223"/>
        <v>1.9400000000000001E-2</v>
      </c>
    </row>
    <row r="14135" spans="2:6" ht="13.8">
      <c r="B14135" s="187">
        <v>42446</v>
      </c>
      <c r="C14135" s="189">
        <v>1.91</v>
      </c>
      <c r="D14135" s="104">
        <f t="shared" si="223"/>
        <v>1.9099999999999999E-2</v>
      </c>
    </row>
    <row r="14136" spans="2:6" ht="13.8">
      <c r="B14136" s="187">
        <v>42447</v>
      </c>
      <c r="C14136" s="189">
        <v>1.88</v>
      </c>
      <c r="D14136" s="104">
        <f t="shared" si="223"/>
        <v>1.8799999999999997E-2</v>
      </c>
      <c r="E14136" s="104">
        <f>AVERAGE( D14132:D14136)</f>
        <v>1.934E-2</v>
      </c>
      <c r="F14136" s="4" t="str">
        <f>TEXT( B14136, "ddd" )</f>
        <v>Fri</v>
      </c>
    </row>
    <row r="14137" spans="2:6" ht="13.8">
      <c r="B14137" s="187">
        <v>42450</v>
      </c>
      <c r="C14137" s="189">
        <v>1.92</v>
      </c>
      <c r="D14137" s="104">
        <f t="shared" si="223"/>
        <v>1.9199999999999998E-2</v>
      </c>
    </row>
    <row r="14138" spans="2:6" ht="13.8">
      <c r="B14138" s="187">
        <v>42451</v>
      </c>
      <c r="C14138" s="189">
        <v>1.94</v>
      </c>
      <c r="D14138" s="104">
        <f t="shared" si="223"/>
        <v>1.9400000000000001E-2</v>
      </c>
    </row>
    <row r="14139" spans="2:6" ht="13.8">
      <c r="B14139" s="187">
        <v>42452</v>
      </c>
      <c r="C14139" s="189">
        <v>1.88</v>
      </c>
      <c r="D14139" s="104">
        <f t="shared" si="223"/>
        <v>1.8799999999999997E-2</v>
      </c>
    </row>
    <row r="14140" spans="2:6" ht="13.8">
      <c r="B14140" s="187">
        <v>42453</v>
      </c>
      <c r="C14140" s="189">
        <v>1.91</v>
      </c>
      <c r="D14140" s="104">
        <f t="shared" si="223"/>
        <v>1.9099999999999999E-2</v>
      </c>
    </row>
    <row r="14141" spans="2:6" ht="13.8">
      <c r="B14141" s="187">
        <v>42454</v>
      </c>
      <c r="C14141" s="189" t="s">
        <v>380</v>
      </c>
      <c r="D14141" s="104">
        <f t="shared" si="223"/>
        <v>1.9099999999999999E-2</v>
      </c>
      <c r="E14141" s="104">
        <f>AVERAGE( D14137:D14141)</f>
        <v>1.9119999999999998E-2</v>
      </c>
      <c r="F14141" s="4" t="str">
        <f>TEXT( B14141, "ddd" )</f>
        <v>Fri</v>
      </c>
    </row>
    <row r="14142" spans="2:6" ht="13.8">
      <c r="B14142" s="187">
        <v>42457</v>
      </c>
      <c r="C14142" s="189">
        <v>1.89</v>
      </c>
      <c r="D14142" s="104">
        <f t="shared" si="223"/>
        <v>1.89E-2</v>
      </c>
    </row>
    <row r="14143" spans="2:6" ht="13.8">
      <c r="B14143" s="187">
        <v>42458</v>
      </c>
      <c r="C14143" s="189">
        <v>1.81</v>
      </c>
      <c r="D14143" s="104">
        <f t="shared" si="223"/>
        <v>1.8100000000000002E-2</v>
      </c>
    </row>
    <row r="14144" spans="2:6" ht="13.8">
      <c r="B14144" s="187">
        <v>42459</v>
      </c>
      <c r="C14144" s="189">
        <v>1.83</v>
      </c>
      <c r="D14144" s="104">
        <f t="shared" si="223"/>
        <v>1.83E-2</v>
      </c>
    </row>
    <row r="14145" spans="2:6" ht="13.8">
      <c r="B14145" s="187">
        <v>42460</v>
      </c>
      <c r="C14145" s="189">
        <v>1.78</v>
      </c>
      <c r="D14145" s="104">
        <f t="shared" si="223"/>
        <v>1.78E-2</v>
      </c>
    </row>
    <row r="14146" spans="2:6" ht="13.8">
      <c r="B14146" s="187">
        <v>42461</v>
      </c>
      <c r="C14146" s="189">
        <v>1.79</v>
      </c>
      <c r="D14146" s="104">
        <f t="shared" si="223"/>
        <v>1.7899999999999999E-2</v>
      </c>
      <c r="E14146" s="104">
        <f>AVERAGE( D14142:D14146)</f>
        <v>1.8200000000000001E-2</v>
      </c>
      <c r="F14146" s="4" t="str">
        <f>TEXT( B14146, "ddd" )</f>
        <v>Fri</v>
      </c>
    </row>
    <row r="14147" spans="2:6" ht="13.8">
      <c r="B14147" s="187">
        <v>42464</v>
      </c>
      <c r="C14147" s="189">
        <v>1.78</v>
      </c>
      <c r="D14147" s="104">
        <f t="shared" si="223"/>
        <v>1.78E-2</v>
      </c>
    </row>
    <row r="14148" spans="2:6" ht="13.8">
      <c r="B14148" s="187">
        <v>42465</v>
      </c>
      <c r="C14148" s="189">
        <v>1.73</v>
      </c>
      <c r="D14148" s="104">
        <f t="shared" si="223"/>
        <v>1.7299999999999999E-2</v>
      </c>
    </row>
    <row r="14149" spans="2:6" ht="13.8">
      <c r="B14149" s="187">
        <v>42466</v>
      </c>
      <c r="C14149" s="189">
        <v>1.76</v>
      </c>
      <c r="D14149" s="104">
        <f t="shared" si="223"/>
        <v>1.7600000000000001E-2</v>
      </c>
    </row>
    <row r="14150" spans="2:6" ht="13.8">
      <c r="B14150" s="187">
        <v>42467</v>
      </c>
      <c r="C14150" s="189">
        <v>1.7</v>
      </c>
      <c r="D14150" s="104">
        <f t="shared" si="223"/>
        <v>1.7000000000000001E-2</v>
      </c>
    </row>
    <row r="14151" spans="2:6" ht="13.8">
      <c r="B14151" s="187">
        <v>42468</v>
      </c>
      <c r="C14151" s="189">
        <v>1.72</v>
      </c>
      <c r="D14151" s="104">
        <f t="shared" si="223"/>
        <v>1.72E-2</v>
      </c>
      <c r="E14151" s="104">
        <f>AVERAGE( D14147:D14151)</f>
        <v>1.738E-2</v>
      </c>
      <c r="F14151" s="4" t="str">
        <f>TEXT( B14151, "ddd" )</f>
        <v>Fri</v>
      </c>
    </row>
    <row r="14152" spans="2:6" ht="13.8">
      <c r="B14152" s="187">
        <v>42471</v>
      </c>
      <c r="C14152" s="189">
        <v>1.73</v>
      </c>
      <c r="D14152" s="104">
        <f t="shared" si="223"/>
        <v>1.7299999999999999E-2</v>
      </c>
    </row>
    <row r="14153" spans="2:6" ht="13.8">
      <c r="B14153" s="187">
        <v>42472</v>
      </c>
      <c r="C14153" s="189">
        <v>1.79</v>
      </c>
      <c r="D14153" s="104">
        <f t="shared" si="223"/>
        <v>1.7899999999999999E-2</v>
      </c>
    </row>
    <row r="14154" spans="2:6" ht="13.8">
      <c r="B14154" s="187">
        <v>42473</v>
      </c>
      <c r="C14154" s="189">
        <v>1.77</v>
      </c>
      <c r="D14154" s="104">
        <f t="shared" si="223"/>
        <v>1.77E-2</v>
      </c>
    </row>
    <row r="14155" spans="2:6" ht="13.8">
      <c r="B14155" s="187">
        <v>42474</v>
      </c>
      <c r="C14155" s="189">
        <v>1.8</v>
      </c>
      <c r="D14155" s="104">
        <f t="shared" si="223"/>
        <v>1.8000000000000002E-2</v>
      </c>
    </row>
    <row r="14156" spans="2:6" ht="13.8">
      <c r="B14156" s="187">
        <v>42475</v>
      </c>
      <c r="C14156" s="189">
        <v>1.76</v>
      </c>
      <c r="D14156" s="104">
        <f t="shared" si="223"/>
        <v>1.7600000000000001E-2</v>
      </c>
      <c r="E14156" s="104">
        <f>AVERAGE( D14152:D14156)</f>
        <v>1.77E-2</v>
      </c>
      <c r="F14156" s="4" t="str">
        <f>TEXT( B14156, "ddd" )</f>
        <v>Fri</v>
      </c>
    </row>
    <row r="14157" spans="2:6" ht="13.8">
      <c r="B14157" s="187">
        <v>42478</v>
      </c>
      <c r="C14157" s="189">
        <v>1.78</v>
      </c>
      <c r="D14157" s="104">
        <f t="shared" si="223"/>
        <v>1.78E-2</v>
      </c>
    </row>
    <row r="14158" spans="2:6" ht="13.8">
      <c r="B14158" s="187">
        <v>42479</v>
      </c>
      <c r="C14158" s="189">
        <v>1.79</v>
      </c>
      <c r="D14158" s="104">
        <f t="shared" si="223"/>
        <v>1.7899999999999999E-2</v>
      </c>
    </row>
    <row r="14159" spans="2:6" ht="13.8">
      <c r="B14159" s="187">
        <v>42480</v>
      </c>
      <c r="C14159" s="189">
        <v>1.85</v>
      </c>
      <c r="D14159" s="104">
        <f t="shared" ref="D14159:D14183" si="224">IF( LEN( C14159 ) = 0, #N/A, IF( C14159 = "ND", D14158, C14159 / 100 ) )</f>
        <v>1.8500000000000003E-2</v>
      </c>
    </row>
    <row r="14160" spans="2:6" ht="13.8">
      <c r="B14160" s="187">
        <v>42481</v>
      </c>
      <c r="C14160" s="189">
        <v>1.88</v>
      </c>
      <c r="D14160" s="104">
        <f t="shared" si="224"/>
        <v>1.8799999999999997E-2</v>
      </c>
    </row>
    <row r="14161" spans="2:6" ht="13.8">
      <c r="B14161" s="187">
        <v>42482</v>
      </c>
      <c r="C14161" s="189">
        <v>1.89</v>
      </c>
      <c r="D14161" s="104">
        <f t="shared" si="224"/>
        <v>1.89E-2</v>
      </c>
      <c r="E14161" s="104">
        <f>AVERAGE( D14157:D14161)</f>
        <v>1.8380000000000001E-2</v>
      </c>
      <c r="F14161" s="4" t="str">
        <f>TEXT( B14161, "ddd" )</f>
        <v>Fri</v>
      </c>
    </row>
    <row r="14162" spans="2:6" ht="13.8">
      <c r="B14162" s="187">
        <v>42485</v>
      </c>
      <c r="C14162" s="189">
        <v>1.91</v>
      </c>
      <c r="D14162" s="104">
        <f t="shared" si="224"/>
        <v>1.9099999999999999E-2</v>
      </c>
    </row>
    <row r="14163" spans="2:6" ht="13.8">
      <c r="B14163" s="187">
        <v>42486</v>
      </c>
      <c r="C14163" s="189">
        <v>1.94</v>
      </c>
      <c r="D14163" s="104">
        <f t="shared" si="224"/>
        <v>1.9400000000000001E-2</v>
      </c>
    </row>
    <row r="14164" spans="2:6" ht="13.8">
      <c r="B14164" s="187">
        <v>42487</v>
      </c>
      <c r="C14164" s="189">
        <v>1.87</v>
      </c>
      <c r="D14164" s="104">
        <f t="shared" si="224"/>
        <v>1.8700000000000001E-2</v>
      </c>
    </row>
    <row r="14165" spans="2:6" ht="13.8">
      <c r="B14165" s="187">
        <v>42488</v>
      </c>
      <c r="C14165" s="189">
        <v>1.84</v>
      </c>
      <c r="D14165" s="104">
        <f t="shared" si="224"/>
        <v>1.84E-2</v>
      </c>
    </row>
    <row r="14166" spans="2:6" ht="13.8">
      <c r="B14166" s="187">
        <v>42489</v>
      </c>
      <c r="C14166" s="189">
        <v>1.83</v>
      </c>
      <c r="D14166" s="104">
        <f t="shared" si="224"/>
        <v>1.83E-2</v>
      </c>
      <c r="E14166" s="104">
        <f>AVERAGE( D14162:D14166)</f>
        <v>1.8779999999999998E-2</v>
      </c>
      <c r="F14166" s="4" t="str">
        <f>TEXT( B14166, "ddd" )</f>
        <v>Fri</v>
      </c>
    </row>
    <row r="14167" spans="2:6" ht="13.8">
      <c r="B14167" s="187">
        <v>42492</v>
      </c>
      <c r="C14167" s="189">
        <v>1.88</v>
      </c>
      <c r="D14167" s="104">
        <f t="shared" si="224"/>
        <v>1.8799999999999997E-2</v>
      </c>
    </row>
    <row r="14168" spans="2:6" ht="13.8">
      <c r="B14168" s="187">
        <v>42493</v>
      </c>
      <c r="C14168" s="189">
        <v>1.81</v>
      </c>
      <c r="D14168" s="104">
        <f t="shared" si="224"/>
        <v>1.8100000000000002E-2</v>
      </c>
    </row>
    <row r="14169" spans="2:6" ht="13.8">
      <c r="B14169" s="187">
        <v>42494</v>
      </c>
      <c r="C14169" s="189">
        <v>1.79</v>
      </c>
      <c r="D14169" s="104">
        <f t="shared" si="224"/>
        <v>1.7899999999999999E-2</v>
      </c>
    </row>
    <row r="14170" spans="2:6" ht="13.8">
      <c r="B14170" s="187">
        <v>42495</v>
      </c>
      <c r="C14170" s="189">
        <v>1.76</v>
      </c>
      <c r="D14170" s="104">
        <f t="shared" si="224"/>
        <v>1.7600000000000001E-2</v>
      </c>
    </row>
    <row r="14171" spans="2:6" ht="13.8">
      <c r="B14171" s="187">
        <v>42496</v>
      </c>
      <c r="C14171" s="189">
        <v>1.79</v>
      </c>
      <c r="D14171" s="104">
        <f t="shared" si="224"/>
        <v>1.7899999999999999E-2</v>
      </c>
      <c r="E14171" s="104">
        <f>AVERAGE( D14167:D14171)</f>
        <v>1.806E-2</v>
      </c>
      <c r="F14171" s="4" t="str">
        <f>TEXT( B14171, "ddd" )</f>
        <v>Fri</v>
      </c>
    </row>
    <row r="14172" spans="2:6" ht="13.8">
      <c r="B14172" s="187">
        <v>42499</v>
      </c>
      <c r="C14172" s="189">
        <v>1.77</v>
      </c>
      <c r="D14172" s="104">
        <f t="shared" si="224"/>
        <v>1.77E-2</v>
      </c>
    </row>
    <row r="14173" spans="2:6" ht="13.8">
      <c r="B14173" s="187">
        <v>42500</v>
      </c>
      <c r="C14173" s="189">
        <v>1.77</v>
      </c>
      <c r="D14173" s="104">
        <f t="shared" si="224"/>
        <v>1.77E-2</v>
      </c>
    </row>
    <row r="14174" spans="2:6" ht="13.8">
      <c r="B14174" s="187">
        <v>42501</v>
      </c>
      <c r="C14174" s="189">
        <v>1.73</v>
      </c>
      <c r="D14174" s="104">
        <f t="shared" si="224"/>
        <v>1.7299999999999999E-2</v>
      </c>
    </row>
    <row r="14175" spans="2:6" ht="13.8">
      <c r="B14175" s="187">
        <v>42502</v>
      </c>
      <c r="C14175" s="189">
        <v>1.75</v>
      </c>
      <c r="D14175" s="104">
        <f t="shared" si="224"/>
        <v>1.7500000000000002E-2</v>
      </c>
    </row>
    <row r="14176" spans="2:6" ht="13.8">
      <c r="B14176" s="187">
        <v>42503</v>
      </c>
      <c r="C14176" s="189">
        <v>1.71</v>
      </c>
      <c r="D14176" s="104">
        <f t="shared" si="224"/>
        <v>1.7100000000000001E-2</v>
      </c>
      <c r="E14176" s="104">
        <f>AVERAGE( D14172:D14176)</f>
        <v>1.746E-2</v>
      </c>
      <c r="F14176" s="4" t="str">
        <f>TEXT( B14176, "ddd" )</f>
        <v>Fri</v>
      </c>
    </row>
    <row r="14177" spans="2:6" ht="13.8">
      <c r="B14177" s="187">
        <v>42506</v>
      </c>
      <c r="C14177" s="189">
        <v>1.75</v>
      </c>
      <c r="D14177" s="104">
        <f t="shared" si="224"/>
        <v>1.7500000000000002E-2</v>
      </c>
    </row>
    <row r="14178" spans="2:6" ht="13.8">
      <c r="B14178" s="187">
        <v>42507</v>
      </c>
      <c r="C14178" s="189">
        <v>1.76</v>
      </c>
      <c r="D14178" s="104">
        <f t="shared" si="224"/>
        <v>1.7600000000000001E-2</v>
      </c>
    </row>
    <row r="14179" spans="2:6" ht="13.8">
      <c r="B14179" s="187">
        <v>42508</v>
      </c>
      <c r="C14179" s="189">
        <v>1.87</v>
      </c>
      <c r="D14179" s="104">
        <f t="shared" si="224"/>
        <v>1.8700000000000001E-2</v>
      </c>
    </row>
    <row r="14180" spans="2:6" ht="13.8">
      <c r="B14180" s="187">
        <v>42509</v>
      </c>
      <c r="C14180" s="189">
        <v>1.85</v>
      </c>
      <c r="D14180" s="104">
        <f t="shared" si="224"/>
        <v>1.8500000000000003E-2</v>
      </c>
    </row>
    <row r="14181" spans="2:6" ht="13.8">
      <c r="B14181" s="187">
        <v>42510</v>
      </c>
      <c r="C14181" s="189">
        <v>1.85</v>
      </c>
      <c r="D14181" s="104">
        <f t="shared" si="224"/>
        <v>1.8500000000000003E-2</v>
      </c>
      <c r="E14181" s="104">
        <f>AVERAGE( D14177:D14181)</f>
        <v>1.8160000000000003E-2</v>
      </c>
      <c r="F14181" s="4" t="str">
        <f>TEXT( B14181, "ddd" )</f>
        <v>Fri</v>
      </c>
    </row>
    <row r="14182" spans="2:6" ht="13.8">
      <c r="B14182" s="187">
        <v>42513</v>
      </c>
      <c r="C14182" s="189">
        <v>1.84</v>
      </c>
      <c r="D14182" s="104">
        <f t="shared" si="224"/>
        <v>1.84E-2</v>
      </c>
    </row>
    <row r="14183" spans="2:6" ht="13.8">
      <c r="B14183" s="187">
        <v>42514</v>
      </c>
      <c r="C14183" s="189">
        <v>1.86</v>
      </c>
      <c r="D14183" s="104">
        <f t="shared" si="224"/>
        <v>1.8600000000000002E-2</v>
      </c>
    </row>
    <row r="14184" spans="2:6" ht="13.8">
      <c r="B14184" s="187">
        <v>42515</v>
      </c>
      <c r="C14184" s="189">
        <v>1.87</v>
      </c>
      <c r="D14184" s="104">
        <f t="shared" ref="D14184:D14247" si="225">IF( LEN( C14184 ) = 0, #N/A, IF( C14184 = "ND", D14183, C14184 / 100 ) )</f>
        <v>1.8700000000000001E-2</v>
      </c>
    </row>
    <row r="14185" spans="2:6" ht="13.8">
      <c r="B14185" s="187">
        <v>42516</v>
      </c>
      <c r="C14185" s="189">
        <v>1.83</v>
      </c>
      <c r="D14185" s="104">
        <f t="shared" si="225"/>
        <v>1.83E-2</v>
      </c>
    </row>
    <row r="14186" spans="2:6" ht="13.8">
      <c r="B14186" s="187">
        <v>42517</v>
      </c>
      <c r="C14186" s="189">
        <v>1.85</v>
      </c>
      <c r="D14186" s="104">
        <f t="shared" si="225"/>
        <v>1.8500000000000003E-2</v>
      </c>
      <c r="E14186" s="104">
        <f>AVERAGE( D14182:D14186)</f>
        <v>1.8500000000000003E-2</v>
      </c>
      <c r="F14186" s="4" t="str">
        <f>TEXT( B14186, "ddd" )</f>
        <v>Fri</v>
      </c>
    </row>
    <row r="14187" spans="2:6" ht="13.8">
      <c r="B14187" s="187">
        <v>42520</v>
      </c>
      <c r="C14187" s="189" t="s">
        <v>380</v>
      </c>
      <c r="D14187" s="104">
        <f t="shared" si="225"/>
        <v>1.8500000000000003E-2</v>
      </c>
    </row>
    <row r="14188" spans="2:6" ht="13.8">
      <c r="B14188" s="187">
        <v>42521</v>
      </c>
      <c r="C14188" s="189">
        <v>1.84</v>
      </c>
      <c r="D14188" s="104">
        <f t="shared" si="225"/>
        <v>1.84E-2</v>
      </c>
    </row>
    <row r="14189" spans="2:6" ht="13.8">
      <c r="B14189" s="187">
        <v>42522</v>
      </c>
      <c r="C14189" s="189">
        <v>1.85</v>
      </c>
      <c r="D14189" s="104">
        <f t="shared" si="225"/>
        <v>1.8500000000000003E-2</v>
      </c>
    </row>
    <row r="14190" spans="2:6" ht="13.8">
      <c r="B14190" s="187">
        <v>42523</v>
      </c>
      <c r="C14190" s="189">
        <v>1.81</v>
      </c>
      <c r="D14190" s="104">
        <f t="shared" si="225"/>
        <v>1.8100000000000002E-2</v>
      </c>
    </row>
    <row r="14191" spans="2:6" ht="13.8">
      <c r="B14191" s="187">
        <v>42524</v>
      </c>
      <c r="C14191" s="189">
        <v>1.71</v>
      </c>
      <c r="D14191" s="104">
        <f t="shared" si="225"/>
        <v>1.7100000000000001E-2</v>
      </c>
      <c r="E14191" s="104">
        <f>AVERAGE( D14187:D14191)</f>
        <v>1.8120000000000004E-2</v>
      </c>
      <c r="F14191" s="4" t="str">
        <f>TEXT( B14191, "ddd" )</f>
        <v>Fri</v>
      </c>
    </row>
    <row r="14192" spans="2:6" ht="13.8">
      <c r="B14192" s="187">
        <v>42527</v>
      </c>
      <c r="C14192" s="189">
        <v>1.73</v>
      </c>
      <c r="D14192" s="104">
        <f t="shared" si="225"/>
        <v>1.7299999999999999E-2</v>
      </c>
    </row>
    <row r="14193" spans="2:6" ht="13.8">
      <c r="B14193" s="187">
        <v>42528</v>
      </c>
      <c r="C14193" s="189">
        <v>1.72</v>
      </c>
      <c r="D14193" s="104">
        <f t="shared" si="225"/>
        <v>1.72E-2</v>
      </c>
    </row>
    <row r="14194" spans="2:6" ht="13.8">
      <c r="B14194" s="187">
        <v>42529</v>
      </c>
      <c r="C14194" s="189">
        <v>1.71</v>
      </c>
      <c r="D14194" s="104">
        <f t="shared" si="225"/>
        <v>1.7100000000000001E-2</v>
      </c>
    </row>
    <row r="14195" spans="2:6" ht="13.8">
      <c r="B14195" s="187">
        <v>42530</v>
      </c>
      <c r="C14195" s="189">
        <v>1.68</v>
      </c>
      <c r="D14195" s="104">
        <f t="shared" si="225"/>
        <v>1.6799999999999999E-2</v>
      </c>
    </row>
    <row r="14196" spans="2:6" ht="13.8">
      <c r="B14196" s="187">
        <v>42531</v>
      </c>
      <c r="C14196" s="189">
        <v>1.64</v>
      </c>
      <c r="D14196" s="104">
        <f t="shared" si="225"/>
        <v>1.6399999999999998E-2</v>
      </c>
      <c r="E14196" s="104">
        <f>AVERAGE( D14192:D14196)</f>
        <v>1.6959999999999999E-2</v>
      </c>
      <c r="F14196" s="4" t="str">
        <f>TEXT( B14196, "ddd" )</f>
        <v>Fri</v>
      </c>
    </row>
    <row r="14197" spans="2:6" ht="13.8">
      <c r="B14197" s="187">
        <v>42534</v>
      </c>
      <c r="C14197" s="189">
        <v>1.62</v>
      </c>
      <c r="D14197" s="104">
        <f t="shared" si="225"/>
        <v>1.6200000000000003E-2</v>
      </c>
    </row>
    <row r="14198" spans="2:6" ht="13.8">
      <c r="B14198" s="187">
        <v>42535</v>
      </c>
      <c r="C14198" s="189">
        <v>1.62</v>
      </c>
      <c r="D14198" s="104">
        <f t="shared" si="225"/>
        <v>1.6200000000000003E-2</v>
      </c>
    </row>
    <row r="14199" spans="2:6" ht="13.8">
      <c r="B14199" s="187">
        <v>42536</v>
      </c>
      <c r="C14199" s="189">
        <v>1.6</v>
      </c>
      <c r="D14199" s="104">
        <f t="shared" si="225"/>
        <v>1.6E-2</v>
      </c>
    </row>
    <row r="14200" spans="2:6" ht="13.8">
      <c r="B14200" s="187">
        <v>42537</v>
      </c>
      <c r="C14200" s="189">
        <v>1.57</v>
      </c>
      <c r="D14200" s="104">
        <f t="shared" si="225"/>
        <v>1.5700000000000002E-2</v>
      </c>
    </row>
    <row r="14201" spans="2:6" ht="13.8">
      <c r="B14201" s="187">
        <v>42538</v>
      </c>
      <c r="C14201" s="189">
        <v>1.62</v>
      </c>
      <c r="D14201" s="104">
        <f t="shared" si="225"/>
        <v>1.6200000000000003E-2</v>
      </c>
      <c r="E14201" s="104">
        <f>AVERAGE( D14197:D14201)</f>
        <v>1.6060000000000001E-2</v>
      </c>
      <c r="F14201" s="4" t="str">
        <f>TEXT( B14201, "ddd" )</f>
        <v>Fri</v>
      </c>
    </row>
    <row r="14202" spans="2:6" ht="13.8">
      <c r="B14202" s="187">
        <v>42541</v>
      </c>
      <c r="C14202" s="189">
        <v>1.67</v>
      </c>
      <c r="D14202" s="104">
        <f t="shared" si="225"/>
        <v>1.67E-2</v>
      </c>
    </row>
    <row r="14203" spans="2:6" ht="13.8">
      <c r="B14203" s="187">
        <v>42542</v>
      </c>
      <c r="C14203" s="189">
        <v>1.71</v>
      </c>
      <c r="D14203" s="104">
        <f t="shared" si="225"/>
        <v>1.7100000000000001E-2</v>
      </c>
    </row>
    <row r="14204" spans="2:6" ht="13.8">
      <c r="B14204" s="187">
        <v>42543</v>
      </c>
      <c r="C14204" s="189">
        <v>1.69</v>
      </c>
      <c r="D14204" s="104">
        <f t="shared" si="225"/>
        <v>1.6899999999999998E-2</v>
      </c>
    </row>
    <row r="14205" spans="2:6" ht="13.8">
      <c r="B14205" s="187">
        <v>42544</v>
      </c>
      <c r="C14205" s="189">
        <v>1.74</v>
      </c>
      <c r="D14205" s="104">
        <f t="shared" si="225"/>
        <v>1.7399999999999999E-2</v>
      </c>
    </row>
    <row r="14206" spans="2:6" ht="13.8">
      <c r="B14206" s="187">
        <v>42545</v>
      </c>
      <c r="C14206" s="189">
        <v>1.57</v>
      </c>
      <c r="D14206" s="104">
        <f t="shared" si="225"/>
        <v>1.5700000000000002E-2</v>
      </c>
      <c r="E14206" s="104">
        <f>AVERAGE( D14202:D14206)</f>
        <v>1.6760000000000001E-2</v>
      </c>
      <c r="F14206" s="4" t="str">
        <f>TEXT( B14206, "ddd" )</f>
        <v>Fri</v>
      </c>
    </row>
    <row r="14207" spans="2:6" ht="13.8">
      <c r="B14207" s="187">
        <v>42548</v>
      </c>
      <c r="C14207" s="189">
        <v>1.46</v>
      </c>
      <c r="D14207" s="104">
        <f t="shared" si="225"/>
        <v>1.46E-2</v>
      </c>
    </row>
    <row r="14208" spans="2:6" ht="13.8">
      <c r="B14208" s="187">
        <v>42549</v>
      </c>
      <c r="C14208" s="189">
        <v>1.46</v>
      </c>
      <c r="D14208" s="104">
        <f t="shared" si="225"/>
        <v>1.46E-2</v>
      </c>
    </row>
    <row r="14209" spans="2:6" ht="13.8">
      <c r="B14209" s="187">
        <v>42550</v>
      </c>
      <c r="C14209" s="189">
        <v>1.5</v>
      </c>
      <c r="D14209" s="104">
        <f t="shared" si="225"/>
        <v>1.4999999999999999E-2</v>
      </c>
    </row>
    <row r="14210" spans="2:6" ht="13.8">
      <c r="B14210" s="187">
        <v>42551</v>
      </c>
      <c r="C14210" s="189">
        <v>1.49</v>
      </c>
      <c r="D14210" s="104">
        <f t="shared" si="225"/>
        <v>1.49E-2</v>
      </c>
    </row>
    <row r="14211" spans="2:6" ht="13.8">
      <c r="B14211" s="187">
        <v>42552</v>
      </c>
      <c r="C14211" s="189">
        <v>1.46</v>
      </c>
      <c r="D14211" s="104">
        <f t="shared" si="225"/>
        <v>1.46E-2</v>
      </c>
      <c r="E14211" s="104">
        <f>AVERAGE( D14207:D14211)</f>
        <v>1.474E-2</v>
      </c>
      <c r="F14211" s="4" t="str">
        <f>TEXT( B14211, "ddd" )</f>
        <v>Fri</v>
      </c>
    </row>
    <row r="14212" spans="2:6" ht="13.8">
      <c r="B14212" s="187">
        <v>42555</v>
      </c>
      <c r="C14212" s="189" t="s">
        <v>380</v>
      </c>
      <c r="D14212" s="104">
        <f t="shared" si="225"/>
        <v>1.46E-2</v>
      </c>
    </row>
    <row r="14213" spans="2:6" ht="13.8">
      <c r="B14213" s="187">
        <v>42556</v>
      </c>
      <c r="C14213" s="189">
        <v>1.37</v>
      </c>
      <c r="D14213" s="104">
        <f t="shared" si="225"/>
        <v>1.37E-2</v>
      </c>
    </row>
    <row r="14214" spans="2:6" ht="13.8">
      <c r="B14214" s="187">
        <v>42557</v>
      </c>
      <c r="C14214" s="189">
        <v>1.38</v>
      </c>
      <c r="D14214" s="104">
        <f t="shared" si="225"/>
        <v>1.38E-2</v>
      </c>
    </row>
    <row r="14215" spans="2:6" ht="13.8">
      <c r="B14215" s="187">
        <v>42558</v>
      </c>
      <c r="C14215" s="189">
        <v>1.4</v>
      </c>
      <c r="D14215" s="104">
        <f t="shared" si="225"/>
        <v>1.3999999999999999E-2</v>
      </c>
    </row>
    <row r="14216" spans="2:6" ht="13.8">
      <c r="B14216" s="187">
        <v>42559</v>
      </c>
      <c r="C14216" s="189">
        <v>1.37</v>
      </c>
      <c r="D14216" s="104">
        <f t="shared" si="225"/>
        <v>1.37E-2</v>
      </c>
      <c r="E14216" s="104">
        <f>AVERAGE( D14212:D14216)</f>
        <v>1.396E-2</v>
      </c>
      <c r="F14216" s="4" t="str">
        <f>TEXT( B14216, "ddd" )</f>
        <v>Fri</v>
      </c>
    </row>
    <row r="14217" spans="2:6" ht="13.8">
      <c r="B14217" s="187">
        <v>42562</v>
      </c>
      <c r="C14217" s="189">
        <v>1.43</v>
      </c>
      <c r="D14217" s="104">
        <f t="shared" si="225"/>
        <v>1.43E-2</v>
      </c>
    </row>
    <row r="14218" spans="2:6" ht="13.8">
      <c r="B14218" s="187">
        <v>42563</v>
      </c>
      <c r="C14218" s="189">
        <v>1.53</v>
      </c>
      <c r="D14218" s="104">
        <f t="shared" si="225"/>
        <v>1.5300000000000001E-2</v>
      </c>
    </row>
    <row r="14219" spans="2:6" ht="13.8">
      <c r="B14219" s="187">
        <v>42564</v>
      </c>
      <c r="C14219" s="189">
        <v>1.48</v>
      </c>
      <c r="D14219" s="104">
        <f t="shared" si="225"/>
        <v>1.4800000000000001E-2</v>
      </c>
    </row>
    <row r="14220" spans="2:6" ht="13.8">
      <c r="B14220" s="187">
        <v>42565</v>
      </c>
      <c r="C14220" s="189">
        <v>1.53</v>
      </c>
      <c r="D14220" s="104">
        <f t="shared" si="225"/>
        <v>1.5300000000000001E-2</v>
      </c>
    </row>
    <row r="14221" spans="2:6" ht="13.8">
      <c r="B14221" s="187">
        <v>42566</v>
      </c>
      <c r="C14221" s="189">
        <v>1.6</v>
      </c>
      <c r="D14221" s="104">
        <f t="shared" si="225"/>
        <v>1.6E-2</v>
      </c>
      <c r="E14221" s="104">
        <f>AVERAGE( D14217:D14221)</f>
        <v>1.5140000000000001E-2</v>
      </c>
      <c r="F14221" s="4" t="str">
        <f>TEXT( B14221, "ddd" )</f>
        <v>Fri</v>
      </c>
    </row>
    <row r="14222" spans="2:6" ht="13.8">
      <c r="B14222" s="187">
        <v>42569</v>
      </c>
      <c r="C14222" s="189">
        <v>1.59</v>
      </c>
      <c r="D14222" s="104">
        <f t="shared" si="225"/>
        <v>1.5900000000000001E-2</v>
      </c>
    </row>
    <row r="14223" spans="2:6" ht="13.8">
      <c r="B14223" s="187">
        <v>42570</v>
      </c>
      <c r="C14223" s="189">
        <v>1.56</v>
      </c>
      <c r="D14223" s="104">
        <f t="shared" si="225"/>
        <v>1.5600000000000001E-2</v>
      </c>
    </row>
    <row r="14224" spans="2:6" ht="13.8">
      <c r="B14224" s="187">
        <v>42571</v>
      </c>
      <c r="C14224" s="189">
        <v>1.59</v>
      </c>
      <c r="D14224" s="104">
        <f t="shared" si="225"/>
        <v>1.5900000000000001E-2</v>
      </c>
    </row>
    <row r="14225" spans="2:6" ht="13.8">
      <c r="B14225" s="187">
        <v>42572</v>
      </c>
      <c r="C14225" s="189">
        <v>1.57</v>
      </c>
      <c r="D14225" s="104">
        <f t="shared" si="225"/>
        <v>1.5700000000000002E-2</v>
      </c>
    </row>
    <row r="14226" spans="2:6" ht="13.8">
      <c r="B14226" s="187">
        <v>42573</v>
      </c>
      <c r="C14226" s="189">
        <v>1.57</v>
      </c>
      <c r="D14226" s="104">
        <f t="shared" si="225"/>
        <v>1.5700000000000002E-2</v>
      </c>
      <c r="E14226" s="104">
        <f>AVERAGE( D14222:D14226)</f>
        <v>1.5760000000000003E-2</v>
      </c>
      <c r="F14226" s="4" t="str">
        <f>TEXT( B14226, "ddd" )</f>
        <v>Fri</v>
      </c>
    </row>
    <row r="14227" spans="2:6" ht="13.8">
      <c r="B14227" s="187">
        <v>42576</v>
      </c>
      <c r="C14227" s="189">
        <v>1.58</v>
      </c>
      <c r="D14227" s="104">
        <f t="shared" si="225"/>
        <v>1.5800000000000002E-2</v>
      </c>
    </row>
    <row r="14228" spans="2:6" ht="13.8">
      <c r="B14228" s="187">
        <v>42577</v>
      </c>
      <c r="C14228" s="189">
        <v>1.57</v>
      </c>
      <c r="D14228" s="104">
        <f t="shared" si="225"/>
        <v>1.5700000000000002E-2</v>
      </c>
    </row>
    <row r="14229" spans="2:6" ht="13.8">
      <c r="B14229" s="187">
        <v>42578</v>
      </c>
      <c r="C14229" s="189">
        <v>1.52</v>
      </c>
      <c r="D14229" s="104">
        <f t="shared" si="225"/>
        <v>1.52E-2</v>
      </c>
    </row>
    <row r="14230" spans="2:6" ht="13.8">
      <c r="B14230" s="187">
        <v>42579</v>
      </c>
      <c r="C14230" s="189">
        <v>1.52</v>
      </c>
      <c r="D14230" s="104">
        <f t="shared" si="225"/>
        <v>1.52E-2</v>
      </c>
    </row>
    <row r="14231" spans="2:6" ht="13.8">
      <c r="B14231" s="187">
        <v>42580</v>
      </c>
      <c r="C14231" s="189">
        <v>1.46</v>
      </c>
      <c r="D14231" s="104">
        <f t="shared" si="225"/>
        <v>1.46E-2</v>
      </c>
      <c r="E14231" s="104">
        <f>AVERAGE( D14227:D14231)</f>
        <v>1.5299999999999999E-2</v>
      </c>
      <c r="F14231" s="4" t="str">
        <f>TEXT( B14231, "ddd" )</f>
        <v>Fri</v>
      </c>
    </row>
    <row r="14232" spans="2:6" ht="13.8">
      <c r="B14232" s="187">
        <v>42583</v>
      </c>
      <c r="C14232" s="189">
        <v>1.51</v>
      </c>
      <c r="D14232" s="104">
        <f t="shared" si="225"/>
        <v>1.5100000000000001E-2</v>
      </c>
    </row>
    <row r="14233" spans="2:6" ht="13.8">
      <c r="B14233" s="187">
        <v>42584</v>
      </c>
      <c r="C14233" s="189">
        <v>1.55</v>
      </c>
      <c r="D14233" s="104">
        <f t="shared" si="225"/>
        <v>1.55E-2</v>
      </c>
    </row>
    <row r="14234" spans="2:6" ht="13.8">
      <c r="B14234" s="187">
        <v>42585</v>
      </c>
      <c r="C14234" s="189">
        <v>1.55</v>
      </c>
      <c r="D14234" s="104">
        <f t="shared" si="225"/>
        <v>1.55E-2</v>
      </c>
    </row>
    <row r="14235" spans="2:6" ht="13.8">
      <c r="B14235" s="187">
        <v>42586</v>
      </c>
      <c r="C14235" s="189">
        <v>1.51</v>
      </c>
      <c r="D14235" s="104">
        <f t="shared" si="225"/>
        <v>1.5100000000000001E-2</v>
      </c>
    </row>
    <row r="14236" spans="2:6" ht="13.8">
      <c r="B14236" s="187">
        <v>42587</v>
      </c>
      <c r="C14236" s="189">
        <v>1.59</v>
      </c>
      <c r="D14236" s="104">
        <f t="shared" si="225"/>
        <v>1.5900000000000001E-2</v>
      </c>
      <c r="E14236" s="104">
        <f>AVERAGE( D14232:D14236)</f>
        <v>1.542E-2</v>
      </c>
      <c r="F14236" s="4" t="str">
        <f>TEXT( B14236, "ddd" )</f>
        <v>Fri</v>
      </c>
    </row>
    <row r="14237" spans="2:6" ht="13.8">
      <c r="B14237" s="187">
        <v>42590</v>
      </c>
      <c r="C14237" s="189">
        <v>1.59</v>
      </c>
      <c r="D14237" s="104">
        <f t="shared" si="225"/>
        <v>1.5900000000000001E-2</v>
      </c>
    </row>
    <row r="14238" spans="2:6" ht="13.8">
      <c r="B14238" s="187">
        <v>42591</v>
      </c>
      <c r="C14238" s="189">
        <v>1.55</v>
      </c>
      <c r="D14238" s="104">
        <f t="shared" si="225"/>
        <v>1.55E-2</v>
      </c>
    </row>
    <row r="14239" spans="2:6" ht="13.8">
      <c r="B14239" s="187">
        <v>42592</v>
      </c>
      <c r="C14239" s="189">
        <v>1.5</v>
      </c>
      <c r="D14239" s="104">
        <f t="shared" si="225"/>
        <v>1.4999999999999999E-2</v>
      </c>
    </row>
    <row r="14240" spans="2:6" ht="13.8">
      <c r="B14240" s="187">
        <v>42593</v>
      </c>
      <c r="C14240" s="189">
        <v>1.57</v>
      </c>
      <c r="D14240" s="104">
        <f t="shared" si="225"/>
        <v>1.5700000000000002E-2</v>
      </c>
    </row>
    <row r="14241" spans="2:6" ht="13.8">
      <c r="B14241" s="187">
        <v>42594</v>
      </c>
      <c r="C14241" s="189">
        <v>1.51</v>
      </c>
      <c r="D14241" s="104">
        <f t="shared" si="225"/>
        <v>1.5100000000000001E-2</v>
      </c>
      <c r="E14241" s="104">
        <f>AVERAGE( D14237:D14241)</f>
        <v>1.5440000000000001E-2</v>
      </c>
      <c r="F14241" s="4" t="str">
        <f>TEXT( B14241, "ddd" )</f>
        <v>Fri</v>
      </c>
    </row>
    <row r="14242" spans="2:6" ht="13.8">
      <c r="B14242" s="187">
        <v>42597</v>
      </c>
      <c r="C14242" s="189">
        <v>1.55</v>
      </c>
      <c r="D14242" s="104">
        <f t="shared" si="225"/>
        <v>1.55E-2</v>
      </c>
    </row>
    <row r="14243" spans="2:6" ht="13.8">
      <c r="B14243" s="187">
        <v>42598</v>
      </c>
      <c r="C14243" s="189">
        <v>1.57</v>
      </c>
      <c r="D14243" s="104">
        <f t="shared" si="225"/>
        <v>1.5700000000000002E-2</v>
      </c>
    </row>
    <row r="14244" spans="2:6" ht="13.8">
      <c r="B14244" s="187">
        <v>42599</v>
      </c>
      <c r="C14244" s="189">
        <v>1.56</v>
      </c>
      <c r="D14244" s="104">
        <f t="shared" si="225"/>
        <v>1.5600000000000001E-2</v>
      </c>
    </row>
    <row r="14245" spans="2:6" ht="13.8">
      <c r="B14245" s="187">
        <v>42600</v>
      </c>
      <c r="C14245" s="189">
        <v>1.53</v>
      </c>
      <c r="D14245" s="104">
        <f t="shared" si="225"/>
        <v>1.5300000000000001E-2</v>
      </c>
    </row>
    <row r="14246" spans="2:6" ht="13.8">
      <c r="B14246" s="187">
        <v>42601</v>
      </c>
      <c r="C14246" s="189">
        <v>1.58</v>
      </c>
      <c r="D14246" s="104">
        <f t="shared" si="225"/>
        <v>1.5800000000000002E-2</v>
      </c>
      <c r="E14246" s="104">
        <f>AVERAGE( D14242:D14246)</f>
        <v>1.558E-2</v>
      </c>
      <c r="F14246" s="4" t="str">
        <f>TEXT( B14246, "ddd" )</f>
        <v>Fri</v>
      </c>
    </row>
    <row r="14247" spans="2:6" ht="13.8">
      <c r="B14247" s="187">
        <v>42604</v>
      </c>
      <c r="C14247" s="189">
        <v>1.55</v>
      </c>
      <c r="D14247" s="104">
        <f t="shared" si="225"/>
        <v>1.55E-2</v>
      </c>
    </row>
    <row r="14248" spans="2:6" ht="13.8">
      <c r="B14248" s="187">
        <v>42605</v>
      </c>
      <c r="C14248" s="189">
        <v>1.55</v>
      </c>
      <c r="D14248" s="104">
        <f t="shared" ref="D14248:D14271" si="226">IF( LEN( C14248 ) = 0, #N/A, IF( C14248 = "ND", D14247, C14248 / 100 ) )</f>
        <v>1.55E-2</v>
      </c>
    </row>
    <row r="14249" spans="2:6" ht="13.8">
      <c r="B14249" s="187">
        <v>42606</v>
      </c>
      <c r="C14249" s="189">
        <v>1.56</v>
      </c>
      <c r="D14249" s="104">
        <f t="shared" si="226"/>
        <v>1.5600000000000001E-2</v>
      </c>
    </row>
    <row r="14250" spans="2:6" ht="13.8">
      <c r="B14250" s="187">
        <v>42607</v>
      </c>
      <c r="C14250" s="189">
        <v>1.58</v>
      </c>
      <c r="D14250" s="104">
        <f t="shared" si="226"/>
        <v>1.5800000000000002E-2</v>
      </c>
    </row>
    <row r="14251" spans="2:6" ht="13.8">
      <c r="B14251" s="187">
        <v>42608</v>
      </c>
      <c r="C14251" s="189">
        <v>1.62</v>
      </c>
      <c r="D14251" s="104">
        <f t="shared" si="226"/>
        <v>1.6200000000000003E-2</v>
      </c>
      <c r="E14251" s="104">
        <f>AVERAGE( D14247:D14251)</f>
        <v>1.5720000000000001E-2</v>
      </c>
      <c r="F14251" s="4" t="str">
        <f>TEXT( B14251, "ddd" )</f>
        <v>Fri</v>
      </c>
    </row>
    <row r="14252" spans="2:6" ht="13.8">
      <c r="B14252" s="187">
        <v>42611</v>
      </c>
      <c r="C14252" s="189">
        <v>1.57</v>
      </c>
      <c r="D14252" s="104">
        <f t="shared" si="226"/>
        <v>1.5700000000000002E-2</v>
      </c>
    </row>
    <row r="14253" spans="2:6" ht="13.8">
      <c r="B14253" s="187">
        <v>42612</v>
      </c>
      <c r="C14253" s="189">
        <v>1.57</v>
      </c>
      <c r="D14253" s="104">
        <f t="shared" si="226"/>
        <v>1.5700000000000002E-2</v>
      </c>
    </row>
    <row r="14254" spans="2:6" ht="13.8">
      <c r="B14254" s="187">
        <v>42613</v>
      </c>
      <c r="C14254" s="189">
        <v>1.58</v>
      </c>
      <c r="D14254" s="104">
        <f t="shared" si="226"/>
        <v>1.5800000000000002E-2</v>
      </c>
    </row>
    <row r="14255" spans="2:6" ht="13.8">
      <c r="B14255" s="187">
        <v>42614</v>
      </c>
      <c r="C14255" s="189">
        <v>1.57</v>
      </c>
      <c r="D14255" s="104">
        <f t="shared" si="226"/>
        <v>1.5700000000000002E-2</v>
      </c>
    </row>
    <row r="14256" spans="2:6" ht="13.8">
      <c r="B14256" s="187">
        <v>42615</v>
      </c>
      <c r="C14256" s="189">
        <v>1.6</v>
      </c>
      <c r="D14256" s="104">
        <f t="shared" si="226"/>
        <v>1.6E-2</v>
      </c>
      <c r="E14256" s="104">
        <f>AVERAGE( D14252:D14256)</f>
        <v>1.5780000000000002E-2</v>
      </c>
      <c r="F14256" s="4" t="str">
        <f>TEXT( B14256, "ddd" )</f>
        <v>Fri</v>
      </c>
    </row>
    <row r="14257" spans="2:6" ht="13.8">
      <c r="B14257" s="187">
        <v>42618</v>
      </c>
      <c r="C14257" s="189" t="s">
        <v>380</v>
      </c>
      <c r="D14257" s="104">
        <f t="shared" si="226"/>
        <v>1.6E-2</v>
      </c>
    </row>
    <row r="14258" spans="2:6" ht="13.8">
      <c r="B14258" s="187">
        <v>42619</v>
      </c>
      <c r="C14258" s="189">
        <v>1.55</v>
      </c>
      <c r="D14258" s="104">
        <f t="shared" si="226"/>
        <v>1.55E-2</v>
      </c>
    </row>
    <row r="14259" spans="2:6" ht="13.8">
      <c r="B14259" s="187">
        <v>42620</v>
      </c>
      <c r="C14259" s="189">
        <v>1.54</v>
      </c>
      <c r="D14259" s="104">
        <f t="shared" si="226"/>
        <v>1.54E-2</v>
      </c>
    </row>
    <row r="14260" spans="2:6" ht="13.8">
      <c r="B14260" s="187">
        <v>42621</v>
      </c>
      <c r="C14260" s="189">
        <v>1.61</v>
      </c>
      <c r="D14260" s="104">
        <f t="shared" si="226"/>
        <v>1.61E-2</v>
      </c>
    </row>
    <row r="14261" spans="2:6" ht="13.8">
      <c r="B14261" s="187">
        <v>42622</v>
      </c>
      <c r="C14261" s="189">
        <v>1.67</v>
      </c>
      <c r="D14261" s="104">
        <f t="shared" si="226"/>
        <v>1.67E-2</v>
      </c>
      <c r="E14261" s="104">
        <f>AVERAGE( D14257:D14261)</f>
        <v>1.5939999999999999E-2</v>
      </c>
      <c r="F14261" s="4" t="str">
        <f>TEXT( B14261, "ddd" )</f>
        <v>Fri</v>
      </c>
    </row>
    <row r="14262" spans="2:6" ht="13.8">
      <c r="B14262" s="187">
        <v>42625</v>
      </c>
      <c r="C14262" s="189">
        <v>1.68</v>
      </c>
      <c r="D14262" s="104">
        <f t="shared" si="226"/>
        <v>1.6799999999999999E-2</v>
      </c>
    </row>
    <row r="14263" spans="2:6" ht="13.8">
      <c r="B14263" s="187">
        <v>42626</v>
      </c>
      <c r="C14263" s="189">
        <v>1.73</v>
      </c>
      <c r="D14263" s="104">
        <f t="shared" si="226"/>
        <v>1.7299999999999999E-2</v>
      </c>
    </row>
    <row r="14264" spans="2:6" ht="13.8">
      <c r="B14264" s="187">
        <v>42627</v>
      </c>
      <c r="C14264" s="189">
        <v>1.7</v>
      </c>
      <c r="D14264" s="104">
        <f t="shared" si="226"/>
        <v>1.7000000000000001E-2</v>
      </c>
    </row>
    <row r="14265" spans="2:6" ht="13.8">
      <c r="B14265" s="187">
        <v>42628</v>
      </c>
      <c r="C14265" s="189">
        <v>1.71</v>
      </c>
      <c r="D14265" s="104">
        <f t="shared" si="226"/>
        <v>1.7100000000000001E-2</v>
      </c>
    </row>
    <row r="14266" spans="2:6" ht="13.8">
      <c r="B14266" s="187">
        <v>42629</v>
      </c>
      <c r="C14266" s="189">
        <v>1.7</v>
      </c>
      <c r="D14266" s="104">
        <f t="shared" si="226"/>
        <v>1.7000000000000001E-2</v>
      </c>
      <c r="E14266" s="104">
        <f>AVERAGE( D14262:D14266)</f>
        <v>1.704E-2</v>
      </c>
      <c r="F14266" s="4" t="str">
        <f>TEXT( B14266, "ddd" )</f>
        <v>Fri</v>
      </c>
    </row>
    <row r="14267" spans="2:6" ht="13.8">
      <c r="B14267" s="187">
        <v>42632</v>
      </c>
      <c r="C14267" s="189">
        <v>1.7</v>
      </c>
      <c r="D14267" s="104">
        <f t="shared" si="226"/>
        <v>1.7000000000000001E-2</v>
      </c>
    </row>
    <row r="14268" spans="2:6" ht="13.8">
      <c r="B14268" s="187">
        <v>42633</v>
      </c>
      <c r="C14268" s="189">
        <v>1.69</v>
      </c>
      <c r="D14268" s="104">
        <f t="shared" si="226"/>
        <v>1.6899999999999998E-2</v>
      </c>
    </row>
    <row r="14269" spans="2:6" ht="13.8">
      <c r="B14269" s="187">
        <v>42634</v>
      </c>
      <c r="C14269" s="189">
        <v>1.66</v>
      </c>
      <c r="D14269" s="104">
        <f t="shared" si="226"/>
        <v>1.66E-2</v>
      </c>
    </row>
    <row r="14270" spans="2:6" ht="13.8">
      <c r="B14270" s="187">
        <v>42635</v>
      </c>
      <c r="C14270" s="189">
        <v>1.63</v>
      </c>
      <c r="D14270" s="104">
        <f t="shared" si="226"/>
        <v>1.6299999999999999E-2</v>
      </c>
    </row>
    <row r="14271" spans="2:6" ht="13.8">
      <c r="B14271" s="187">
        <v>42636</v>
      </c>
      <c r="C14271" s="189">
        <v>1.62</v>
      </c>
      <c r="D14271" s="104">
        <f t="shared" si="226"/>
        <v>1.6200000000000003E-2</v>
      </c>
      <c r="E14271" s="104">
        <f>AVERAGE( D14267:D14271)</f>
        <v>1.66E-2</v>
      </c>
      <c r="F14271" s="4" t="str">
        <f>TEXT( B14271, "ddd" )</f>
        <v>Fri</v>
      </c>
    </row>
    <row r="14272" spans="2:6" ht="13.8">
      <c r="B14272" s="187">
        <v>42639</v>
      </c>
      <c r="C14272" s="189">
        <v>1.59</v>
      </c>
      <c r="D14272" s="104">
        <f t="shared" ref="D14272:D14296" si="227">IF( LEN( C14272 ) = 0, #N/A, IF( C14272 = "ND", D14271, C14272 / 100 ) )</f>
        <v>1.5900000000000001E-2</v>
      </c>
    </row>
    <row r="14273" spans="2:6" ht="13.8">
      <c r="B14273" s="187">
        <v>42640</v>
      </c>
      <c r="C14273" s="189">
        <v>1.56</v>
      </c>
      <c r="D14273" s="104">
        <f t="shared" si="227"/>
        <v>1.5600000000000001E-2</v>
      </c>
    </row>
    <row r="14274" spans="2:6" ht="13.8">
      <c r="B14274" s="187">
        <v>42641</v>
      </c>
      <c r="C14274" s="189">
        <v>1.57</v>
      </c>
      <c r="D14274" s="104">
        <f t="shared" si="227"/>
        <v>1.5700000000000002E-2</v>
      </c>
    </row>
    <row r="14275" spans="2:6" ht="13.8">
      <c r="B14275" s="187">
        <v>42642</v>
      </c>
      <c r="C14275" s="189">
        <v>1.56</v>
      </c>
      <c r="D14275" s="104">
        <f t="shared" si="227"/>
        <v>1.5600000000000001E-2</v>
      </c>
    </row>
    <row r="14276" spans="2:6" ht="13.8">
      <c r="B14276" s="187">
        <v>42643</v>
      </c>
      <c r="C14276" s="189">
        <v>1.6</v>
      </c>
      <c r="D14276" s="104">
        <f t="shared" si="227"/>
        <v>1.6E-2</v>
      </c>
      <c r="E14276" s="104">
        <f>AVERAGE( D14272:D14276)</f>
        <v>1.5760000000000003E-2</v>
      </c>
      <c r="F14276" s="4" t="str">
        <f>TEXT( B14276, "ddd" )</f>
        <v>Fri</v>
      </c>
    </row>
    <row r="14277" spans="2:6" ht="13.8">
      <c r="B14277" s="187">
        <v>42646</v>
      </c>
      <c r="C14277" s="189">
        <v>1.63</v>
      </c>
      <c r="D14277" s="104">
        <f t="shared" si="227"/>
        <v>1.6299999999999999E-2</v>
      </c>
    </row>
    <row r="14278" spans="2:6" ht="13.8">
      <c r="B14278" s="187">
        <v>42647</v>
      </c>
      <c r="C14278" s="189">
        <v>1.69</v>
      </c>
      <c r="D14278" s="104">
        <f t="shared" si="227"/>
        <v>1.6899999999999998E-2</v>
      </c>
    </row>
    <row r="14279" spans="2:6" ht="13.8">
      <c r="B14279" s="187">
        <v>42648</v>
      </c>
      <c r="C14279" s="189">
        <v>1.72</v>
      </c>
      <c r="D14279" s="104">
        <f t="shared" si="227"/>
        <v>1.72E-2</v>
      </c>
    </row>
    <row r="14280" spans="2:6" ht="13.8">
      <c r="B14280" s="187">
        <v>42649</v>
      </c>
      <c r="C14280" s="189">
        <v>1.75</v>
      </c>
      <c r="D14280" s="104">
        <f t="shared" si="227"/>
        <v>1.7500000000000002E-2</v>
      </c>
    </row>
    <row r="14281" spans="2:6" ht="13.8">
      <c r="B14281" s="187">
        <v>42650</v>
      </c>
      <c r="C14281" s="189">
        <v>1.73</v>
      </c>
      <c r="D14281" s="104">
        <f t="shared" si="227"/>
        <v>1.7299999999999999E-2</v>
      </c>
      <c r="E14281" s="104">
        <f>AVERAGE( D14277:D14281)</f>
        <v>1.7039999999999996E-2</v>
      </c>
      <c r="F14281" s="4" t="str">
        <f>TEXT( B14281, "ddd" )</f>
        <v>Fri</v>
      </c>
    </row>
    <row r="14282" spans="2:6" ht="13.8">
      <c r="B14282" s="187">
        <v>42653</v>
      </c>
      <c r="C14282" s="189" t="s">
        <v>380</v>
      </c>
      <c r="D14282" s="104">
        <f t="shared" si="227"/>
        <v>1.7299999999999999E-2</v>
      </c>
    </row>
    <row r="14283" spans="2:6" ht="13.8">
      <c r="B14283" s="187">
        <v>42654</v>
      </c>
      <c r="C14283" s="189">
        <v>1.77</v>
      </c>
      <c r="D14283" s="104">
        <f t="shared" si="227"/>
        <v>1.77E-2</v>
      </c>
    </row>
    <row r="14284" spans="2:6" ht="13.8">
      <c r="B14284" s="187">
        <v>42655</v>
      </c>
      <c r="C14284" s="189">
        <v>1.79</v>
      </c>
      <c r="D14284" s="104">
        <f t="shared" si="227"/>
        <v>1.7899999999999999E-2</v>
      </c>
    </row>
    <row r="14285" spans="2:6" ht="13.8">
      <c r="B14285" s="187">
        <v>42656</v>
      </c>
      <c r="C14285" s="189">
        <v>1.75</v>
      </c>
      <c r="D14285" s="104">
        <f t="shared" si="227"/>
        <v>1.7500000000000002E-2</v>
      </c>
    </row>
    <row r="14286" spans="2:6" ht="13.8">
      <c r="B14286" s="187">
        <v>42657</v>
      </c>
      <c r="C14286" s="189">
        <v>1.8</v>
      </c>
      <c r="D14286" s="104">
        <f t="shared" si="227"/>
        <v>1.8000000000000002E-2</v>
      </c>
      <c r="E14286" s="104">
        <f>AVERAGE( D14282:D14286)</f>
        <v>1.7680000000000001E-2</v>
      </c>
      <c r="F14286" s="4" t="str">
        <f>TEXT( B14286, "ddd" )</f>
        <v>Fri</v>
      </c>
    </row>
    <row r="14287" spans="2:6" ht="13.8">
      <c r="B14287" s="187">
        <v>42660</v>
      </c>
      <c r="C14287" s="189">
        <v>1.77</v>
      </c>
      <c r="D14287" s="104">
        <f t="shared" si="227"/>
        <v>1.77E-2</v>
      </c>
    </row>
    <row r="14288" spans="2:6" ht="13.8">
      <c r="B14288" s="187">
        <v>42661</v>
      </c>
      <c r="C14288" s="189">
        <v>1.75</v>
      </c>
      <c r="D14288" s="104">
        <f t="shared" si="227"/>
        <v>1.7500000000000002E-2</v>
      </c>
    </row>
    <row r="14289" spans="2:6" ht="13.8">
      <c r="B14289" s="187">
        <v>42662</v>
      </c>
      <c r="C14289" s="189">
        <v>1.76</v>
      </c>
      <c r="D14289" s="104">
        <f t="shared" si="227"/>
        <v>1.7600000000000001E-2</v>
      </c>
    </row>
    <row r="14290" spans="2:6" ht="13.8">
      <c r="B14290" s="187">
        <v>42663</v>
      </c>
      <c r="C14290" s="189">
        <v>1.76</v>
      </c>
      <c r="D14290" s="104">
        <f t="shared" si="227"/>
        <v>1.7600000000000001E-2</v>
      </c>
    </row>
    <row r="14291" spans="2:6" ht="13.8">
      <c r="B14291" s="187">
        <v>42664</v>
      </c>
      <c r="C14291" s="189">
        <v>1.74</v>
      </c>
      <c r="D14291" s="104">
        <f t="shared" si="227"/>
        <v>1.7399999999999999E-2</v>
      </c>
      <c r="E14291" s="104">
        <f>AVERAGE( D14287:D14291)</f>
        <v>1.7559999999999999E-2</v>
      </c>
      <c r="F14291" s="4" t="str">
        <f>TEXT( B14291, "ddd" )</f>
        <v>Fri</v>
      </c>
    </row>
    <row r="14292" spans="2:6" ht="13.8">
      <c r="B14292" s="187">
        <v>42667</v>
      </c>
      <c r="C14292" s="189">
        <v>1.77</v>
      </c>
      <c r="D14292" s="104">
        <f t="shared" si="227"/>
        <v>1.77E-2</v>
      </c>
    </row>
    <row r="14293" spans="2:6" ht="13.8">
      <c r="B14293" s="187">
        <v>42668</v>
      </c>
      <c r="C14293" s="189">
        <v>1.77</v>
      </c>
      <c r="D14293" s="104">
        <f t="shared" si="227"/>
        <v>1.77E-2</v>
      </c>
    </row>
    <row r="14294" spans="2:6" ht="13.8">
      <c r="B14294" s="187">
        <v>42669</v>
      </c>
      <c r="C14294" s="189">
        <v>1.79</v>
      </c>
      <c r="D14294" s="104">
        <f t="shared" si="227"/>
        <v>1.7899999999999999E-2</v>
      </c>
    </row>
    <row r="14295" spans="2:6" ht="13.8">
      <c r="B14295" s="187">
        <v>42670</v>
      </c>
      <c r="C14295" s="189">
        <v>1.85</v>
      </c>
      <c r="D14295" s="104">
        <f t="shared" si="227"/>
        <v>1.8500000000000003E-2</v>
      </c>
    </row>
    <row r="14296" spans="2:6" ht="13.8">
      <c r="B14296" s="187">
        <v>42671</v>
      </c>
      <c r="C14296" s="189">
        <v>1.86</v>
      </c>
      <c r="D14296" s="104">
        <f t="shared" si="227"/>
        <v>1.8600000000000002E-2</v>
      </c>
      <c r="E14296" s="104">
        <f>AVERAGE( D14292:D14296)</f>
        <v>1.8080000000000002E-2</v>
      </c>
      <c r="F14296" s="4" t="str">
        <f>TEXT( B14296, "ddd" )</f>
        <v>Fri</v>
      </c>
    </row>
    <row r="14297" spans="2:6" ht="13.8">
      <c r="B14297" s="187">
        <v>42674</v>
      </c>
      <c r="C14297" s="189">
        <v>1.84</v>
      </c>
      <c r="D14297" s="104">
        <f t="shared" ref="D14297:D14341" si="228">IF( LEN( C14297 ) = 0, #N/A, IF( C14297 = "ND", D14296, C14297 / 100 ) )</f>
        <v>1.84E-2</v>
      </c>
    </row>
    <row r="14298" spans="2:6" ht="13.8">
      <c r="B14298" s="187">
        <v>42675</v>
      </c>
      <c r="C14298" s="189">
        <v>1.83</v>
      </c>
      <c r="D14298" s="104">
        <f t="shared" si="228"/>
        <v>1.83E-2</v>
      </c>
    </row>
    <row r="14299" spans="2:6" ht="13.8">
      <c r="B14299" s="187">
        <v>42676</v>
      </c>
      <c r="C14299" s="189">
        <v>1.81</v>
      </c>
      <c r="D14299" s="104">
        <f t="shared" si="228"/>
        <v>1.8100000000000002E-2</v>
      </c>
    </row>
    <row r="14300" spans="2:6" ht="13.8">
      <c r="B14300" s="187">
        <v>42677</v>
      </c>
      <c r="C14300" s="189">
        <v>1.82</v>
      </c>
      <c r="D14300" s="104">
        <f t="shared" si="228"/>
        <v>1.8200000000000001E-2</v>
      </c>
    </row>
    <row r="14301" spans="2:6" ht="13.8">
      <c r="B14301" s="187">
        <v>42678</v>
      </c>
      <c r="C14301" s="189">
        <v>1.79</v>
      </c>
      <c r="D14301" s="104">
        <f t="shared" si="228"/>
        <v>1.7899999999999999E-2</v>
      </c>
      <c r="E14301" s="104">
        <f>AVERAGE( D14297:D14301)</f>
        <v>1.8180000000000002E-2</v>
      </c>
      <c r="F14301" s="4" t="str">
        <f>TEXT( B14301, "ddd" )</f>
        <v>Fri</v>
      </c>
    </row>
    <row r="14302" spans="2:6" ht="13.8">
      <c r="B14302" s="187">
        <v>42681</v>
      </c>
      <c r="C14302" s="189">
        <v>1.83</v>
      </c>
      <c r="D14302" s="104">
        <f t="shared" si="228"/>
        <v>1.83E-2</v>
      </c>
    </row>
    <row r="14303" spans="2:6" ht="13.8">
      <c r="B14303" s="187">
        <v>42682</v>
      </c>
      <c r="C14303" s="189">
        <v>1.88</v>
      </c>
      <c r="D14303" s="104">
        <f t="shared" si="228"/>
        <v>1.8799999999999997E-2</v>
      </c>
    </row>
    <row r="14304" spans="2:6" ht="13.8">
      <c r="B14304" s="187">
        <v>42683</v>
      </c>
      <c r="C14304" s="189">
        <v>2.0699999999999998</v>
      </c>
      <c r="D14304" s="104">
        <f t="shared" si="228"/>
        <v>2.07E-2</v>
      </c>
    </row>
    <row r="14305" spans="2:6" ht="13.8">
      <c r="B14305" s="187">
        <v>42684</v>
      </c>
      <c r="C14305" s="189">
        <v>2.15</v>
      </c>
      <c r="D14305" s="104">
        <f t="shared" si="228"/>
        <v>2.1499999999999998E-2</v>
      </c>
    </row>
    <row r="14306" spans="2:6" ht="13.8">
      <c r="B14306" s="187">
        <v>42685</v>
      </c>
      <c r="C14306" s="189" t="s">
        <v>380</v>
      </c>
      <c r="D14306" s="104">
        <f t="shared" si="228"/>
        <v>2.1499999999999998E-2</v>
      </c>
      <c r="E14306" s="104">
        <f>AVERAGE( D14302:D14306)</f>
        <v>2.0159999999999994E-2</v>
      </c>
      <c r="F14306" s="4" t="str">
        <f>TEXT( B14306, "ddd" )</f>
        <v>Fri</v>
      </c>
    </row>
    <row r="14307" spans="2:6" ht="13.8">
      <c r="B14307" s="187">
        <v>42688</v>
      </c>
      <c r="C14307" s="189">
        <v>2.23</v>
      </c>
      <c r="D14307" s="104">
        <f t="shared" si="228"/>
        <v>2.23E-2</v>
      </c>
    </row>
    <row r="14308" spans="2:6" ht="13.8">
      <c r="B14308" s="187">
        <v>42689</v>
      </c>
      <c r="C14308" s="189">
        <v>2.23</v>
      </c>
      <c r="D14308" s="104">
        <f t="shared" si="228"/>
        <v>2.23E-2</v>
      </c>
    </row>
    <row r="14309" spans="2:6" ht="13.8">
      <c r="B14309" s="187">
        <v>42690</v>
      </c>
      <c r="C14309" s="189">
        <v>2.2200000000000002</v>
      </c>
      <c r="D14309" s="104">
        <f t="shared" si="228"/>
        <v>2.2200000000000001E-2</v>
      </c>
    </row>
    <row r="14310" spans="2:6" ht="13.8">
      <c r="B14310" s="187">
        <v>42691</v>
      </c>
      <c r="C14310" s="189">
        <v>2.29</v>
      </c>
      <c r="D14310" s="104">
        <f t="shared" si="228"/>
        <v>2.29E-2</v>
      </c>
    </row>
    <row r="14311" spans="2:6" ht="13.8">
      <c r="B14311" s="187">
        <v>42692</v>
      </c>
      <c r="C14311" s="189">
        <v>2.34</v>
      </c>
      <c r="D14311" s="104">
        <f t="shared" si="228"/>
        <v>2.3399999999999997E-2</v>
      </c>
      <c r="E14311" s="104">
        <f>AVERAGE( D14307:D14311)</f>
        <v>2.2620000000000001E-2</v>
      </c>
      <c r="F14311" s="4" t="str">
        <f>TEXT( B14311, "ddd" )</f>
        <v>Fri</v>
      </c>
    </row>
    <row r="14312" spans="2:6" ht="13.8">
      <c r="B14312" s="187">
        <v>42695</v>
      </c>
      <c r="C14312" s="189">
        <v>2.33</v>
      </c>
      <c r="D14312" s="104">
        <f t="shared" si="228"/>
        <v>2.3300000000000001E-2</v>
      </c>
    </row>
    <row r="14313" spans="2:6" ht="13.8">
      <c r="B14313" s="187">
        <v>42696</v>
      </c>
      <c r="C14313" s="189">
        <v>2.31</v>
      </c>
      <c r="D14313" s="104">
        <f t="shared" si="228"/>
        <v>2.3099999999999999E-2</v>
      </c>
    </row>
    <row r="14314" spans="2:6" ht="13.8">
      <c r="B14314" s="187">
        <v>42697</v>
      </c>
      <c r="C14314" s="189">
        <v>2.36</v>
      </c>
      <c r="D14314" s="104">
        <f t="shared" si="228"/>
        <v>2.3599999999999999E-2</v>
      </c>
    </row>
    <row r="14315" spans="2:6" ht="13.8">
      <c r="B14315" s="187">
        <v>42698</v>
      </c>
      <c r="C14315" s="189" t="s">
        <v>380</v>
      </c>
      <c r="D14315" s="104">
        <f t="shared" si="228"/>
        <v>2.3599999999999999E-2</v>
      </c>
    </row>
    <row r="14316" spans="2:6" ht="13.8">
      <c r="B14316" s="187">
        <v>42699</v>
      </c>
      <c r="C14316" s="189">
        <v>2.36</v>
      </c>
      <c r="D14316" s="104">
        <f t="shared" si="228"/>
        <v>2.3599999999999999E-2</v>
      </c>
      <c r="E14316" s="104">
        <f>AVERAGE( D14312:D14316)</f>
        <v>2.3439999999999996E-2</v>
      </c>
      <c r="F14316" s="4" t="str">
        <f>TEXT( B14316, "ddd" )</f>
        <v>Fri</v>
      </c>
    </row>
    <row r="14317" spans="2:6" ht="13.8">
      <c r="B14317" s="187">
        <v>42702</v>
      </c>
      <c r="C14317" s="189">
        <v>2.3199999999999998</v>
      </c>
      <c r="D14317" s="104">
        <f t="shared" si="228"/>
        <v>2.3199999999999998E-2</v>
      </c>
    </row>
    <row r="14318" spans="2:6" ht="13.8">
      <c r="B14318" s="187">
        <v>42703</v>
      </c>
      <c r="C14318" s="189">
        <v>2.2999999999999998</v>
      </c>
      <c r="D14318" s="104">
        <f t="shared" si="228"/>
        <v>2.3E-2</v>
      </c>
    </row>
    <row r="14319" spans="2:6" ht="13.8">
      <c r="B14319" s="187">
        <v>42704</v>
      </c>
      <c r="C14319" s="189">
        <v>2.37</v>
      </c>
      <c r="D14319" s="104">
        <f t="shared" si="228"/>
        <v>2.3700000000000002E-2</v>
      </c>
    </row>
    <row r="14320" spans="2:6" ht="13.8">
      <c r="B14320" s="187">
        <v>42705</v>
      </c>
      <c r="C14320" s="189">
        <v>2.4500000000000002</v>
      </c>
      <c r="D14320" s="104">
        <f t="shared" si="228"/>
        <v>2.4500000000000001E-2</v>
      </c>
    </row>
    <row r="14321" spans="2:6" ht="13.8">
      <c r="B14321" s="187">
        <v>42706</v>
      </c>
      <c r="C14321" s="189">
        <v>2.4</v>
      </c>
      <c r="D14321" s="104">
        <f t="shared" si="228"/>
        <v>2.4E-2</v>
      </c>
      <c r="E14321" s="104">
        <f>AVERAGE( D14317:D14321)</f>
        <v>2.368E-2</v>
      </c>
      <c r="F14321" s="4" t="str">
        <f>TEXT( B14321, "ddd" )</f>
        <v>Fri</v>
      </c>
    </row>
    <row r="14322" spans="2:6" ht="13.8">
      <c r="B14322" s="187">
        <v>42709</v>
      </c>
      <c r="C14322" s="189">
        <v>2.39</v>
      </c>
      <c r="D14322" s="104">
        <f t="shared" si="228"/>
        <v>2.3900000000000001E-2</v>
      </c>
    </row>
    <row r="14323" spans="2:6" ht="13.8">
      <c r="B14323" s="187">
        <v>42710</v>
      </c>
      <c r="C14323" s="189">
        <v>2.39</v>
      </c>
      <c r="D14323" s="104">
        <f t="shared" si="228"/>
        <v>2.3900000000000001E-2</v>
      </c>
    </row>
    <row r="14324" spans="2:6" ht="13.8">
      <c r="B14324" s="187">
        <v>42711</v>
      </c>
      <c r="C14324" s="189">
        <v>2.34</v>
      </c>
      <c r="D14324" s="104">
        <f t="shared" si="228"/>
        <v>2.3399999999999997E-2</v>
      </c>
    </row>
    <row r="14325" spans="2:6" ht="13.8">
      <c r="B14325" s="187">
        <v>42712</v>
      </c>
      <c r="C14325" s="189">
        <v>2.4</v>
      </c>
      <c r="D14325" s="104">
        <f t="shared" si="228"/>
        <v>2.4E-2</v>
      </c>
    </row>
    <row r="14326" spans="2:6" ht="13.8">
      <c r="B14326" s="187">
        <v>42713</v>
      </c>
      <c r="C14326" s="189">
        <v>2.4700000000000002</v>
      </c>
      <c r="D14326" s="104">
        <f t="shared" si="228"/>
        <v>2.4700000000000003E-2</v>
      </c>
      <c r="E14326" s="104">
        <f>AVERAGE( D14322:D14326)</f>
        <v>2.3980000000000001E-2</v>
      </c>
      <c r="F14326" s="4" t="str">
        <f>TEXT( B14326, "ddd" )</f>
        <v>Fri</v>
      </c>
    </row>
    <row r="14327" spans="2:6" ht="13.8">
      <c r="B14327" s="187">
        <v>42716</v>
      </c>
      <c r="C14327" s="189">
        <v>2.4900000000000002</v>
      </c>
      <c r="D14327" s="104">
        <f t="shared" si="228"/>
        <v>2.4900000000000002E-2</v>
      </c>
    </row>
    <row r="14328" spans="2:6" ht="13.8">
      <c r="B14328" s="187">
        <v>42717</v>
      </c>
      <c r="C14328" s="189">
        <v>2.48</v>
      </c>
      <c r="D14328" s="104">
        <f t="shared" si="228"/>
        <v>2.4799999999999999E-2</v>
      </c>
    </row>
    <row r="14329" spans="2:6" ht="13.8">
      <c r="B14329" s="187">
        <v>42718</v>
      </c>
      <c r="C14329" s="189">
        <v>2.54</v>
      </c>
      <c r="D14329" s="104">
        <f t="shared" si="228"/>
        <v>2.5399999999999999E-2</v>
      </c>
    </row>
    <row r="14330" spans="2:6" ht="13.8">
      <c r="B14330" s="187">
        <v>42719</v>
      </c>
      <c r="C14330" s="189">
        <v>2.6</v>
      </c>
      <c r="D14330" s="104">
        <f t="shared" si="228"/>
        <v>2.6000000000000002E-2</v>
      </c>
    </row>
    <row r="14331" spans="2:6" ht="13.8">
      <c r="B14331" s="187">
        <v>42720</v>
      </c>
      <c r="C14331" s="189">
        <v>2.6</v>
      </c>
      <c r="D14331" s="104">
        <f t="shared" si="228"/>
        <v>2.6000000000000002E-2</v>
      </c>
      <c r="E14331" s="104">
        <f>AVERAGE( D14327:D14331)</f>
        <v>2.5419999999999998E-2</v>
      </c>
      <c r="F14331" s="4" t="str">
        <f>TEXT( B14331, "ddd" )</f>
        <v>Fri</v>
      </c>
    </row>
    <row r="14332" spans="2:6" ht="13.8">
      <c r="B14332" s="187">
        <v>42723</v>
      </c>
      <c r="C14332" s="189">
        <v>2.54</v>
      </c>
      <c r="D14332" s="104">
        <f t="shared" si="228"/>
        <v>2.5399999999999999E-2</v>
      </c>
    </row>
    <row r="14333" spans="2:6" ht="13.8">
      <c r="B14333" s="187">
        <v>42724</v>
      </c>
      <c r="C14333" s="189">
        <v>2.57</v>
      </c>
      <c r="D14333" s="104">
        <f t="shared" si="228"/>
        <v>2.5699999999999997E-2</v>
      </c>
    </row>
    <row r="14334" spans="2:6" ht="13.8">
      <c r="B14334" s="187">
        <v>42725</v>
      </c>
      <c r="C14334" s="189">
        <v>2.5499999999999998</v>
      </c>
      <c r="D14334" s="104">
        <f t="shared" si="228"/>
        <v>2.5499999999999998E-2</v>
      </c>
    </row>
    <row r="14335" spans="2:6" ht="13.8">
      <c r="B14335" s="187">
        <v>42726</v>
      </c>
      <c r="C14335" s="189">
        <v>2.5499999999999998</v>
      </c>
      <c r="D14335" s="104">
        <f t="shared" si="228"/>
        <v>2.5499999999999998E-2</v>
      </c>
    </row>
    <row r="14336" spans="2:6" ht="13.8">
      <c r="B14336" s="187">
        <v>42727</v>
      </c>
      <c r="C14336" s="189">
        <v>2.5499999999999998</v>
      </c>
      <c r="D14336" s="104">
        <f t="shared" si="228"/>
        <v>2.5499999999999998E-2</v>
      </c>
      <c r="E14336" s="104">
        <f>AVERAGE( D14332:D14336)</f>
        <v>2.5519999999999998E-2</v>
      </c>
      <c r="F14336" s="4" t="str">
        <f>TEXT( B14336, "ddd" )</f>
        <v>Fri</v>
      </c>
    </row>
    <row r="14337" spans="2:6" ht="13.8">
      <c r="B14337" s="187">
        <v>42730</v>
      </c>
      <c r="C14337" s="189" t="s">
        <v>380</v>
      </c>
      <c r="D14337" s="104">
        <f t="shared" si="228"/>
        <v>2.5499999999999998E-2</v>
      </c>
    </row>
    <row r="14338" spans="2:6" ht="13.8">
      <c r="B14338" s="187">
        <v>42731</v>
      </c>
      <c r="C14338" s="189">
        <v>2.57</v>
      </c>
      <c r="D14338" s="104">
        <f t="shared" si="228"/>
        <v>2.5699999999999997E-2</v>
      </c>
    </row>
    <row r="14339" spans="2:6" ht="13.8">
      <c r="B14339" s="187">
        <v>42732</v>
      </c>
      <c r="C14339" s="189">
        <v>2.5099999999999998</v>
      </c>
      <c r="D14339" s="104">
        <f t="shared" si="228"/>
        <v>2.5099999999999997E-2</v>
      </c>
    </row>
    <row r="14340" spans="2:6" ht="13.8">
      <c r="B14340" s="187">
        <v>42733</v>
      </c>
      <c r="C14340" s="189">
        <v>2.4900000000000002</v>
      </c>
      <c r="D14340" s="104">
        <f t="shared" si="228"/>
        <v>2.4900000000000002E-2</v>
      </c>
    </row>
    <row r="14341" spans="2:6" ht="13.8">
      <c r="B14341" s="187">
        <v>42734</v>
      </c>
      <c r="C14341" s="189">
        <v>2.4500000000000002</v>
      </c>
      <c r="D14341" s="104">
        <f t="shared" si="228"/>
        <v>2.4500000000000001E-2</v>
      </c>
      <c r="E14341" s="104">
        <f>AVERAGE( D14337:D14341)</f>
        <v>2.5140000000000003E-2</v>
      </c>
      <c r="F14341" s="4" t="str">
        <f>TEXT( B14341, "ddd" )</f>
        <v>Fri</v>
      </c>
    </row>
    <row r="14342" spans="2:6" ht="13.8">
      <c r="B14342" s="187">
        <v>42737</v>
      </c>
      <c r="C14342" s="189" t="s">
        <v>380</v>
      </c>
      <c r="D14342" s="104">
        <f t="shared" ref="D14342:D14405" si="229">IF( LEN( C14342 ) = 0, #N/A, IF( C14342 = "ND", D14341, C14342 / 100 ) )</f>
        <v>2.4500000000000001E-2</v>
      </c>
    </row>
    <row r="14343" spans="2:6" ht="13.8">
      <c r="B14343" s="187">
        <v>42738</v>
      </c>
      <c r="C14343" s="189">
        <v>2.4500000000000002</v>
      </c>
      <c r="D14343" s="104">
        <f t="shared" si="229"/>
        <v>2.4500000000000001E-2</v>
      </c>
    </row>
    <row r="14344" spans="2:6" ht="13.8">
      <c r="B14344" s="187">
        <v>42739</v>
      </c>
      <c r="C14344" s="189">
        <v>2.46</v>
      </c>
      <c r="D14344" s="104">
        <f t="shared" si="229"/>
        <v>2.46E-2</v>
      </c>
    </row>
    <row r="14345" spans="2:6" ht="13.8">
      <c r="B14345" s="187">
        <v>42740</v>
      </c>
      <c r="C14345" s="189">
        <v>2.37</v>
      </c>
      <c r="D14345" s="104">
        <f t="shared" si="229"/>
        <v>2.3700000000000002E-2</v>
      </c>
    </row>
    <row r="14346" spans="2:6" ht="13.8">
      <c r="B14346" s="187">
        <v>42741</v>
      </c>
      <c r="C14346" s="189">
        <v>2.42</v>
      </c>
      <c r="D14346" s="104">
        <f t="shared" si="229"/>
        <v>2.4199999999999999E-2</v>
      </c>
      <c r="E14346" s="104">
        <f>AVERAGE( D14342:D14346)</f>
        <v>2.4299999999999999E-2</v>
      </c>
      <c r="F14346" s="4" t="str">
        <f>TEXT( B14346, "ddd" )</f>
        <v>Fri</v>
      </c>
    </row>
    <row r="14347" spans="2:6" ht="13.8">
      <c r="B14347" s="187">
        <v>42744</v>
      </c>
      <c r="C14347" s="189">
        <v>2.38</v>
      </c>
      <c r="D14347" s="104">
        <f t="shared" si="229"/>
        <v>2.3799999999999998E-2</v>
      </c>
    </row>
    <row r="14348" spans="2:6" ht="13.8">
      <c r="B14348" s="187">
        <v>42745</v>
      </c>
      <c r="C14348" s="189">
        <v>2.38</v>
      </c>
      <c r="D14348" s="104">
        <f t="shared" si="229"/>
        <v>2.3799999999999998E-2</v>
      </c>
    </row>
    <row r="14349" spans="2:6" ht="13.8">
      <c r="B14349" s="187">
        <v>42746</v>
      </c>
      <c r="C14349" s="189">
        <v>2.38</v>
      </c>
      <c r="D14349" s="104">
        <f t="shared" si="229"/>
        <v>2.3799999999999998E-2</v>
      </c>
    </row>
    <row r="14350" spans="2:6" ht="13.8">
      <c r="B14350" s="187">
        <v>42747</v>
      </c>
      <c r="C14350" s="189">
        <v>2.36</v>
      </c>
      <c r="D14350" s="104">
        <f t="shared" si="229"/>
        <v>2.3599999999999999E-2</v>
      </c>
    </row>
    <row r="14351" spans="2:6" ht="13.8">
      <c r="B14351" s="187">
        <v>42748</v>
      </c>
      <c r="C14351" s="189">
        <v>2.4</v>
      </c>
      <c r="D14351" s="104">
        <f t="shared" si="229"/>
        <v>2.4E-2</v>
      </c>
      <c r="E14351" s="104">
        <f>AVERAGE( D14347:D14351)</f>
        <v>2.3799999999999998E-2</v>
      </c>
      <c r="F14351" s="4" t="str">
        <f>TEXT( B14351, "ddd" )</f>
        <v>Fri</v>
      </c>
    </row>
    <row r="14352" spans="2:6" ht="13.8">
      <c r="B14352" s="187">
        <v>42751</v>
      </c>
      <c r="C14352" s="189" t="s">
        <v>380</v>
      </c>
      <c r="D14352" s="104">
        <f t="shared" si="229"/>
        <v>2.4E-2</v>
      </c>
    </row>
    <row r="14353" spans="2:6" ht="13.8">
      <c r="B14353" s="187">
        <v>42752</v>
      </c>
      <c r="C14353" s="189">
        <v>2.33</v>
      </c>
      <c r="D14353" s="104">
        <f t="shared" si="229"/>
        <v>2.3300000000000001E-2</v>
      </c>
    </row>
    <row r="14354" spans="2:6" ht="13.8">
      <c r="B14354" s="187">
        <v>42753</v>
      </c>
      <c r="C14354" s="189">
        <v>2.42</v>
      </c>
      <c r="D14354" s="104">
        <f t="shared" si="229"/>
        <v>2.4199999999999999E-2</v>
      </c>
    </row>
    <row r="14355" spans="2:6" ht="13.8">
      <c r="B14355" s="187">
        <v>42754</v>
      </c>
      <c r="C14355" s="189">
        <v>2.4700000000000002</v>
      </c>
      <c r="D14355" s="104">
        <f t="shared" si="229"/>
        <v>2.4700000000000003E-2</v>
      </c>
    </row>
    <row r="14356" spans="2:6" ht="13.8">
      <c r="B14356" s="187">
        <v>42755</v>
      </c>
      <c r="C14356" s="189">
        <v>2.48</v>
      </c>
      <c r="D14356" s="104">
        <f t="shared" si="229"/>
        <v>2.4799999999999999E-2</v>
      </c>
      <c r="E14356" s="104">
        <f>AVERAGE( D14352:D14356)</f>
        <v>2.4200000000000003E-2</v>
      </c>
      <c r="F14356" s="4" t="str">
        <f>TEXT( B14356, "ddd" )</f>
        <v>Fri</v>
      </c>
    </row>
    <row r="14357" spans="2:6" ht="13.8">
      <c r="B14357" s="187">
        <v>42758</v>
      </c>
      <c r="C14357" s="189">
        <v>2.41</v>
      </c>
      <c r="D14357" s="104">
        <f t="shared" si="229"/>
        <v>2.41E-2</v>
      </c>
    </row>
    <row r="14358" spans="2:6" ht="13.8">
      <c r="B14358" s="187">
        <v>42759</v>
      </c>
      <c r="C14358" s="189">
        <v>2.4700000000000002</v>
      </c>
      <c r="D14358" s="104">
        <f t="shared" si="229"/>
        <v>2.4700000000000003E-2</v>
      </c>
    </row>
    <row r="14359" spans="2:6" ht="13.8">
      <c r="B14359" s="187">
        <v>42760</v>
      </c>
      <c r="C14359" s="189">
        <v>2.5299999999999998</v>
      </c>
      <c r="D14359" s="104">
        <f t="shared" si="229"/>
        <v>2.53E-2</v>
      </c>
    </row>
    <row r="14360" spans="2:6" ht="13.8">
      <c r="B14360" s="187">
        <v>42761</v>
      </c>
      <c r="C14360" s="189">
        <v>2.5099999999999998</v>
      </c>
      <c r="D14360" s="104">
        <f t="shared" si="229"/>
        <v>2.5099999999999997E-2</v>
      </c>
    </row>
    <row r="14361" spans="2:6" ht="13.8">
      <c r="B14361" s="187">
        <v>42762</v>
      </c>
      <c r="C14361" s="189">
        <v>2.4900000000000002</v>
      </c>
      <c r="D14361" s="104">
        <f t="shared" si="229"/>
        <v>2.4900000000000002E-2</v>
      </c>
      <c r="E14361" s="104">
        <f>AVERAGE( D14357:D14361)</f>
        <v>2.4820000000000002E-2</v>
      </c>
      <c r="F14361" s="4" t="str">
        <f>TEXT( B14361, "ddd" )</f>
        <v>Fri</v>
      </c>
    </row>
    <row r="14362" spans="2:6" ht="13.8">
      <c r="B14362" s="187">
        <v>42765</v>
      </c>
      <c r="C14362" s="189">
        <v>2.4900000000000002</v>
      </c>
      <c r="D14362" s="104">
        <f t="shared" si="229"/>
        <v>2.4900000000000002E-2</v>
      </c>
    </row>
    <row r="14363" spans="2:6" ht="13.8">
      <c r="B14363" s="187">
        <v>42766</v>
      </c>
      <c r="C14363" s="189">
        <v>2.4500000000000002</v>
      </c>
      <c r="D14363" s="104">
        <f t="shared" si="229"/>
        <v>2.4500000000000001E-2</v>
      </c>
    </row>
    <row r="14364" spans="2:6" ht="13.8">
      <c r="B14364" s="187">
        <v>42767</v>
      </c>
      <c r="C14364" s="189">
        <v>2.48</v>
      </c>
      <c r="D14364" s="104">
        <f t="shared" si="229"/>
        <v>2.4799999999999999E-2</v>
      </c>
    </row>
    <row r="14365" spans="2:6" ht="13.8">
      <c r="B14365" s="187">
        <v>42768</v>
      </c>
      <c r="C14365" s="189">
        <v>2.48</v>
      </c>
      <c r="D14365" s="104">
        <f t="shared" si="229"/>
        <v>2.4799999999999999E-2</v>
      </c>
    </row>
    <row r="14366" spans="2:6" ht="13.8">
      <c r="B14366" s="187">
        <v>42769</v>
      </c>
      <c r="C14366" s="189">
        <v>2.4900000000000002</v>
      </c>
      <c r="D14366" s="104">
        <f t="shared" si="229"/>
        <v>2.4900000000000002E-2</v>
      </c>
      <c r="E14366" s="104">
        <f>AVERAGE( D14362:D14366)</f>
        <v>2.4780000000000003E-2</v>
      </c>
      <c r="F14366" s="4" t="str">
        <f>TEXT( B14366, "ddd" )</f>
        <v>Fri</v>
      </c>
    </row>
    <row r="14367" spans="2:6" ht="13.8">
      <c r="B14367" s="187">
        <v>42772</v>
      </c>
      <c r="C14367" s="189">
        <v>2.42</v>
      </c>
      <c r="D14367" s="104">
        <f t="shared" si="229"/>
        <v>2.4199999999999999E-2</v>
      </c>
    </row>
    <row r="14368" spans="2:6" ht="13.8">
      <c r="B14368" s="187">
        <v>42773</v>
      </c>
      <c r="C14368" s="189">
        <v>2.4</v>
      </c>
      <c r="D14368" s="104">
        <f t="shared" si="229"/>
        <v>2.4E-2</v>
      </c>
    </row>
    <row r="14369" spans="2:6" ht="13.8">
      <c r="B14369" s="187">
        <v>42774</v>
      </c>
      <c r="C14369" s="189">
        <v>2.34</v>
      </c>
      <c r="D14369" s="104">
        <f t="shared" si="229"/>
        <v>2.3399999999999997E-2</v>
      </c>
    </row>
    <row r="14370" spans="2:6" ht="13.8">
      <c r="B14370" s="187">
        <v>42775</v>
      </c>
      <c r="C14370" s="189">
        <v>2.4</v>
      </c>
      <c r="D14370" s="104">
        <f t="shared" si="229"/>
        <v>2.4E-2</v>
      </c>
    </row>
    <row r="14371" spans="2:6" ht="13.8">
      <c r="B14371" s="187">
        <v>42776</v>
      </c>
      <c r="C14371" s="189">
        <v>2.41</v>
      </c>
      <c r="D14371" s="104">
        <f t="shared" si="229"/>
        <v>2.41E-2</v>
      </c>
      <c r="E14371" s="104">
        <f>AVERAGE( D14367:D14371)</f>
        <v>2.3939999999999996E-2</v>
      </c>
      <c r="F14371" s="4" t="str">
        <f>TEXT( B14371, "ddd" )</f>
        <v>Fri</v>
      </c>
    </row>
    <row r="14372" spans="2:6" ht="13.8">
      <c r="B14372" s="187">
        <v>42779</v>
      </c>
      <c r="C14372" s="189">
        <v>2.4300000000000002</v>
      </c>
      <c r="D14372" s="104">
        <f t="shared" si="229"/>
        <v>2.4300000000000002E-2</v>
      </c>
    </row>
    <row r="14373" spans="2:6" ht="13.8">
      <c r="B14373" s="187">
        <v>42780</v>
      </c>
      <c r="C14373" s="189">
        <v>2.4700000000000002</v>
      </c>
      <c r="D14373" s="104">
        <f t="shared" si="229"/>
        <v>2.4700000000000003E-2</v>
      </c>
    </row>
    <row r="14374" spans="2:6" ht="13.8">
      <c r="B14374" s="187">
        <v>42781</v>
      </c>
      <c r="C14374" s="189">
        <v>2.5099999999999998</v>
      </c>
      <c r="D14374" s="104">
        <f t="shared" si="229"/>
        <v>2.5099999999999997E-2</v>
      </c>
    </row>
    <row r="14375" spans="2:6" ht="13.8">
      <c r="B14375" s="187">
        <v>42782</v>
      </c>
      <c r="C14375" s="189">
        <v>2.4500000000000002</v>
      </c>
      <c r="D14375" s="104">
        <f t="shared" si="229"/>
        <v>2.4500000000000001E-2</v>
      </c>
    </row>
    <row r="14376" spans="2:6" ht="13.8">
      <c r="B14376" s="187">
        <v>42783</v>
      </c>
      <c r="C14376" s="189">
        <v>2.42</v>
      </c>
      <c r="D14376" s="104">
        <f t="shared" si="229"/>
        <v>2.4199999999999999E-2</v>
      </c>
      <c r="E14376" s="104">
        <f>AVERAGE( D14372:D14376)</f>
        <v>2.4559999999999998E-2</v>
      </c>
      <c r="F14376" s="4" t="str">
        <f>TEXT( B14376, "ddd" )</f>
        <v>Fri</v>
      </c>
    </row>
    <row r="14377" spans="2:6" ht="13.8">
      <c r="B14377" s="187">
        <v>42786</v>
      </c>
      <c r="C14377" s="189" t="s">
        <v>380</v>
      </c>
      <c r="D14377" s="104">
        <f t="shared" si="229"/>
        <v>2.4199999999999999E-2</v>
      </c>
    </row>
    <row r="14378" spans="2:6" ht="13.8">
      <c r="B14378" s="187">
        <v>42787</v>
      </c>
      <c r="C14378" s="189">
        <v>2.4300000000000002</v>
      </c>
      <c r="D14378" s="104">
        <f t="shared" si="229"/>
        <v>2.4300000000000002E-2</v>
      </c>
    </row>
    <row r="14379" spans="2:6" ht="13.8">
      <c r="B14379" s="187">
        <v>42788</v>
      </c>
      <c r="C14379" s="189">
        <v>2.42</v>
      </c>
      <c r="D14379" s="104">
        <f t="shared" si="229"/>
        <v>2.4199999999999999E-2</v>
      </c>
    </row>
    <row r="14380" spans="2:6" ht="13.8">
      <c r="B14380" s="187">
        <v>42789</v>
      </c>
      <c r="C14380" s="189">
        <v>2.38</v>
      </c>
      <c r="D14380" s="104">
        <f t="shared" si="229"/>
        <v>2.3799999999999998E-2</v>
      </c>
    </row>
    <row r="14381" spans="2:6" ht="13.8">
      <c r="B14381" s="187">
        <v>42790</v>
      </c>
      <c r="C14381" s="189">
        <v>2.31</v>
      </c>
      <c r="D14381" s="104">
        <f t="shared" si="229"/>
        <v>2.3099999999999999E-2</v>
      </c>
      <c r="E14381" s="104">
        <f>AVERAGE( D14377:D14381)</f>
        <v>2.392E-2</v>
      </c>
      <c r="F14381" s="4" t="str">
        <f>TEXT( B14381, "ddd" )</f>
        <v>Fri</v>
      </c>
    </row>
    <row r="14382" spans="2:6" ht="13.8">
      <c r="B14382" s="187">
        <v>42793</v>
      </c>
      <c r="C14382" s="189">
        <v>2.36</v>
      </c>
      <c r="D14382" s="104">
        <f t="shared" si="229"/>
        <v>2.3599999999999999E-2</v>
      </c>
    </row>
    <row r="14383" spans="2:6" ht="13.8">
      <c r="B14383" s="187">
        <v>42794</v>
      </c>
      <c r="C14383" s="189">
        <v>2.36</v>
      </c>
      <c r="D14383" s="104">
        <f t="shared" si="229"/>
        <v>2.3599999999999999E-2</v>
      </c>
    </row>
    <row r="14384" spans="2:6" ht="13.8">
      <c r="B14384" s="187">
        <v>42795</v>
      </c>
      <c r="C14384" s="189">
        <v>2.46</v>
      </c>
      <c r="D14384" s="104">
        <f t="shared" si="229"/>
        <v>2.46E-2</v>
      </c>
    </row>
    <row r="14385" spans="2:6" ht="13.8">
      <c r="B14385" s="187">
        <v>42796</v>
      </c>
      <c r="C14385" s="189">
        <v>2.4900000000000002</v>
      </c>
      <c r="D14385" s="104">
        <f t="shared" si="229"/>
        <v>2.4900000000000002E-2</v>
      </c>
    </row>
    <row r="14386" spans="2:6" ht="13.8">
      <c r="B14386" s="187">
        <v>42797</v>
      </c>
      <c r="C14386" s="189">
        <v>2.4900000000000002</v>
      </c>
      <c r="D14386" s="104">
        <f t="shared" si="229"/>
        <v>2.4900000000000002E-2</v>
      </c>
      <c r="E14386" s="104">
        <f>AVERAGE( D14382:D14386)</f>
        <v>2.4320000000000001E-2</v>
      </c>
      <c r="F14386" s="4" t="str">
        <f>TEXT( B14386, "ddd" )</f>
        <v>Fri</v>
      </c>
    </row>
    <row r="14387" spans="2:6" ht="13.8">
      <c r="B14387" s="187">
        <v>42800</v>
      </c>
      <c r="C14387" s="189">
        <v>2.4900000000000002</v>
      </c>
      <c r="D14387" s="104">
        <f t="shared" si="229"/>
        <v>2.4900000000000002E-2</v>
      </c>
    </row>
    <row r="14388" spans="2:6" ht="13.8">
      <c r="B14388" s="187">
        <v>42801</v>
      </c>
      <c r="C14388" s="189">
        <v>2.52</v>
      </c>
      <c r="D14388" s="104">
        <f t="shared" si="229"/>
        <v>2.52E-2</v>
      </c>
    </row>
    <row r="14389" spans="2:6" ht="13.8">
      <c r="B14389" s="187">
        <v>42802</v>
      </c>
      <c r="C14389" s="189">
        <v>2.57</v>
      </c>
      <c r="D14389" s="104">
        <f t="shared" si="229"/>
        <v>2.5699999999999997E-2</v>
      </c>
    </row>
    <row r="14390" spans="2:6" ht="13.8">
      <c r="B14390" s="187">
        <v>42803</v>
      </c>
      <c r="C14390" s="189">
        <v>2.6</v>
      </c>
      <c r="D14390" s="104">
        <f t="shared" si="229"/>
        <v>2.6000000000000002E-2</v>
      </c>
    </row>
    <row r="14391" spans="2:6" ht="13.8">
      <c r="B14391" s="187">
        <v>42804</v>
      </c>
      <c r="C14391" s="189">
        <v>2.58</v>
      </c>
      <c r="D14391" s="104">
        <f t="shared" si="229"/>
        <v>2.58E-2</v>
      </c>
      <c r="E14391" s="104">
        <f>AVERAGE( D14387:D14391)</f>
        <v>2.5519999999999998E-2</v>
      </c>
      <c r="F14391" s="4" t="str">
        <f>TEXT( B14391, "ddd" )</f>
        <v>Fri</v>
      </c>
    </row>
    <row r="14392" spans="2:6" ht="13.8">
      <c r="B14392" s="187">
        <v>42807</v>
      </c>
      <c r="C14392" s="189">
        <v>2.62</v>
      </c>
      <c r="D14392" s="104">
        <f t="shared" si="229"/>
        <v>2.6200000000000001E-2</v>
      </c>
    </row>
    <row r="14393" spans="2:6" ht="13.8">
      <c r="B14393" s="187">
        <v>42808</v>
      </c>
      <c r="C14393" s="189">
        <v>2.6</v>
      </c>
      <c r="D14393" s="104">
        <f t="shared" si="229"/>
        <v>2.6000000000000002E-2</v>
      </c>
    </row>
    <row r="14394" spans="2:6" ht="13.8">
      <c r="B14394" s="187">
        <v>42809</v>
      </c>
      <c r="C14394" s="189">
        <v>2.5099999999999998</v>
      </c>
      <c r="D14394" s="104">
        <f t="shared" si="229"/>
        <v>2.5099999999999997E-2</v>
      </c>
    </row>
    <row r="14395" spans="2:6" ht="13.8">
      <c r="B14395" s="187">
        <v>42810</v>
      </c>
      <c r="C14395" s="189">
        <v>2.5299999999999998</v>
      </c>
      <c r="D14395" s="104">
        <f t="shared" si="229"/>
        <v>2.53E-2</v>
      </c>
    </row>
    <row r="14396" spans="2:6" ht="13.8">
      <c r="B14396" s="187">
        <v>42811</v>
      </c>
      <c r="C14396" s="189">
        <v>2.5</v>
      </c>
      <c r="D14396" s="104">
        <f t="shared" si="229"/>
        <v>2.5000000000000001E-2</v>
      </c>
      <c r="E14396" s="104">
        <f>AVERAGE( D14392:D14396)</f>
        <v>2.5520000000000004E-2</v>
      </c>
      <c r="F14396" s="4" t="str">
        <f>TEXT( B14396, "ddd" )</f>
        <v>Fri</v>
      </c>
    </row>
    <row r="14397" spans="2:6" ht="13.8">
      <c r="B14397" s="187">
        <v>42814</v>
      </c>
      <c r="C14397" s="189">
        <v>2.4700000000000002</v>
      </c>
      <c r="D14397" s="104">
        <f t="shared" si="229"/>
        <v>2.4700000000000003E-2</v>
      </c>
    </row>
    <row r="14398" spans="2:6" ht="13.8">
      <c r="B14398" s="187">
        <v>42815</v>
      </c>
      <c r="C14398" s="189">
        <v>2.4300000000000002</v>
      </c>
      <c r="D14398" s="104">
        <f t="shared" si="229"/>
        <v>2.4300000000000002E-2</v>
      </c>
    </row>
    <row r="14399" spans="2:6" ht="13.8">
      <c r="B14399" s="187">
        <v>42816</v>
      </c>
      <c r="C14399" s="189">
        <v>2.4</v>
      </c>
      <c r="D14399" s="104">
        <f t="shared" si="229"/>
        <v>2.4E-2</v>
      </c>
    </row>
    <row r="14400" spans="2:6" ht="13.8">
      <c r="B14400" s="187">
        <v>42817</v>
      </c>
      <c r="C14400" s="189">
        <v>2.41</v>
      </c>
      <c r="D14400" s="104">
        <f t="shared" si="229"/>
        <v>2.41E-2</v>
      </c>
    </row>
    <row r="14401" spans="2:6" ht="13.8">
      <c r="B14401" s="187">
        <v>42818</v>
      </c>
      <c r="C14401" s="189">
        <v>2.4</v>
      </c>
      <c r="D14401" s="104">
        <f t="shared" si="229"/>
        <v>2.4E-2</v>
      </c>
      <c r="E14401" s="104">
        <f>AVERAGE( D14397:D14401)</f>
        <v>2.4220000000000002E-2</v>
      </c>
      <c r="F14401" s="4" t="str">
        <f>TEXT( B14401, "ddd" )</f>
        <v>Fri</v>
      </c>
    </row>
    <row r="14402" spans="2:6" ht="13.8">
      <c r="B14402" s="187">
        <v>42821</v>
      </c>
      <c r="C14402" s="189">
        <v>2.38</v>
      </c>
      <c r="D14402" s="104">
        <f t="shared" si="229"/>
        <v>2.3799999999999998E-2</v>
      </c>
    </row>
    <row r="14403" spans="2:6" ht="13.8">
      <c r="B14403" s="187">
        <v>42822</v>
      </c>
      <c r="C14403" s="189">
        <v>2.42</v>
      </c>
      <c r="D14403" s="104">
        <f t="shared" si="229"/>
        <v>2.4199999999999999E-2</v>
      </c>
    </row>
    <row r="14404" spans="2:6" ht="13.8">
      <c r="B14404" s="187">
        <v>42823</v>
      </c>
      <c r="C14404" s="189">
        <v>2.39</v>
      </c>
      <c r="D14404" s="104">
        <f t="shared" si="229"/>
        <v>2.3900000000000001E-2</v>
      </c>
    </row>
    <row r="14405" spans="2:6" ht="13.8">
      <c r="B14405" s="187">
        <v>42824</v>
      </c>
      <c r="C14405" s="189">
        <v>2.42</v>
      </c>
      <c r="D14405" s="104">
        <f t="shared" si="229"/>
        <v>2.4199999999999999E-2</v>
      </c>
    </row>
    <row r="14406" spans="2:6" ht="13.8">
      <c r="B14406" s="187">
        <v>42825</v>
      </c>
      <c r="C14406" s="189">
        <v>2.4</v>
      </c>
      <c r="D14406" s="104">
        <f t="shared" ref="D14406:D14431" si="230">IF( LEN( C14406 ) = 0, #N/A, IF( C14406 = "ND", D14405, C14406 / 100 ) )</f>
        <v>2.4E-2</v>
      </c>
      <c r="E14406" s="104">
        <f>AVERAGE( D14402:D14406)</f>
        <v>2.4020000000000003E-2</v>
      </c>
      <c r="F14406" s="4" t="str">
        <f>TEXT( B14406, "ddd" )</f>
        <v>Fri</v>
      </c>
    </row>
    <row r="14407" spans="2:6" ht="13.8">
      <c r="B14407" s="187">
        <v>42828</v>
      </c>
      <c r="C14407" s="189">
        <v>2.35</v>
      </c>
      <c r="D14407" s="104">
        <f t="shared" si="230"/>
        <v>2.35E-2</v>
      </c>
    </row>
    <row r="14408" spans="2:6" ht="13.8">
      <c r="B14408" s="187">
        <v>42829</v>
      </c>
      <c r="C14408" s="189">
        <v>2.36</v>
      </c>
      <c r="D14408" s="104">
        <f t="shared" si="230"/>
        <v>2.3599999999999999E-2</v>
      </c>
    </row>
    <row r="14409" spans="2:6" ht="13.8">
      <c r="B14409" s="187">
        <v>42830</v>
      </c>
      <c r="C14409" s="189">
        <v>2.34</v>
      </c>
      <c r="D14409" s="104">
        <f t="shared" si="230"/>
        <v>2.3399999999999997E-2</v>
      </c>
    </row>
    <row r="14410" spans="2:6" ht="13.8">
      <c r="B14410" s="187">
        <v>42831</v>
      </c>
      <c r="C14410" s="189">
        <v>2.34</v>
      </c>
      <c r="D14410" s="104">
        <f t="shared" si="230"/>
        <v>2.3399999999999997E-2</v>
      </c>
    </row>
    <row r="14411" spans="2:6" ht="13.8">
      <c r="B14411" s="187">
        <v>42832</v>
      </c>
      <c r="C14411" s="189">
        <v>2.38</v>
      </c>
      <c r="D14411" s="104">
        <f t="shared" si="230"/>
        <v>2.3799999999999998E-2</v>
      </c>
      <c r="E14411" s="104">
        <f>AVERAGE( D14407:D14411)</f>
        <v>2.3540000000000002E-2</v>
      </c>
      <c r="F14411" s="4" t="str">
        <f>TEXT( B14411, "ddd" )</f>
        <v>Fri</v>
      </c>
    </row>
    <row r="14412" spans="2:6" ht="13.8">
      <c r="B14412" s="187">
        <v>42835</v>
      </c>
      <c r="C14412" s="189">
        <v>2.37</v>
      </c>
      <c r="D14412" s="104">
        <f t="shared" si="230"/>
        <v>2.3700000000000002E-2</v>
      </c>
    </row>
    <row r="14413" spans="2:6" ht="13.8">
      <c r="B14413" s="187">
        <v>42836</v>
      </c>
      <c r="C14413" s="189">
        <v>2.3199999999999998</v>
      </c>
      <c r="D14413" s="104">
        <f t="shared" si="230"/>
        <v>2.3199999999999998E-2</v>
      </c>
    </row>
    <row r="14414" spans="2:6" ht="13.8">
      <c r="B14414" s="187">
        <v>42837</v>
      </c>
      <c r="C14414" s="189">
        <v>2.2799999999999998</v>
      </c>
      <c r="D14414" s="104">
        <f t="shared" si="230"/>
        <v>2.2799999999999997E-2</v>
      </c>
    </row>
    <row r="14415" spans="2:6" ht="13.8">
      <c r="B14415" s="187">
        <v>42838</v>
      </c>
      <c r="C14415" s="189">
        <v>2.2400000000000002</v>
      </c>
      <c r="D14415" s="104">
        <f t="shared" si="230"/>
        <v>2.2400000000000003E-2</v>
      </c>
    </row>
    <row r="14416" spans="2:6" ht="13.8">
      <c r="B14416" s="187">
        <v>42839</v>
      </c>
      <c r="C14416" s="189" t="s">
        <v>380</v>
      </c>
      <c r="D14416" s="104">
        <f t="shared" si="230"/>
        <v>2.2400000000000003E-2</v>
      </c>
      <c r="E14416" s="104">
        <f>AVERAGE( D14412:D14416)</f>
        <v>2.29E-2</v>
      </c>
      <c r="F14416" s="4" t="str">
        <f>TEXT( B14416, "ddd" )</f>
        <v>Fri</v>
      </c>
    </row>
    <row r="14417" spans="2:6" ht="13.8">
      <c r="B14417" s="187">
        <v>42842</v>
      </c>
      <c r="C14417" s="189">
        <v>2.2599999999999998</v>
      </c>
      <c r="D14417" s="104">
        <f t="shared" si="230"/>
        <v>2.2599999999999999E-2</v>
      </c>
    </row>
    <row r="14418" spans="2:6" ht="13.8">
      <c r="B14418" s="187">
        <v>42843</v>
      </c>
      <c r="C14418" s="189">
        <v>2.1800000000000002</v>
      </c>
      <c r="D14418" s="104">
        <f t="shared" si="230"/>
        <v>2.18E-2</v>
      </c>
    </row>
    <row r="14419" spans="2:6" ht="13.8">
      <c r="B14419" s="187">
        <v>42844</v>
      </c>
      <c r="C14419" s="189">
        <v>2.21</v>
      </c>
      <c r="D14419" s="104">
        <f t="shared" si="230"/>
        <v>2.2099999999999998E-2</v>
      </c>
    </row>
    <row r="14420" spans="2:6" ht="13.8">
      <c r="B14420" s="187">
        <v>42845</v>
      </c>
      <c r="C14420" s="189">
        <v>2.2400000000000002</v>
      </c>
      <c r="D14420" s="104">
        <f t="shared" si="230"/>
        <v>2.2400000000000003E-2</v>
      </c>
    </row>
    <row r="14421" spans="2:6" ht="13.8">
      <c r="B14421" s="187">
        <v>42846</v>
      </c>
      <c r="C14421" s="189">
        <v>2.2400000000000002</v>
      </c>
      <c r="D14421" s="104">
        <f t="shared" si="230"/>
        <v>2.2400000000000003E-2</v>
      </c>
      <c r="E14421" s="104">
        <f>AVERAGE( D14417:D14421)</f>
        <v>2.2259999999999999E-2</v>
      </c>
      <c r="F14421" s="4" t="str">
        <f>TEXT( B14421, "ddd" )</f>
        <v>Fri</v>
      </c>
    </row>
    <row r="14422" spans="2:6" ht="13.8">
      <c r="B14422" s="187">
        <v>42849</v>
      </c>
      <c r="C14422" s="189">
        <v>2.2799999999999998</v>
      </c>
      <c r="D14422" s="104">
        <f t="shared" si="230"/>
        <v>2.2799999999999997E-2</v>
      </c>
    </row>
    <row r="14423" spans="2:6" ht="13.8">
      <c r="B14423" s="187">
        <v>42850</v>
      </c>
      <c r="C14423" s="189">
        <v>2.35</v>
      </c>
      <c r="D14423" s="104">
        <f t="shared" si="230"/>
        <v>2.35E-2</v>
      </c>
    </row>
    <row r="14424" spans="2:6" ht="13.8">
      <c r="B14424" s="187">
        <v>42851</v>
      </c>
      <c r="C14424" s="189">
        <v>2.3199999999999998</v>
      </c>
      <c r="D14424" s="104">
        <f t="shared" si="230"/>
        <v>2.3199999999999998E-2</v>
      </c>
    </row>
    <row r="14425" spans="2:6" ht="13.8">
      <c r="B14425" s="187">
        <v>42852</v>
      </c>
      <c r="C14425" s="189">
        <v>2.2999999999999998</v>
      </c>
      <c r="D14425" s="104">
        <f t="shared" si="230"/>
        <v>2.3E-2</v>
      </c>
    </row>
    <row r="14426" spans="2:6" ht="13.8">
      <c r="B14426" s="187">
        <v>42853</v>
      </c>
      <c r="C14426" s="189">
        <v>2.29</v>
      </c>
      <c r="D14426" s="104">
        <f t="shared" si="230"/>
        <v>2.29E-2</v>
      </c>
      <c r="E14426" s="104">
        <f>AVERAGE( D14422:D14426)</f>
        <v>2.308E-2</v>
      </c>
      <c r="F14426" s="4" t="str">
        <f>TEXT( B14426, "ddd" )</f>
        <v>Fri</v>
      </c>
    </row>
    <row r="14427" spans="2:6" ht="13.8">
      <c r="B14427" s="187">
        <v>42856</v>
      </c>
      <c r="C14427" s="189">
        <v>2.33</v>
      </c>
      <c r="D14427" s="104">
        <f t="shared" si="230"/>
        <v>2.3300000000000001E-2</v>
      </c>
    </row>
    <row r="14428" spans="2:6" ht="13.8">
      <c r="B14428" s="187">
        <v>42857</v>
      </c>
      <c r="C14428" s="189">
        <v>2.29</v>
      </c>
      <c r="D14428" s="104">
        <f t="shared" si="230"/>
        <v>2.29E-2</v>
      </c>
    </row>
    <row r="14429" spans="2:6" ht="13.8">
      <c r="B14429" s="187">
        <v>42858</v>
      </c>
      <c r="C14429" s="189">
        <v>2.33</v>
      </c>
      <c r="D14429" s="104">
        <f t="shared" si="230"/>
        <v>2.3300000000000001E-2</v>
      </c>
    </row>
    <row r="14430" spans="2:6" ht="13.8">
      <c r="B14430" s="187">
        <v>42859</v>
      </c>
      <c r="C14430" s="189">
        <v>2.36</v>
      </c>
      <c r="D14430" s="104">
        <f t="shared" si="230"/>
        <v>2.3599999999999999E-2</v>
      </c>
    </row>
    <row r="14431" spans="2:6" ht="13.8">
      <c r="B14431" s="187">
        <v>42860</v>
      </c>
      <c r="C14431" s="189">
        <v>2.36</v>
      </c>
      <c r="D14431" s="104">
        <f t="shared" si="230"/>
        <v>2.3599999999999999E-2</v>
      </c>
      <c r="E14431" s="104">
        <f>AVERAGE( D14427:D14431)</f>
        <v>2.334E-2</v>
      </c>
      <c r="F14431" s="4" t="str">
        <f>TEXT( B14431, "ddd" )</f>
        <v>Fri</v>
      </c>
    </row>
    <row r="14432" spans="2:6" ht="13.8">
      <c r="B14432" s="187">
        <v>42863</v>
      </c>
      <c r="C14432" s="189">
        <v>2.39</v>
      </c>
      <c r="D14432" s="104">
        <f t="shared" ref="D14432:D14456" si="231">IF( LEN( C14432 ) = 0, #N/A, IF( C14432 = "ND", D14431, C14432 / 100 ) )</f>
        <v>2.3900000000000001E-2</v>
      </c>
    </row>
    <row r="14433" spans="2:6" ht="13.8">
      <c r="B14433" s="187">
        <v>42864</v>
      </c>
      <c r="C14433" s="189">
        <v>2.42</v>
      </c>
      <c r="D14433" s="104">
        <f t="shared" si="231"/>
        <v>2.4199999999999999E-2</v>
      </c>
    </row>
    <row r="14434" spans="2:6" ht="13.8">
      <c r="B14434" s="187">
        <v>42865</v>
      </c>
      <c r="C14434" s="189">
        <v>2.41</v>
      </c>
      <c r="D14434" s="104">
        <f t="shared" si="231"/>
        <v>2.41E-2</v>
      </c>
    </row>
    <row r="14435" spans="2:6" ht="13.8">
      <c r="B14435" s="187">
        <v>42866</v>
      </c>
      <c r="C14435" s="189">
        <v>2.39</v>
      </c>
      <c r="D14435" s="104">
        <f t="shared" si="231"/>
        <v>2.3900000000000001E-2</v>
      </c>
    </row>
    <row r="14436" spans="2:6" ht="13.8">
      <c r="B14436" s="187">
        <v>42867</v>
      </c>
      <c r="C14436" s="189">
        <v>2.33</v>
      </c>
      <c r="D14436" s="104">
        <f t="shared" si="231"/>
        <v>2.3300000000000001E-2</v>
      </c>
      <c r="E14436" s="104">
        <f>AVERAGE( D14432:D14436)</f>
        <v>2.3880000000000002E-2</v>
      </c>
      <c r="F14436" s="4" t="str">
        <f>TEXT( B14436, "ddd" )</f>
        <v>Fri</v>
      </c>
    </row>
    <row r="14437" spans="2:6" ht="13.8">
      <c r="B14437" s="187">
        <v>42870</v>
      </c>
      <c r="C14437" s="189">
        <v>2.34</v>
      </c>
      <c r="D14437" s="104">
        <f t="shared" si="231"/>
        <v>2.3399999999999997E-2</v>
      </c>
    </row>
    <row r="14438" spans="2:6" ht="13.8">
      <c r="B14438" s="187">
        <v>42871</v>
      </c>
      <c r="C14438" s="189">
        <v>2.33</v>
      </c>
      <c r="D14438" s="104">
        <f t="shared" si="231"/>
        <v>2.3300000000000001E-2</v>
      </c>
    </row>
    <row r="14439" spans="2:6" ht="13.8">
      <c r="B14439" s="187">
        <v>42872</v>
      </c>
      <c r="C14439" s="189">
        <v>2.2200000000000002</v>
      </c>
      <c r="D14439" s="104">
        <f t="shared" si="231"/>
        <v>2.2200000000000001E-2</v>
      </c>
    </row>
    <row r="14440" spans="2:6" ht="13.8">
      <c r="B14440" s="187">
        <v>42873</v>
      </c>
      <c r="C14440" s="189">
        <v>2.23</v>
      </c>
      <c r="D14440" s="104">
        <f t="shared" si="231"/>
        <v>2.23E-2</v>
      </c>
    </row>
    <row r="14441" spans="2:6" ht="13.8">
      <c r="B14441" s="187">
        <v>42874</v>
      </c>
      <c r="C14441" s="189">
        <v>2.23</v>
      </c>
      <c r="D14441" s="104">
        <f t="shared" si="231"/>
        <v>2.23E-2</v>
      </c>
      <c r="E14441" s="104">
        <f>AVERAGE( D14437:D14441)</f>
        <v>2.2700000000000001E-2</v>
      </c>
      <c r="F14441" s="4" t="str">
        <f>TEXT( B14441, "ddd" )</f>
        <v>Fri</v>
      </c>
    </row>
    <row r="14442" spans="2:6" ht="13.8">
      <c r="B14442" s="187">
        <v>42877</v>
      </c>
      <c r="C14442" s="189">
        <v>2.25</v>
      </c>
      <c r="D14442" s="104">
        <f t="shared" si="231"/>
        <v>2.2499999999999999E-2</v>
      </c>
    </row>
    <row r="14443" spans="2:6" ht="13.8">
      <c r="B14443" s="187">
        <v>42878</v>
      </c>
      <c r="C14443" s="189">
        <v>2.29</v>
      </c>
      <c r="D14443" s="104">
        <f t="shared" si="231"/>
        <v>2.29E-2</v>
      </c>
    </row>
    <row r="14444" spans="2:6" ht="13.8">
      <c r="B14444" s="187">
        <v>42879</v>
      </c>
      <c r="C14444" s="189">
        <v>2.2599999999999998</v>
      </c>
      <c r="D14444" s="104">
        <f t="shared" si="231"/>
        <v>2.2599999999999999E-2</v>
      </c>
    </row>
    <row r="14445" spans="2:6" ht="13.8">
      <c r="B14445" s="187">
        <v>42880</v>
      </c>
      <c r="C14445" s="189">
        <v>2.25</v>
      </c>
      <c r="D14445" s="104">
        <f t="shared" si="231"/>
        <v>2.2499999999999999E-2</v>
      </c>
    </row>
    <row r="14446" spans="2:6" ht="13.8">
      <c r="B14446" s="187">
        <v>42881</v>
      </c>
      <c r="C14446" s="189">
        <v>2.25</v>
      </c>
      <c r="D14446" s="104">
        <f t="shared" si="231"/>
        <v>2.2499999999999999E-2</v>
      </c>
      <c r="E14446" s="104">
        <f>AVERAGE( D14442:D14446)</f>
        <v>2.2599999999999999E-2</v>
      </c>
      <c r="F14446" s="4" t="str">
        <f>TEXT( B14446, "ddd" )</f>
        <v>Fri</v>
      </c>
    </row>
    <row r="14447" spans="2:6" ht="13.8">
      <c r="B14447" s="187">
        <v>42884</v>
      </c>
      <c r="C14447" s="189" t="s">
        <v>380</v>
      </c>
      <c r="D14447" s="104">
        <f t="shared" si="231"/>
        <v>2.2499999999999999E-2</v>
      </c>
    </row>
    <row r="14448" spans="2:6" ht="13.8">
      <c r="B14448" s="187">
        <v>42885</v>
      </c>
      <c r="C14448" s="189">
        <v>2.21</v>
      </c>
      <c r="D14448" s="104">
        <f t="shared" si="231"/>
        <v>2.2099999999999998E-2</v>
      </c>
    </row>
    <row r="14449" spans="2:6" ht="13.8">
      <c r="B14449" s="187">
        <v>42886</v>
      </c>
      <c r="C14449" s="189">
        <v>2.21</v>
      </c>
      <c r="D14449" s="104">
        <f t="shared" si="231"/>
        <v>2.2099999999999998E-2</v>
      </c>
    </row>
    <row r="14450" spans="2:6" ht="13.8">
      <c r="B14450" s="187">
        <v>42887</v>
      </c>
      <c r="C14450" s="189">
        <v>2.21</v>
      </c>
      <c r="D14450" s="104">
        <f t="shared" si="231"/>
        <v>2.2099999999999998E-2</v>
      </c>
    </row>
    <row r="14451" spans="2:6" ht="13.8">
      <c r="B14451" s="187">
        <v>42888</v>
      </c>
      <c r="C14451" s="189">
        <v>2.15</v>
      </c>
      <c r="D14451" s="104">
        <f t="shared" si="231"/>
        <v>2.1499999999999998E-2</v>
      </c>
      <c r="E14451" s="104">
        <f>AVERAGE( D14447:D14451)</f>
        <v>2.2059999999999996E-2</v>
      </c>
      <c r="F14451" s="4" t="str">
        <f>TEXT( B14451, "ddd" )</f>
        <v>Fri</v>
      </c>
    </row>
    <row r="14452" spans="2:6" ht="13.8">
      <c r="B14452" s="187">
        <v>42891</v>
      </c>
      <c r="C14452" s="189">
        <v>2.1800000000000002</v>
      </c>
      <c r="D14452" s="104">
        <f t="shared" si="231"/>
        <v>2.18E-2</v>
      </c>
    </row>
    <row r="14453" spans="2:6" ht="13.8">
      <c r="B14453" s="187">
        <v>42892</v>
      </c>
      <c r="C14453" s="189">
        <v>2.14</v>
      </c>
      <c r="D14453" s="104">
        <f t="shared" si="231"/>
        <v>2.1400000000000002E-2</v>
      </c>
    </row>
    <row r="14454" spans="2:6" ht="13.8">
      <c r="B14454" s="187">
        <v>42893</v>
      </c>
      <c r="C14454" s="189">
        <v>2.1800000000000002</v>
      </c>
      <c r="D14454" s="104">
        <f t="shared" si="231"/>
        <v>2.18E-2</v>
      </c>
    </row>
    <row r="14455" spans="2:6" ht="13.8">
      <c r="B14455" s="187">
        <v>42894</v>
      </c>
      <c r="C14455" s="189">
        <v>2.19</v>
      </c>
      <c r="D14455" s="104">
        <f t="shared" si="231"/>
        <v>2.1899999999999999E-2</v>
      </c>
    </row>
    <row r="14456" spans="2:6" ht="13.8">
      <c r="B14456" s="187">
        <v>42895</v>
      </c>
      <c r="C14456" s="189">
        <v>2.21</v>
      </c>
      <c r="D14456" s="104">
        <f t="shared" si="231"/>
        <v>2.2099999999999998E-2</v>
      </c>
      <c r="E14456" s="104">
        <f>AVERAGE( D14452:D14456)</f>
        <v>2.18E-2</v>
      </c>
      <c r="F14456" s="4" t="str">
        <f>TEXT( B14456, "ddd" )</f>
        <v>Fri</v>
      </c>
    </row>
    <row r="14457" spans="2:6" ht="13.8">
      <c r="B14457" s="187">
        <v>42898</v>
      </c>
      <c r="C14457" s="189">
        <v>2.21</v>
      </c>
      <c r="D14457" s="104">
        <f t="shared" ref="D14457:D14520" si="232">IF( LEN( C14457 ) = 0, #N/A, IF( C14457 = "ND", D14456, C14457 / 100 ) )</f>
        <v>2.2099999999999998E-2</v>
      </c>
    </row>
    <row r="14458" spans="2:6" ht="13.8">
      <c r="B14458" s="187">
        <v>42899</v>
      </c>
      <c r="C14458" s="189">
        <v>2.21</v>
      </c>
      <c r="D14458" s="104">
        <f t="shared" si="232"/>
        <v>2.2099999999999998E-2</v>
      </c>
    </row>
    <row r="14459" spans="2:6" ht="13.8">
      <c r="B14459" s="187">
        <v>42900</v>
      </c>
      <c r="C14459" s="189">
        <v>2.15</v>
      </c>
      <c r="D14459" s="104">
        <f t="shared" si="232"/>
        <v>2.1499999999999998E-2</v>
      </c>
    </row>
    <row r="14460" spans="2:6" ht="13.8">
      <c r="B14460" s="187">
        <v>42901</v>
      </c>
      <c r="C14460" s="189">
        <v>2.16</v>
      </c>
      <c r="D14460" s="104">
        <f t="shared" si="232"/>
        <v>2.1600000000000001E-2</v>
      </c>
    </row>
    <row r="14461" spans="2:6" ht="13.8">
      <c r="B14461" s="187">
        <v>42902</v>
      </c>
      <c r="C14461" s="189">
        <v>2.16</v>
      </c>
      <c r="D14461" s="104">
        <f t="shared" si="232"/>
        <v>2.1600000000000001E-2</v>
      </c>
      <c r="E14461" s="104">
        <f>AVERAGE( D14457:D14461)</f>
        <v>2.1780000000000001E-2</v>
      </c>
      <c r="F14461" s="4" t="str">
        <f>TEXT( B14461, "ddd" )</f>
        <v>Fri</v>
      </c>
    </row>
    <row r="14462" spans="2:6" ht="13.8">
      <c r="B14462" s="187">
        <v>42905</v>
      </c>
      <c r="C14462" s="189">
        <v>2.19</v>
      </c>
      <c r="D14462" s="104">
        <f t="shared" si="232"/>
        <v>2.1899999999999999E-2</v>
      </c>
    </row>
    <row r="14463" spans="2:6" ht="13.8">
      <c r="B14463" s="187">
        <v>42906</v>
      </c>
      <c r="C14463" s="189">
        <v>2.16</v>
      </c>
      <c r="D14463" s="104">
        <f t="shared" si="232"/>
        <v>2.1600000000000001E-2</v>
      </c>
    </row>
    <row r="14464" spans="2:6" ht="13.8">
      <c r="B14464" s="187">
        <v>42907</v>
      </c>
      <c r="C14464" s="189">
        <v>2.16</v>
      </c>
      <c r="D14464" s="104">
        <f t="shared" si="232"/>
        <v>2.1600000000000001E-2</v>
      </c>
    </row>
    <row r="14465" spans="2:6" ht="13.8">
      <c r="B14465" s="187">
        <v>42908</v>
      </c>
      <c r="C14465" s="189">
        <v>2.15</v>
      </c>
      <c r="D14465" s="104">
        <f t="shared" si="232"/>
        <v>2.1499999999999998E-2</v>
      </c>
    </row>
    <row r="14466" spans="2:6" ht="13.8">
      <c r="B14466" s="187">
        <v>42909</v>
      </c>
      <c r="C14466" s="189">
        <v>2.15</v>
      </c>
      <c r="D14466" s="104">
        <f t="shared" si="232"/>
        <v>2.1499999999999998E-2</v>
      </c>
      <c r="E14466" s="104">
        <f>AVERAGE( D14462:D14466)</f>
        <v>2.1619999999999993E-2</v>
      </c>
      <c r="F14466" s="4" t="str">
        <f>TEXT( B14466, "ddd" )</f>
        <v>Fri</v>
      </c>
    </row>
    <row r="14467" spans="2:6" ht="13.8">
      <c r="B14467" s="187">
        <v>42912</v>
      </c>
      <c r="C14467" s="189">
        <v>2.14</v>
      </c>
      <c r="D14467" s="104">
        <f t="shared" si="232"/>
        <v>2.1400000000000002E-2</v>
      </c>
    </row>
    <row r="14468" spans="2:6" ht="13.8">
      <c r="B14468" s="187">
        <v>42913</v>
      </c>
      <c r="C14468" s="189">
        <v>2.21</v>
      </c>
      <c r="D14468" s="104">
        <f t="shared" si="232"/>
        <v>2.2099999999999998E-2</v>
      </c>
    </row>
    <row r="14469" spans="2:6" ht="13.8">
      <c r="B14469" s="187">
        <v>42914</v>
      </c>
      <c r="C14469" s="189">
        <v>2.2200000000000002</v>
      </c>
      <c r="D14469" s="104">
        <f t="shared" si="232"/>
        <v>2.2200000000000001E-2</v>
      </c>
    </row>
    <row r="14470" spans="2:6" ht="13.8">
      <c r="B14470" s="187">
        <v>42915</v>
      </c>
      <c r="C14470" s="189">
        <v>2.27</v>
      </c>
      <c r="D14470" s="104">
        <f t="shared" si="232"/>
        <v>2.2700000000000001E-2</v>
      </c>
    </row>
    <row r="14471" spans="2:6" ht="13.8">
      <c r="B14471" s="187">
        <v>42916</v>
      </c>
      <c r="C14471" s="189">
        <v>2.31</v>
      </c>
      <c r="D14471" s="104">
        <f t="shared" si="232"/>
        <v>2.3099999999999999E-2</v>
      </c>
      <c r="E14471" s="104">
        <f>AVERAGE( D14467:D14471)</f>
        <v>2.2299999999999997E-2</v>
      </c>
      <c r="F14471" s="4" t="str">
        <f>TEXT( B14471, "ddd" )</f>
        <v>Fri</v>
      </c>
    </row>
    <row r="14472" spans="2:6" ht="13.8">
      <c r="B14472" s="187">
        <v>42919</v>
      </c>
      <c r="C14472" s="189">
        <v>2.35</v>
      </c>
      <c r="D14472" s="104">
        <f t="shared" si="232"/>
        <v>2.35E-2</v>
      </c>
    </row>
    <row r="14473" spans="2:6" ht="13.8">
      <c r="B14473" s="187">
        <v>42920</v>
      </c>
      <c r="C14473" s="189" t="s">
        <v>380</v>
      </c>
      <c r="D14473" s="104">
        <f t="shared" si="232"/>
        <v>2.35E-2</v>
      </c>
    </row>
    <row r="14474" spans="2:6" ht="13.8">
      <c r="B14474" s="187">
        <v>42921</v>
      </c>
      <c r="C14474" s="189">
        <v>2.33</v>
      </c>
      <c r="D14474" s="104">
        <f t="shared" si="232"/>
        <v>2.3300000000000001E-2</v>
      </c>
    </row>
    <row r="14475" spans="2:6" ht="13.8">
      <c r="B14475" s="187">
        <v>42922</v>
      </c>
      <c r="C14475" s="189">
        <v>2.37</v>
      </c>
      <c r="D14475" s="104">
        <f t="shared" si="232"/>
        <v>2.3700000000000002E-2</v>
      </c>
    </row>
    <row r="14476" spans="2:6" ht="13.8">
      <c r="B14476" s="187">
        <v>42923</v>
      </c>
      <c r="C14476" s="189">
        <v>2.39</v>
      </c>
      <c r="D14476" s="104">
        <f t="shared" si="232"/>
        <v>2.3900000000000001E-2</v>
      </c>
      <c r="E14476" s="104">
        <f>AVERAGE( D14472:D14476)</f>
        <v>2.358E-2</v>
      </c>
      <c r="F14476" s="4" t="str">
        <f>TEXT( B14476, "ddd" )</f>
        <v>Fri</v>
      </c>
    </row>
    <row r="14477" spans="2:6" ht="13.8">
      <c r="B14477" s="187">
        <v>42926</v>
      </c>
      <c r="C14477" s="189">
        <v>2.38</v>
      </c>
      <c r="D14477" s="104">
        <f t="shared" si="232"/>
        <v>2.3799999999999998E-2</v>
      </c>
    </row>
    <row r="14478" spans="2:6" ht="13.8">
      <c r="B14478" s="187">
        <v>42927</v>
      </c>
      <c r="C14478" s="189">
        <v>2.37</v>
      </c>
      <c r="D14478" s="104">
        <f t="shared" si="232"/>
        <v>2.3700000000000002E-2</v>
      </c>
    </row>
    <row r="14479" spans="2:6" ht="13.8">
      <c r="B14479" s="187">
        <v>42928</v>
      </c>
      <c r="C14479" s="189">
        <v>2.33</v>
      </c>
      <c r="D14479" s="104">
        <f t="shared" si="232"/>
        <v>2.3300000000000001E-2</v>
      </c>
    </row>
    <row r="14480" spans="2:6" ht="13.8">
      <c r="B14480" s="187">
        <v>42929</v>
      </c>
      <c r="C14480" s="189">
        <v>2.35</v>
      </c>
      <c r="D14480" s="104">
        <f t="shared" si="232"/>
        <v>2.35E-2</v>
      </c>
    </row>
    <row r="14481" spans="2:6" ht="13.8">
      <c r="B14481" s="187">
        <v>42930</v>
      </c>
      <c r="C14481" s="189">
        <v>2.33</v>
      </c>
      <c r="D14481" s="104">
        <f t="shared" si="232"/>
        <v>2.3300000000000001E-2</v>
      </c>
      <c r="E14481" s="104">
        <f>AVERAGE( D14477:D14481)</f>
        <v>2.3519999999999999E-2</v>
      </c>
      <c r="F14481" s="4" t="str">
        <f>TEXT( B14481, "ddd" )</f>
        <v>Fri</v>
      </c>
    </row>
    <row r="14482" spans="2:6" ht="13.8">
      <c r="B14482" s="187">
        <v>42933</v>
      </c>
      <c r="C14482" s="189">
        <v>2.31</v>
      </c>
      <c r="D14482" s="104">
        <f t="shared" si="232"/>
        <v>2.3099999999999999E-2</v>
      </c>
    </row>
    <row r="14483" spans="2:6" ht="13.8">
      <c r="B14483" s="187">
        <v>42934</v>
      </c>
      <c r="C14483" s="189">
        <v>2.27</v>
      </c>
      <c r="D14483" s="104">
        <f t="shared" si="232"/>
        <v>2.2700000000000001E-2</v>
      </c>
    </row>
    <row r="14484" spans="2:6" ht="13.8">
      <c r="B14484" s="187">
        <v>42935</v>
      </c>
      <c r="C14484" s="189">
        <v>2.27</v>
      </c>
      <c r="D14484" s="104">
        <f t="shared" si="232"/>
        <v>2.2700000000000001E-2</v>
      </c>
    </row>
    <row r="14485" spans="2:6" ht="13.8">
      <c r="B14485" s="187">
        <v>42936</v>
      </c>
      <c r="C14485" s="189">
        <v>2.27</v>
      </c>
      <c r="D14485" s="104">
        <f t="shared" si="232"/>
        <v>2.2700000000000001E-2</v>
      </c>
    </row>
    <row r="14486" spans="2:6" ht="13.8">
      <c r="B14486" s="187">
        <v>42937</v>
      </c>
      <c r="C14486" s="189">
        <v>2.2400000000000002</v>
      </c>
      <c r="D14486" s="104">
        <f t="shared" si="232"/>
        <v>2.2400000000000003E-2</v>
      </c>
      <c r="E14486" s="104">
        <f>AVERAGE( D14482:D14486)</f>
        <v>2.2720000000000001E-2</v>
      </c>
      <c r="F14486" s="4" t="str">
        <f>TEXT( B14486, "ddd" )</f>
        <v>Fri</v>
      </c>
    </row>
    <row r="14487" spans="2:6" ht="13.8">
      <c r="B14487" s="187">
        <v>42940</v>
      </c>
      <c r="C14487" s="189">
        <v>2.2599999999999998</v>
      </c>
      <c r="D14487" s="104">
        <f t="shared" si="232"/>
        <v>2.2599999999999999E-2</v>
      </c>
    </row>
    <row r="14488" spans="2:6" ht="13.8">
      <c r="B14488" s="187">
        <v>42941</v>
      </c>
      <c r="C14488" s="189">
        <v>2.33</v>
      </c>
      <c r="D14488" s="104">
        <f t="shared" si="232"/>
        <v>2.3300000000000001E-2</v>
      </c>
    </row>
    <row r="14489" spans="2:6" ht="13.8">
      <c r="B14489" s="187">
        <v>42942</v>
      </c>
      <c r="C14489" s="189">
        <v>2.29</v>
      </c>
      <c r="D14489" s="104">
        <f t="shared" si="232"/>
        <v>2.29E-2</v>
      </c>
    </row>
    <row r="14490" spans="2:6" ht="13.8">
      <c r="B14490" s="187">
        <v>42943</v>
      </c>
      <c r="C14490" s="189">
        <v>2.3199999999999998</v>
      </c>
      <c r="D14490" s="104">
        <f t="shared" si="232"/>
        <v>2.3199999999999998E-2</v>
      </c>
    </row>
    <row r="14491" spans="2:6" ht="13.8">
      <c r="B14491" s="187">
        <v>42944</v>
      </c>
      <c r="C14491" s="189">
        <v>2.2999999999999998</v>
      </c>
      <c r="D14491" s="104">
        <f t="shared" si="232"/>
        <v>2.3E-2</v>
      </c>
      <c r="E14491" s="104">
        <f>AVERAGE( D14487:D14491)</f>
        <v>2.3E-2</v>
      </c>
      <c r="F14491" s="4" t="str">
        <f>TEXT( B14491, "ddd" )</f>
        <v>Fri</v>
      </c>
    </row>
    <row r="14492" spans="2:6" ht="13.8">
      <c r="B14492" s="187">
        <v>42947</v>
      </c>
      <c r="C14492" s="189">
        <v>2.2999999999999998</v>
      </c>
      <c r="D14492" s="104">
        <f t="shared" si="232"/>
        <v>2.3E-2</v>
      </c>
    </row>
    <row r="14493" spans="2:6" ht="13.8">
      <c r="B14493" s="187">
        <v>42948</v>
      </c>
      <c r="C14493" s="189">
        <v>2.2599999999999998</v>
      </c>
      <c r="D14493" s="104">
        <f t="shared" si="232"/>
        <v>2.2599999999999999E-2</v>
      </c>
    </row>
    <row r="14494" spans="2:6" ht="13.8">
      <c r="B14494" s="187">
        <v>42949</v>
      </c>
      <c r="C14494" s="189">
        <v>2.27</v>
      </c>
      <c r="D14494" s="104">
        <f t="shared" si="232"/>
        <v>2.2700000000000001E-2</v>
      </c>
    </row>
    <row r="14495" spans="2:6" ht="13.8">
      <c r="B14495" s="187">
        <v>42950</v>
      </c>
      <c r="C14495" s="189">
        <v>2.2400000000000002</v>
      </c>
      <c r="D14495" s="104">
        <f t="shared" si="232"/>
        <v>2.2400000000000003E-2</v>
      </c>
    </row>
    <row r="14496" spans="2:6" ht="13.8">
      <c r="B14496" s="187">
        <v>42951</v>
      </c>
      <c r="C14496" s="189">
        <v>2.27</v>
      </c>
      <c r="D14496" s="104">
        <f t="shared" si="232"/>
        <v>2.2700000000000001E-2</v>
      </c>
      <c r="E14496" s="104">
        <f>AVERAGE( D14492:D14496)</f>
        <v>2.2679999999999999E-2</v>
      </c>
      <c r="F14496" s="4" t="str">
        <f>TEXT( B14496, "ddd" )</f>
        <v>Fri</v>
      </c>
    </row>
    <row r="14497" spans="2:6" ht="13.8">
      <c r="B14497" s="187">
        <v>42954</v>
      </c>
      <c r="C14497" s="189">
        <v>2.2599999999999998</v>
      </c>
      <c r="D14497" s="104">
        <f t="shared" si="232"/>
        <v>2.2599999999999999E-2</v>
      </c>
    </row>
    <row r="14498" spans="2:6" ht="13.8">
      <c r="B14498" s="187">
        <v>42955</v>
      </c>
      <c r="C14498" s="189">
        <v>2.29</v>
      </c>
      <c r="D14498" s="104">
        <f t="shared" si="232"/>
        <v>2.29E-2</v>
      </c>
    </row>
    <row r="14499" spans="2:6" ht="13.8">
      <c r="B14499" s="187">
        <v>42956</v>
      </c>
      <c r="C14499" s="189">
        <v>2.2400000000000002</v>
      </c>
      <c r="D14499" s="104">
        <f t="shared" si="232"/>
        <v>2.2400000000000003E-2</v>
      </c>
    </row>
    <row r="14500" spans="2:6" ht="13.8">
      <c r="B14500" s="187">
        <v>42957</v>
      </c>
      <c r="C14500" s="189">
        <v>2.2000000000000002</v>
      </c>
      <c r="D14500" s="104">
        <f t="shared" si="232"/>
        <v>2.2000000000000002E-2</v>
      </c>
    </row>
    <row r="14501" spans="2:6" ht="13.8">
      <c r="B14501" s="187">
        <v>42958</v>
      </c>
      <c r="C14501" s="189">
        <v>2.19</v>
      </c>
      <c r="D14501" s="104">
        <f t="shared" si="232"/>
        <v>2.1899999999999999E-2</v>
      </c>
      <c r="E14501" s="104">
        <f>AVERAGE( D14497:D14501)</f>
        <v>2.2360000000000001E-2</v>
      </c>
      <c r="F14501" s="4" t="str">
        <f>TEXT( B14501, "ddd" )</f>
        <v>Fri</v>
      </c>
    </row>
    <row r="14502" spans="2:6" ht="13.8">
      <c r="B14502" s="187">
        <v>42961</v>
      </c>
      <c r="C14502" s="189">
        <v>2.2200000000000002</v>
      </c>
      <c r="D14502" s="104">
        <f t="shared" si="232"/>
        <v>2.2200000000000001E-2</v>
      </c>
    </row>
    <row r="14503" spans="2:6" ht="13.8">
      <c r="B14503" s="187">
        <v>42962</v>
      </c>
      <c r="C14503" s="189">
        <v>2.27</v>
      </c>
      <c r="D14503" s="104">
        <f t="shared" si="232"/>
        <v>2.2700000000000001E-2</v>
      </c>
    </row>
    <row r="14504" spans="2:6" ht="13.8">
      <c r="B14504" s="187">
        <v>42963</v>
      </c>
      <c r="C14504" s="189">
        <v>2.23</v>
      </c>
      <c r="D14504" s="104">
        <f t="shared" si="232"/>
        <v>2.23E-2</v>
      </c>
    </row>
    <row r="14505" spans="2:6" ht="13.8">
      <c r="B14505" s="187">
        <v>42964</v>
      </c>
      <c r="C14505" s="189">
        <v>2.19</v>
      </c>
      <c r="D14505" s="104">
        <f t="shared" si="232"/>
        <v>2.1899999999999999E-2</v>
      </c>
    </row>
    <row r="14506" spans="2:6" ht="13.8">
      <c r="B14506" s="187">
        <v>42965</v>
      </c>
      <c r="C14506" s="189">
        <v>2.19</v>
      </c>
      <c r="D14506" s="104">
        <f t="shared" si="232"/>
        <v>2.1899999999999999E-2</v>
      </c>
      <c r="E14506" s="104">
        <f>AVERAGE( D14502:D14506)</f>
        <v>2.2200000000000004E-2</v>
      </c>
      <c r="F14506" s="4" t="str">
        <f>TEXT( B14506, "ddd" )</f>
        <v>Fri</v>
      </c>
    </row>
    <row r="14507" spans="2:6" ht="13.8">
      <c r="B14507" s="187">
        <v>42968</v>
      </c>
      <c r="C14507" s="189">
        <v>2.1800000000000002</v>
      </c>
      <c r="D14507" s="104">
        <f t="shared" si="232"/>
        <v>2.18E-2</v>
      </c>
    </row>
    <row r="14508" spans="2:6" ht="13.8">
      <c r="B14508" s="187">
        <v>42969</v>
      </c>
      <c r="C14508" s="189">
        <v>2.2200000000000002</v>
      </c>
      <c r="D14508" s="104">
        <f t="shared" si="232"/>
        <v>2.2200000000000001E-2</v>
      </c>
    </row>
    <row r="14509" spans="2:6" ht="13.8">
      <c r="B14509" s="187">
        <v>42970</v>
      </c>
      <c r="C14509" s="189">
        <v>2.17</v>
      </c>
      <c r="D14509" s="104">
        <f t="shared" si="232"/>
        <v>2.1700000000000001E-2</v>
      </c>
    </row>
    <row r="14510" spans="2:6" ht="13.8">
      <c r="B14510" s="187">
        <v>42971</v>
      </c>
      <c r="C14510" s="189">
        <v>2.19</v>
      </c>
      <c r="D14510" s="104">
        <f t="shared" si="232"/>
        <v>2.1899999999999999E-2</v>
      </c>
    </row>
    <row r="14511" spans="2:6" ht="13.8">
      <c r="B14511" s="187">
        <v>42972</v>
      </c>
      <c r="C14511" s="189">
        <v>2.17</v>
      </c>
      <c r="D14511" s="104">
        <f t="shared" si="232"/>
        <v>2.1700000000000001E-2</v>
      </c>
      <c r="E14511" s="104">
        <f>AVERAGE( D14507:D14511)</f>
        <v>2.1859999999999997E-2</v>
      </c>
      <c r="F14511" s="4" t="str">
        <f>TEXT( B14511, "ddd" )</f>
        <v>Fri</v>
      </c>
    </row>
    <row r="14512" spans="2:6" ht="13.8">
      <c r="B14512" s="187">
        <v>42975</v>
      </c>
      <c r="C14512" s="189">
        <v>2.16</v>
      </c>
      <c r="D14512" s="104">
        <f t="shared" si="232"/>
        <v>2.1600000000000001E-2</v>
      </c>
    </row>
    <row r="14513" spans="2:6" ht="13.8">
      <c r="B14513" s="187">
        <v>42976</v>
      </c>
      <c r="C14513" s="189">
        <v>2.13</v>
      </c>
      <c r="D14513" s="104">
        <f t="shared" si="232"/>
        <v>2.1299999999999999E-2</v>
      </c>
    </row>
    <row r="14514" spans="2:6" ht="13.8">
      <c r="B14514" s="187">
        <v>42977</v>
      </c>
      <c r="C14514" s="189">
        <v>2.15</v>
      </c>
      <c r="D14514" s="104">
        <f>IF( LEN( C14514 ) = 0, #N/A, IF( C14514 = "ND", D14513, C14514 / 100 ) )</f>
        <v>2.1499999999999998E-2</v>
      </c>
    </row>
    <row r="14515" spans="2:6" ht="13.8">
      <c r="B14515" s="187">
        <v>42978</v>
      </c>
      <c r="C14515" s="189">
        <v>2.12</v>
      </c>
      <c r="D14515" s="104">
        <f t="shared" si="232"/>
        <v>2.12E-2</v>
      </c>
    </row>
    <row r="14516" spans="2:6" ht="13.8">
      <c r="B14516" s="187">
        <v>42979</v>
      </c>
      <c r="C14516" s="189">
        <v>2.16</v>
      </c>
      <c r="D14516" s="104">
        <f t="shared" si="232"/>
        <v>2.1600000000000001E-2</v>
      </c>
      <c r="E14516" s="104">
        <f>AVERAGE( D14512:D14516)</f>
        <v>2.1439999999999997E-2</v>
      </c>
      <c r="F14516" s="4" t="str">
        <f>TEXT( B14516, "ddd" )</f>
        <v>Fri</v>
      </c>
    </row>
    <row r="14517" spans="2:6" ht="13.8">
      <c r="B14517" s="187">
        <v>42982</v>
      </c>
      <c r="C14517" s="189" t="s">
        <v>380</v>
      </c>
      <c r="D14517" s="104">
        <f t="shared" si="232"/>
        <v>2.1600000000000001E-2</v>
      </c>
    </row>
    <row r="14518" spans="2:6" ht="13.8">
      <c r="B14518" s="187">
        <v>42983</v>
      </c>
      <c r="C14518" s="189">
        <v>2.0699999999999998</v>
      </c>
      <c r="D14518" s="104">
        <f t="shared" si="232"/>
        <v>2.07E-2</v>
      </c>
    </row>
    <row r="14519" spans="2:6" ht="13.8">
      <c r="B14519" s="187">
        <v>42984</v>
      </c>
      <c r="C14519" s="189">
        <v>2.1</v>
      </c>
      <c r="D14519" s="104">
        <f t="shared" si="232"/>
        <v>2.1000000000000001E-2</v>
      </c>
    </row>
    <row r="14520" spans="2:6" ht="13.8">
      <c r="B14520" s="187">
        <v>42985</v>
      </c>
      <c r="C14520" s="189">
        <v>2.0499999999999998</v>
      </c>
      <c r="D14520" s="104">
        <f t="shared" si="232"/>
        <v>2.0499999999999997E-2</v>
      </c>
    </row>
    <row r="14521" spans="2:6" ht="13.8">
      <c r="B14521" s="187">
        <v>42986</v>
      </c>
      <c r="C14521" s="189">
        <v>2.06</v>
      </c>
      <c r="D14521" s="104">
        <f t="shared" ref="D14521:D14584" si="233">IF( LEN( C14521 ) = 0, #N/A, IF( C14521 = "ND", D14520, C14521 / 100 ) )</f>
        <v>2.06E-2</v>
      </c>
      <c r="E14521" s="104">
        <f>AVERAGE( D14517:D14521)</f>
        <v>2.0880000000000003E-2</v>
      </c>
      <c r="F14521" s="4" t="str">
        <f>TEXT( B14521, "ddd" )</f>
        <v>Fri</v>
      </c>
    </row>
    <row r="14522" spans="2:6" ht="13.8">
      <c r="B14522" s="187">
        <v>42989</v>
      </c>
      <c r="C14522" s="189">
        <v>2.14</v>
      </c>
      <c r="D14522" s="104">
        <f t="shared" si="233"/>
        <v>2.1400000000000002E-2</v>
      </c>
    </row>
    <row r="14523" spans="2:6" ht="13.8">
      <c r="B14523" s="187">
        <v>42990</v>
      </c>
      <c r="C14523" s="189">
        <v>2.17</v>
      </c>
      <c r="D14523" s="104">
        <f t="shared" si="233"/>
        <v>2.1700000000000001E-2</v>
      </c>
    </row>
    <row r="14524" spans="2:6" ht="13.8">
      <c r="B14524" s="187">
        <v>42991</v>
      </c>
      <c r="C14524" s="189">
        <v>2.2000000000000002</v>
      </c>
      <c r="D14524" s="104">
        <f t="shared" si="233"/>
        <v>2.2000000000000002E-2</v>
      </c>
    </row>
    <row r="14525" spans="2:6" ht="13.8">
      <c r="B14525" s="187">
        <v>42992</v>
      </c>
      <c r="C14525" s="189">
        <v>2.2000000000000002</v>
      </c>
      <c r="D14525" s="104">
        <f t="shared" si="233"/>
        <v>2.2000000000000002E-2</v>
      </c>
    </row>
    <row r="14526" spans="2:6" ht="13.8">
      <c r="B14526" s="187">
        <v>42993</v>
      </c>
      <c r="C14526" s="189">
        <v>2.2000000000000002</v>
      </c>
      <c r="D14526" s="104">
        <f t="shared" si="233"/>
        <v>2.2000000000000002E-2</v>
      </c>
      <c r="E14526" s="104">
        <f>AVERAGE( D14522:D14526)</f>
        <v>2.1820000000000003E-2</v>
      </c>
      <c r="F14526" s="4" t="str">
        <f>TEXT( B14526, "ddd" )</f>
        <v>Fri</v>
      </c>
    </row>
    <row r="14527" spans="2:6" ht="13.8">
      <c r="B14527" s="187">
        <v>42996</v>
      </c>
      <c r="C14527" s="189">
        <v>2.23</v>
      </c>
      <c r="D14527" s="104">
        <f t="shared" si="233"/>
        <v>2.23E-2</v>
      </c>
    </row>
    <row r="14528" spans="2:6" ht="13.8">
      <c r="B14528" s="187">
        <v>42997</v>
      </c>
      <c r="C14528" s="189">
        <v>2.2400000000000002</v>
      </c>
      <c r="D14528" s="104">
        <f t="shared" si="233"/>
        <v>2.2400000000000003E-2</v>
      </c>
    </row>
    <row r="14529" spans="2:6" ht="13.8">
      <c r="B14529" s="187">
        <v>42998</v>
      </c>
      <c r="C14529" s="189">
        <v>2.2799999999999998</v>
      </c>
      <c r="D14529" s="104">
        <f t="shared" si="233"/>
        <v>2.2799999999999997E-2</v>
      </c>
    </row>
    <row r="14530" spans="2:6" ht="13.8">
      <c r="B14530" s="187">
        <v>42999</v>
      </c>
      <c r="C14530" s="189">
        <v>2.27</v>
      </c>
      <c r="D14530" s="104">
        <f t="shared" si="233"/>
        <v>2.2700000000000001E-2</v>
      </c>
    </row>
    <row r="14531" spans="2:6" ht="13.8">
      <c r="B14531" s="187">
        <v>43000</v>
      </c>
      <c r="C14531" s="189">
        <v>2.2599999999999998</v>
      </c>
      <c r="D14531" s="104">
        <f t="shared" si="233"/>
        <v>2.2599999999999999E-2</v>
      </c>
      <c r="E14531" s="104">
        <f>AVERAGE( D14527:D14531)</f>
        <v>2.256E-2</v>
      </c>
      <c r="F14531" s="4" t="str">
        <f>TEXT( B14531, "ddd" )</f>
        <v>Fri</v>
      </c>
    </row>
    <row r="14532" spans="2:6" ht="13.8">
      <c r="B14532" s="187">
        <v>43003</v>
      </c>
      <c r="C14532" s="189">
        <v>2.2200000000000002</v>
      </c>
      <c r="D14532" s="104">
        <f t="shared" si="233"/>
        <v>2.2200000000000001E-2</v>
      </c>
    </row>
    <row r="14533" spans="2:6" ht="13.8">
      <c r="B14533" s="187">
        <v>43004</v>
      </c>
      <c r="C14533" s="189">
        <v>2.2400000000000002</v>
      </c>
      <c r="D14533" s="104">
        <f t="shared" si="233"/>
        <v>2.2400000000000003E-2</v>
      </c>
    </row>
    <row r="14534" spans="2:6" ht="13.8">
      <c r="B14534" s="187">
        <v>43005</v>
      </c>
      <c r="C14534" s="189">
        <v>2.31</v>
      </c>
      <c r="D14534" s="104">
        <f t="shared" si="233"/>
        <v>2.3099999999999999E-2</v>
      </c>
    </row>
    <row r="14535" spans="2:6" ht="13.8">
      <c r="B14535" s="187">
        <v>43006</v>
      </c>
      <c r="C14535" s="189">
        <v>2.31</v>
      </c>
      <c r="D14535" s="104">
        <f t="shared" si="233"/>
        <v>2.3099999999999999E-2</v>
      </c>
    </row>
    <row r="14536" spans="2:6" ht="13.8">
      <c r="B14536" s="187">
        <v>43007</v>
      </c>
      <c r="C14536" s="189">
        <v>2.33</v>
      </c>
      <c r="D14536" s="104">
        <f t="shared" si="233"/>
        <v>2.3300000000000001E-2</v>
      </c>
      <c r="E14536" s="104">
        <f>AVERAGE( D14532:D14536)</f>
        <v>2.282E-2</v>
      </c>
      <c r="F14536" s="4" t="str">
        <f>TEXT( B14536, "ddd" )</f>
        <v>Fri</v>
      </c>
    </row>
    <row r="14537" spans="2:6" ht="13.8">
      <c r="B14537" s="187">
        <v>43010</v>
      </c>
      <c r="C14537" s="189">
        <v>2.34</v>
      </c>
      <c r="D14537" s="104">
        <f t="shared" si="233"/>
        <v>2.3399999999999997E-2</v>
      </c>
    </row>
    <row r="14538" spans="2:6" ht="13.8">
      <c r="B14538" s="187">
        <v>43011</v>
      </c>
      <c r="C14538" s="189">
        <v>2.33</v>
      </c>
      <c r="D14538" s="104">
        <f t="shared" si="233"/>
        <v>2.3300000000000001E-2</v>
      </c>
    </row>
    <row r="14539" spans="2:6" ht="13.8">
      <c r="B14539" s="187">
        <v>43012</v>
      </c>
      <c r="C14539" s="189">
        <v>2.33</v>
      </c>
      <c r="D14539" s="104">
        <f t="shared" si="233"/>
        <v>2.3300000000000001E-2</v>
      </c>
    </row>
    <row r="14540" spans="2:6" ht="13.8">
      <c r="B14540" s="187">
        <v>43013</v>
      </c>
      <c r="C14540" s="189">
        <v>2.35</v>
      </c>
      <c r="D14540" s="104">
        <f t="shared" si="233"/>
        <v>2.35E-2</v>
      </c>
    </row>
    <row r="14541" spans="2:6" ht="13.8">
      <c r="B14541" s="187">
        <v>43014</v>
      </c>
      <c r="C14541" s="189">
        <v>2.37</v>
      </c>
      <c r="D14541" s="104">
        <f t="shared" si="233"/>
        <v>2.3700000000000002E-2</v>
      </c>
      <c r="E14541" s="104">
        <f>AVERAGE( D14537:D14541)</f>
        <v>2.3439999999999999E-2</v>
      </c>
      <c r="F14541" s="4" t="str">
        <f>TEXT( B14541, "ddd" )</f>
        <v>Fri</v>
      </c>
    </row>
    <row r="14542" spans="2:6" ht="13.8">
      <c r="B14542" s="187">
        <v>43017</v>
      </c>
      <c r="C14542" s="189" t="s">
        <v>380</v>
      </c>
      <c r="D14542" s="104">
        <f t="shared" si="233"/>
        <v>2.3700000000000002E-2</v>
      </c>
    </row>
    <row r="14543" spans="2:6" ht="13.8">
      <c r="B14543" s="187">
        <v>43018</v>
      </c>
      <c r="C14543" s="189">
        <v>2.35</v>
      </c>
      <c r="D14543" s="104">
        <f t="shared" si="233"/>
        <v>2.35E-2</v>
      </c>
    </row>
    <row r="14544" spans="2:6" ht="13.8">
      <c r="B14544" s="187">
        <v>43019</v>
      </c>
      <c r="C14544" s="189">
        <v>2.35</v>
      </c>
      <c r="D14544" s="104">
        <f t="shared" si="233"/>
        <v>2.35E-2</v>
      </c>
    </row>
    <row r="14545" spans="2:6" ht="13.8">
      <c r="B14545" s="187">
        <v>43020</v>
      </c>
      <c r="C14545" s="189">
        <v>2.33</v>
      </c>
      <c r="D14545" s="104">
        <f t="shared" si="233"/>
        <v>2.3300000000000001E-2</v>
      </c>
    </row>
    <row r="14546" spans="2:6" ht="13.8">
      <c r="B14546" s="187">
        <v>43021</v>
      </c>
      <c r="C14546" s="189">
        <v>2.2799999999999998</v>
      </c>
      <c r="D14546" s="104">
        <f t="shared" si="233"/>
        <v>2.2799999999999997E-2</v>
      </c>
      <c r="E14546" s="104">
        <f>AVERAGE( D14542:D14546)</f>
        <v>2.3360000000000002E-2</v>
      </c>
      <c r="F14546" s="4" t="str">
        <f>TEXT( B14546, "ddd" )</f>
        <v>Fri</v>
      </c>
    </row>
    <row r="14547" spans="2:6" ht="13.8">
      <c r="B14547" s="187">
        <v>43024</v>
      </c>
      <c r="C14547" s="189">
        <v>2.2999999999999998</v>
      </c>
      <c r="D14547" s="104">
        <f t="shared" si="233"/>
        <v>2.3E-2</v>
      </c>
    </row>
    <row r="14548" spans="2:6" ht="13.8">
      <c r="B14548" s="187">
        <v>43025</v>
      </c>
      <c r="C14548" s="189">
        <v>2.2999999999999998</v>
      </c>
      <c r="D14548" s="104">
        <f t="shared" si="233"/>
        <v>2.3E-2</v>
      </c>
    </row>
    <row r="14549" spans="2:6" ht="13.8">
      <c r="B14549" s="187">
        <v>43026</v>
      </c>
      <c r="C14549" s="189">
        <v>2.34</v>
      </c>
      <c r="D14549" s="104">
        <f t="shared" si="233"/>
        <v>2.3399999999999997E-2</v>
      </c>
    </row>
    <row r="14550" spans="2:6" ht="13.8">
      <c r="B14550" s="187">
        <v>43027</v>
      </c>
      <c r="C14550" s="189">
        <v>2.33</v>
      </c>
      <c r="D14550" s="104">
        <f t="shared" si="233"/>
        <v>2.3300000000000001E-2</v>
      </c>
    </row>
    <row r="14551" spans="2:6" ht="13.8">
      <c r="B14551" s="187">
        <v>43028</v>
      </c>
      <c r="C14551" s="189">
        <v>2.39</v>
      </c>
      <c r="D14551" s="104">
        <f t="shared" si="233"/>
        <v>2.3900000000000001E-2</v>
      </c>
      <c r="E14551" s="104">
        <f>AVERAGE( D14547:D14551)</f>
        <v>2.332E-2</v>
      </c>
      <c r="F14551" s="4" t="str">
        <f>TEXT( B14551, "ddd" )</f>
        <v>Fri</v>
      </c>
    </row>
    <row r="14552" spans="2:6" ht="13.8">
      <c r="B14552" s="187">
        <v>43031</v>
      </c>
      <c r="C14552" s="189">
        <v>2.38</v>
      </c>
      <c r="D14552" s="104">
        <f t="shared" si="233"/>
        <v>2.3799999999999998E-2</v>
      </c>
    </row>
    <row r="14553" spans="2:6" ht="13.8">
      <c r="B14553" s="187">
        <v>43032</v>
      </c>
      <c r="C14553" s="189">
        <v>2.42</v>
      </c>
      <c r="D14553" s="104">
        <f t="shared" si="233"/>
        <v>2.4199999999999999E-2</v>
      </c>
    </row>
    <row r="14554" spans="2:6" ht="13.8">
      <c r="B14554" s="187">
        <v>43033</v>
      </c>
      <c r="C14554" s="189">
        <v>2.44</v>
      </c>
      <c r="D14554" s="104">
        <f t="shared" si="233"/>
        <v>2.4399999999999998E-2</v>
      </c>
    </row>
    <row r="14555" spans="2:6" ht="13.8">
      <c r="B14555" s="187">
        <v>43034</v>
      </c>
      <c r="C14555" s="189">
        <v>2.46</v>
      </c>
      <c r="D14555" s="104">
        <f t="shared" si="233"/>
        <v>2.46E-2</v>
      </c>
    </row>
    <row r="14556" spans="2:6" ht="13.8">
      <c r="B14556" s="187">
        <v>43035</v>
      </c>
      <c r="C14556" s="189">
        <v>2.42</v>
      </c>
      <c r="D14556" s="104">
        <f t="shared" si="233"/>
        <v>2.4199999999999999E-2</v>
      </c>
      <c r="E14556" s="104">
        <f>AVERAGE( D14552:D14556)</f>
        <v>2.4239999999999998E-2</v>
      </c>
      <c r="F14556" s="4" t="str">
        <f>TEXT( B14556, "ddd" )</f>
        <v>Fri</v>
      </c>
    </row>
    <row r="14557" spans="2:6" ht="13.8">
      <c r="B14557" s="187">
        <v>43038</v>
      </c>
      <c r="C14557" s="189">
        <v>2.37</v>
      </c>
      <c r="D14557" s="104">
        <f t="shared" si="233"/>
        <v>2.3700000000000002E-2</v>
      </c>
    </row>
    <row r="14558" spans="2:6" ht="13.8">
      <c r="B14558" s="187">
        <v>43039</v>
      </c>
      <c r="C14558" s="189">
        <v>2.38</v>
      </c>
      <c r="D14558" s="104">
        <f t="shared" si="233"/>
        <v>2.3799999999999998E-2</v>
      </c>
    </row>
    <row r="14559" spans="2:6" ht="13.8">
      <c r="B14559" s="187">
        <v>43040</v>
      </c>
      <c r="C14559" s="189">
        <v>2.37</v>
      </c>
      <c r="D14559" s="104">
        <f t="shared" si="233"/>
        <v>2.3700000000000002E-2</v>
      </c>
    </row>
    <row r="14560" spans="2:6" ht="13.8">
      <c r="B14560" s="187">
        <v>43041</v>
      </c>
      <c r="C14560" s="189">
        <v>2.35</v>
      </c>
      <c r="D14560" s="104">
        <f t="shared" si="233"/>
        <v>2.35E-2</v>
      </c>
    </row>
    <row r="14561" spans="2:6" ht="13.8">
      <c r="B14561" s="187">
        <v>43042</v>
      </c>
      <c r="C14561" s="189">
        <v>2.34</v>
      </c>
      <c r="D14561" s="104">
        <f t="shared" si="233"/>
        <v>2.3399999999999997E-2</v>
      </c>
      <c r="E14561" s="104">
        <f>AVERAGE( D14557:D14561)</f>
        <v>2.3620000000000002E-2</v>
      </c>
      <c r="F14561" s="4" t="str">
        <f>TEXT( B14561, "ddd" )</f>
        <v>Fri</v>
      </c>
    </row>
    <row r="14562" spans="2:6" ht="13.8">
      <c r="B14562" s="187">
        <v>43045</v>
      </c>
      <c r="C14562" s="189">
        <v>2.3199999999999998</v>
      </c>
      <c r="D14562" s="104">
        <f t="shared" si="233"/>
        <v>2.3199999999999998E-2</v>
      </c>
    </row>
    <row r="14563" spans="2:6" ht="13.8">
      <c r="B14563" s="187">
        <v>43046</v>
      </c>
      <c r="C14563" s="189">
        <v>2.3199999999999998</v>
      </c>
      <c r="D14563" s="104">
        <f t="shared" si="233"/>
        <v>2.3199999999999998E-2</v>
      </c>
    </row>
    <row r="14564" spans="2:6" ht="13.8">
      <c r="B14564" s="187">
        <v>43047</v>
      </c>
      <c r="C14564" s="189">
        <v>2.3199999999999998</v>
      </c>
      <c r="D14564" s="104">
        <f t="shared" si="233"/>
        <v>2.3199999999999998E-2</v>
      </c>
    </row>
    <row r="14565" spans="2:6" ht="13.8">
      <c r="B14565" s="187">
        <v>43048</v>
      </c>
      <c r="C14565" s="189">
        <v>2.33</v>
      </c>
      <c r="D14565" s="104">
        <f t="shared" si="233"/>
        <v>2.3300000000000001E-2</v>
      </c>
    </row>
    <row r="14566" spans="2:6" ht="13.8">
      <c r="B14566" s="187">
        <v>43049</v>
      </c>
      <c r="C14566" s="189">
        <v>2.4</v>
      </c>
      <c r="D14566" s="104">
        <f t="shared" si="233"/>
        <v>2.4E-2</v>
      </c>
      <c r="E14566" s="104">
        <f>AVERAGE( D14562:D14566)</f>
        <v>2.3380000000000001E-2</v>
      </c>
      <c r="F14566" s="4" t="str">
        <f>TEXT( B14566, "ddd" )</f>
        <v>Fri</v>
      </c>
    </row>
    <row r="14567" spans="2:6" ht="13.8">
      <c r="B14567" s="187">
        <v>43052</v>
      </c>
      <c r="C14567" s="189">
        <v>2.4</v>
      </c>
      <c r="D14567" s="104">
        <f t="shared" si="233"/>
        <v>2.4E-2</v>
      </c>
    </row>
    <row r="14568" spans="2:6" ht="13.8">
      <c r="B14568" s="187">
        <v>43053</v>
      </c>
      <c r="C14568" s="189">
        <v>2.38</v>
      </c>
      <c r="D14568" s="104">
        <f t="shared" si="233"/>
        <v>2.3799999999999998E-2</v>
      </c>
    </row>
    <row r="14569" spans="2:6" ht="13.8">
      <c r="B14569" s="187">
        <v>43054</v>
      </c>
      <c r="C14569" s="189">
        <v>2.33</v>
      </c>
      <c r="D14569" s="104">
        <f t="shared" si="233"/>
        <v>2.3300000000000001E-2</v>
      </c>
    </row>
    <row r="14570" spans="2:6" ht="13.8">
      <c r="B14570" s="187">
        <v>43055</v>
      </c>
      <c r="C14570" s="189">
        <v>2.37</v>
      </c>
      <c r="D14570" s="104">
        <f t="shared" si="233"/>
        <v>2.3700000000000002E-2</v>
      </c>
    </row>
    <row r="14571" spans="2:6" ht="13.8">
      <c r="B14571" s="187">
        <v>43056</v>
      </c>
      <c r="C14571" s="189">
        <v>2.35</v>
      </c>
      <c r="D14571" s="104">
        <f t="shared" si="233"/>
        <v>2.35E-2</v>
      </c>
      <c r="E14571" s="104">
        <f>AVERAGE( D14567:D14571)</f>
        <v>2.3659999999999997E-2</v>
      </c>
      <c r="F14571" s="4" t="str">
        <f>TEXT( B14571, "ddd" )</f>
        <v>Fri</v>
      </c>
    </row>
    <row r="14572" spans="2:6" ht="13.8">
      <c r="B14572" s="187">
        <v>43059</v>
      </c>
      <c r="C14572" s="189">
        <v>2.37</v>
      </c>
      <c r="D14572" s="104">
        <f>IF( LEN( C14572 ) = 0, #N/A, IF( C14572 = "ND", D14571, C14572 / 100 ) )</f>
        <v>2.3700000000000002E-2</v>
      </c>
    </row>
    <row r="14573" spans="2:6" ht="13.8">
      <c r="B14573" s="187">
        <v>43060</v>
      </c>
      <c r="C14573" s="189">
        <v>2.36</v>
      </c>
      <c r="D14573" s="104">
        <f t="shared" si="233"/>
        <v>2.3599999999999999E-2</v>
      </c>
    </row>
    <row r="14574" spans="2:6" ht="13.8">
      <c r="B14574" s="187">
        <v>43061</v>
      </c>
      <c r="C14574" s="189">
        <v>2.3199999999999998</v>
      </c>
      <c r="D14574" s="104">
        <f t="shared" si="233"/>
        <v>2.3199999999999998E-2</v>
      </c>
    </row>
    <row r="14575" spans="2:6" ht="13.8">
      <c r="B14575" s="187">
        <v>43062</v>
      </c>
      <c r="C14575" s="189" t="s">
        <v>380</v>
      </c>
      <c r="D14575" s="104">
        <f t="shared" si="233"/>
        <v>2.3199999999999998E-2</v>
      </c>
    </row>
    <row r="14576" spans="2:6" ht="13.8">
      <c r="B14576" s="187">
        <v>43063</v>
      </c>
      <c r="C14576" s="189">
        <v>2.34</v>
      </c>
      <c r="D14576" s="104">
        <f t="shared" si="233"/>
        <v>2.3399999999999997E-2</v>
      </c>
      <c r="E14576" s="104">
        <f>AVERAGE( D14572:D14576)</f>
        <v>2.3420000000000003E-2</v>
      </c>
      <c r="F14576" s="4" t="str">
        <f>TEXT( B14576, "ddd" )</f>
        <v>Fri</v>
      </c>
    </row>
    <row r="14577" spans="2:6" ht="13.8">
      <c r="B14577" s="187">
        <v>43066</v>
      </c>
      <c r="C14577" s="189">
        <v>2.3199999999999998</v>
      </c>
      <c r="D14577" s="104">
        <f t="shared" si="233"/>
        <v>2.3199999999999998E-2</v>
      </c>
    </row>
    <row r="14578" spans="2:6" ht="13.8">
      <c r="B14578" s="187">
        <v>43067</v>
      </c>
      <c r="C14578" s="189">
        <v>2.34</v>
      </c>
      <c r="D14578" s="104">
        <f t="shared" si="233"/>
        <v>2.3399999999999997E-2</v>
      </c>
    </row>
    <row r="14579" spans="2:6" ht="13.8">
      <c r="B14579" s="187">
        <v>43068</v>
      </c>
      <c r="C14579" s="189">
        <v>2.37</v>
      </c>
      <c r="D14579" s="104">
        <f t="shared" si="233"/>
        <v>2.3700000000000002E-2</v>
      </c>
    </row>
    <row r="14580" spans="2:6" ht="13.8">
      <c r="B14580" s="187">
        <v>43069</v>
      </c>
      <c r="C14580" s="189">
        <v>2.42</v>
      </c>
      <c r="D14580" s="104">
        <f t="shared" si="233"/>
        <v>2.4199999999999999E-2</v>
      </c>
    </row>
    <row r="14581" spans="2:6" ht="13.8">
      <c r="B14581" s="187">
        <v>43070</v>
      </c>
      <c r="C14581" s="189">
        <v>2.37</v>
      </c>
      <c r="D14581" s="104">
        <f t="shared" si="233"/>
        <v>2.3700000000000002E-2</v>
      </c>
      <c r="E14581" s="104">
        <f>AVERAGE( D14577:D14581)</f>
        <v>2.3640000000000001E-2</v>
      </c>
      <c r="F14581" s="4" t="str">
        <f>TEXT( B14581, "ddd" )</f>
        <v>Fri</v>
      </c>
    </row>
    <row r="14582" spans="2:6" ht="13.8">
      <c r="B14582" s="187">
        <v>43073</v>
      </c>
      <c r="C14582" s="189">
        <v>2.37</v>
      </c>
      <c r="D14582" s="104">
        <f t="shared" si="233"/>
        <v>2.3700000000000002E-2</v>
      </c>
    </row>
    <row r="14583" spans="2:6" ht="13.8">
      <c r="B14583" s="187">
        <v>43074</v>
      </c>
      <c r="C14583" s="189">
        <v>2.36</v>
      </c>
      <c r="D14583" s="104">
        <f t="shared" si="233"/>
        <v>2.3599999999999999E-2</v>
      </c>
    </row>
    <row r="14584" spans="2:6" ht="13.8">
      <c r="B14584" s="187">
        <v>43075</v>
      </c>
      <c r="C14584" s="189">
        <v>2.33</v>
      </c>
      <c r="D14584" s="104">
        <f t="shared" si="233"/>
        <v>2.3300000000000001E-2</v>
      </c>
    </row>
    <row r="14585" spans="2:6" ht="13.8">
      <c r="B14585" s="187">
        <v>43076</v>
      </c>
      <c r="C14585" s="189">
        <v>2.37</v>
      </c>
      <c r="D14585" s="104">
        <f t="shared" ref="D14585:D14596" si="234">IF( LEN( C14585 ) = 0, #N/A, IF( C14585 = "ND", D14584, C14585 / 100 ) )</f>
        <v>2.3700000000000002E-2</v>
      </c>
    </row>
    <row r="14586" spans="2:6" ht="13.8">
      <c r="B14586" s="187">
        <v>43077</v>
      </c>
      <c r="C14586" s="189">
        <v>2.38</v>
      </c>
      <c r="D14586" s="104">
        <f t="shared" si="234"/>
        <v>2.3799999999999998E-2</v>
      </c>
      <c r="E14586" s="104">
        <f>AVERAGE( D14582:D14586)</f>
        <v>2.3619999999999999E-2</v>
      </c>
      <c r="F14586" s="4" t="str">
        <f>TEXT( B14586, "ddd" )</f>
        <v>Fri</v>
      </c>
    </row>
    <row r="14587" spans="2:6" ht="13.8">
      <c r="B14587" s="187">
        <v>43080</v>
      </c>
      <c r="C14587" s="189">
        <v>2.39</v>
      </c>
      <c r="D14587" s="104">
        <f t="shared" si="234"/>
        <v>2.3900000000000001E-2</v>
      </c>
    </row>
    <row r="14588" spans="2:6" ht="13.8">
      <c r="B14588" s="187">
        <v>43081</v>
      </c>
      <c r="C14588" s="189">
        <v>2.4</v>
      </c>
      <c r="D14588" s="104">
        <f t="shared" si="234"/>
        <v>2.4E-2</v>
      </c>
    </row>
    <row r="14589" spans="2:6" ht="13.8">
      <c r="B14589" s="187">
        <v>43082</v>
      </c>
      <c r="C14589" s="189">
        <v>2.36</v>
      </c>
      <c r="D14589" s="104">
        <f t="shared" si="234"/>
        <v>2.3599999999999999E-2</v>
      </c>
    </row>
    <row r="14590" spans="2:6" ht="13.8">
      <c r="B14590" s="187">
        <v>43083</v>
      </c>
      <c r="C14590" s="189">
        <v>2.35</v>
      </c>
      <c r="D14590" s="104">
        <f t="shared" si="234"/>
        <v>2.35E-2</v>
      </c>
    </row>
    <row r="14591" spans="2:6" ht="13.8">
      <c r="B14591" s="187">
        <v>43084</v>
      </c>
      <c r="C14591" s="189">
        <v>2.35</v>
      </c>
      <c r="D14591" s="104">
        <f t="shared" si="234"/>
        <v>2.35E-2</v>
      </c>
      <c r="E14591" s="104">
        <f>AVERAGE( D14587:D14591)</f>
        <v>2.3699999999999999E-2</v>
      </c>
      <c r="F14591" s="4" t="str">
        <f>TEXT( B14591, "ddd" )</f>
        <v>Fri</v>
      </c>
    </row>
    <row r="14592" spans="2:6" ht="13.8">
      <c r="B14592" s="187">
        <v>43087</v>
      </c>
      <c r="C14592" s="189">
        <v>2.39</v>
      </c>
      <c r="D14592" s="104">
        <f t="shared" si="234"/>
        <v>2.3900000000000001E-2</v>
      </c>
    </row>
    <row r="14593" spans="2:6" ht="13.8">
      <c r="B14593" s="187">
        <v>43088</v>
      </c>
      <c r="C14593" s="189">
        <v>2.46</v>
      </c>
      <c r="D14593" s="104">
        <f t="shared" si="234"/>
        <v>2.46E-2</v>
      </c>
    </row>
    <row r="14594" spans="2:6" ht="13.8">
      <c r="B14594" s="187">
        <v>43089</v>
      </c>
      <c r="C14594" s="189">
        <v>2.4900000000000002</v>
      </c>
      <c r="D14594" s="104">
        <f t="shared" si="234"/>
        <v>2.4900000000000002E-2</v>
      </c>
    </row>
    <row r="14595" spans="2:6" ht="13.8">
      <c r="B14595" s="187">
        <v>43090</v>
      </c>
      <c r="C14595" s="189">
        <v>2.48</v>
      </c>
      <c r="D14595" s="104">
        <f t="shared" si="234"/>
        <v>2.4799999999999999E-2</v>
      </c>
    </row>
    <row r="14596" spans="2:6" ht="13.8">
      <c r="B14596" s="187">
        <v>43091</v>
      </c>
      <c r="C14596" s="189">
        <v>2.48</v>
      </c>
      <c r="D14596" s="104">
        <f t="shared" si="234"/>
        <v>2.4799999999999999E-2</v>
      </c>
      <c r="E14596" s="104">
        <f>AVERAGE( D14592:D14596)</f>
        <v>2.4600000000000004E-2</v>
      </c>
      <c r="F14596" s="4" t="str">
        <f>TEXT( B14596, "ddd" )</f>
        <v>Fri</v>
      </c>
    </row>
    <row r="14597" spans="2:6" ht="13.8">
      <c r="B14597" s="187">
        <v>43094</v>
      </c>
      <c r="C14597" s="189" t="s">
        <v>380</v>
      </c>
      <c r="D14597" s="104">
        <f>IF( LEN( C14597 ) = 0, #N/A, IF( C14597 = "ND", D14596, C14597 / 100 ) )</f>
        <v>2.4799999999999999E-2</v>
      </c>
    </row>
    <row r="14598" spans="2:6" ht="13.8">
      <c r="B14598" s="187">
        <v>43095</v>
      </c>
      <c r="C14598" s="189">
        <v>2.4700000000000002</v>
      </c>
      <c r="D14598" s="104">
        <f t="shared" ref="D14598:D14616" si="235">IF( LEN( C14598 ) = 0, #N/A, IF( C14598 = "ND", D14597, C14598 / 100 ) )</f>
        <v>2.4700000000000003E-2</v>
      </c>
    </row>
    <row r="14599" spans="2:6" ht="13.8">
      <c r="B14599" s="187">
        <v>43096</v>
      </c>
      <c r="C14599" s="189">
        <v>2.42</v>
      </c>
      <c r="D14599" s="104">
        <f t="shared" si="235"/>
        <v>2.4199999999999999E-2</v>
      </c>
    </row>
    <row r="14600" spans="2:6" ht="13.8">
      <c r="B14600" s="187">
        <v>43097</v>
      </c>
      <c r="C14600" s="189">
        <v>2.4300000000000002</v>
      </c>
      <c r="D14600" s="104">
        <f t="shared" si="235"/>
        <v>2.4300000000000002E-2</v>
      </c>
    </row>
    <row r="14601" spans="2:6" ht="13.8">
      <c r="B14601" s="187">
        <v>43098</v>
      </c>
      <c r="C14601" s="189">
        <v>2.4</v>
      </c>
      <c r="D14601" s="104">
        <f t="shared" si="235"/>
        <v>2.4E-2</v>
      </c>
      <c r="E14601" s="104">
        <f>AVERAGE( D14597:D14601)</f>
        <v>2.4399999999999998E-2</v>
      </c>
      <c r="F14601" s="4" t="str">
        <f>TEXT( B14601, "ddd" )</f>
        <v>Fri</v>
      </c>
    </row>
    <row r="14602" spans="2:6" ht="13.8">
      <c r="B14602" s="187">
        <v>43101</v>
      </c>
      <c r="C14602" s="189" t="s">
        <v>380</v>
      </c>
      <c r="D14602" s="104">
        <f t="shared" si="235"/>
        <v>2.4E-2</v>
      </c>
    </row>
    <row r="14603" spans="2:6" ht="13.8">
      <c r="B14603" s="187">
        <v>43102</v>
      </c>
      <c r="C14603" s="189">
        <v>2.46</v>
      </c>
      <c r="D14603" s="104">
        <f t="shared" si="235"/>
        <v>2.46E-2</v>
      </c>
    </row>
    <row r="14604" spans="2:6" ht="13.8">
      <c r="B14604" s="187">
        <v>43103</v>
      </c>
      <c r="C14604" s="189">
        <v>2.44</v>
      </c>
      <c r="D14604" s="104">
        <f t="shared" si="235"/>
        <v>2.4399999999999998E-2</v>
      </c>
    </row>
    <row r="14605" spans="2:6" ht="13.8">
      <c r="B14605" s="187">
        <v>43104</v>
      </c>
      <c r="C14605" s="189">
        <v>2.46</v>
      </c>
      <c r="D14605" s="104">
        <f t="shared" si="235"/>
        <v>2.46E-2</v>
      </c>
    </row>
    <row r="14606" spans="2:6" ht="13.8">
      <c r="B14606" s="187">
        <v>43105</v>
      </c>
      <c r="C14606" s="189">
        <v>2.4700000000000002</v>
      </c>
      <c r="D14606" s="104">
        <f t="shared" si="235"/>
        <v>2.4700000000000003E-2</v>
      </c>
      <c r="E14606" s="104">
        <f>AVERAGE( D14602:D14606)</f>
        <v>2.4460000000000003E-2</v>
      </c>
      <c r="F14606" s="4" t="str">
        <f>TEXT( B14606, "ddd" )</f>
        <v>Fri</v>
      </c>
    </row>
    <row r="14607" spans="2:6" ht="13.8">
      <c r="B14607" s="187">
        <v>43108</v>
      </c>
      <c r="C14607" s="189">
        <v>2.4900000000000002</v>
      </c>
      <c r="D14607" s="104">
        <f t="shared" si="235"/>
        <v>2.4900000000000002E-2</v>
      </c>
    </row>
    <row r="14608" spans="2:6" ht="13.8">
      <c r="B14608" s="187">
        <v>43109</v>
      </c>
      <c r="C14608" s="189">
        <v>2.5499999999999998</v>
      </c>
      <c r="D14608" s="104">
        <f t="shared" si="235"/>
        <v>2.5499999999999998E-2</v>
      </c>
    </row>
    <row r="14609" spans="2:6" ht="13.8">
      <c r="B14609" s="187">
        <v>43110</v>
      </c>
      <c r="C14609" s="189">
        <v>2.5499999999999998</v>
      </c>
      <c r="D14609" s="104">
        <f t="shared" si="235"/>
        <v>2.5499999999999998E-2</v>
      </c>
    </row>
    <row r="14610" spans="2:6" ht="13.8">
      <c r="B14610" s="187">
        <v>43111</v>
      </c>
      <c r="C14610" s="189">
        <v>2.54</v>
      </c>
      <c r="D14610" s="104">
        <f t="shared" si="235"/>
        <v>2.5399999999999999E-2</v>
      </c>
    </row>
    <row r="14611" spans="2:6" ht="13.8">
      <c r="B14611" s="187">
        <v>43112</v>
      </c>
      <c r="C14611" s="189">
        <v>2.5499999999999998</v>
      </c>
      <c r="D14611" s="104">
        <f t="shared" si="235"/>
        <v>2.5499999999999998E-2</v>
      </c>
      <c r="E14611" s="104">
        <f>AVERAGE( D14607:D14611)</f>
        <v>2.5360000000000001E-2</v>
      </c>
      <c r="F14611" s="4" t="str">
        <f>TEXT( B14611, "ddd" )</f>
        <v>Fri</v>
      </c>
    </row>
    <row r="14612" spans="2:6" ht="13.8">
      <c r="B14612" s="187">
        <v>43115</v>
      </c>
      <c r="C14612" s="189" t="s">
        <v>380</v>
      </c>
      <c r="D14612" s="104">
        <f t="shared" si="235"/>
        <v>2.5499999999999998E-2</v>
      </c>
    </row>
    <row r="14613" spans="2:6" ht="13.8">
      <c r="B14613" s="187">
        <v>43116</v>
      </c>
      <c r="C14613" s="189">
        <v>2.54</v>
      </c>
      <c r="D14613" s="104">
        <f t="shared" si="235"/>
        <v>2.5399999999999999E-2</v>
      </c>
    </row>
    <row r="14614" spans="2:6" ht="13.8">
      <c r="B14614" s="187">
        <v>43117</v>
      </c>
      <c r="C14614" s="189">
        <v>2.57</v>
      </c>
      <c r="D14614" s="104">
        <f t="shared" si="235"/>
        <v>2.5699999999999997E-2</v>
      </c>
    </row>
    <row r="14615" spans="2:6" ht="13.8">
      <c r="B14615" s="187">
        <v>43118</v>
      </c>
      <c r="C14615" s="189">
        <v>2.62</v>
      </c>
      <c r="D14615" s="104">
        <f t="shared" si="235"/>
        <v>2.6200000000000001E-2</v>
      </c>
    </row>
    <row r="14616" spans="2:6" ht="13.8">
      <c r="B14616" s="187">
        <v>43119</v>
      </c>
      <c r="C14616" s="189">
        <v>2.64</v>
      </c>
      <c r="D14616" s="104">
        <f t="shared" si="235"/>
        <v>2.64E-2</v>
      </c>
      <c r="E14616" s="104">
        <f>AVERAGE( D14612:D14616)</f>
        <v>2.5840000000000002E-2</v>
      </c>
      <c r="F14616" s="4" t="str">
        <f>TEXT( B14616, "ddd" )</f>
        <v>Fri</v>
      </c>
    </row>
    <row r="14617" spans="2:6" ht="13.8">
      <c r="B14617" s="187">
        <v>43122</v>
      </c>
      <c r="C14617" s="189">
        <v>2.66</v>
      </c>
      <c r="D14617" s="104">
        <f t="shared" ref="D14617:D14661" si="236">IF( LEN( C14617 ) = 0, #N/A, IF( C14617 = "ND", D14616, C14617 / 100 ) )</f>
        <v>2.6600000000000002E-2</v>
      </c>
    </row>
    <row r="14618" spans="2:6" ht="13.8">
      <c r="B14618" s="187">
        <v>43123</v>
      </c>
      <c r="C14618" s="189">
        <v>2.63</v>
      </c>
      <c r="D14618" s="104">
        <f t="shared" si="236"/>
        <v>2.63E-2</v>
      </c>
    </row>
    <row r="14619" spans="2:6" ht="13.8">
      <c r="B14619" s="187">
        <v>43124</v>
      </c>
      <c r="C14619" s="189">
        <v>2.65</v>
      </c>
      <c r="D14619" s="104">
        <f t="shared" si="236"/>
        <v>2.6499999999999999E-2</v>
      </c>
    </row>
    <row r="14620" spans="2:6" ht="13.8">
      <c r="B14620" s="187">
        <v>43125</v>
      </c>
      <c r="C14620" s="189">
        <v>2.63</v>
      </c>
      <c r="D14620" s="104">
        <f t="shared" si="236"/>
        <v>2.63E-2</v>
      </c>
    </row>
    <row r="14621" spans="2:6" ht="13.8">
      <c r="B14621" s="187">
        <v>43126</v>
      </c>
      <c r="C14621" s="189">
        <v>2.66</v>
      </c>
      <c r="D14621" s="104">
        <f t="shared" si="236"/>
        <v>2.6600000000000002E-2</v>
      </c>
      <c r="E14621" s="104">
        <f>AVERAGE( D14617:D14621)</f>
        <v>2.6460000000000001E-2</v>
      </c>
      <c r="F14621" s="4" t="str">
        <f>TEXT( B14621, "ddd" )</f>
        <v>Fri</v>
      </c>
    </row>
    <row r="14622" spans="2:6" ht="13.8">
      <c r="B14622" s="187">
        <v>43129</v>
      </c>
      <c r="C14622" s="189">
        <v>2.7</v>
      </c>
      <c r="D14622" s="104">
        <f t="shared" si="236"/>
        <v>2.7000000000000003E-2</v>
      </c>
    </row>
    <row r="14623" spans="2:6" ht="13.8">
      <c r="B14623" s="187">
        <v>43130</v>
      </c>
      <c r="C14623" s="189">
        <v>2.73</v>
      </c>
      <c r="D14623" s="104">
        <f t="shared" si="236"/>
        <v>2.7300000000000001E-2</v>
      </c>
    </row>
    <row r="14624" spans="2:6" ht="13.8">
      <c r="B14624" s="187">
        <v>43131</v>
      </c>
      <c r="C14624" s="189">
        <v>2.72</v>
      </c>
      <c r="D14624" s="104">
        <f t="shared" si="236"/>
        <v>2.7200000000000002E-2</v>
      </c>
    </row>
    <row r="14625" spans="2:6" ht="13.8">
      <c r="B14625" s="187">
        <v>43132</v>
      </c>
      <c r="C14625" s="189">
        <v>2.78</v>
      </c>
      <c r="D14625" s="104">
        <f t="shared" si="236"/>
        <v>2.7799999999999998E-2</v>
      </c>
    </row>
    <row r="14626" spans="2:6" ht="13.8">
      <c r="B14626" s="187">
        <v>43133</v>
      </c>
      <c r="C14626" s="189">
        <v>2.84</v>
      </c>
      <c r="D14626" s="104">
        <f t="shared" si="236"/>
        <v>2.8399999999999998E-2</v>
      </c>
      <c r="E14626" s="104">
        <f>AVERAGE( D14622:D14626)</f>
        <v>2.7540000000000002E-2</v>
      </c>
      <c r="F14626" s="4" t="str">
        <f>TEXT( B14626, "ddd" )</f>
        <v>Fri</v>
      </c>
    </row>
    <row r="14627" spans="2:6" ht="13.8">
      <c r="B14627" s="187">
        <v>43136</v>
      </c>
      <c r="C14627" s="189">
        <v>2.77</v>
      </c>
      <c r="D14627" s="104">
        <f t="shared" si="236"/>
        <v>2.7699999999999999E-2</v>
      </c>
    </row>
    <row r="14628" spans="2:6" ht="13.8">
      <c r="B14628" s="187">
        <v>43137</v>
      </c>
      <c r="C14628" s="189">
        <v>2.79</v>
      </c>
      <c r="D14628" s="104">
        <f t="shared" si="236"/>
        <v>2.7900000000000001E-2</v>
      </c>
    </row>
    <row r="14629" spans="2:6" ht="13.8">
      <c r="B14629" s="187">
        <v>43138</v>
      </c>
      <c r="C14629" s="189">
        <v>2.84</v>
      </c>
      <c r="D14629" s="104">
        <f t="shared" si="236"/>
        <v>2.8399999999999998E-2</v>
      </c>
    </row>
    <row r="14630" spans="2:6" ht="13.8">
      <c r="B14630" s="187">
        <v>43139</v>
      </c>
      <c r="C14630" s="189">
        <v>2.85</v>
      </c>
      <c r="D14630" s="104">
        <f t="shared" si="236"/>
        <v>2.8500000000000001E-2</v>
      </c>
    </row>
    <row r="14631" spans="2:6" ht="13.8">
      <c r="B14631" s="187">
        <v>43140</v>
      </c>
      <c r="C14631" s="189">
        <v>2.83</v>
      </c>
      <c r="D14631" s="104">
        <f t="shared" si="236"/>
        <v>2.8300000000000002E-2</v>
      </c>
      <c r="E14631" s="104">
        <f>AVERAGE( D14627:D14631)</f>
        <v>2.8159999999999998E-2</v>
      </c>
      <c r="F14631" s="4" t="str">
        <f>TEXT( B14631, "ddd" )</f>
        <v>Fri</v>
      </c>
    </row>
    <row r="14632" spans="2:6" ht="13.8">
      <c r="B14632" s="187">
        <v>43143</v>
      </c>
      <c r="C14632" s="189">
        <v>2.86</v>
      </c>
      <c r="D14632" s="104">
        <f t="shared" si="236"/>
        <v>2.86E-2</v>
      </c>
    </row>
    <row r="14633" spans="2:6" ht="13.8">
      <c r="B14633" s="187">
        <v>43144</v>
      </c>
      <c r="C14633" s="189">
        <v>2.83</v>
      </c>
      <c r="D14633" s="104">
        <f t="shared" si="236"/>
        <v>2.8300000000000002E-2</v>
      </c>
    </row>
    <row r="14634" spans="2:6" ht="13.8">
      <c r="B14634" s="187">
        <v>43145</v>
      </c>
      <c r="C14634" s="189">
        <v>2.91</v>
      </c>
      <c r="D14634" s="104">
        <f t="shared" si="236"/>
        <v>2.9100000000000001E-2</v>
      </c>
    </row>
    <row r="14635" spans="2:6" ht="13.8">
      <c r="B14635" s="187">
        <v>43146</v>
      </c>
      <c r="C14635" s="189">
        <v>2.9</v>
      </c>
      <c r="D14635" s="104">
        <f t="shared" si="236"/>
        <v>2.8999999999999998E-2</v>
      </c>
    </row>
    <row r="14636" spans="2:6" ht="13.8">
      <c r="B14636" s="187">
        <v>43147</v>
      </c>
      <c r="C14636" s="189">
        <v>2.87</v>
      </c>
      <c r="D14636" s="104">
        <f t="shared" si="236"/>
        <v>2.87E-2</v>
      </c>
      <c r="E14636" s="104">
        <f>AVERAGE( D14632:D14636)</f>
        <v>2.8739999999999998E-2</v>
      </c>
      <c r="F14636" s="4" t="str">
        <f>TEXT( B14636, "ddd" )</f>
        <v>Fri</v>
      </c>
    </row>
    <row r="14637" spans="2:6" ht="13.8">
      <c r="B14637" s="187">
        <v>43150</v>
      </c>
      <c r="C14637" s="189" t="s">
        <v>380</v>
      </c>
      <c r="D14637" s="104">
        <f t="shared" si="236"/>
        <v>2.87E-2</v>
      </c>
    </row>
    <row r="14638" spans="2:6" ht="13.8">
      <c r="B14638" s="187">
        <v>43151</v>
      </c>
      <c r="C14638" s="189">
        <v>2.88</v>
      </c>
      <c r="D14638" s="104">
        <f t="shared" si="236"/>
        <v>2.8799999999999999E-2</v>
      </c>
    </row>
    <row r="14639" spans="2:6" ht="13.8">
      <c r="B14639" s="187">
        <v>43152</v>
      </c>
      <c r="C14639" s="189">
        <v>2.94</v>
      </c>
      <c r="D14639" s="104">
        <f t="shared" si="236"/>
        <v>2.9399999999999999E-2</v>
      </c>
    </row>
    <row r="14640" spans="2:6" ht="13.8">
      <c r="B14640" s="187">
        <v>43153</v>
      </c>
      <c r="C14640" s="189">
        <v>2.92</v>
      </c>
      <c r="D14640" s="104">
        <f t="shared" si="236"/>
        <v>2.92E-2</v>
      </c>
    </row>
    <row r="14641" spans="2:6" ht="13.8">
      <c r="B14641" s="187">
        <v>43154</v>
      </c>
      <c r="C14641" s="189">
        <v>2.88</v>
      </c>
      <c r="D14641" s="104">
        <f t="shared" si="236"/>
        <v>2.8799999999999999E-2</v>
      </c>
      <c r="E14641" s="104">
        <f>AVERAGE( D14637:D14641)</f>
        <v>2.8979999999999999E-2</v>
      </c>
      <c r="F14641" s="4" t="str">
        <f>TEXT( B14641, "ddd" )</f>
        <v>Fri</v>
      </c>
    </row>
    <row r="14642" spans="2:6" ht="13.8">
      <c r="B14642" s="187">
        <v>43157</v>
      </c>
      <c r="C14642" s="189">
        <v>2.86</v>
      </c>
      <c r="D14642" s="104">
        <f t="shared" si="236"/>
        <v>2.86E-2</v>
      </c>
    </row>
    <row r="14643" spans="2:6" ht="13.8">
      <c r="B14643" s="187">
        <v>43158</v>
      </c>
      <c r="C14643" s="189">
        <v>2.9</v>
      </c>
      <c r="D14643" s="104">
        <f t="shared" si="236"/>
        <v>2.8999999999999998E-2</v>
      </c>
    </row>
    <row r="14644" spans="2:6" ht="13.8">
      <c r="B14644" s="187">
        <v>43159</v>
      </c>
      <c r="C14644" s="189">
        <v>2.87</v>
      </c>
      <c r="D14644" s="104">
        <f t="shared" si="236"/>
        <v>2.87E-2</v>
      </c>
    </row>
    <row r="14645" spans="2:6" ht="13.8">
      <c r="B14645" s="187">
        <v>43160</v>
      </c>
      <c r="C14645" s="189">
        <v>2.81</v>
      </c>
      <c r="D14645" s="104">
        <f t="shared" si="236"/>
        <v>2.81E-2</v>
      </c>
    </row>
    <row r="14646" spans="2:6" ht="13.8">
      <c r="B14646" s="187">
        <v>43161</v>
      </c>
      <c r="C14646" s="189">
        <v>2.86</v>
      </c>
      <c r="D14646" s="104">
        <f t="shared" si="236"/>
        <v>2.86E-2</v>
      </c>
      <c r="E14646" s="104">
        <f>AVERAGE( D14642:D14646)</f>
        <v>2.8600000000000004E-2</v>
      </c>
      <c r="F14646" s="4" t="str">
        <f>TEXT( B14646, "ddd" )</f>
        <v>Fri</v>
      </c>
    </row>
    <row r="14647" spans="2:6" ht="13.8">
      <c r="B14647" s="187">
        <v>43164</v>
      </c>
      <c r="C14647" s="189">
        <v>2.88</v>
      </c>
      <c r="D14647" s="104">
        <f t="shared" si="236"/>
        <v>2.8799999999999999E-2</v>
      </c>
    </row>
    <row r="14648" spans="2:6" ht="13.8">
      <c r="B14648" s="187">
        <v>43165</v>
      </c>
      <c r="C14648" s="189">
        <v>2.88</v>
      </c>
      <c r="D14648" s="104">
        <f t="shared" si="236"/>
        <v>2.8799999999999999E-2</v>
      </c>
    </row>
    <row r="14649" spans="2:6" ht="13.8">
      <c r="B14649" s="187">
        <v>43166</v>
      </c>
      <c r="C14649" s="189">
        <v>2.89</v>
      </c>
      <c r="D14649" s="104">
        <f t="shared" si="236"/>
        <v>2.8900000000000002E-2</v>
      </c>
    </row>
    <row r="14650" spans="2:6" ht="13.8">
      <c r="B14650" s="187">
        <v>43167</v>
      </c>
      <c r="C14650" s="189">
        <v>2.86</v>
      </c>
      <c r="D14650" s="104">
        <f t="shared" si="236"/>
        <v>2.86E-2</v>
      </c>
    </row>
    <row r="14651" spans="2:6" ht="13.8">
      <c r="B14651" s="187">
        <v>43168</v>
      </c>
      <c r="C14651" s="189">
        <v>2.9</v>
      </c>
      <c r="D14651" s="104">
        <f t="shared" si="236"/>
        <v>2.8999999999999998E-2</v>
      </c>
      <c r="E14651" s="104">
        <f>AVERAGE( D14647:D14651)</f>
        <v>2.8820000000000002E-2</v>
      </c>
      <c r="F14651" s="4" t="str">
        <f>TEXT( B14651, "ddd" )</f>
        <v>Fri</v>
      </c>
    </row>
    <row r="14652" spans="2:6" ht="13.8">
      <c r="B14652" s="187">
        <v>43171</v>
      </c>
      <c r="C14652" s="189">
        <v>2.87</v>
      </c>
      <c r="D14652" s="104">
        <f t="shared" si="236"/>
        <v>2.87E-2</v>
      </c>
    </row>
    <row r="14653" spans="2:6" ht="13.8">
      <c r="B14653" s="187">
        <v>43172</v>
      </c>
      <c r="C14653" s="189">
        <v>2.84</v>
      </c>
      <c r="D14653" s="104">
        <f t="shared" si="236"/>
        <v>2.8399999999999998E-2</v>
      </c>
    </row>
    <row r="14654" spans="2:6" ht="13.8">
      <c r="B14654" s="187">
        <v>43173</v>
      </c>
      <c r="C14654" s="189">
        <v>2.81</v>
      </c>
      <c r="D14654" s="104">
        <f t="shared" si="236"/>
        <v>2.81E-2</v>
      </c>
    </row>
    <row r="14655" spans="2:6" ht="13.8">
      <c r="B14655" s="187">
        <v>43174</v>
      </c>
      <c r="C14655" s="189">
        <v>2.82</v>
      </c>
      <c r="D14655" s="104">
        <f t="shared" si="236"/>
        <v>2.8199999999999999E-2</v>
      </c>
    </row>
    <row r="14656" spans="2:6" ht="13.8">
      <c r="B14656" s="187">
        <v>43175</v>
      </c>
      <c r="C14656" s="189">
        <v>2.85</v>
      </c>
      <c r="D14656" s="104">
        <f t="shared" si="236"/>
        <v>2.8500000000000001E-2</v>
      </c>
      <c r="E14656" s="104">
        <f>AVERAGE( D14652:D14656)</f>
        <v>2.8379999999999999E-2</v>
      </c>
      <c r="F14656" s="4" t="str">
        <f>TEXT( B14656, "ddd" )</f>
        <v>Fri</v>
      </c>
    </row>
    <row r="14657" spans="2:6" ht="13.8">
      <c r="B14657" s="187">
        <v>43178</v>
      </c>
      <c r="C14657" s="189">
        <v>2.85</v>
      </c>
      <c r="D14657" s="104">
        <f t="shared" si="236"/>
        <v>2.8500000000000001E-2</v>
      </c>
    </row>
    <row r="14658" spans="2:6" ht="13.8">
      <c r="B14658" s="187">
        <v>43179</v>
      </c>
      <c r="C14658" s="189">
        <v>2.89</v>
      </c>
      <c r="D14658" s="104">
        <f t="shared" si="236"/>
        <v>2.8900000000000002E-2</v>
      </c>
    </row>
    <row r="14659" spans="2:6" ht="13.8">
      <c r="B14659" s="187">
        <v>43180</v>
      </c>
      <c r="C14659" s="189">
        <v>2.89</v>
      </c>
      <c r="D14659" s="104">
        <f t="shared" si="236"/>
        <v>2.8900000000000002E-2</v>
      </c>
    </row>
    <row r="14660" spans="2:6" ht="13.8">
      <c r="B14660" s="187">
        <v>43181</v>
      </c>
      <c r="C14660" s="189">
        <v>2.83</v>
      </c>
      <c r="D14660" s="104">
        <f t="shared" si="236"/>
        <v>2.8300000000000002E-2</v>
      </c>
    </row>
    <row r="14661" spans="2:6" ht="13.8">
      <c r="B14661" s="187">
        <v>43182</v>
      </c>
      <c r="C14661" s="189">
        <v>2.82</v>
      </c>
      <c r="D14661" s="104">
        <f t="shared" si="236"/>
        <v>2.8199999999999999E-2</v>
      </c>
      <c r="E14661" s="104">
        <f>AVERAGE( D14657:D14661)</f>
        <v>2.8560000000000002E-2</v>
      </c>
      <c r="F14661" s="4" t="str">
        <f>TEXT( B14661, "ddd" )</f>
        <v>Fri</v>
      </c>
    </row>
    <row r="14662" spans="2:6" ht="13.8">
      <c r="B14662" s="187">
        <v>43185</v>
      </c>
      <c r="C14662" s="189">
        <v>2.85</v>
      </c>
      <c r="D14662" s="104">
        <f t="shared" ref="D14662:D14716" si="237">IF( LEN( C14662 ) = 0, #N/A, IF( C14662 = "ND", D14661, C14662 / 100 ) )</f>
        <v>2.8500000000000001E-2</v>
      </c>
    </row>
    <row r="14663" spans="2:6" ht="13.8">
      <c r="B14663" s="187">
        <v>43186</v>
      </c>
      <c r="C14663" s="189">
        <v>2.78</v>
      </c>
      <c r="D14663" s="104">
        <f t="shared" si="237"/>
        <v>2.7799999999999998E-2</v>
      </c>
    </row>
    <row r="14664" spans="2:6" ht="13.8">
      <c r="B14664" s="187">
        <v>43187</v>
      </c>
      <c r="C14664" s="189">
        <v>2.77</v>
      </c>
      <c r="D14664" s="104">
        <f t="shared" si="237"/>
        <v>2.7699999999999999E-2</v>
      </c>
    </row>
    <row r="14665" spans="2:6" ht="13.8">
      <c r="B14665" s="187">
        <v>43188</v>
      </c>
      <c r="C14665" s="189">
        <v>2.74</v>
      </c>
      <c r="D14665" s="104">
        <f t="shared" si="237"/>
        <v>2.7400000000000001E-2</v>
      </c>
    </row>
    <row r="14666" spans="2:6" ht="13.8">
      <c r="B14666" s="187">
        <v>43189</v>
      </c>
      <c r="C14666" s="189" t="s">
        <v>380</v>
      </c>
      <c r="D14666" s="104">
        <f t="shared" si="237"/>
        <v>2.7400000000000001E-2</v>
      </c>
      <c r="E14666" s="104">
        <f>AVERAGE( D14662:D14666)</f>
        <v>2.776E-2</v>
      </c>
      <c r="F14666" s="4" t="str">
        <f>TEXT( B14666, "ddd" )</f>
        <v>Fri</v>
      </c>
    </row>
    <row r="14667" spans="2:6" ht="13.8">
      <c r="B14667" s="187">
        <v>43192</v>
      </c>
      <c r="C14667" s="189">
        <v>2.73</v>
      </c>
      <c r="D14667" s="104">
        <f t="shared" si="237"/>
        <v>2.7300000000000001E-2</v>
      </c>
    </row>
    <row r="14668" spans="2:6" ht="13.8">
      <c r="B14668" s="187">
        <v>43193</v>
      </c>
      <c r="C14668" s="189">
        <v>2.79</v>
      </c>
      <c r="D14668" s="104">
        <f t="shared" si="237"/>
        <v>2.7900000000000001E-2</v>
      </c>
    </row>
    <row r="14669" spans="2:6" ht="13.8">
      <c r="B14669" s="187">
        <v>43194</v>
      </c>
      <c r="C14669" s="189">
        <v>2.79</v>
      </c>
      <c r="D14669" s="104">
        <f t="shared" si="237"/>
        <v>2.7900000000000001E-2</v>
      </c>
    </row>
    <row r="14670" spans="2:6" ht="13.8">
      <c r="B14670" s="187">
        <v>43195</v>
      </c>
      <c r="C14670" s="189">
        <v>2.83</v>
      </c>
      <c r="D14670" s="104">
        <f t="shared" si="237"/>
        <v>2.8300000000000002E-2</v>
      </c>
    </row>
    <row r="14671" spans="2:6" ht="13.8">
      <c r="B14671" s="187">
        <v>43196</v>
      </c>
      <c r="C14671" s="189">
        <v>2.77</v>
      </c>
      <c r="D14671" s="104">
        <f t="shared" si="237"/>
        <v>2.7699999999999999E-2</v>
      </c>
      <c r="E14671" s="104">
        <f>AVERAGE( D14667:D14671)</f>
        <v>2.7820000000000001E-2</v>
      </c>
      <c r="F14671" s="4" t="str">
        <f>TEXT( B14671, "ddd" )</f>
        <v>Fri</v>
      </c>
    </row>
    <row r="14672" spans="2:6" ht="13.8">
      <c r="B14672" s="187">
        <v>43199</v>
      </c>
      <c r="C14672" s="189">
        <v>2.78</v>
      </c>
      <c r="D14672" s="104">
        <f t="shared" si="237"/>
        <v>2.7799999999999998E-2</v>
      </c>
    </row>
    <row r="14673" spans="2:6" ht="13.8">
      <c r="B14673" s="187">
        <v>43200</v>
      </c>
      <c r="C14673" s="189">
        <v>2.8</v>
      </c>
      <c r="D14673" s="104">
        <f t="shared" si="237"/>
        <v>2.7999999999999997E-2</v>
      </c>
    </row>
    <row r="14674" spans="2:6" ht="13.8">
      <c r="B14674" s="187">
        <v>43201</v>
      </c>
      <c r="C14674" s="189">
        <v>2.79</v>
      </c>
      <c r="D14674" s="104">
        <f t="shared" si="237"/>
        <v>2.7900000000000001E-2</v>
      </c>
    </row>
    <row r="14675" spans="2:6" ht="13.8">
      <c r="B14675" s="187">
        <v>43202</v>
      </c>
      <c r="C14675" s="189">
        <v>2.83</v>
      </c>
      <c r="D14675" s="104">
        <f t="shared" si="237"/>
        <v>2.8300000000000002E-2</v>
      </c>
    </row>
    <row r="14676" spans="2:6" ht="13.8">
      <c r="B14676" s="187">
        <v>43203</v>
      </c>
      <c r="C14676" s="189">
        <v>2.82</v>
      </c>
      <c r="D14676" s="104">
        <f t="shared" si="237"/>
        <v>2.8199999999999999E-2</v>
      </c>
      <c r="E14676" s="104">
        <f>AVERAGE( D14672:D14676)</f>
        <v>2.8039999999999999E-2</v>
      </c>
      <c r="F14676" s="4" t="str">
        <f>TEXT( B14676, "ddd" )</f>
        <v>Fri</v>
      </c>
    </row>
    <row r="14677" spans="2:6" ht="13.8">
      <c r="B14677" s="187">
        <v>43206</v>
      </c>
      <c r="C14677" s="189">
        <v>2.83</v>
      </c>
      <c r="D14677" s="104">
        <f t="shared" si="237"/>
        <v>2.8300000000000002E-2</v>
      </c>
    </row>
    <row r="14678" spans="2:6" ht="13.8">
      <c r="B14678" s="187">
        <v>43207</v>
      </c>
      <c r="C14678" s="189">
        <v>2.82</v>
      </c>
      <c r="D14678" s="104">
        <f t="shared" si="237"/>
        <v>2.8199999999999999E-2</v>
      </c>
    </row>
    <row r="14679" spans="2:6" ht="13.8">
      <c r="B14679" s="187">
        <v>43208</v>
      </c>
      <c r="C14679" s="189">
        <v>2.87</v>
      </c>
      <c r="D14679" s="104">
        <f t="shared" si="237"/>
        <v>2.87E-2</v>
      </c>
    </row>
    <row r="14680" spans="2:6" ht="13.8">
      <c r="B14680" s="187">
        <v>43209</v>
      </c>
      <c r="C14680" s="189">
        <v>2.92</v>
      </c>
      <c r="D14680" s="104">
        <f t="shared" si="237"/>
        <v>2.92E-2</v>
      </c>
    </row>
    <row r="14681" spans="2:6" ht="13.8">
      <c r="B14681" s="187">
        <v>43210</v>
      </c>
      <c r="C14681" s="189">
        <v>2.96</v>
      </c>
      <c r="D14681" s="104">
        <f t="shared" si="237"/>
        <v>2.9600000000000001E-2</v>
      </c>
      <c r="E14681" s="104">
        <f>AVERAGE( D14677:D14681)</f>
        <v>2.8800000000000003E-2</v>
      </c>
      <c r="F14681" s="4" t="str">
        <f>TEXT( B14681, "ddd" )</f>
        <v>Fri</v>
      </c>
    </row>
    <row r="14682" spans="2:6" ht="13.8">
      <c r="B14682" s="187">
        <v>43213</v>
      </c>
      <c r="C14682" s="189">
        <v>2.98</v>
      </c>
      <c r="D14682" s="104">
        <f t="shared" si="237"/>
        <v>2.98E-2</v>
      </c>
    </row>
    <row r="14683" spans="2:6" ht="13.8">
      <c r="B14683" s="187">
        <v>43214</v>
      </c>
      <c r="C14683" s="189">
        <v>3</v>
      </c>
      <c r="D14683" s="104">
        <f t="shared" si="237"/>
        <v>0.03</v>
      </c>
    </row>
    <row r="14684" spans="2:6" ht="13.8">
      <c r="B14684" s="187">
        <v>43215</v>
      </c>
      <c r="C14684" s="189">
        <v>3.03</v>
      </c>
      <c r="D14684" s="104">
        <f t="shared" si="237"/>
        <v>3.0299999999999997E-2</v>
      </c>
    </row>
    <row r="14685" spans="2:6" ht="13.8">
      <c r="B14685" s="187">
        <v>43216</v>
      </c>
      <c r="C14685" s="189">
        <v>3</v>
      </c>
      <c r="D14685" s="104">
        <f t="shared" si="237"/>
        <v>0.03</v>
      </c>
    </row>
    <row r="14686" spans="2:6" ht="13.8">
      <c r="B14686" s="187">
        <v>43217</v>
      </c>
      <c r="C14686" s="189">
        <v>2.96</v>
      </c>
      <c r="D14686" s="104">
        <f t="shared" si="237"/>
        <v>2.9600000000000001E-2</v>
      </c>
      <c r="E14686" s="104">
        <f>AVERAGE( D14682:D14686)</f>
        <v>2.9940000000000001E-2</v>
      </c>
      <c r="F14686" s="4" t="str">
        <f>TEXT( B14686, "ddd" )</f>
        <v>Fri</v>
      </c>
    </row>
    <row r="14687" spans="2:6" ht="13.8">
      <c r="B14687" s="187">
        <v>43220</v>
      </c>
      <c r="C14687" s="189">
        <v>2.95</v>
      </c>
      <c r="D14687" s="104">
        <f t="shared" si="237"/>
        <v>2.9500000000000002E-2</v>
      </c>
    </row>
    <row r="14688" spans="2:6" ht="13.8">
      <c r="B14688" s="187">
        <v>43221</v>
      </c>
      <c r="C14688" s="189">
        <v>2.97</v>
      </c>
      <c r="D14688" s="104">
        <f t="shared" si="237"/>
        <v>2.9700000000000001E-2</v>
      </c>
    </row>
    <row r="14689" spans="2:6" ht="13.8">
      <c r="B14689" s="187">
        <v>43222</v>
      </c>
      <c r="C14689" s="189">
        <v>2.97</v>
      </c>
      <c r="D14689" s="104">
        <f t="shared" si="237"/>
        <v>2.9700000000000001E-2</v>
      </c>
    </row>
    <row r="14690" spans="2:6" ht="13.8">
      <c r="B14690" s="187">
        <v>43223</v>
      </c>
      <c r="C14690" s="189">
        <v>2.94</v>
      </c>
      <c r="D14690" s="104">
        <f t="shared" si="237"/>
        <v>2.9399999999999999E-2</v>
      </c>
    </row>
    <row r="14691" spans="2:6" ht="13.8">
      <c r="B14691" s="187">
        <v>43224</v>
      </c>
      <c r="C14691" s="189">
        <v>2.95</v>
      </c>
      <c r="D14691" s="104">
        <f t="shared" si="237"/>
        <v>2.9500000000000002E-2</v>
      </c>
      <c r="E14691" s="104">
        <f>AVERAGE( D14687:D14691)</f>
        <v>2.9560000000000003E-2</v>
      </c>
      <c r="F14691" s="4" t="str">
        <f>TEXT( B14691, "ddd" )</f>
        <v>Fri</v>
      </c>
    </row>
    <row r="14692" spans="2:6" ht="13.8">
      <c r="B14692" s="187">
        <v>43227</v>
      </c>
      <c r="C14692" s="189">
        <v>2.95</v>
      </c>
      <c r="D14692" s="104">
        <f t="shared" si="237"/>
        <v>2.9500000000000002E-2</v>
      </c>
    </row>
    <row r="14693" spans="2:6" ht="13.8">
      <c r="B14693" s="187">
        <v>43228</v>
      </c>
      <c r="C14693" s="189">
        <v>2.97</v>
      </c>
      <c r="D14693" s="104">
        <f t="shared" si="237"/>
        <v>2.9700000000000001E-2</v>
      </c>
    </row>
    <row r="14694" spans="2:6" ht="13.8">
      <c r="B14694" s="187">
        <v>43229</v>
      </c>
      <c r="C14694" s="189">
        <v>3</v>
      </c>
      <c r="D14694" s="104">
        <f t="shared" si="237"/>
        <v>0.03</v>
      </c>
    </row>
    <row r="14695" spans="2:6" ht="13.8">
      <c r="B14695" s="187">
        <v>43230</v>
      </c>
      <c r="C14695" s="189">
        <v>2.97</v>
      </c>
      <c r="D14695" s="104">
        <f t="shared" si="237"/>
        <v>2.9700000000000001E-2</v>
      </c>
    </row>
    <row r="14696" spans="2:6" ht="13.8">
      <c r="B14696" s="187">
        <v>43231</v>
      </c>
      <c r="C14696" s="189">
        <v>2.97</v>
      </c>
      <c r="D14696" s="104">
        <f t="shared" si="237"/>
        <v>2.9700000000000001E-2</v>
      </c>
      <c r="E14696" s="104">
        <f>AVERAGE( D14692:D14696)</f>
        <v>2.9720000000000003E-2</v>
      </c>
      <c r="F14696" s="4" t="str">
        <f>TEXT( B14696, "ddd" )</f>
        <v>Fri</v>
      </c>
    </row>
    <row r="14697" spans="2:6" ht="13.8">
      <c r="B14697" s="187">
        <v>43234</v>
      </c>
      <c r="C14697" s="189">
        <v>3</v>
      </c>
      <c r="D14697" s="104">
        <f t="shared" si="237"/>
        <v>0.03</v>
      </c>
    </row>
    <row r="14698" spans="2:6" ht="13.8">
      <c r="B14698" s="187">
        <v>43235</v>
      </c>
      <c r="C14698" s="189">
        <v>3.08</v>
      </c>
      <c r="D14698" s="104">
        <f t="shared" si="237"/>
        <v>3.0800000000000001E-2</v>
      </c>
    </row>
    <row r="14699" spans="2:6" ht="13.8">
      <c r="B14699" s="187">
        <v>43236</v>
      </c>
      <c r="C14699" s="189">
        <v>3.09</v>
      </c>
      <c r="D14699" s="104">
        <f t="shared" si="237"/>
        <v>3.0899999999999997E-2</v>
      </c>
    </row>
    <row r="14700" spans="2:6" ht="13.8">
      <c r="B14700" s="187">
        <v>43237</v>
      </c>
      <c r="C14700" s="189">
        <v>3.11</v>
      </c>
      <c r="D14700" s="104">
        <f t="shared" si="237"/>
        <v>3.1099999999999999E-2</v>
      </c>
    </row>
    <row r="14701" spans="2:6" ht="13.8">
      <c r="B14701" s="187">
        <v>43238</v>
      </c>
      <c r="C14701" s="189">
        <v>3.06</v>
      </c>
      <c r="D14701" s="104">
        <f t="shared" si="237"/>
        <v>3.0600000000000002E-2</v>
      </c>
      <c r="E14701" s="104">
        <f>AVERAGE( D14697:D14701)</f>
        <v>3.0680000000000002E-2</v>
      </c>
      <c r="F14701" s="4" t="str">
        <f>TEXT( B14701, "ddd" )</f>
        <v>Fri</v>
      </c>
    </row>
    <row r="14702" spans="2:6" ht="13.8">
      <c r="B14702" s="187">
        <v>43241</v>
      </c>
      <c r="C14702" s="189">
        <v>3.06</v>
      </c>
      <c r="D14702" s="104">
        <f t="shared" si="237"/>
        <v>3.0600000000000002E-2</v>
      </c>
    </row>
    <row r="14703" spans="2:6" ht="13.8">
      <c r="B14703" s="187">
        <v>43242</v>
      </c>
      <c r="C14703" s="189">
        <v>3.06</v>
      </c>
      <c r="D14703" s="104">
        <f t="shared" si="237"/>
        <v>3.0600000000000002E-2</v>
      </c>
    </row>
    <row r="14704" spans="2:6" ht="13.8">
      <c r="B14704" s="187">
        <v>43243</v>
      </c>
      <c r="C14704" s="189">
        <v>3.01</v>
      </c>
      <c r="D14704" s="104">
        <f t="shared" si="237"/>
        <v>3.0099999999999998E-2</v>
      </c>
    </row>
    <row r="14705" spans="2:6" ht="13.8">
      <c r="B14705" s="187">
        <v>43244</v>
      </c>
      <c r="C14705" s="189">
        <v>2.98</v>
      </c>
      <c r="D14705" s="104">
        <f t="shared" si="237"/>
        <v>2.98E-2</v>
      </c>
    </row>
    <row r="14706" spans="2:6" ht="13.8">
      <c r="B14706" s="187">
        <v>43245</v>
      </c>
      <c r="C14706" s="189">
        <v>2.93</v>
      </c>
      <c r="D14706" s="104">
        <f t="shared" si="237"/>
        <v>2.9300000000000003E-2</v>
      </c>
      <c r="E14706" s="104">
        <f>AVERAGE( D14702:D14706)</f>
        <v>3.0080000000000003E-2</v>
      </c>
      <c r="F14706" s="4" t="str">
        <f>TEXT( B14706, "ddd" )</f>
        <v>Fri</v>
      </c>
    </row>
    <row r="14707" spans="2:6" ht="13.8">
      <c r="B14707" s="187">
        <v>43248</v>
      </c>
      <c r="C14707" s="189" t="s">
        <v>380</v>
      </c>
      <c r="D14707" s="104">
        <f t="shared" si="237"/>
        <v>2.9300000000000003E-2</v>
      </c>
    </row>
    <row r="14708" spans="2:6" ht="13.8">
      <c r="B14708" s="187">
        <v>43249</v>
      </c>
      <c r="C14708" s="189">
        <v>2.77</v>
      </c>
      <c r="D14708" s="104">
        <f t="shared" si="237"/>
        <v>2.7699999999999999E-2</v>
      </c>
    </row>
    <row r="14709" spans="2:6" ht="13.8">
      <c r="B14709" s="187">
        <v>43250</v>
      </c>
      <c r="C14709" s="189">
        <v>2.84</v>
      </c>
      <c r="D14709" s="104">
        <f t="shared" si="237"/>
        <v>2.8399999999999998E-2</v>
      </c>
    </row>
    <row r="14710" spans="2:6" ht="13.8">
      <c r="B14710" s="187">
        <v>43251</v>
      </c>
      <c r="C14710" s="189">
        <v>2.83</v>
      </c>
      <c r="D14710" s="104">
        <f t="shared" si="237"/>
        <v>2.8300000000000002E-2</v>
      </c>
    </row>
    <row r="14711" spans="2:6" ht="13.8">
      <c r="B14711" s="187">
        <v>43252</v>
      </c>
      <c r="C14711" s="189">
        <v>2.89</v>
      </c>
      <c r="D14711" s="104">
        <f t="shared" si="237"/>
        <v>2.8900000000000002E-2</v>
      </c>
      <c r="E14711" s="104">
        <f>AVERAGE( D14707:D14711)</f>
        <v>2.852E-2</v>
      </c>
      <c r="F14711" s="4" t="str">
        <f>TEXT( B14711, "ddd" )</f>
        <v>Fri</v>
      </c>
    </row>
    <row r="14712" spans="2:6" ht="13.8">
      <c r="B14712" s="187">
        <v>43255</v>
      </c>
      <c r="C14712" s="189">
        <v>2.94</v>
      </c>
      <c r="D14712" s="104">
        <f t="shared" si="237"/>
        <v>2.9399999999999999E-2</v>
      </c>
    </row>
    <row r="14713" spans="2:6" ht="13.8">
      <c r="B14713" s="187">
        <v>43256</v>
      </c>
      <c r="C14713" s="189">
        <v>2.92</v>
      </c>
      <c r="D14713" s="104">
        <f t="shared" si="237"/>
        <v>2.92E-2</v>
      </c>
    </row>
    <row r="14714" spans="2:6" ht="13.8">
      <c r="B14714" s="187">
        <v>43257</v>
      </c>
      <c r="C14714" s="189">
        <v>2.97</v>
      </c>
      <c r="D14714" s="104">
        <f t="shared" si="237"/>
        <v>2.9700000000000001E-2</v>
      </c>
    </row>
    <row r="14715" spans="2:6" ht="13.8">
      <c r="B14715" s="187">
        <v>43258</v>
      </c>
      <c r="C14715" s="189">
        <v>2.93</v>
      </c>
      <c r="D14715" s="104">
        <f t="shared" si="237"/>
        <v>2.9300000000000003E-2</v>
      </c>
    </row>
    <row r="14716" spans="2:6" ht="13.8">
      <c r="B14716" s="187">
        <v>43259</v>
      </c>
      <c r="C14716" s="189">
        <v>2.93</v>
      </c>
      <c r="D14716" s="104">
        <f t="shared" si="237"/>
        <v>2.9300000000000003E-2</v>
      </c>
      <c r="E14716" s="104">
        <f>AVERAGE( D14712:D14716)</f>
        <v>2.938E-2</v>
      </c>
      <c r="F14716" s="4" t="str">
        <f>TEXT( B14716, "ddd" )</f>
        <v>Fri</v>
      </c>
    </row>
    <row r="14717" spans="2:6" ht="13.8">
      <c r="B14717" s="187">
        <v>43262</v>
      </c>
      <c r="C14717" s="189">
        <v>2.96</v>
      </c>
      <c r="D14717" s="104">
        <f t="shared" ref="D14717:D14746" si="238">IF( LEN( C14717 ) = 0, #N/A, IF( C14717 = "ND", D14716, C14717 / 100 ) )</f>
        <v>2.9600000000000001E-2</v>
      </c>
    </row>
    <row r="14718" spans="2:6" ht="13.8">
      <c r="B14718" s="187">
        <v>43263</v>
      </c>
      <c r="C14718" s="189">
        <v>2.96</v>
      </c>
      <c r="D14718" s="104">
        <f t="shared" si="238"/>
        <v>2.9600000000000001E-2</v>
      </c>
    </row>
    <row r="14719" spans="2:6" ht="13.8">
      <c r="B14719" s="187">
        <v>43264</v>
      </c>
      <c r="C14719" s="189">
        <v>2.98</v>
      </c>
      <c r="D14719" s="104">
        <f t="shared" si="238"/>
        <v>2.98E-2</v>
      </c>
    </row>
    <row r="14720" spans="2:6" ht="13.8">
      <c r="B14720" s="187">
        <v>43265</v>
      </c>
      <c r="C14720" s="189">
        <v>2.94</v>
      </c>
      <c r="D14720" s="104">
        <f t="shared" si="238"/>
        <v>2.9399999999999999E-2</v>
      </c>
    </row>
    <row r="14721" spans="2:6" ht="13.8">
      <c r="B14721" s="187">
        <v>43266</v>
      </c>
      <c r="C14721" s="189">
        <v>2.93</v>
      </c>
      <c r="D14721" s="104">
        <f t="shared" si="238"/>
        <v>2.9300000000000003E-2</v>
      </c>
      <c r="E14721" s="104">
        <f>AVERAGE( D14717:D14721)</f>
        <v>2.954E-2</v>
      </c>
      <c r="F14721" s="4" t="str">
        <f>TEXT( B14721, "ddd" )</f>
        <v>Fri</v>
      </c>
    </row>
    <row r="14722" spans="2:6" ht="13.8">
      <c r="B14722" s="187">
        <v>43269</v>
      </c>
      <c r="C14722" s="189">
        <v>2.92</v>
      </c>
      <c r="D14722" s="104">
        <f t="shared" si="238"/>
        <v>2.92E-2</v>
      </c>
    </row>
    <row r="14723" spans="2:6" ht="13.8">
      <c r="B14723" s="187">
        <v>43270</v>
      </c>
      <c r="C14723" s="189">
        <v>2.89</v>
      </c>
      <c r="D14723" s="104">
        <f t="shared" si="238"/>
        <v>2.8900000000000002E-2</v>
      </c>
    </row>
    <row r="14724" spans="2:6" ht="13.8">
      <c r="B14724" s="187">
        <v>43271</v>
      </c>
      <c r="C14724" s="189">
        <v>2.93</v>
      </c>
      <c r="D14724" s="104">
        <f t="shared" si="238"/>
        <v>2.9300000000000003E-2</v>
      </c>
    </row>
    <row r="14725" spans="2:6" ht="13.8">
      <c r="B14725" s="187">
        <v>43272</v>
      </c>
      <c r="C14725" s="189">
        <v>2.9</v>
      </c>
      <c r="D14725" s="104">
        <f t="shared" si="238"/>
        <v>2.8999999999999998E-2</v>
      </c>
    </row>
    <row r="14726" spans="2:6" ht="13.8">
      <c r="B14726" s="187">
        <v>43273</v>
      </c>
      <c r="C14726" s="189">
        <v>2.9</v>
      </c>
      <c r="D14726" s="104">
        <f t="shared" si="238"/>
        <v>2.8999999999999998E-2</v>
      </c>
      <c r="E14726" s="104">
        <f>AVERAGE( D14722:D14726)</f>
        <v>2.9080000000000002E-2</v>
      </c>
      <c r="F14726" s="4" t="str">
        <f>TEXT( B14726, "ddd" )</f>
        <v>Fri</v>
      </c>
    </row>
    <row r="14727" spans="2:6" ht="13.8">
      <c r="B14727" s="187">
        <v>43276</v>
      </c>
      <c r="C14727" s="189">
        <v>2.87</v>
      </c>
      <c r="D14727" s="104">
        <f t="shared" si="238"/>
        <v>2.87E-2</v>
      </c>
    </row>
    <row r="14728" spans="2:6" ht="13.8">
      <c r="B14728" s="187">
        <v>43277</v>
      </c>
      <c r="C14728" s="189">
        <v>2.88</v>
      </c>
      <c r="D14728" s="104">
        <f t="shared" si="238"/>
        <v>2.8799999999999999E-2</v>
      </c>
    </row>
    <row r="14729" spans="2:6" ht="13.8">
      <c r="B14729" s="187">
        <v>43278</v>
      </c>
      <c r="C14729" s="189">
        <v>2.83</v>
      </c>
      <c r="D14729" s="104">
        <f t="shared" si="238"/>
        <v>2.8300000000000002E-2</v>
      </c>
    </row>
    <row r="14730" spans="2:6" ht="13.8">
      <c r="B14730" s="187">
        <v>43279</v>
      </c>
      <c r="C14730" s="189">
        <v>2.84</v>
      </c>
      <c r="D14730" s="104">
        <f t="shared" si="238"/>
        <v>2.8399999999999998E-2</v>
      </c>
    </row>
    <row r="14731" spans="2:6" ht="13.8">
      <c r="B14731" s="187">
        <v>43280</v>
      </c>
      <c r="C14731" s="189">
        <v>2.85</v>
      </c>
      <c r="D14731" s="104">
        <f t="shared" si="238"/>
        <v>2.8500000000000001E-2</v>
      </c>
      <c r="E14731" s="104">
        <f>AVERAGE( D14727:D14731)</f>
        <v>2.8539999999999999E-2</v>
      </c>
      <c r="F14731" s="4" t="str">
        <f>TEXT( B14731, "ddd" )</f>
        <v>Fri</v>
      </c>
    </row>
    <row r="14732" spans="2:6" ht="13.8">
      <c r="B14732" s="187">
        <v>43283</v>
      </c>
      <c r="C14732" s="189">
        <v>2.87</v>
      </c>
      <c r="D14732" s="104">
        <f t="shared" si="238"/>
        <v>2.87E-2</v>
      </c>
    </row>
    <row r="14733" spans="2:6" ht="13.8">
      <c r="B14733" s="187">
        <v>43284</v>
      </c>
      <c r="C14733" s="189">
        <v>2.83</v>
      </c>
      <c r="D14733" s="104">
        <f t="shared" si="238"/>
        <v>2.8300000000000002E-2</v>
      </c>
    </row>
    <row r="14734" spans="2:6" ht="13.8">
      <c r="B14734" s="187">
        <v>43285</v>
      </c>
      <c r="C14734" s="189" t="s">
        <v>380</v>
      </c>
      <c r="D14734" s="104">
        <f t="shared" si="238"/>
        <v>2.8300000000000002E-2</v>
      </c>
    </row>
    <row r="14735" spans="2:6" ht="13.8">
      <c r="B14735" s="187">
        <v>43286</v>
      </c>
      <c r="C14735" s="189">
        <v>2.84</v>
      </c>
      <c r="D14735" s="104">
        <f t="shared" si="238"/>
        <v>2.8399999999999998E-2</v>
      </c>
    </row>
    <row r="14736" spans="2:6" ht="13.8">
      <c r="B14736" s="187">
        <v>43287</v>
      </c>
      <c r="C14736" s="189">
        <v>2.82</v>
      </c>
      <c r="D14736" s="104">
        <f t="shared" si="238"/>
        <v>2.8199999999999999E-2</v>
      </c>
      <c r="E14736" s="104">
        <f>AVERAGE( D14732:D14736)</f>
        <v>2.8379999999999999E-2</v>
      </c>
      <c r="F14736" s="4" t="str">
        <f>TEXT( B14736, "ddd" )</f>
        <v>Fri</v>
      </c>
    </row>
    <row r="14737" spans="2:6" ht="13.8">
      <c r="B14737" s="187">
        <v>43290</v>
      </c>
      <c r="C14737" s="189">
        <v>2.86</v>
      </c>
      <c r="D14737" s="104">
        <f t="shared" si="238"/>
        <v>2.86E-2</v>
      </c>
    </row>
    <row r="14738" spans="2:6" ht="13.8">
      <c r="B14738" s="187">
        <v>43291</v>
      </c>
      <c r="C14738" s="189">
        <v>2.87</v>
      </c>
      <c r="D14738" s="104">
        <f t="shared" si="238"/>
        <v>2.87E-2</v>
      </c>
    </row>
    <row r="14739" spans="2:6" ht="13.8">
      <c r="B14739" s="187">
        <v>43292</v>
      </c>
      <c r="C14739" s="189">
        <v>2.85</v>
      </c>
      <c r="D14739" s="104">
        <f t="shared" si="238"/>
        <v>2.8500000000000001E-2</v>
      </c>
    </row>
    <row r="14740" spans="2:6" ht="13.8">
      <c r="B14740" s="187">
        <v>43293</v>
      </c>
      <c r="C14740" s="189">
        <v>2.85</v>
      </c>
      <c r="D14740" s="104">
        <f t="shared" si="238"/>
        <v>2.8500000000000001E-2</v>
      </c>
    </row>
    <row r="14741" spans="2:6" ht="13.8">
      <c r="B14741" s="187">
        <v>43294</v>
      </c>
      <c r="C14741" s="189">
        <v>2.83</v>
      </c>
      <c r="D14741" s="104">
        <f t="shared" si="238"/>
        <v>2.8300000000000002E-2</v>
      </c>
      <c r="E14741" s="104">
        <f>AVERAGE( D14737:D14741)</f>
        <v>2.852E-2</v>
      </c>
      <c r="F14741" s="4" t="str">
        <f>TEXT( B14741, "ddd" )</f>
        <v>Fri</v>
      </c>
    </row>
    <row r="14742" spans="2:6" ht="13.8">
      <c r="B14742" s="187">
        <v>43297</v>
      </c>
      <c r="C14742" s="189">
        <v>2.85</v>
      </c>
      <c r="D14742" s="104">
        <f t="shared" si="238"/>
        <v>2.8500000000000001E-2</v>
      </c>
    </row>
    <row r="14743" spans="2:6" ht="13.8">
      <c r="B14743" s="187">
        <v>43298</v>
      </c>
      <c r="C14743" s="189">
        <v>2.86</v>
      </c>
      <c r="D14743" s="104">
        <f t="shared" si="238"/>
        <v>2.86E-2</v>
      </c>
    </row>
    <row r="14744" spans="2:6" ht="13.8">
      <c r="B14744" s="187">
        <v>43299</v>
      </c>
      <c r="C14744" s="189">
        <v>2.88</v>
      </c>
      <c r="D14744" s="104">
        <f t="shared" si="238"/>
        <v>2.8799999999999999E-2</v>
      </c>
    </row>
    <row r="14745" spans="2:6" ht="13.8">
      <c r="B14745" s="187">
        <v>43300</v>
      </c>
      <c r="C14745" s="189">
        <v>2.84</v>
      </c>
      <c r="D14745" s="104">
        <f t="shared" si="238"/>
        <v>2.8399999999999998E-2</v>
      </c>
    </row>
    <row r="14746" spans="2:6" ht="13.8">
      <c r="B14746" s="187">
        <v>43301</v>
      </c>
      <c r="C14746" s="189">
        <v>2.89</v>
      </c>
      <c r="D14746" s="104">
        <f t="shared" si="238"/>
        <v>2.8900000000000002E-2</v>
      </c>
      <c r="E14746" s="104">
        <f>AVERAGE( D14742:D14746)</f>
        <v>2.8639999999999999E-2</v>
      </c>
      <c r="F14746" s="4" t="str">
        <f>TEXT( B14746, "ddd" )</f>
        <v>Fri</v>
      </c>
    </row>
    <row r="14747" spans="2:6" ht="13.8">
      <c r="B14747" s="187">
        <v>43304</v>
      </c>
      <c r="C14747" s="189">
        <v>2.96</v>
      </c>
      <c r="D14747" s="104">
        <f t="shared" ref="D14747:D14766" si="239">IF( LEN( C14747 ) = 0, #N/A, IF( C14747 = "ND", D14746, C14747 / 100 ) )</f>
        <v>2.9600000000000001E-2</v>
      </c>
    </row>
    <row r="14748" spans="2:6" ht="13.8">
      <c r="B14748" s="187">
        <v>43305</v>
      </c>
      <c r="C14748" s="189">
        <v>2.95</v>
      </c>
      <c r="D14748" s="104">
        <f t="shared" si="239"/>
        <v>2.9500000000000002E-2</v>
      </c>
    </row>
    <row r="14749" spans="2:6" ht="13.8">
      <c r="B14749" s="187">
        <v>43306</v>
      </c>
      <c r="C14749" s="189">
        <v>2.94</v>
      </c>
      <c r="D14749" s="104">
        <f t="shared" si="239"/>
        <v>2.9399999999999999E-2</v>
      </c>
    </row>
    <row r="14750" spans="2:6" ht="13.8">
      <c r="B14750" s="187">
        <v>43307</v>
      </c>
      <c r="C14750" s="189">
        <v>2.98</v>
      </c>
      <c r="D14750" s="104">
        <f t="shared" si="239"/>
        <v>2.98E-2</v>
      </c>
    </row>
    <row r="14751" spans="2:6" ht="13.8">
      <c r="B14751" s="187">
        <v>43308</v>
      </c>
      <c r="C14751" s="189">
        <v>2.96</v>
      </c>
      <c r="D14751" s="104">
        <f t="shared" si="239"/>
        <v>2.9600000000000001E-2</v>
      </c>
      <c r="E14751" s="104">
        <f>AVERAGE( D14747:D14751)</f>
        <v>2.9579999999999995E-2</v>
      </c>
      <c r="F14751" s="4" t="str">
        <f>TEXT( B14751, "ddd" )</f>
        <v>Fri</v>
      </c>
    </row>
    <row r="14752" spans="2:6" ht="13.8">
      <c r="B14752" s="187">
        <v>43311</v>
      </c>
      <c r="C14752" s="189">
        <v>2.98</v>
      </c>
      <c r="D14752" s="104">
        <f t="shared" si="239"/>
        <v>2.98E-2</v>
      </c>
    </row>
    <row r="14753" spans="2:6" ht="13.8">
      <c r="B14753" s="187">
        <v>43312</v>
      </c>
      <c r="C14753" s="189">
        <v>2.96</v>
      </c>
      <c r="D14753" s="104">
        <f t="shared" si="239"/>
        <v>2.9600000000000001E-2</v>
      </c>
    </row>
    <row r="14754" spans="2:6" ht="13.8">
      <c r="B14754" s="187">
        <v>43313</v>
      </c>
      <c r="C14754" s="189">
        <v>3</v>
      </c>
      <c r="D14754" s="104">
        <f t="shared" si="239"/>
        <v>0.03</v>
      </c>
    </row>
    <row r="14755" spans="2:6" ht="13.8">
      <c r="B14755" s="187">
        <v>43314</v>
      </c>
      <c r="C14755" s="189">
        <v>2.98</v>
      </c>
      <c r="D14755" s="104">
        <f t="shared" si="239"/>
        <v>2.98E-2</v>
      </c>
    </row>
    <row r="14756" spans="2:6" ht="13.8">
      <c r="B14756" s="187">
        <v>43315</v>
      </c>
      <c r="C14756" s="189">
        <v>2.95</v>
      </c>
      <c r="D14756" s="104">
        <f t="shared" si="239"/>
        <v>2.9500000000000002E-2</v>
      </c>
      <c r="E14756" s="104">
        <f>AVERAGE( D14752:D14756)</f>
        <v>2.9739999999999999E-2</v>
      </c>
      <c r="F14756" s="4" t="str">
        <f>TEXT( B14756, "ddd" )</f>
        <v>Fri</v>
      </c>
    </row>
    <row r="14757" spans="2:6" ht="13.8">
      <c r="B14757" s="187">
        <v>43318</v>
      </c>
      <c r="C14757" s="189">
        <v>2.94</v>
      </c>
      <c r="D14757" s="104">
        <f t="shared" si="239"/>
        <v>2.9399999999999999E-2</v>
      </c>
    </row>
    <row r="14758" spans="2:6" ht="13.8">
      <c r="B14758" s="187">
        <v>43319</v>
      </c>
      <c r="C14758" s="189">
        <v>2.98</v>
      </c>
      <c r="D14758" s="104">
        <f t="shared" si="239"/>
        <v>2.98E-2</v>
      </c>
    </row>
    <row r="14759" spans="2:6" ht="13.8">
      <c r="B14759" s="187">
        <v>43320</v>
      </c>
      <c r="C14759" s="189">
        <v>2.96</v>
      </c>
      <c r="D14759" s="104">
        <f t="shared" si="239"/>
        <v>2.9600000000000001E-2</v>
      </c>
    </row>
    <row r="14760" spans="2:6" ht="13.8">
      <c r="B14760" s="187">
        <v>43321</v>
      </c>
      <c r="C14760" s="189">
        <v>2.93</v>
      </c>
      <c r="D14760" s="104">
        <f t="shared" si="239"/>
        <v>2.9300000000000003E-2</v>
      </c>
    </row>
    <row r="14761" spans="2:6" ht="13.8">
      <c r="B14761" s="187">
        <v>43322</v>
      </c>
      <c r="C14761" s="189">
        <v>2.87</v>
      </c>
      <c r="D14761" s="104">
        <f t="shared" si="239"/>
        <v>2.87E-2</v>
      </c>
      <c r="E14761" s="104">
        <f>AVERAGE( D14757:D14761)</f>
        <v>2.9360000000000004E-2</v>
      </c>
      <c r="F14761" s="4" t="str">
        <f>TEXT( B14761, "ddd" )</f>
        <v>Fri</v>
      </c>
    </row>
    <row r="14762" spans="2:6" ht="13.8">
      <c r="B14762" s="187">
        <v>43325</v>
      </c>
      <c r="C14762" s="189">
        <v>2.88</v>
      </c>
      <c r="D14762" s="104">
        <f t="shared" si="239"/>
        <v>2.8799999999999999E-2</v>
      </c>
    </row>
    <row r="14763" spans="2:6" ht="13.8">
      <c r="B14763" s="187">
        <v>43326</v>
      </c>
      <c r="C14763" s="189">
        <v>2.89</v>
      </c>
      <c r="D14763" s="104">
        <f t="shared" si="239"/>
        <v>2.8900000000000002E-2</v>
      </c>
    </row>
    <row r="14764" spans="2:6" ht="13.8">
      <c r="B14764" s="187">
        <v>43327</v>
      </c>
      <c r="C14764" s="189">
        <v>2.86</v>
      </c>
      <c r="D14764" s="104">
        <f t="shared" si="239"/>
        <v>2.86E-2</v>
      </c>
    </row>
    <row r="14765" spans="2:6" ht="13.8">
      <c r="B14765" s="187">
        <v>43328</v>
      </c>
      <c r="C14765" s="189">
        <v>2.87</v>
      </c>
      <c r="D14765" s="104">
        <f t="shared" si="239"/>
        <v>2.87E-2</v>
      </c>
    </row>
    <row r="14766" spans="2:6" ht="13.8">
      <c r="B14766" s="187">
        <v>43329</v>
      </c>
      <c r="C14766" s="189">
        <v>2.87</v>
      </c>
      <c r="D14766" s="104">
        <f t="shared" si="239"/>
        <v>2.87E-2</v>
      </c>
      <c r="E14766" s="104">
        <f>AVERAGE( D14762:D14766)</f>
        <v>2.8739999999999998E-2</v>
      </c>
      <c r="F14766" s="4" t="str">
        <f>TEXT( B14766, "ddd" )</f>
        <v>Fri</v>
      </c>
    </row>
    <row r="14767" spans="2:6" ht="13.8">
      <c r="B14767" s="187">
        <v>43332</v>
      </c>
      <c r="C14767" s="189">
        <v>2.82</v>
      </c>
      <c r="D14767" s="104">
        <f t="shared" ref="D14767:D14830" si="240">IF( LEN( C14767 ) = 0, #N/A, IF( C14767 = "ND", D14766, C14767 / 100 ) )</f>
        <v>2.8199999999999999E-2</v>
      </c>
    </row>
    <row r="14768" spans="2:6" ht="13.8">
      <c r="B14768" s="187">
        <v>43333</v>
      </c>
      <c r="C14768" s="189">
        <v>2.85</v>
      </c>
      <c r="D14768" s="104">
        <f t="shared" si="240"/>
        <v>2.8500000000000001E-2</v>
      </c>
    </row>
    <row r="14769" spans="2:6" ht="13.8">
      <c r="B14769" s="187">
        <v>43334</v>
      </c>
      <c r="C14769" s="189">
        <v>2.82</v>
      </c>
      <c r="D14769" s="104">
        <f t="shared" si="240"/>
        <v>2.8199999999999999E-2</v>
      </c>
    </row>
    <row r="14770" spans="2:6" ht="13.8">
      <c r="B14770" s="187">
        <v>43335</v>
      </c>
      <c r="C14770" s="189">
        <v>2.82</v>
      </c>
      <c r="D14770" s="104">
        <f t="shared" si="240"/>
        <v>2.8199999999999999E-2</v>
      </c>
    </row>
    <row r="14771" spans="2:6" ht="13.8">
      <c r="B14771" s="187">
        <v>43336</v>
      </c>
      <c r="C14771" s="189">
        <v>2.82</v>
      </c>
      <c r="D14771" s="104">
        <f t="shared" si="240"/>
        <v>2.8199999999999999E-2</v>
      </c>
      <c r="E14771" s="104">
        <f>AVERAGE( D14767:D14771)</f>
        <v>2.826E-2</v>
      </c>
      <c r="F14771" s="4" t="str">
        <f>TEXT( B14771, "ddd" )</f>
        <v>Fri</v>
      </c>
    </row>
    <row r="14772" spans="2:6" ht="13.8">
      <c r="B14772" s="187">
        <v>43339</v>
      </c>
      <c r="C14772" s="189">
        <v>2.85</v>
      </c>
      <c r="D14772" s="104">
        <f t="shared" si="240"/>
        <v>2.8500000000000001E-2</v>
      </c>
    </row>
    <row r="14773" spans="2:6" ht="13.8">
      <c r="B14773" s="187">
        <v>43340</v>
      </c>
      <c r="C14773" s="189">
        <v>2.88</v>
      </c>
      <c r="D14773" s="104">
        <f t="shared" si="240"/>
        <v>2.8799999999999999E-2</v>
      </c>
    </row>
    <row r="14774" spans="2:6" ht="13.8">
      <c r="B14774" s="187">
        <v>43341</v>
      </c>
      <c r="C14774" s="189">
        <v>2.89</v>
      </c>
      <c r="D14774" s="104">
        <f t="shared" si="240"/>
        <v>2.8900000000000002E-2</v>
      </c>
    </row>
    <row r="14775" spans="2:6" ht="13.8">
      <c r="B14775" s="187">
        <v>43342</v>
      </c>
      <c r="C14775" s="189">
        <v>2.86</v>
      </c>
      <c r="D14775" s="104">
        <f t="shared" si="240"/>
        <v>2.86E-2</v>
      </c>
    </row>
    <row r="14776" spans="2:6" ht="13.8">
      <c r="B14776" s="187">
        <v>43343</v>
      </c>
      <c r="C14776" s="189">
        <v>2.86</v>
      </c>
      <c r="D14776" s="104">
        <f t="shared" si="240"/>
        <v>2.86E-2</v>
      </c>
      <c r="E14776" s="104">
        <f>AVERAGE( D14772:D14776)</f>
        <v>2.8680000000000001E-2</v>
      </c>
      <c r="F14776" s="4" t="str">
        <f>TEXT( B14776, "ddd" )</f>
        <v>Fri</v>
      </c>
    </row>
    <row r="14777" spans="2:6" ht="13.8">
      <c r="B14777" s="187">
        <v>43346</v>
      </c>
      <c r="C14777" s="189" t="s">
        <v>380</v>
      </c>
      <c r="D14777" s="104">
        <f t="shared" si="240"/>
        <v>2.86E-2</v>
      </c>
    </row>
    <row r="14778" spans="2:6" ht="13.8">
      <c r="B14778" s="187">
        <v>43347</v>
      </c>
      <c r="C14778" s="189">
        <v>2.9</v>
      </c>
      <c r="D14778" s="104">
        <f t="shared" si="240"/>
        <v>2.8999999999999998E-2</v>
      </c>
    </row>
    <row r="14779" spans="2:6" ht="13.8">
      <c r="B14779" s="187">
        <v>43348</v>
      </c>
      <c r="C14779" s="189">
        <v>2.9</v>
      </c>
      <c r="D14779" s="104">
        <f t="shared" si="240"/>
        <v>2.8999999999999998E-2</v>
      </c>
    </row>
    <row r="14780" spans="2:6" ht="13.8">
      <c r="B14780" s="187">
        <v>43349</v>
      </c>
      <c r="C14780" s="189">
        <v>2.88</v>
      </c>
      <c r="D14780" s="104">
        <f t="shared" si="240"/>
        <v>2.8799999999999999E-2</v>
      </c>
    </row>
    <row r="14781" spans="2:6" ht="13.8">
      <c r="B14781" s="187">
        <v>43350</v>
      </c>
      <c r="C14781" s="189">
        <v>2.94</v>
      </c>
      <c r="D14781" s="104">
        <f t="shared" si="240"/>
        <v>2.9399999999999999E-2</v>
      </c>
      <c r="E14781" s="104">
        <f>AVERAGE( D14777:D14781)</f>
        <v>2.8960000000000003E-2</v>
      </c>
      <c r="F14781" s="4" t="str">
        <f>TEXT( B14781, "ddd" )</f>
        <v>Fri</v>
      </c>
    </row>
    <row r="14782" spans="2:6" ht="13.8">
      <c r="B14782" s="187">
        <v>43353</v>
      </c>
      <c r="C14782" s="189">
        <v>2.94</v>
      </c>
      <c r="D14782" s="104">
        <f t="shared" si="240"/>
        <v>2.9399999999999999E-2</v>
      </c>
    </row>
    <row r="14783" spans="2:6" ht="13.8">
      <c r="B14783" s="187">
        <v>43354</v>
      </c>
      <c r="C14783" s="189">
        <v>2.98</v>
      </c>
      <c r="D14783" s="104">
        <f t="shared" si="240"/>
        <v>2.98E-2</v>
      </c>
    </row>
    <row r="14784" spans="2:6" ht="13.8">
      <c r="B14784" s="187">
        <v>43355</v>
      </c>
      <c r="C14784" s="189">
        <v>2.97</v>
      </c>
      <c r="D14784" s="104">
        <f t="shared" si="240"/>
        <v>2.9700000000000001E-2</v>
      </c>
    </row>
    <row r="14785" spans="2:6" ht="13.8">
      <c r="B14785" s="187">
        <v>43356</v>
      </c>
      <c r="C14785" s="189">
        <v>2.97</v>
      </c>
      <c r="D14785" s="104">
        <f t="shared" si="240"/>
        <v>2.9700000000000001E-2</v>
      </c>
    </row>
    <row r="14786" spans="2:6" ht="13.8">
      <c r="B14786" s="187">
        <v>43357</v>
      </c>
      <c r="C14786" s="189">
        <v>2.99</v>
      </c>
      <c r="D14786" s="104">
        <f t="shared" si="240"/>
        <v>2.9900000000000003E-2</v>
      </c>
      <c r="E14786" s="104">
        <f>AVERAGE( D14782:D14786)</f>
        <v>2.9700000000000004E-2</v>
      </c>
      <c r="F14786" s="4" t="str">
        <f>TEXT( B14786, "ddd" )</f>
        <v>Fri</v>
      </c>
    </row>
    <row r="14787" spans="2:6" ht="13.8">
      <c r="B14787" s="187">
        <v>43360</v>
      </c>
      <c r="C14787" s="189">
        <v>2.99</v>
      </c>
      <c r="D14787" s="104">
        <f t="shared" si="240"/>
        <v>2.9900000000000003E-2</v>
      </c>
    </row>
    <row r="14788" spans="2:6" ht="13.8">
      <c r="B14788" s="187">
        <v>43361</v>
      </c>
      <c r="C14788" s="189">
        <v>3.05</v>
      </c>
      <c r="D14788" s="104">
        <f t="shared" si="240"/>
        <v>3.0499999999999999E-2</v>
      </c>
    </row>
    <row r="14789" spans="2:6" ht="13.8">
      <c r="B14789" s="187">
        <v>43362</v>
      </c>
      <c r="C14789" s="189">
        <v>3.08</v>
      </c>
      <c r="D14789" s="104">
        <f t="shared" si="240"/>
        <v>3.0800000000000001E-2</v>
      </c>
    </row>
    <row r="14790" spans="2:6" ht="13.8">
      <c r="B14790" s="187">
        <v>43363</v>
      </c>
      <c r="C14790" s="189">
        <v>3.07</v>
      </c>
      <c r="D14790" s="104">
        <f t="shared" si="240"/>
        <v>3.0699999999999998E-2</v>
      </c>
    </row>
    <row r="14791" spans="2:6" ht="13.8">
      <c r="B14791" s="187">
        <v>43364</v>
      </c>
      <c r="C14791" s="189">
        <v>3.07</v>
      </c>
      <c r="D14791" s="104">
        <f>IF( LEN( C14791 ) = 0, #N/A, IF( C14791 = "ND", D14790, C14791 / 100 ) )</f>
        <v>3.0699999999999998E-2</v>
      </c>
      <c r="E14791" s="104">
        <f>AVERAGE( D14787:D14791)</f>
        <v>3.0520000000000002E-2</v>
      </c>
      <c r="F14791" s="4" t="str">
        <f>TEXT( B14791, "ddd" )</f>
        <v>Fri</v>
      </c>
    </row>
    <row r="14792" spans="2:6" ht="13.8">
      <c r="B14792" s="187">
        <v>43367</v>
      </c>
      <c r="C14792" s="189">
        <v>3.08</v>
      </c>
      <c r="D14792" s="104">
        <f t="shared" si="240"/>
        <v>3.0800000000000001E-2</v>
      </c>
    </row>
    <row r="14793" spans="2:6" ht="13.8">
      <c r="B14793" s="187">
        <v>43368</v>
      </c>
      <c r="C14793" s="189">
        <v>3.1</v>
      </c>
      <c r="D14793" s="104">
        <f t="shared" si="240"/>
        <v>3.1E-2</v>
      </c>
    </row>
    <row r="14794" spans="2:6" ht="13.8">
      <c r="B14794" s="187">
        <v>43369</v>
      </c>
      <c r="C14794" s="189">
        <v>3.06</v>
      </c>
      <c r="D14794" s="104">
        <f t="shared" si="240"/>
        <v>3.0600000000000002E-2</v>
      </c>
    </row>
    <row r="14795" spans="2:6" ht="13.8">
      <c r="B14795" s="187">
        <v>43370</v>
      </c>
      <c r="C14795" s="189">
        <v>3.06</v>
      </c>
      <c r="D14795" s="104">
        <f t="shared" si="240"/>
        <v>3.0600000000000002E-2</v>
      </c>
    </row>
    <row r="14796" spans="2:6" ht="13.8">
      <c r="B14796" s="187">
        <v>43371</v>
      </c>
      <c r="C14796" s="189">
        <v>3.05</v>
      </c>
      <c r="D14796" s="104">
        <f t="shared" si="240"/>
        <v>3.0499999999999999E-2</v>
      </c>
      <c r="E14796" s="104">
        <f>AVERAGE( D14792:D14796)</f>
        <v>3.0700000000000005E-2</v>
      </c>
      <c r="F14796" s="4" t="str">
        <f>TEXT( B14796, "ddd" )</f>
        <v>Fri</v>
      </c>
    </row>
    <row r="14797" spans="2:6" ht="13.8">
      <c r="B14797" s="187">
        <v>43374</v>
      </c>
      <c r="C14797" s="189">
        <v>3.09</v>
      </c>
      <c r="D14797" s="104">
        <f>IF( LEN( C14797 ) = 0, #N/A, IF( C14797 = "ND", D14796, C14797 / 100 ) )</f>
        <v>3.0899999999999997E-2</v>
      </c>
    </row>
    <row r="14798" spans="2:6" ht="13.8">
      <c r="B14798" s="187">
        <v>43375</v>
      </c>
      <c r="C14798" s="189">
        <v>3.05</v>
      </c>
      <c r="D14798" s="104">
        <f>IF( LEN( C14798 ) = 0, #N/A, IF( C14798 = "ND", D14797, C14798 / 100 ) )</f>
        <v>3.0499999999999999E-2</v>
      </c>
    </row>
    <row r="14799" spans="2:6" ht="13.8">
      <c r="B14799" s="187">
        <v>43376</v>
      </c>
      <c r="C14799" s="189">
        <v>3.15</v>
      </c>
      <c r="D14799" s="104">
        <f t="shared" si="240"/>
        <v>3.15E-2</v>
      </c>
    </row>
    <row r="14800" spans="2:6" ht="13.8">
      <c r="B14800" s="187">
        <v>43377</v>
      </c>
      <c r="C14800" s="189">
        <v>3.19</v>
      </c>
      <c r="D14800" s="104">
        <f t="shared" si="240"/>
        <v>3.1899999999999998E-2</v>
      </c>
    </row>
    <row r="14801" spans="2:6" ht="13.8">
      <c r="B14801" s="187">
        <v>43378</v>
      </c>
      <c r="C14801" s="189">
        <v>3.23</v>
      </c>
      <c r="D14801" s="104">
        <f t="shared" si="240"/>
        <v>3.2300000000000002E-2</v>
      </c>
      <c r="E14801" s="104">
        <f>AVERAGE( D14797:D14801)</f>
        <v>3.1419999999999997E-2</v>
      </c>
      <c r="F14801" s="4" t="str">
        <f>TEXT( B14801, "ddd" )</f>
        <v>Fri</v>
      </c>
    </row>
    <row r="14802" spans="2:6" ht="13.8">
      <c r="B14802" s="187">
        <v>43381</v>
      </c>
      <c r="C14802" s="189" t="s">
        <v>380</v>
      </c>
      <c r="D14802" s="104">
        <f t="shared" si="240"/>
        <v>3.2300000000000002E-2</v>
      </c>
    </row>
    <row r="14803" spans="2:6" ht="13.8">
      <c r="B14803" s="187">
        <v>43382</v>
      </c>
      <c r="C14803" s="189">
        <v>3.21</v>
      </c>
      <c r="D14803" s="104">
        <f t="shared" si="240"/>
        <v>3.2099999999999997E-2</v>
      </c>
    </row>
    <row r="14804" spans="2:6" ht="13.8">
      <c r="B14804" s="187">
        <v>43383</v>
      </c>
      <c r="C14804" s="189">
        <v>3.22</v>
      </c>
      <c r="D14804" s="104">
        <f t="shared" si="240"/>
        <v>3.2199999999999999E-2</v>
      </c>
    </row>
    <row r="14805" spans="2:6" ht="13.8">
      <c r="B14805" s="187">
        <v>43384</v>
      </c>
      <c r="C14805" s="189">
        <v>3.14</v>
      </c>
      <c r="D14805" s="104">
        <f t="shared" si="240"/>
        <v>3.1400000000000004E-2</v>
      </c>
    </row>
    <row r="14806" spans="2:6" ht="13.8">
      <c r="B14806" s="187">
        <v>43385</v>
      </c>
      <c r="C14806" s="189">
        <v>3.15</v>
      </c>
      <c r="D14806" s="104">
        <f t="shared" si="240"/>
        <v>3.15E-2</v>
      </c>
      <c r="E14806" s="104">
        <f>AVERAGE( D14802:D14806)</f>
        <v>3.1899999999999998E-2</v>
      </c>
      <c r="F14806" s="4" t="str">
        <f>TEXT( B14806, "ddd" )</f>
        <v>Fri</v>
      </c>
    </row>
    <row r="14807" spans="2:6" ht="13.8">
      <c r="B14807" s="187">
        <v>43388</v>
      </c>
      <c r="C14807" s="189">
        <v>3.16</v>
      </c>
      <c r="D14807" s="104">
        <f t="shared" si="240"/>
        <v>3.1600000000000003E-2</v>
      </c>
    </row>
    <row r="14808" spans="2:6" ht="13.8">
      <c r="B14808" s="187">
        <v>43389</v>
      </c>
      <c r="C14808" s="189">
        <v>3.16</v>
      </c>
      <c r="D14808" s="104">
        <f t="shared" si="240"/>
        <v>3.1600000000000003E-2</v>
      </c>
    </row>
    <row r="14809" spans="2:6" ht="13.8">
      <c r="B14809" s="187">
        <v>43390</v>
      </c>
      <c r="C14809" s="189">
        <v>3.19</v>
      </c>
      <c r="D14809" s="104">
        <f t="shared" si="240"/>
        <v>3.1899999999999998E-2</v>
      </c>
    </row>
    <row r="14810" spans="2:6" ht="13.8">
      <c r="B14810" s="187">
        <v>43391</v>
      </c>
      <c r="C14810" s="189">
        <v>3.17</v>
      </c>
      <c r="D14810" s="104">
        <f t="shared" si="240"/>
        <v>3.1699999999999999E-2</v>
      </c>
    </row>
    <row r="14811" spans="2:6" ht="13.8">
      <c r="B14811" s="187">
        <v>43392</v>
      </c>
      <c r="C14811" s="189">
        <v>3.2</v>
      </c>
      <c r="D14811" s="104">
        <f t="shared" si="240"/>
        <v>3.2000000000000001E-2</v>
      </c>
      <c r="E14811" s="104">
        <f>AVERAGE( D14807:D14811)</f>
        <v>3.1759999999999997E-2</v>
      </c>
      <c r="F14811" s="4" t="str">
        <f>TEXT( B14811, "ddd" )</f>
        <v>Fri</v>
      </c>
    </row>
    <row r="14812" spans="2:6" ht="13.8">
      <c r="B14812" s="187">
        <v>43395</v>
      </c>
      <c r="C14812" s="189">
        <v>3.2</v>
      </c>
      <c r="D14812" s="104">
        <f t="shared" si="240"/>
        <v>3.2000000000000001E-2</v>
      </c>
    </row>
    <row r="14813" spans="2:6" ht="13.8">
      <c r="B14813" s="187">
        <v>43396</v>
      </c>
      <c r="C14813" s="189">
        <v>3.17</v>
      </c>
      <c r="D14813" s="104">
        <f t="shared" si="240"/>
        <v>3.1699999999999999E-2</v>
      </c>
    </row>
    <row r="14814" spans="2:6" ht="13.8">
      <c r="B14814" s="187">
        <v>43397</v>
      </c>
      <c r="C14814" s="189">
        <v>3.1</v>
      </c>
      <c r="D14814" s="104">
        <f t="shared" si="240"/>
        <v>3.1E-2</v>
      </c>
    </row>
    <row r="14815" spans="2:6" ht="13.8">
      <c r="B14815" s="187">
        <v>43398</v>
      </c>
      <c r="C14815" s="189">
        <v>3.14</v>
      </c>
      <c r="D14815" s="104">
        <f t="shared" si="240"/>
        <v>3.1400000000000004E-2</v>
      </c>
    </row>
    <row r="14816" spans="2:6" ht="13.8">
      <c r="B14816" s="187">
        <v>43399</v>
      </c>
      <c r="C14816" s="189">
        <v>3.08</v>
      </c>
      <c r="D14816" s="104">
        <f t="shared" si="240"/>
        <v>3.0800000000000001E-2</v>
      </c>
      <c r="E14816" s="104">
        <f>AVERAGE( D14812:D14816)</f>
        <v>3.1380000000000005E-2</v>
      </c>
      <c r="F14816" s="4" t="str">
        <f>TEXT( B14816, "ddd" )</f>
        <v>Fri</v>
      </c>
    </row>
    <row r="14817" spans="2:6" ht="13.8">
      <c r="B14817" s="187">
        <v>43402</v>
      </c>
      <c r="C14817" s="189">
        <v>3.08</v>
      </c>
      <c r="D14817" s="104">
        <f t="shared" si="240"/>
        <v>3.0800000000000001E-2</v>
      </c>
    </row>
    <row r="14818" spans="2:6" ht="13.8">
      <c r="B14818" s="187">
        <v>43403</v>
      </c>
      <c r="C14818" s="189">
        <v>3.12</v>
      </c>
      <c r="D14818" s="104">
        <f t="shared" si="240"/>
        <v>3.1200000000000002E-2</v>
      </c>
    </row>
    <row r="14819" spans="2:6" ht="13.8">
      <c r="B14819" s="187">
        <v>43404</v>
      </c>
      <c r="C14819" s="189">
        <v>3.15</v>
      </c>
      <c r="D14819" s="104">
        <f t="shared" si="240"/>
        <v>3.15E-2</v>
      </c>
    </row>
    <row r="14820" spans="2:6" ht="13.8">
      <c r="B14820" s="187">
        <v>43405</v>
      </c>
      <c r="C14820" s="189">
        <v>3.14</v>
      </c>
      <c r="D14820" s="104">
        <f t="shared" si="240"/>
        <v>3.1400000000000004E-2</v>
      </c>
    </row>
    <row r="14821" spans="2:6" ht="13.8">
      <c r="B14821" s="187">
        <v>43406</v>
      </c>
      <c r="C14821" s="189">
        <v>3.22</v>
      </c>
      <c r="D14821" s="104">
        <f t="shared" si="240"/>
        <v>3.2199999999999999E-2</v>
      </c>
      <c r="E14821" s="104">
        <f>AVERAGE( D14817:D14821)</f>
        <v>3.1420000000000003E-2</v>
      </c>
      <c r="F14821" s="4" t="str">
        <f>TEXT( B14821, "ddd" )</f>
        <v>Fri</v>
      </c>
    </row>
    <row r="14822" spans="2:6" ht="13.8">
      <c r="B14822" s="187">
        <v>43409</v>
      </c>
      <c r="C14822" s="189">
        <v>3.2</v>
      </c>
      <c r="D14822" s="104">
        <f t="shared" si="240"/>
        <v>3.2000000000000001E-2</v>
      </c>
    </row>
    <row r="14823" spans="2:6" ht="13.8">
      <c r="B14823" s="187">
        <v>43410</v>
      </c>
      <c r="C14823" s="189">
        <v>3.22</v>
      </c>
      <c r="D14823" s="104">
        <f t="shared" si="240"/>
        <v>3.2199999999999999E-2</v>
      </c>
    </row>
    <row r="14824" spans="2:6" ht="13.8">
      <c r="B14824" s="187">
        <v>43411</v>
      </c>
      <c r="C14824" s="189">
        <v>3.22</v>
      </c>
      <c r="D14824" s="104">
        <f t="shared" si="240"/>
        <v>3.2199999999999999E-2</v>
      </c>
    </row>
    <row r="14825" spans="2:6" ht="13.8">
      <c r="B14825" s="187">
        <v>43412</v>
      </c>
      <c r="C14825" s="189">
        <v>3.24</v>
      </c>
      <c r="D14825" s="104">
        <f t="shared" si="240"/>
        <v>3.2400000000000005E-2</v>
      </c>
    </row>
    <row r="14826" spans="2:6" ht="13.8">
      <c r="B14826" s="187">
        <v>43413</v>
      </c>
      <c r="C14826" s="189">
        <v>3.19</v>
      </c>
      <c r="D14826" s="104">
        <f t="shared" si="240"/>
        <v>3.1899999999999998E-2</v>
      </c>
      <c r="E14826" s="104">
        <f>AVERAGE( D14822:D14826)</f>
        <v>3.2140000000000002E-2</v>
      </c>
      <c r="F14826" s="4" t="str">
        <f>TEXT( B14826, "ddd" )</f>
        <v>Fri</v>
      </c>
    </row>
    <row r="14827" spans="2:6" ht="13.8">
      <c r="B14827" s="187">
        <v>43416</v>
      </c>
      <c r="C14827" s="189" t="s">
        <v>380</v>
      </c>
      <c r="D14827" s="104">
        <f t="shared" si="240"/>
        <v>3.1899999999999998E-2</v>
      </c>
    </row>
    <row r="14828" spans="2:6" ht="13.8">
      <c r="B14828" s="187">
        <v>43417</v>
      </c>
      <c r="C14828" s="189">
        <v>3.14</v>
      </c>
      <c r="D14828" s="104">
        <f t="shared" si="240"/>
        <v>3.1400000000000004E-2</v>
      </c>
    </row>
    <row r="14829" spans="2:6" ht="13.8">
      <c r="B14829" s="187">
        <v>43418</v>
      </c>
      <c r="C14829" s="189">
        <v>3.12</v>
      </c>
      <c r="D14829" s="104">
        <f t="shared" si="240"/>
        <v>3.1200000000000002E-2</v>
      </c>
    </row>
    <row r="14830" spans="2:6" ht="13.8">
      <c r="B14830" s="187">
        <v>43419</v>
      </c>
      <c r="C14830" s="189">
        <v>3.11</v>
      </c>
      <c r="D14830" s="104">
        <f t="shared" si="240"/>
        <v>3.1099999999999999E-2</v>
      </c>
    </row>
    <row r="14831" spans="2:6" ht="13.8">
      <c r="B14831" s="187">
        <v>43420</v>
      </c>
      <c r="C14831" s="189">
        <v>3.08</v>
      </c>
      <c r="D14831" s="104">
        <f t="shared" ref="D14831:D14865" si="241">IF( LEN( C14831 ) = 0, #N/A, IF( C14831 = "ND", D14830, C14831 / 100 ) )</f>
        <v>3.0800000000000001E-2</v>
      </c>
      <c r="E14831" s="104">
        <f>AVERAGE( D14827:D14831)</f>
        <v>3.1279999999999995E-2</v>
      </c>
      <c r="F14831" s="4" t="str">
        <f>TEXT( B14831, "ddd" )</f>
        <v>Fri</v>
      </c>
    </row>
    <row r="14832" spans="2:6" ht="13.8">
      <c r="B14832" s="187">
        <v>43423</v>
      </c>
      <c r="C14832" s="189">
        <v>3.06</v>
      </c>
      <c r="D14832" s="104">
        <f t="shared" si="241"/>
        <v>3.0600000000000002E-2</v>
      </c>
    </row>
    <row r="14833" spans="2:6" ht="13.8">
      <c r="B14833" s="187">
        <v>43424</v>
      </c>
      <c r="C14833" s="189">
        <v>3.06</v>
      </c>
      <c r="D14833" s="104">
        <f t="shared" si="241"/>
        <v>3.0600000000000002E-2</v>
      </c>
    </row>
    <row r="14834" spans="2:6" ht="13.8">
      <c r="B14834" s="187">
        <v>43425</v>
      </c>
      <c r="C14834" s="189">
        <v>3.06</v>
      </c>
      <c r="D14834" s="104">
        <f t="shared" si="241"/>
        <v>3.0600000000000002E-2</v>
      </c>
    </row>
    <row r="14835" spans="2:6" ht="13.8">
      <c r="B14835" s="187">
        <v>43426</v>
      </c>
      <c r="C14835" s="189" t="s">
        <v>380</v>
      </c>
      <c r="D14835" s="104">
        <f t="shared" si="241"/>
        <v>3.0600000000000002E-2</v>
      </c>
    </row>
    <row r="14836" spans="2:6" ht="13.8">
      <c r="B14836" s="187">
        <v>43427</v>
      </c>
      <c r="C14836" s="189">
        <v>3.05</v>
      </c>
      <c r="D14836" s="104">
        <f t="shared" si="241"/>
        <v>3.0499999999999999E-2</v>
      </c>
      <c r="E14836" s="104">
        <f>AVERAGE( D14832:D14836)</f>
        <v>3.0580000000000003E-2</v>
      </c>
      <c r="F14836" s="4" t="str">
        <f>TEXT( B14836, "ddd" )</f>
        <v>Fri</v>
      </c>
    </row>
    <row r="14837" spans="2:6" ht="13.8">
      <c r="B14837" s="187">
        <v>43430</v>
      </c>
      <c r="C14837" s="189">
        <v>3.07</v>
      </c>
      <c r="D14837" s="104">
        <f t="shared" si="241"/>
        <v>3.0699999999999998E-2</v>
      </c>
    </row>
    <row r="14838" spans="2:6" ht="13.8">
      <c r="B14838" s="187">
        <v>43431</v>
      </c>
      <c r="C14838" s="189">
        <v>3.06</v>
      </c>
      <c r="D14838" s="104">
        <f t="shared" si="241"/>
        <v>3.0600000000000002E-2</v>
      </c>
    </row>
    <row r="14839" spans="2:6" ht="13.8">
      <c r="B14839" s="187">
        <v>43432</v>
      </c>
      <c r="C14839" s="189">
        <v>3.06</v>
      </c>
      <c r="D14839" s="104">
        <f t="shared" si="241"/>
        <v>3.0600000000000002E-2</v>
      </c>
    </row>
    <row r="14840" spans="2:6" ht="13.8">
      <c r="B14840" s="187">
        <v>43433</v>
      </c>
      <c r="C14840" s="189">
        <v>3.03</v>
      </c>
      <c r="D14840" s="104">
        <f t="shared" si="241"/>
        <v>3.0299999999999997E-2</v>
      </c>
    </row>
    <row r="14841" spans="2:6" ht="13.8">
      <c r="B14841" s="187">
        <v>43434</v>
      </c>
      <c r="C14841" s="189">
        <v>3.01</v>
      </c>
      <c r="D14841" s="104">
        <f t="shared" si="241"/>
        <v>3.0099999999999998E-2</v>
      </c>
      <c r="E14841" s="104">
        <f>AVERAGE( D14837:D14841)</f>
        <v>3.0459999999999997E-2</v>
      </c>
      <c r="F14841" s="4" t="str">
        <f>TEXT( B14841, "ddd" )</f>
        <v>Fri</v>
      </c>
    </row>
    <row r="14842" spans="2:6" ht="13.8">
      <c r="B14842" s="187">
        <v>43437</v>
      </c>
      <c r="C14842" s="189">
        <v>2.98</v>
      </c>
      <c r="D14842" s="104">
        <f t="shared" si="241"/>
        <v>2.98E-2</v>
      </c>
    </row>
    <row r="14843" spans="2:6" ht="13.8">
      <c r="B14843" s="187">
        <v>43438</v>
      </c>
      <c r="C14843" s="189">
        <v>2.91</v>
      </c>
      <c r="D14843" s="104">
        <f t="shared" si="241"/>
        <v>2.9100000000000001E-2</v>
      </c>
    </row>
    <row r="14844" spans="2:6" ht="13.8">
      <c r="B14844" s="187">
        <v>43439</v>
      </c>
      <c r="C14844" s="189" t="s">
        <v>380</v>
      </c>
      <c r="D14844" s="104">
        <f t="shared" si="241"/>
        <v>2.9100000000000001E-2</v>
      </c>
    </row>
    <row r="14845" spans="2:6" ht="13.8">
      <c r="B14845" s="187">
        <v>43440</v>
      </c>
      <c r="C14845" s="189">
        <v>2.87</v>
      </c>
      <c r="D14845" s="104">
        <f t="shared" si="241"/>
        <v>2.87E-2</v>
      </c>
    </row>
    <row r="14846" spans="2:6" ht="13.8">
      <c r="B14846" s="187">
        <v>43441</v>
      </c>
      <c r="C14846" s="189">
        <v>2.85</v>
      </c>
      <c r="D14846" s="104">
        <f t="shared" si="241"/>
        <v>2.8500000000000001E-2</v>
      </c>
      <c r="E14846" s="104">
        <f>AVERAGE( D14842:D14846)</f>
        <v>2.904E-2</v>
      </c>
      <c r="F14846" s="4" t="str">
        <f>TEXT( B14846, "ddd" )</f>
        <v>Fri</v>
      </c>
    </row>
    <row r="14847" spans="2:6" ht="13.8">
      <c r="B14847" s="187">
        <v>43444</v>
      </c>
      <c r="C14847" s="189">
        <v>2.85</v>
      </c>
      <c r="D14847" s="104">
        <f t="shared" si="241"/>
        <v>2.8500000000000001E-2</v>
      </c>
    </row>
    <row r="14848" spans="2:6" ht="13.8">
      <c r="B14848" s="187">
        <v>43445</v>
      </c>
      <c r="C14848" s="189">
        <v>2.89</v>
      </c>
      <c r="D14848" s="104">
        <f t="shared" si="241"/>
        <v>2.8900000000000002E-2</v>
      </c>
    </row>
    <row r="14849" spans="2:6" ht="13.8">
      <c r="B14849" s="187">
        <v>43446</v>
      </c>
      <c r="C14849" s="189">
        <v>2.91</v>
      </c>
      <c r="D14849" s="104">
        <f t="shared" si="241"/>
        <v>2.9100000000000001E-2</v>
      </c>
    </row>
    <row r="14850" spans="2:6" ht="13.8">
      <c r="B14850" s="187">
        <v>43447</v>
      </c>
      <c r="C14850" s="189">
        <v>2.91</v>
      </c>
      <c r="D14850" s="104">
        <f t="shared" si="241"/>
        <v>2.9100000000000001E-2</v>
      </c>
    </row>
    <row r="14851" spans="2:6" ht="13.8">
      <c r="B14851" s="187">
        <v>43448</v>
      </c>
      <c r="C14851" s="189">
        <v>2.89</v>
      </c>
      <c r="D14851" s="104">
        <f t="shared" si="241"/>
        <v>2.8900000000000002E-2</v>
      </c>
      <c r="E14851" s="104">
        <f>AVERAGE( D14847:D14851)</f>
        <v>2.8900000000000002E-2</v>
      </c>
      <c r="F14851" s="4" t="str">
        <f>TEXT( B14851, "ddd" )</f>
        <v>Fri</v>
      </c>
    </row>
    <row r="14852" spans="2:6" ht="13.8">
      <c r="B14852" s="187">
        <v>43451</v>
      </c>
      <c r="C14852" s="189">
        <v>2.86</v>
      </c>
      <c r="D14852" s="104">
        <f t="shared" si="241"/>
        <v>2.86E-2</v>
      </c>
    </row>
    <row r="14853" spans="2:6" ht="13.8">
      <c r="B14853" s="187">
        <v>43452</v>
      </c>
      <c r="C14853" s="189">
        <v>2.82</v>
      </c>
      <c r="D14853" s="104">
        <f t="shared" si="241"/>
        <v>2.8199999999999999E-2</v>
      </c>
    </row>
    <row r="14854" spans="2:6" ht="13.8">
      <c r="B14854" s="187">
        <v>43453</v>
      </c>
      <c r="C14854" s="189">
        <v>2.77</v>
      </c>
      <c r="D14854" s="104">
        <f t="shared" si="241"/>
        <v>2.7699999999999999E-2</v>
      </c>
    </row>
    <row r="14855" spans="2:6" ht="13.8">
      <c r="B14855" s="187">
        <v>43454</v>
      </c>
      <c r="C14855" s="189">
        <v>2.79</v>
      </c>
      <c r="D14855" s="104">
        <f t="shared" si="241"/>
        <v>2.7900000000000001E-2</v>
      </c>
    </row>
    <row r="14856" spans="2:6" ht="13.8">
      <c r="B14856" s="187">
        <v>43455</v>
      </c>
      <c r="C14856" s="189">
        <v>2.79</v>
      </c>
      <c r="D14856" s="104">
        <f t="shared" si="241"/>
        <v>2.7900000000000001E-2</v>
      </c>
      <c r="E14856" s="104">
        <f>AVERAGE( D14852:D14856)</f>
        <v>2.8060000000000002E-2</v>
      </c>
      <c r="F14856" s="4" t="str">
        <f>TEXT( B14856, "ddd" )</f>
        <v>Fri</v>
      </c>
    </row>
    <row r="14857" spans="2:6" ht="13.8">
      <c r="B14857" s="187">
        <v>43458</v>
      </c>
      <c r="C14857" s="189">
        <v>2.74</v>
      </c>
      <c r="D14857" s="104">
        <f t="shared" si="241"/>
        <v>2.7400000000000001E-2</v>
      </c>
    </row>
    <row r="14858" spans="2:6" ht="13.8">
      <c r="B14858" s="187">
        <v>43459</v>
      </c>
      <c r="C14858" s="189" t="s">
        <v>380</v>
      </c>
      <c r="D14858" s="104">
        <f t="shared" si="241"/>
        <v>2.7400000000000001E-2</v>
      </c>
    </row>
    <row r="14859" spans="2:6" ht="13.8">
      <c r="B14859" s="187">
        <v>43460</v>
      </c>
      <c r="C14859" s="189">
        <v>2.81</v>
      </c>
      <c r="D14859" s="104">
        <f t="shared" si="241"/>
        <v>2.81E-2</v>
      </c>
    </row>
    <row r="14860" spans="2:6" ht="13.8">
      <c r="B14860" s="187">
        <v>43461</v>
      </c>
      <c r="C14860" s="189">
        <v>2.77</v>
      </c>
      <c r="D14860" s="104">
        <f t="shared" si="241"/>
        <v>2.7699999999999999E-2</v>
      </c>
    </row>
    <row r="14861" spans="2:6" ht="13.8">
      <c r="B14861" s="187">
        <v>43462</v>
      </c>
      <c r="C14861" s="189">
        <v>2.72</v>
      </c>
      <c r="D14861" s="104">
        <f t="shared" si="241"/>
        <v>2.7200000000000002E-2</v>
      </c>
      <c r="E14861" s="104">
        <f>AVERAGE( D14857:D14861)</f>
        <v>2.7560000000000001E-2</v>
      </c>
      <c r="F14861" s="4" t="str">
        <f>TEXT( B14861, "ddd" )</f>
        <v>Fri</v>
      </c>
    </row>
    <row r="14862" spans="2:6" ht="13.8">
      <c r="B14862" s="187">
        <v>43465</v>
      </c>
      <c r="C14862" s="189">
        <v>2.69</v>
      </c>
      <c r="D14862" s="104">
        <f t="shared" si="241"/>
        <v>2.69E-2</v>
      </c>
    </row>
    <row r="14863" spans="2:6" ht="13.8">
      <c r="B14863" s="187">
        <v>43466</v>
      </c>
      <c r="C14863" s="189" t="s">
        <v>380</v>
      </c>
      <c r="D14863" s="104">
        <f t="shared" si="241"/>
        <v>2.69E-2</v>
      </c>
    </row>
    <row r="14864" spans="2:6" ht="13.8">
      <c r="B14864" s="187">
        <v>43467</v>
      </c>
      <c r="C14864" s="189">
        <v>2.66</v>
      </c>
      <c r="D14864" s="104">
        <f t="shared" si="241"/>
        <v>2.6600000000000002E-2</v>
      </c>
    </row>
    <row r="14865" spans="2:6" ht="13.8">
      <c r="B14865" s="187">
        <v>43468</v>
      </c>
      <c r="C14865" s="189">
        <v>2.56</v>
      </c>
      <c r="D14865" s="104">
        <f t="shared" si="241"/>
        <v>2.5600000000000001E-2</v>
      </c>
    </row>
    <row r="14866" spans="2:6" ht="13.8">
      <c r="B14866" s="187">
        <v>43469</v>
      </c>
      <c r="C14866" s="189">
        <v>2.67</v>
      </c>
      <c r="D14866" s="104">
        <f>IF( LEN( C14866 ) = 0, #N/A, IF( C14866 = "ND", D14865, C14866 / 100 ) )</f>
        <v>2.6699999999999998E-2</v>
      </c>
      <c r="E14866" s="104">
        <f>AVERAGE( D14862:D14866)</f>
        <v>2.6539999999999998E-2</v>
      </c>
      <c r="F14866" s="4" t="str">
        <f>TEXT( B14866, "ddd" )</f>
        <v>Fri</v>
      </c>
    </row>
    <row r="14867" spans="2:6" ht="13.8">
      <c r="B14867" s="187">
        <v>43472</v>
      </c>
      <c r="C14867" s="189">
        <v>2.7</v>
      </c>
      <c r="D14867" s="104">
        <f t="shared" ref="D14867:D14901" si="242">IF( LEN( C14867 ) = 0, #N/A, IF( C14867 = "ND", D14866, C14867 / 100 ) )</f>
        <v>2.7000000000000003E-2</v>
      </c>
    </row>
    <row r="14868" spans="2:6" ht="13.8">
      <c r="B14868" s="187">
        <v>43473</v>
      </c>
      <c r="C14868" s="189">
        <v>2.73</v>
      </c>
      <c r="D14868" s="104">
        <f t="shared" si="242"/>
        <v>2.7300000000000001E-2</v>
      </c>
    </row>
    <row r="14869" spans="2:6" ht="13.8">
      <c r="B14869" s="187">
        <v>43474</v>
      </c>
      <c r="C14869" s="189">
        <v>2.74</v>
      </c>
      <c r="D14869" s="104">
        <f t="shared" si="242"/>
        <v>2.7400000000000001E-2</v>
      </c>
    </row>
    <row r="14870" spans="2:6" ht="13.8">
      <c r="B14870" s="187">
        <v>43475</v>
      </c>
      <c r="C14870" s="189">
        <v>2.74</v>
      </c>
      <c r="D14870" s="104">
        <f t="shared" si="242"/>
        <v>2.7400000000000001E-2</v>
      </c>
    </row>
    <row r="14871" spans="2:6" ht="13.8">
      <c r="B14871" s="187">
        <v>43476</v>
      </c>
      <c r="C14871" s="189">
        <v>2.71</v>
      </c>
      <c r="D14871" s="104">
        <f t="shared" si="242"/>
        <v>2.7099999999999999E-2</v>
      </c>
      <c r="E14871" s="104">
        <f>AVERAGE( D14867:D14871)</f>
        <v>2.7239999999999997E-2</v>
      </c>
      <c r="F14871" s="4" t="str">
        <f>TEXT( B14871, "ddd" )</f>
        <v>Fri</v>
      </c>
    </row>
    <row r="14872" spans="2:6" ht="13.8">
      <c r="B14872" s="187">
        <v>43479</v>
      </c>
      <c r="C14872" s="189">
        <v>2.71</v>
      </c>
      <c r="D14872" s="104">
        <f t="shared" si="242"/>
        <v>2.7099999999999999E-2</v>
      </c>
    </row>
    <row r="14873" spans="2:6" ht="13.8">
      <c r="B14873" s="187">
        <v>43480</v>
      </c>
      <c r="C14873" s="189">
        <v>2.72</v>
      </c>
      <c r="D14873" s="104">
        <f t="shared" si="242"/>
        <v>2.7200000000000002E-2</v>
      </c>
    </row>
    <row r="14874" spans="2:6" ht="13.8">
      <c r="B14874" s="187">
        <v>43481</v>
      </c>
      <c r="C14874" s="189">
        <v>2.73</v>
      </c>
      <c r="D14874" s="104">
        <f t="shared" si="242"/>
        <v>2.7300000000000001E-2</v>
      </c>
    </row>
    <row r="14875" spans="2:6" ht="13.8">
      <c r="B14875" s="187">
        <v>43482</v>
      </c>
      <c r="C14875" s="189">
        <v>2.75</v>
      </c>
      <c r="D14875" s="104">
        <f t="shared" si="242"/>
        <v>2.75E-2</v>
      </c>
    </row>
    <row r="14876" spans="2:6" ht="13.8">
      <c r="B14876" s="187">
        <v>43483</v>
      </c>
      <c r="C14876" s="189">
        <v>2.79</v>
      </c>
      <c r="D14876" s="104">
        <f t="shared" si="242"/>
        <v>2.7900000000000001E-2</v>
      </c>
      <c r="E14876" s="104">
        <f>AVERAGE( D14872:D14876)</f>
        <v>2.7400000000000001E-2</v>
      </c>
      <c r="F14876" s="4" t="str">
        <f>TEXT( B14876, "ddd" )</f>
        <v>Fri</v>
      </c>
    </row>
    <row r="14877" spans="2:6" ht="13.8">
      <c r="B14877" s="187">
        <v>43486</v>
      </c>
      <c r="C14877" s="189" t="s">
        <v>380</v>
      </c>
      <c r="D14877" s="104">
        <f t="shared" si="242"/>
        <v>2.7900000000000001E-2</v>
      </c>
    </row>
    <row r="14878" spans="2:6" ht="13.8">
      <c r="B14878" s="187">
        <v>43487</v>
      </c>
      <c r="C14878" s="189">
        <v>2.74</v>
      </c>
      <c r="D14878" s="104">
        <f t="shared" si="242"/>
        <v>2.7400000000000001E-2</v>
      </c>
    </row>
    <row r="14879" spans="2:6" ht="13.8">
      <c r="B14879" s="187">
        <v>43488</v>
      </c>
      <c r="C14879" s="189">
        <v>2.76</v>
      </c>
      <c r="D14879" s="104">
        <f t="shared" si="242"/>
        <v>2.76E-2</v>
      </c>
    </row>
    <row r="14880" spans="2:6" ht="13.8">
      <c r="B14880" s="187">
        <v>43489</v>
      </c>
      <c r="C14880" s="189">
        <v>2.72</v>
      </c>
      <c r="D14880" s="104">
        <f t="shared" si="242"/>
        <v>2.7200000000000002E-2</v>
      </c>
    </row>
    <row r="14881" spans="2:6" ht="13.8">
      <c r="B14881" s="187">
        <v>43490</v>
      </c>
      <c r="C14881" s="189">
        <v>2.76</v>
      </c>
      <c r="D14881" s="104">
        <f t="shared" si="242"/>
        <v>2.76E-2</v>
      </c>
      <c r="E14881" s="104">
        <f>AVERAGE( D14877:D14881)</f>
        <v>2.7539999999999999E-2</v>
      </c>
      <c r="F14881" s="4" t="str">
        <f>TEXT( B14881, "ddd" )</f>
        <v>Fri</v>
      </c>
    </row>
    <row r="14882" spans="2:6" ht="13.8">
      <c r="B14882" s="187">
        <v>43493</v>
      </c>
      <c r="C14882" s="189">
        <v>2.75</v>
      </c>
      <c r="D14882" s="104">
        <f t="shared" si="242"/>
        <v>2.75E-2</v>
      </c>
    </row>
    <row r="14883" spans="2:6" ht="13.8">
      <c r="B14883" s="187">
        <v>43494</v>
      </c>
      <c r="C14883" s="189">
        <v>2.72</v>
      </c>
      <c r="D14883" s="104">
        <f t="shared" si="242"/>
        <v>2.7200000000000002E-2</v>
      </c>
    </row>
    <row r="14884" spans="2:6" ht="13.8">
      <c r="B14884" s="187">
        <v>43495</v>
      </c>
      <c r="C14884" s="189">
        <v>2.7</v>
      </c>
      <c r="D14884" s="104">
        <f t="shared" si="242"/>
        <v>2.7000000000000003E-2</v>
      </c>
    </row>
    <row r="14885" spans="2:6" ht="13.8">
      <c r="B14885" s="187">
        <v>43496</v>
      </c>
      <c r="C14885" s="189">
        <v>2.63</v>
      </c>
      <c r="D14885" s="104">
        <f t="shared" si="242"/>
        <v>2.63E-2</v>
      </c>
    </row>
    <row r="14886" spans="2:6" ht="13.8">
      <c r="B14886" s="187">
        <v>43497</v>
      </c>
      <c r="C14886" s="189">
        <v>2.7</v>
      </c>
      <c r="D14886" s="104">
        <f t="shared" si="242"/>
        <v>2.7000000000000003E-2</v>
      </c>
      <c r="E14886" s="104">
        <f>AVERAGE( D14882:D14886)</f>
        <v>2.7000000000000003E-2</v>
      </c>
      <c r="F14886" s="4" t="str">
        <f>TEXT( B14886, "ddd" )</f>
        <v>Fri</v>
      </c>
    </row>
    <row r="14887" spans="2:6" ht="13.8">
      <c r="B14887" s="187">
        <v>43500</v>
      </c>
      <c r="C14887" s="189">
        <v>2.73</v>
      </c>
      <c r="D14887" s="104">
        <f t="shared" si="242"/>
        <v>2.7300000000000001E-2</v>
      </c>
    </row>
    <row r="14888" spans="2:6" ht="13.8">
      <c r="B14888" s="187">
        <v>43501</v>
      </c>
      <c r="C14888" s="189">
        <v>2.71</v>
      </c>
      <c r="D14888" s="104">
        <f t="shared" si="242"/>
        <v>2.7099999999999999E-2</v>
      </c>
    </row>
    <row r="14889" spans="2:6" ht="13.8">
      <c r="B14889" s="187">
        <v>43502</v>
      </c>
      <c r="C14889" s="189">
        <v>2.7</v>
      </c>
      <c r="D14889" s="104">
        <f t="shared" si="242"/>
        <v>2.7000000000000003E-2</v>
      </c>
    </row>
    <row r="14890" spans="2:6" ht="13.8">
      <c r="B14890" s="187">
        <v>43503</v>
      </c>
      <c r="C14890" s="189">
        <v>2.65</v>
      </c>
      <c r="D14890" s="104">
        <f t="shared" si="242"/>
        <v>2.6499999999999999E-2</v>
      </c>
    </row>
    <row r="14891" spans="2:6" ht="13.8">
      <c r="B14891" s="187">
        <v>43504</v>
      </c>
      <c r="C14891" s="189">
        <v>2.63</v>
      </c>
      <c r="D14891" s="104">
        <f t="shared" si="242"/>
        <v>2.63E-2</v>
      </c>
      <c r="E14891" s="104">
        <f>AVERAGE( D14887:D14891)</f>
        <v>2.6839999999999996E-2</v>
      </c>
      <c r="F14891" s="4" t="str">
        <f>TEXT( B14891, "ddd" )</f>
        <v>Fri</v>
      </c>
    </row>
    <row r="14892" spans="2:6" ht="13.8">
      <c r="B14892" s="187">
        <v>43507</v>
      </c>
      <c r="C14892" s="189">
        <v>2.65</v>
      </c>
      <c r="D14892" s="104">
        <f t="shared" si="242"/>
        <v>2.6499999999999999E-2</v>
      </c>
    </row>
    <row r="14893" spans="2:6" ht="13.8">
      <c r="B14893" s="187">
        <v>43508</v>
      </c>
      <c r="C14893" s="189">
        <v>2.68</v>
      </c>
      <c r="D14893" s="104">
        <f t="shared" si="242"/>
        <v>2.6800000000000001E-2</v>
      </c>
    </row>
    <row r="14894" spans="2:6" ht="13.8">
      <c r="B14894" s="187">
        <v>43509</v>
      </c>
      <c r="C14894" s="189">
        <v>2.71</v>
      </c>
      <c r="D14894" s="104">
        <f t="shared" si="242"/>
        <v>2.7099999999999999E-2</v>
      </c>
    </row>
    <row r="14895" spans="2:6" ht="13.8">
      <c r="B14895" s="187">
        <v>43510</v>
      </c>
      <c r="C14895" s="189">
        <v>2.66</v>
      </c>
      <c r="D14895" s="104">
        <f t="shared" si="242"/>
        <v>2.6600000000000002E-2</v>
      </c>
    </row>
    <row r="14896" spans="2:6" ht="13.8">
      <c r="B14896" s="187">
        <v>43511</v>
      </c>
      <c r="C14896" s="189">
        <v>2.66</v>
      </c>
      <c r="D14896" s="104">
        <f t="shared" si="242"/>
        <v>2.6600000000000002E-2</v>
      </c>
      <c r="E14896" s="104">
        <f>AVERAGE( D14892:D14896)</f>
        <v>2.6720000000000001E-2</v>
      </c>
      <c r="F14896" s="4" t="str">
        <f>TEXT( B14896, "ddd" )</f>
        <v>Fri</v>
      </c>
    </row>
    <row r="14897" spans="2:6" ht="13.8">
      <c r="B14897" s="187">
        <v>43514</v>
      </c>
      <c r="C14897" s="189" t="s">
        <v>380</v>
      </c>
      <c r="D14897" s="104">
        <f t="shared" si="242"/>
        <v>2.6600000000000002E-2</v>
      </c>
    </row>
    <row r="14898" spans="2:6" ht="13.8">
      <c r="B14898" s="187">
        <v>43515</v>
      </c>
      <c r="C14898" s="189">
        <v>2.65</v>
      </c>
      <c r="D14898" s="104">
        <f t="shared" si="242"/>
        <v>2.6499999999999999E-2</v>
      </c>
    </row>
    <row r="14899" spans="2:6" ht="13.8">
      <c r="B14899" s="187">
        <v>43516</v>
      </c>
      <c r="C14899" s="189">
        <v>2.65</v>
      </c>
      <c r="D14899" s="104">
        <f t="shared" si="242"/>
        <v>2.6499999999999999E-2</v>
      </c>
    </row>
    <row r="14900" spans="2:6" ht="13.8">
      <c r="B14900" s="187">
        <v>43517</v>
      </c>
      <c r="C14900" s="189">
        <v>2.69</v>
      </c>
      <c r="D14900" s="104">
        <f t="shared" si="242"/>
        <v>2.69E-2</v>
      </c>
    </row>
    <row r="14901" spans="2:6" ht="13.8">
      <c r="B14901" s="187">
        <v>43518</v>
      </c>
      <c r="C14901" s="189">
        <v>2.65</v>
      </c>
      <c r="D14901" s="104">
        <f t="shared" si="242"/>
        <v>2.6499999999999999E-2</v>
      </c>
      <c r="E14901" s="104">
        <f>AVERAGE( D14897:D14901)</f>
        <v>2.6600000000000002E-2</v>
      </c>
      <c r="F14901" s="4" t="str">
        <f>TEXT( B14901, "ddd" )</f>
        <v>Fri</v>
      </c>
    </row>
    <row r="14902" spans="2:6" ht="13.8">
      <c r="B14902" s="187">
        <v>43521</v>
      </c>
      <c r="C14902" s="189">
        <v>2.67</v>
      </c>
      <c r="D14902" s="104">
        <f t="shared" ref="D14902:D14965" si="243">IF( LEN( C14902 ) = 0, #N/A, IF( C14902 = "ND", D14901, C14902 / 100 ) )</f>
        <v>2.6699999999999998E-2</v>
      </c>
    </row>
    <row r="14903" spans="2:6" ht="13.8">
      <c r="B14903" s="187">
        <v>43522</v>
      </c>
      <c r="C14903" s="189">
        <v>2.64</v>
      </c>
      <c r="D14903" s="104">
        <f t="shared" si="243"/>
        <v>2.64E-2</v>
      </c>
    </row>
    <row r="14904" spans="2:6" ht="13.8">
      <c r="B14904" s="187">
        <v>43523</v>
      </c>
      <c r="C14904" s="189">
        <v>2.69</v>
      </c>
      <c r="D14904" s="104">
        <f t="shared" si="243"/>
        <v>2.69E-2</v>
      </c>
    </row>
    <row r="14905" spans="2:6" ht="13.8">
      <c r="B14905" s="187">
        <v>43524</v>
      </c>
      <c r="C14905" s="189">
        <v>2.73</v>
      </c>
      <c r="D14905" s="104">
        <f t="shared" si="243"/>
        <v>2.7300000000000001E-2</v>
      </c>
    </row>
    <row r="14906" spans="2:6" ht="13.8">
      <c r="B14906" s="187">
        <v>43525</v>
      </c>
      <c r="C14906" s="189">
        <v>2.76</v>
      </c>
      <c r="D14906" s="104">
        <f t="shared" si="243"/>
        <v>2.76E-2</v>
      </c>
      <c r="E14906" s="104">
        <f>AVERAGE( D14902:D14906)</f>
        <v>2.6979999999999997E-2</v>
      </c>
      <c r="F14906" s="4" t="str">
        <f>TEXT( B14906, "ddd" )</f>
        <v>Fri</v>
      </c>
    </row>
    <row r="14907" spans="2:6" ht="13.8">
      <c r="B14907" s="187">
        <v>43528</v>
      </c>
      <c r="C14907" s="189">
        <v>2.72</v>
      </c>
      <c r="D14907" s="104">
        <f t="shared" si="243"/>
        <v>2.7200000000000002E-2</v>
      </c>
    </row>
    <row r="14908" spans="2:6" ht="13.8">
      <c r="B14908" s="187">
        <v>43529</v>
      </c>
      <c r="C14908" s="189">
        <v>2.72</v>
      </c>
      <c r="D14908" s="104">
        <f t="shared" si="243"/>
        <v>2.7200000000000002E-2</v>
      </c>
    </row>
    <row r="14909" spans="2:6" ht="13.8">
      <c r="B14909" s="187">
        <v>43530</v>
      </c>
      <c r="C14909" s="189">
        <v>2.69</v>
      </c>
      <c r="D14909" s="104">
        <f t="shared" si="243"/>
        <v>2.69E-2</v>
      </c>
    </row>
    <row r="14910" spans="2:6" ht="13.8">
      <c r="B14910" s="187">
        <v>43531</v>
      </c>
      <c r="C14910" s="189">
        <v>2.64</v>
      </c>
      <c r="D14910" s="104">
        <f t="shared" si="243"/>
        <v>2.64E-2</v>
      </c>
    </row>
    <row r="14911" spans="2:6" ht="13.8">
      <c r="B14911" s="187">
        <v>43532</v>
      </c>
      <c r="C14911" s="189">
        <v>2.62</v>
      </c>
      <c r="D14911" s="104">
        <f t="shared" si="243"/>
        <v>2.6200000000000001E-2</v>
      </c>
      <c r="E14911" s="104">
        <f>AVERAGE( D14907:D14911)</f>
        <v>2.6780000000000005E-2</v>
      </c>
      <c r="F14911" s="4" t="str">
        <f>TEXT( B14911, "ddd" )</f>
        <v>Fri</v>
      </c>
    </row>
    <row r="14912" spans="2:6" ht="13.8">
      <c r="B14912" s="187">
        <v>43535</v>
      </c>
      <c r="C14912" s="189">
        <v>2.64</v>
      </c>
      <c r="D14912" s="104">
        <f t="shared" si="243"/>
        <v>2.64E-2</v>
      </c>
    </row>
    <row r="14913" spans="2:6" ht="13.8">
      <c r="B14913" s="187">
        <v>43536</v>
      </c>
      <c r="C14913" s="189">
        <v>2.61</v>
      </c>
      <c r="D14913" s="104">
        <f t="shared" si="243"/>
        <v>2.6099999999999998E-2</v>
      </c>
    </row>
    <row r="14914" spans="2:6" ht="13.8">
      <c r="B14914" s="187">
        <v>43537</v>
      </c>
      <c r="C14914" s="189">
        <v>2.61</v>
      </c>
      <c r="D14914" s="104">
        <f t="shared" si="243"/>
        <v>2.6099999999999998E-2</v>
      </c>
    </row>
    <row r="14915" spans="2:6" ht="13.8">
      <c r="B14915" s="187">
        <v>43538</v>
      </c>
      <c r="C14915" s="189">
        <v>2.63</v>
      </c>
      <c r="D14915" s="104">
        <f t="shared" si="243"/>
        <v>2.63E-2</v>
      </c>
    </row>
    <row r="14916" spans="2:6" ht="13.8">
      <c r="B14916" s="187">
        <v>43539</v>
      </c>
      <c r="C14916" s="189">
        <v>2.59</v>
      </c>
      <c r="D14916" s="104">
        <f t="shared" si="243"/>
        <v>2.5899999999999999E-2</v>
      </c>
      <c r="E14916" s="104">
        <f>AVERAGE( D14912:D14916)</f>
        <v>2.6159999999999999E-2</v>
      </c>
      <c r="F14916" s="4" t="str">
        <f>TEXT( B14916, "ddd" )</f>
        <v>Fri</v>
      </c>
    </row>
    <row r="14917" spans="2:6" ht="13.8">
      <c r="B14917" s="187">
        <v>43542</v>
      </c>
      <c r="C14917" s="189">
        <v>2.6</v>
      </c>
      <c r="D14917" s="104">
        <f t="shared" si="243"/>
        <v>2.6000000000000002E-2</v>
      </c>
    </row>
    <row r="14918" spans="2:6" ht="13.8">
      <c r="B14918" s="187">
        <v>43543</v>
      </c>
      <c r="C14918" s="189">
        <v>2.61</v>
      </c>
      <c r="D14918" s="104">
        <f t="shared" si="243"/>
        <v>2.6099999999999998E-2</v>
      </c>
    </row>
    <row r="14919" spans="2:6" ht="13.8">
      <c r="B14919" s="187">
        <v>43544</v>
      </c>
      <c r="C14919" s="189">
        <v>2.54</v>
      </c>
      <c r="D14919" s="104">
        <f t="shared" si="243"/>
        <v>2.5399999999999999E-2</v>
      </c>
    </row>
    <row r="14920" spans="2:6" ht="13.8">
      <c r="B14920" s="187">
        <v>43545</v>
      </c>
      <c r="C14920" s="189">
        <v>2.54</v>
      </c>
      <c r="D14920" s="104">
        <f t="shared" si="243"/>
        <v>2.5399999999999999E-2</v>
      </c>
    </row>
    <row r="14921" spans="2:6" ht="13.8">
      <c r="B14921" s="187">
        <v>43546</v>
      </c>
      <c r="C14921" s="189">
        <v>2.44</v>
      </c>
      <c r="D14921" s="104">
        <f t="shared" si="243"/>
        <v>2.4399999999999998E-2</v>
      </c>
      <c r="E14921" s="104">
        <f>AVERAGE( D14917:D14921)</f>
        <v>2.546E-2</v>
      </c>
      <c r="F14921" s="4" t="str">
        <f>TEXT( B14921, "ddd" )</f>
        <v>Fri</v>
      </c>
    </row>
    <row r="14922" spans="2:6" ht="13.8">
      <c r="B14922" s="187">
        <v>43549</v>
      </c>
      <c r="C14922" s="189">
        <v>2.4300000000000002</v>
      </c>
      <c r="D14922" s="104">
        <f t="shared" si="243"/>
        <v>2.4300000000000002E-2</v>
      </c>
    </row>
    <row r="14923" spans="2:6" ht="13.8">
      <c r="B14923" s="187">
        <v>43550</v>
      </c>
      <c r="C14923" s="189">
        <v>2.41</v>
      </c>
      <c r="D14923" s="104">
        <f t="shared" si="243"/>
        <v>2.41E-2</v>
      </c>
    </row>
    <row r="14924" spans="2:6" ht="13.8">
      <c r="B14924" s="187">
        <v>43551</v>
      </c>
      <c r="C14924" s="189">
        <v>2.39</v>
      </c>
      <c r="D14924" s="104">
        <f t="shared" si="243"/>
        <v>2.3900000000000001E-2</v>
      </c>
    </row>
    <row r="14925" spans="2:6" ht="13.8">
      <c r="B14925" s="187">
        <v>43552</v>
      </c>
      <c r="C14925" s="189">
        <v>2.39</v>
      </c>
      <c r="D14925" s="104">
        <f t="shared" si="243"/>
        <v>2.3900000000000001E-2</v>
      </c>
    </row>
    <row r="14926" spans="2:6" ht="13.8">
      <c r="B14926" s="187">
        <v>43553</v>
      </c>
      <c r="C14926" s="189">
        <v>2.41</v>
      </c>
      <c r="D14926" s="104">
        <f t="shared" si="243"/>
        <v>2.41E-2</v>
      </c>
      <c r="E14926" s="104">
        <f>AVERAGE( D14922:D14926)</f>
        <v>2.4060000000000002E-2</v>
      </c>
      <c r="F14926" s="4" t="str">
        <f>TEXT( B14926, "ddd" )</f>
        <v>Fri</v>
      </c>
    </row>
    <row r="14927" spans="2:6" ht="13.8">
      <c r="B14927" s="187">
        <v>43556</v>
      </c>
      <c r="C14927" s="189">
        <v>2.4900000000000002</v>
      </c>
      <c r="D14927" s="104">
        <f t="shared" si="243"/>
        <v>2.4900000000000002E-2</v>
      </c>
    </row>
    <row r="14928" spans="2:6" ht="13.8">
      <c r="B14928" s="187">
        <v>43557</v>
      </c>
      <c r="C14928" s="189">
        <v>2.48</v>
      </c>
      <c r="D14928" s="104">
        <f t="shared" si="243"/>
        <v>2.4799999999999999E-2</v>
      </c>
    </row>
    <row r="14929" spans="2:6" ht="13.8">
      <c r="B14929" s="187">
        <v>43558</v>
      </c>
      <c r="C14929" s="189">
        <v>2.52</v>
      </c>
      <c r="D14929" s="104">
        <f t="shared" si="243"/>
        <v>2.52E-2</v>
      </c>
    </row>
    <row r="14930" spans="2:6" ht="13.8">
      <c r="B14930" s="187">
        <v>43559</v>
      </c>
      <c r="C14930" s="189">
        <v>2.5099999999999998</v>
      </c>
      <c r="D14930" s="104">
        <f t="shared" si="243"/>
        <v>2.5099999999999997E-2</v>
      </c>
    </row>
    <row r="14931" spans="2:6" ht="13.8">
      <c r="B14931" s="187">
        <v>43560</v>
      </c>
      <c r="C14931" s="189">
        <v>2.5</v>
      </c>
      <c r="D14931" s="104">
        <f t="shared" si="243"/>
        <v>2.5000000000000001E-2</v>
      </c>
      <c r="E14931" s="104">
        <f>AVERAGE( D14927:D14931)</f>
        <v>2.5000000000000001E-2</v>
      </c>
      <c r="F14931" s="4" t="str">
        <f>TEXT( B14931, "ddd" )</f>
        <v>Fri</v>
      </c>
    </row>
    <row r="14932" spans="2:6" ht="13.8">
      <c r="B14932" s="187">
        <v>43563</v>
      </c>
      <c r="C14932" s="189">
        <v>2.52</v>
      </c>
      <c r="D14932" s="104">
        <f t="shared" si="243"/>
        <v>2.52E-2</v>
      </c>
    </row>
    <row r="14933" spans="2:6" ht="13.8">
      <c r="B14933" s="187">
        <v>43564</v>
      </c>
      <c r="C14933" s="189">
        <v>2.5099999999999998</v>
      </c>
      <c r="D14933" s="104">
        <f t="shared" si="243"/>
        <v>2.5099999999999997E-2</v>
      </c>
    </row>
    <row r="14934" spans="2:6" ht="13.8">
      <c r="B14934" s="187">
        <v>43565</v>
      </c>
      <c r="C14934" s="189">
        <v>2.48</v>
      </c>
      <c r="D14934" s="104">
        <f t="shared" si="243"/>
        <v>2.4799999999999999E-2</v>
      </c>
    </row>
    <row r="14935" spans="2:6" ht="13.8">
      <c r="B14935" s="187">
        <v>43566</v>
      </c>
      <c r="C14935" s="189">
        <v>2.5099999999999998</v>
      </c>
      <c r="D14935" s="104">
        <f t="shared" si="243"/>
        <v>2.5099999999999997E-2</v>
      </c>
    </row>
    <row r="14936" spans="2:6" ht="13.8">
      <c r="B14936" s="187">
        <v>43567</v>
      </c>
      <c r="C14936" s="189">
        <v>2.56</v>
      </c>
      <c r="D14936" s="104">
        <f t="shared" si="243"/>
        <v>2.5600000000000001E-2</v>
      </c>
      <c r="E14936" s="104">
        <f>AVERAGE( D14932:D14936)</f>
        <v>2.5159999999999998E-2</v>
      </c>
      <c r="F14936" s="4" t="str">
        <f>TEXT( B14936, "ddd" )</f>
        <v>Fri</v>
      </c>
    </row>
    <row r="14937" spans="2:6" ht="13.8">
      <c r="B14937" s="187">
        <v>43570</v>
      </c>
      <c r="C14937" s="189">
        <v>2.5499999999999998</v>
      </c>
      <c r="D14937" s="104">
        <f t="shared" si="243"/>
        <v>2.5499999999999998E-2</v>
      </c>
    </row>
    <row r="14938" spans="2:6" ht="13.8">
      <c r="B14938" s="187">
        <v>43571</v>
      </c>
      <c r="C14938" s="189">
        <v>2.6</v>
      </c>
      <c r="D14938" s="104">
        <f t="shared" si="243"/>
        <v>2.6000000000000002E-2</v>
      </c>
    </row>
    <row r="14939" spans="2:6" ht="13.8">
      <c r="B14939" s="187">
        <v>43572</v>
      </c>
      <c r="C14939" s="189">
        <v>2.59</v>
      </c>
      <c r="D14939" s="104">
        <f t="shared" si="243"/>
        <v>2.5899999999999999E-2</v>
      </c>
    </row>
    <row r="14940" spans="2:6" ht="13.8">
      <c r="B14940" s="187">
        <v>43573</v>
      </c>
      <c r="C14940" s="189">
        <v>2.57</v>
      </c>
      <c r="D14940" s="104">
        <f t="shared" si="243"/>
        <v>2.5699999999999997E-2</v>
      </c>
    </row>
    <row r="14941" spans="2:6" ht="13.8">
      <c r="B14941" s="187">
        <v>43574</v>
      </c>
      <c r="C14941" s="189" t="s">
        <v>380</v>
      </c>
      <c r="D14941" s="104">
        <f t="shared" si="243"/>
        <v>2.5699999999999997E-2</v>
      </c>
      <c r="E14941" s="104">
        <f>AVERAGE( D14937:D14941)</f>
        <v>2.5759999999999998E-2</v>
      </c>
      <c r="F14941" s="4" t="str">
        <f>TEXT( B14941, "ddd" )</f>
        <v>Fri</v>
      </c>
    </row>
    <row r="14942" spans="2:6" ht="13.8">
      <c r="B14942" s="187">
        <v>43577</v>
      </c>
      <c r="C14942" s="189">
        <v>2.59</v>
      </c>
      <c r="D14942" s="104">
        <f t="shared" si="243"/>
        <v>2.5899999999999999E-2</v>
      </c>
    </row>
    <row r="14943" spans="2:6" ht="13.8">
      <c r="B14943" s="187">
        <v>43578</v>
      </c>
      <c r="C14943" s="189">
        <v>2.57</v>
      </c>
      <c r="D14943" s="104">
        <f t="shared" si="243"/>
        <v>2.5699999999999997E-2</v>
      </c>
    </row>
    <row r="14944" spans="2:6" ht="13.8">
      <c r="B14944" s="187">
        <v>43579</v>
      </c>
      <c r="C14944" s="189">
        <v>2.5299999999999998</v>
      </c>
      <c r="D14944" s="104">
        <f t="shared" si="243"/>
        <v>2.53E-2</v>
      </c>
    </row>
    <row r="14945" spans="2:6" ht="13.8">
      <c r="B14945" s="187">
        <v>43580</v>
      </c>
      <c r="C14945" s="189">
        <v>2.54</v>
      </c>
      <c r="D14945" s="104">
        <f t="shared" si="243"/>
        <v>2.5399999999999999E-2</v>
      </c>
    </row>
    <row r="14946" spans="2:6" ht="13.8">
      <c r="B14946" s="187">
        <v>43581</v>
      </c>
      <c r="C14946" s="189">
        <v>2.5099999999999998</v>
      </c>
      <c r="D14946" s="104">
        <f t="shared" si="243"/>
        <v>2.5099999999999997E-2</v>
      </c>
      <c r="E14946" s="104">
        <f>AVERAGE( D14942:D14946)</f>
        <v>2.5480000000000003E-2</v>
      </c>
      <c r="F14946" s="4" t="str">
        <f>TEXT( B14946, "ddd" )</f>
        <v>Fri</v>
      </c>
    </row>
    <row r="14947" spans="2:6" ht="13.8">
      <c r="B14947" s="187">
        <v>43584</v>
      </c>
      <c r="C14947" s="189">
        <v>2.54</v>
      </c>
      <c r="D14947" s="104">
        <f t="shared" si="243"/>
        <v>2.5399999999999999E-2</v>
      </c>
    </row>
    <row r="14948" spans="2:6" ht="13.8">
      <c r="B14948" s="187">
        <v>43585</v>
      </c>
      <c r="C14948" s="189">
        <v>2.5099999999999998</v>
      </c>
      <c r="D14948" s="104">
        <f t="shared" si="243"/>
        <v>2.5099999999999997E-2</v>
      </c>
    </row>
    <row r="14949" spans="2:6" ht="13.8">
      <c r="B14949" s="187">
        <v>43586</v>
      </c>
      <c r="C14949" s="189">
        <v>2.52</v>
      </c>
      <c r="D14949" s="104">
        <f t="shared" si="243"/>
        <v>2.52E-2</v>
      </c>
    </row>
    <row r="14950" spans="2:6" ht="13.8">
      <c r="B14950" s="187">
        <v>43587</v>
      </c>
      <c r="C14950" s="189">
        <v>2.5499999999999998</v>
      </c>
      <c r="D14950" s="104">
        <f t="shared" si="243"/>
        <v>2.5499999999999998E-2</v>
      </c>
    </row>
    <row r="14951" spans="2:6" ht="13.8">
      <c r="B14951" s="187">
        <v>43588</v>
      </c>
      <c r="C14951" s="189">
        <v>2.54</v>
      </c>
      <c r="D14951" s="104">
        <f t="shared" si="243"/>
        <v>2.5399999999999999E-2</v>
      </c>
      <c r="E14951" s="104">
        <f>AVERAGE( D14947:D14951)</f>
        <v>2.5319999999999999E-2</v>
      </c>
      <c r="F14951" s="4" t="str">
        <f>TEXT( B14951, "ddd" )</f>
        <v>Fri</v>
      </c>
    </row>
    <row r="14952" spans="2:6" ht="13.8">
      <c r="B14952" s="187">
        <v>43591</v>
      </c>
      <c r="C14952" s="189">
        <v>2.5099999999999998</v>
      </c>
      <c r="D14952" s="104">
        <f t="shared" si="243"/>
        <v>2.5099999999999997E-2</v>
      </c>
    </row>
    <row r="14953" spans="2:6" ht="13.8">
      <c r="B14953" s="187">
        <v>43592</v>
      </c>
      <c r="C14953" s="189">
        <v>2.4500000000000002</v>
      </c>
      <c r="D14953" s="104">
        <f t="shared" si="243"/>
        <v>2.4500000000000001E-2</v>
      </c>
    </row>
    <row r="14954" spans="2:6" ht="13.8">
      <c r="B14954" s="187">
        <v>43593</v>
      </c>
      <c r="C14954" s="189">
        <v>2.4900000000000002</v>
      </c>
      <c r="D14954" s="104">
        <f t="shared" si="243"/>
        <v>2.4900000000000002E-2</v>
      </c>
    </row>
    <row r="14955" spans="2:6" ht="13.8">
      <c r="B14955" s="187">
        <v>43594</v>
      </c>
      <c r="C14955" s="189">
        <v>2.4500000000000002</v>
      </c>
      <c r="D14955" s="104">
        <f t="shared" si="243"/>
        <v>2.4500000000000001E-2</v>
      </c>
    </row>
    <row r="14956" spans="2:6" ht="13.8">
      <c r="B14956" s="187">
        <v>43595</v>
      </c>
      <c r="C14956" s="189">
        <v>2.4700000000000002</v>
      </c>
      <c r="D14956" s="104">
        <f t="shared" si="243"/>
        <v>2.4700000000000003E-2</v>
      </c>
      <c r="E14956" s="104">
        <f>AVERAGE( D14952:D14956)</f>
        <v>2.4740000000000002E-2</v>
      </c>
      <c r="F14956" s="4" t="str">
        <f>TEXT( B14956, "ddd" )</f>
        <v>Fri</v>
      </c>
    </row>
    <row r="14957" spans="2:6" ht="13.8">
      <c r="B14957" s="187">
        <v>43598</v>
      </c>
      <c r="C14957" s="189">
        <v>2.4</v>
      </c>
      <c r="D14957" s="104">
        <f t="shared" si="243"/>
        <v>2.4E-2</v>
      </c>
    </row>
    <row r="14958" spans="2:6" ht="13.8">
      <c r="B14958" s="187">
        <v>43599</v>
      </c>
      <c r="C14958" s="189">
        <v>2.42</v>
      </c>
      <c r="D14958" s="104">
        <f t="shared" si="243"/>
        <v>2.4199999999999999E-2</v>
      </c>
    </row>
    <row r="14959" spans="2:6" ht="13.8">
      <c r="B14959" s="187">
        <v>43600</v>
      </c>
      <c r="C14959" s="189">
        <v>2.37</v>
      </c>
      <c r="D14959" s="104">
        <f t="shared" si="243"/>
        <v>2.3700000000000002E-2</v>
      </c>
    </row>
    <row r="14960" spans="2:6" ht="13.8">
      <c r="B14960" s="187">
        <v>43601</v>
      </c>
      <c r="C14960" s="189">
        <v>2.4</v>
      </c>
      <c r="D14960" s="104">
        <f t="shared" si="243"/>
        <v>2.4E-2</v>
      </c>
    </row>
    <row r="14961" spans="2:6" ht="13.8">
      <c r="B14961" s="187">
        <v>43602</v>
      </c>
      <c r="C14961" s="189">
        <v>2.39</v>
      </c>
      <c r="D14961" s="104">
        <f t="shared" si="243"/>
        <v>2.3900000000000001E-2</v>
      </c>
      <c r="E14961" s="104">
        <f>AVERAGE( D14957:D14961)</f>
        <v>2.3960000000000002E-2</v>
      </c>
      <c r="F14961" s="4" t="str">
        <f>TEXT( B14961, "ddd" )</f>
        <v>Fri</v>
      </c>
    </row>
    <row r="14962" spans="2:6" ht="13.8">
      <c r="B14962" s="187">
        <v>43605</v>
      </c>
      <c r="C14962" s="189">
        <v>2.41</v>
      </c>
      <c r="D14962" s="104">
        <f t="shared" si="243"/>
        <v>2.41E-2</v>
      </c>
    </row>
    <row r="14963" spans="2:6" ht="13.8">
      <c r="B14963" s="187">
        <v>43606</v>
      </c>
      <c r="C14963" s="189">
        <v>2.4300000000000002</v>
      </c>
      <c r="D14963" s="104">
        <f t="shared" si="243"/>
        <v>2.4300000000000002E-2</v>
      </c>
    </row>
    <row r="14964" spans="2:6" ht="13.8">
      <c r="B14964" s="187">
        <v>43607</v>
      </c>
      <c r="C14964" s="189">
        <v>2.39</v>
      </c>
      <c r="D14964" s="104">
        <f t="shared" si="243"/>
        <v>2.3900000000000001E-2</v>
      </c>
    </row>
    <row r="14965" spans="2:6" ht="13.8">
      <c r="B14965" s="187">
        <v>43608</v>
      </c>
      <c r="C14965" s="189">
        <v>2.31</v>
      </c>
      <c r="D14965" s="104">
        <f t="shared" si="243"/>
        <v>2.3099999999999999E-2</v>
      </c>
    </row>
    <row r="14966" spans="2:6" ht="13.8">
      <c r="B14966" s="187">
        <v>43609</v>
      </c>
      <c r="C14966" s="189">
        <v>2.3199999999999998</v>
      </c>
      <c r="D14966" s="104">
        <f t="shared" ref="D14966:D15029" si="244">IF( LEN( C14966 ) = 0, #N/A, IF( C14966 = "ND", D14965, C14966 / 100 ) )</f>
        <v>2.3199999999999998E-2</v>
      </c>
      <c r="E14966" s="104">
        <f>AVERAGE( D14962:D14966)</f>
        <v>2.3719999999999998E-2</v>
      </c>
      <c r="F14966" s="4" t="str">
        <f>TEXT( B14966, "ddd" )</f>
        <v>Fri</v>
      </c>
    </row>
    <row r="14967" spans="2:6" ht="13.8">
      <c r="B14967" s="187">
        <v>43612</v>
      </c>
      <c r="C14967" s="189" t="s">
        <v>380</v>
      </c>
      <c r="D14967" s="104">
        <f t="shared" si="244"/>
        <v>2.3199999999999998E-2</v>
      </c>
    </row>
    <row r="14968" spans="2:6" ht="13.8">
      <c r="B14968" s="187">
        <v>43613</v>
      </c>
      <c r="C14968" s="189">
        <v>2.2599999999999998</v>
      </c>
      <c r="D14968" s="104">
        <f t="shared" si="244"/>
        <v>2.2599999999999999E-2</v>
      </c>
    </row>
    <row r="14969" spans="2:6" ht="13.8">
      <c r="B14969" s="187">
        <v>43614</v>
      </c>
      <c r="C14969" s="189">
        <v>2.25</v>
      </c>
      <c r="D14969" s="104">
        <f t="shared" si="244"/>
        <v>2.2499999999999999E-2</v>
      </c>
    </row>
    <row r="14970" spans="2:6" ht="13.8">
      <c r="B14970" s="187">
        <v>43615</v>
      </c>
      <c r="C14970" s="189">
        <v>2.2200000000000002</v>
      </c>
      <c r="D14970" s="104">
        <f t="shared" si="244"/>
        <v>2.2200000000000001E-2</v>
      </c>
    </row>
    <row r="14971" spans="2:6" ht="13.8">
      <c r="B14971" s="187">
        <v>43616</v>
      </c>
      <c r="C14971" s="189">
        <v>2.14</v>
      </c>
      <c r="D14971" s="104">
        <f t="shared" si="244"/>
        <v>2.1400000000000002E-2</v>
      </c>
      <c r="E14971" s="104">
        <f>AVERAGE( D14967:D14971)</f>
        <v>2.2380000000000001E-2</v>
      </c>
      <c r="F14971" s="4" t="str">
        <f>TEXT( B14971, "ddd" )</f>
        <v>Fri</v>
      </c>
    </row>
    <row r="14972" spans="2:6" ht="13.8">
      <c r="B14972" s="187">
        <v>43619</v>
      </c>
      <c r="C14972" s="189">
        <v>2.0699999999999998</v>
      </c>
      <c r="D14972" s="104">
        <f t="shared" si="244"/>
        <v>2.07E-2</v>
      </c>
    </row>
    <row r="14973" spans="2:6" ht="13.8">
      <c r="B14973" s="187">
        <v>43620</v>
      </c>
      <c r="C14973" s="189">
        <v>2.12</v>
      </c>
      <c r="D14973" s="104">
        <f t="shared" si="244"/>
        <v>2.12E-2</v>
      </c>
    </row>
    <row r="14974" spans="2:6" ht="13.8">
      <c r="B14974" s="187">
        <v>43621</v>
      </c>
      <c r="C14974" s="189">
        <v>2.12</v>
      </c>
      <c r="D14974" s="104">
        <f t="shared" si="244"/>
        <v>2.12E-2</v>
      </c>
    </row>
    <row r="14975" spans="2:6" ht="13.8">
      <c r="B14975" s="187">
        <v>43622</v>
      </c>
      <c r="C14975" s="189">
        <v>2.12</v>
      </c>
      <c r="D14975" s="104">
        <f t="shared" si="244"/>
        <v>2.12E-2</v>
      </c>
    </row>
    <row r="14976" spans="2:6" ht="13.8">
      <c r="B14976" s="187">
        <v>43623</v>
      </c>
      <c r="C14976" s="189">
        <v>2.09</v>
      </c>
      <c r="D14976" s="104">
        <f t="shared" si="244"/>
        <v>2.0899999999999998E-2</v>
      </c>
      <c r="E14976" s="104">
        <f>AVERAGE( D14972:D14976)</f>
        <v>2.104E-2</v>
      </c>
      <c r="F14976" s="4" t="str">
        <f>TEXT( B14976, "ddd" )</f>
        <v>Fri</v>
      </c>
    </row>
    <row r="14977" spans="2:6" ht="13.8">
      <c r="B14977" s="187">
        <v>43626</v>
      </c>
      <c r="C14977" s="189">
        <v>2.15</v>
      </c>
      <c r="D14977" s="104">
        <f t="shared" si="244"/>
        <v>2.1499999999999998E-2</v>
      </c>
    </row>
    <row r="14978" spans="2:6" ht="13.8">
      <c r="B14978" s="187">
        <v>43627</v>
      </c>
      <c r="C14978" s="189">
        <v>2.15</v>
      </c>
      <c r="D14978" s="104">
        <f t="shared" si="244"/>
        <v>2.1499999999999998E-2</v>
      </c>
    </row>
    <row r="14979" spans="2:6" ht="13.8">
      <c r="B14979" s="187">
        <v>43628</v>
      </c>
      <c r="C14979" s="189">
        <v>2.13</v>
      </c>
      <c r="D14979" s="104">
        <f t="shared" si="244"/>
        <v>2.1299999999999999E-2</v>
      </c>
    </row>
    <row r="14980" spans="2:6" ht="13.8">
      <c r="B14980" s="187">
        <v>43629</v>
      </c>
      <c r="C14980" s="189">
        <v>2.1</v>
      </c>
      <c r="D14980" s="104">
        <f t="shared" si="244"/>
        <v>2.1000000000000001E-2</v>
      </c>
    </row>
    <row r="14981" spans="2:6" ht="13.8">
      <c r="B14981" s="187">
        <v>43630</v>
      </c>
      <c r="C14981" s="189">
        <v>2.09</v>
      </c>
      <c r="D14981" s="104">
        <f t="shared" si="244"/>
        <v>2.0899999999999998E-2</v>
      </c>
      <c r="E14981" s="104">
        <f>AVERAGE( D14977:D14981)</f>
        <v>2.1240000000000002E-2</v>
      </c>
      <c r="F14981" s="4" t="str">
        <f>TEXT( B14981, "ddd" )</f>
        <v>Fri</v>
      </c>
    </row>
    <row r="14982" spans="2:6" ht="13.8">
      <c r="B14982" s="187">
        <v>43633</v>
      </c>
      <c r="C14982" s="189">
        <v>2.09</v>
      </c>
      <c r="D14982" s="104">
        <f t="shared" si="244"/>
        <v>2.0899999999999998E-2</v>
      </c>
    </row>
    <row r="14983" spans="2:6" ht="13.8">
      <c r="B14983" s="187">
        <v>43634</v>
      </c>
      <c r="C14983" s="189">
        <v>2.06</v>
      </c>
      <c r="D14983" s="104">
        <f t="shared" si="244"/>
        <v>2.06E-2</v>
      </c>
    </row>
    <row r="14984" spans="2:6" ht="13.8">
      <c r="B14984" s="187">
        <v>43635</v>
      </c>
      <c r="C14984" s="189">
        <v>2.0299999999999998</v>
      </c>
      <c r="D14984" s="104">
        <f t="shared" si="244"/>
        <v>2.0299999999999999E-2</v>
      </c>
    </row>
    <row r="14985" spans="2:6" ht="13.8">
      <c r="B14985" s="187">
        <v>43636</v>
      </c>
      <c r="C14985" s="189">
        <v>2.0099999999999998</v>
      </c>
      <c r="D14985" s="104">
        <f t="shared" si="244"/>
        <v>2.0099999999999996E-2</v>
      </c>
    </row>
    <row r="14986" spans="2:6" ht="13.8">
      <c r="B14986" s="187">
        <v>43637</v>
      </c>
      <c r="C14986" s="189">
        <v>2.0699999999999998</v>
      </c>
      <c r="D14986" s="104">
        <f t="shared" si="244"/>
        <v>2.07E-2</v>
      </c>
      <c r="E14986" s="104">
        <f>AVERAGE( D14982:D14986)</f>
        <v>2.0519999999999997E-2</v>
      </c>
      <c r="F14986" s="4" t="str">
        <f>TEXT( B14986, "ddd" )</f>
        <v>Fri</v>
      </c>
    </row>
    <row r="14987" spans="2:6" ht="13.8">
      <c r="B14987" s="187">
        <v>43640</v>
      </c>
      <c r="C14987" s="189">
        <v>2.02</v>
      </c>
      <c r="D14987" s="104">
        <f t="shared" si="244"/>
        <v>2.0199999999999999E-2</v>
      </c>
    </row>
    <row r="14988" spans="2:6" ht="13.8">
      <c r="B14988" s="187">
        <v>43641</v>
      </c>
      <c r="C14988" s="189">
        <v>2</v>
      </c>
      <c r="D14988" s="104">
        <f t="shared" si="244"/>
        <v>0.02</v>
      </c>
    </row>
    <row r="14989" spans="2:6" ht="13.8">
      <c r="B14989" s="187">
        <v>43642</v>
      </c>
      <c r="C14989" s="189">
        <v>2.0499999999999998</v>
      </c>
      <c r="D14989" s="104">
        <f t="shared" si="244"/>
        <v>2.0499999999999997E-2</v>
      </c>
    </row>
    <row r="14990" spans="2:6" ht="13.8">
      <c r="B14990" s="187">
        <v>43643</v>
      </c>
      <c r="C14990" s="189">
        <v>2.0099999999999998</v>
      </c>
      <c r="D14990" s="104">
        <f t="shared" si="244"/>
        <v>2.0099999999999996E-2</v>
      </c>
    </row>
    <row r="14991" spans="2:6" ht="13.8">
      <c r="B14991" s="187">
        <v>43644</v>
      </c>
      <c r="C14991" s="189">
        <v>2</v>
      </c>
      <c r="D14991" s="104">
        <f t="shared" si="244"/>
        <v>0.02</v>
      </c>
      <c r="E14991" s="104">
        <f>AVERAGE( D14987:D14991)</f>
        <v>2.0160000000000001E-2</v>
      </c>
      <c r="F14991" s="4" t="str">
        <f>TEXT( B14991, "ddd" )</f>
        <v>Fri</v>
      </c>
    </row>
    <row r="14992" spans="2:6" ht="13.8">
      <c r="B14992" s="187">
        <v>43647</v>
      </c>
      <c r="C14992" s="189">
        <v>2.0299999999999998</v>
      </c>
      <c r="D14992" s="104">
        <f>IF( LEN( C14992 ) = 0, #N/A, IF( C14992 = "ND", D14991, C14992 / 100 ) )</f>
        <v>2.0299999999999999E-2</v>
      </c>
    </row>
    <row r="14993" spans="2:6" ht="13.8">
      <c r="B14993" s="187">
        <v>43648</v>
      </c>
      <c r="C14993" s="189">
        <v>1.98</v>
      </c>
      <c r="D14993" s="104">
        <f>IF( LEN( C14993 ) = 0, #N/A, IF( C14993 = "ND", D14992, C14993 / 100 ) )</f>
        <v>1.9799999999999998E-2</v>
      </c>
    </row>
    <row r="14994" spans="2:6" ht="13.8">
      <c r="B14994" s="187">
        <v>43649</v>
      </c>
      <c r="C14994" s="189">
        <v>1.96</v>
      </c>
      <c r="D14994" s="104">
        <f t="shared" si="244"/>
        <v>1.9599999999999999E-2</v>
      </c>
    </row>
    <row r="14995" spans="2:6" ht="13.8">
      <c r="B14995" s="187">
        <v>43650</v>
      </c>
      <c r="C14995" s="189" t="s">
        <v>380</v>
      </c>
      <c r="D14995" s="104">
        <f t="shared" si="244"/>
        <v>1.9599999999999999E-2</v>
      </c>
    </row>
    <row r="14996" spans="2:6" ht="13.8">
      <c r="B14996" s="187">
        <v>43651</v>
      </c>
      <c r="C14996" s="189">
        <v>2.04</v>
      </c>
      <c r="D14996" s="104">
        <f t="shared" si="244"/>
        <v>2.0400000000000001E-2</v>
      </c>
      <c r="E14996" s="104">
        <f>AVERAGE( D14992:D14996)</f>
        <v>1.9939999999999999E-2</v>
      </c>
      <c r="F14996" s="4" t="str">
        <f>TEXT( B14996, "ddd" )</f>
        <v>Fri</v>
      </c>
    </row>
    <row r="14997" spans="2:6" ht="13.8">
      <c r="B14997" s="187">
        <v>43654</v>
      </c>
      <c r="C14997" s="189">
        <v>2.0499999999999998</v>
      </c>
      <c r="D14997" s="104">
        <f t="shared" si="244"/>
        <v>2.0499999999999997E-2</v>
      </c>
    </row>
    <row r="14998" spans="2:6" ht="13.8">
      <c r="B14998" s="187">
        <v>43655</v>
      </c>
      <c r="C14998" s="189">
        <v>2.0699999999999998</v>
      </c>
      <c r="D14998" s="104">
        <f t="shared" si="244"/>
        <v>2.07E-2</v>
      </c>
    </row>
    <row r="14999" spans="2:6" ht="13.8">
      <c r="B14999" s="187">
        <v>43656</v>
      </c>
      <c r="C14999" s="189">
        <v>2.0699999999999998</v>
      </c>
      <c r="D14999" s="104">
        <f t="shared" si="244"/>
        <v>2.07E-2</v>
      </c>
    </row>
    <row r="15000" spans="2:6" ht="13.8">
      <c r="B15000" s="187">
        <v>43657</v>
      </c>
      <c r="C15000" s="189">
        <v>2.13</v>
      </c>
      <c r="D15000" s="104">
        <f t="shared" si="244"/>
        <v>2.1299999999999999E-2</v>
      </c>
    </row>
    <row r="15001" spans="2:6" ht="13.8">
      <c r="B15001" s="187">
        <v>43658</v>
      </c>
      <c r="C15001" s="189">
        <v>2.12</v>
      </c>
      <c r="D15001" s="104">
        <f t="shared" si="244"/>
        <v>2.12E-2</v>
      </c>
      <c r="E15001" s="104">
        <f>AVERAGE( D14997:D15001)</f>
        <v>2.0879999999999999E-2</v>
      </c>
      <c r="F15001" s="4" t="str">
        <f>TEXT( B15001, "ddd" )</f>
        <v>Fri</v>
      </c>
    </row>
    <row r="15002" spans="2:6" ht="13.8">
      <c r="B15002" s="187">
        <v>43661</v>
      </c>
      <c r="C15002" s="189">
        <v>2.09</v>
      </c>
      <c r="D15002" s="104">
        <f t="shared" si="244"/>
        <v>2.0899999999999998E-2</v>
      </c>
    </row>
    <row r="15003" spans="2:6" ht="13.8">
      <c r="B15003" s="187">
        <v>43662</v>
      </c>
      <c r="C15003" s="189">
        <v>2.13</v>
      </c>
      <c r="D15003" s="104">
        <f t="shared" si="244"/>
        <v>2.1299999999999999E-2</v>
      </c>
    </row>
    <row r="15004" spans="2:6" ht="13.8">
      <c r="B15004" s="187">
        <v>43663</v>
      </c>
      <c r="C15004" s="189">
        <v>2.06</v>
      </c>
      <c r="D15004" s="104">
        <f t="shared" si="244"/>
        <v>2.06E-2</v>
      </c>
    </row>
    <row r="15005" spans="2:6" ht="13.8">
      <c r="B15005" s="187">
        <v>43664</v>
      </c>
      <c r="C15005" s="189">
        <v>2.04</v>
      </c>
      <c r="D15005" s="104">
        <f t="shared" si="244"/>
        <v>2.0400000000000001E-2</v>
      </c>
    </row>
    <row r="15006" spans="2:6" ht="13.8">
      <c r="B15006" s="187">
        <v>43665</v>
      </c>
      <c r="C15006" s="189">
        <v>2.0499999999999998</v>
      </c>
      <c r="D15006" s="104">
        <f t="shared" si="244"/>
        <v>2.0499999999999997E-2</v>
      </c>
      <c r="E15006" s="104">
        <f>AVERAGE( D15002:D15006)</f>
        <v>2.0739999999999998E-2</v>
      </c>
      <c r="F15006" s="4" t="str">
        <f>TEXT( B15006, "ddd" )</f>
        <v>Fri</v>
      </c>
    </row>
    <row r="15007" spans="2:6" ht="13.8">
      <c r="B15007" s="187">
        <v>43668</v>
      </c>
      <c r="C15007" s="189">
        <v>2.0499999999999998</v>
      </c>
      <c r="D15007" s="104">
        <f>IF( LEN( C15007 ) = 0, #N/A, IF( C15007 = "ND", D15006, C15007 / 100 ) )</f>
        <v>2.0499999999999997E-2</v>
      </c>
    </row>
    <row r="15008" spans="2:6" ht="13.8">
      <c r="B15008" s="187">
        <v>43669</v>
      </c>
      <c r="C15008" s="189">
        <v>2.08</v>
      </c>
      <c r="D15008" s="104">
        <f t="shared" si="244"/>
        <v>2.0799999999999999E-2</v>
      </c>
    </row>
    <row r="15009" spans="2:6" ht="13.8">
      <c r="B15009" s="187">
        <v>43670</v>
      </c>
      <c r="C15009" s="189">
        <v>2.0499999999999998</v>
      </c>
      <c r="D15009" s="104">
        <f t="shared" si="244"/>
        <v>2.0499999999999997E-2</v>
      </c>
    </row>
    <row r="15010" spans="2:6" ht="13.8">
      <c r="B15010" s="187">
        <v>43671</v>
      </c>
      <c r="C15010" s="189">
        <v>2.08</v>
      </c>
      <c r="D15010" s="104">
        <f t="shared" si="244"/>
        <v>2.0799999999999999E-2</v>
      </c>
    </row>
    <row r="15011" spans="2:6" ht="13.8">
      <c r="B15011" s="187">
        <v>43672</v>
      </c>
      <c r="C15011" s="189">
        <v>2.08</v>
      </c>
      <c r="D15011" s="104">
        <f t="shared" si="244"/>
        <v>2.0799999999999999E-2</v>
      </c>
      <c r="E15011" s="104">
        <f>AVERAGE( D15007:D15011)</f>
        <v>2.0679999999999997E-2</v>
      </c>
      <c r="F15011" s="4" t="str">
        <f>TEXT( B15011, "ddd" )</f>
        <v>Fri</v>
      </c>
    </row>
    <row r="15012" spans="2:6" ht="13.8">
      <c r="B15012" s="187">
        <v>43675</v>
      </c>
      <c r="C15012" s="189">
        <v>2.06</v>
      </c>
      <c r="D15012" s="104">
        <f t="shared" si="244"/>
        <v>2.06E-2</v>
      </c>
    </row>
    <row r="15013" spans="2:6" ht="13.8">
      <c r="B15013" s="187">
        <v>43676</v>
      </c>
      <c r="C15013" s="189">
        <v>2.06</v>
      </c>
      <c r="D15013" s="104">
        <f t="shared" si="244"/>
        <v>2.06E-2</v>
      </c>
    </row>
    <row r="15014" spans="2:6" ht="13.8">
      <c r="B15014" s="187">
        <v>43677</v>
      </c>
      <c r="C15014" s="189">
        <v>2.02</v>
      </c>
      <c r="D15014" s="104">
        <f t="shared" si="244"/>
        <v>2.0199999999999999E-2</v>
      </c>
    </row>
    <row r="15015" spans="2:6" ht="13.8">
      <c r="B15015" s="187">
        <v>43678</v>
      </c>
      <c r="C15015" s="189">
        <v>1.9</v>
      </c>
      <c r="D15015" s="104">
        <f t="shared" si="244"/>
        <v>1.9E-2</v>
      </c>
    </row>
    <row r="15016" spans="2:6" ht="13.8">
      <c r="B15016" s="187">
        <v>43679</v>
      </c>
      <c r="C15016" s="189">
        <v>1.86</v>
      </c>
      <c r="D15016" s="104">
        <f t="shared" si="244"/>
        <v>1.8600000000000002E-2</v>
      </c>
      <c r="E15016" s="104">
        <f>AVERAGE( D15012:D15016)</f>
        <v>1.9800000000000002E-2</v>
      </c>
      <c r="F15016" s="4" t="str">
        <f>TEXT( B15016, "ddd" )</f>
        <v>Fri</v>
      </c>
    </row>
    <row r="15017" spans="2:6" ht="13.8">
      <c r="B15017" s="187">
        <v>43682</v>
      </c>
      <c r="C15017" s="189">
        <v>1.75</v>
      </c>
      <c r="D15017" s="104">
        <f t="shared" si="244"/>
        <v>1.7500000000000002E-2</v>
      </c>
    </row>
    <row r="15018" spans="2:6" ht="13.8">
      <c r="B15018" s="187">
        <v>43683</v>
      </c>
      <c r="C15018" s="189">
        <v>1.73</v>
      </c>
      <c r="D15018" s="104">
        <f t="shared" si="244"/>
        <v>1.7299999999999999E-2</v>
      </c>
    </row>
    <row r="15019" spans="2:6" ht="13.8">
      <c r="B15019" s="187">
        <v>43684</v>
      </c>
      <c r="C15019" s="189">
        <v>1.71</v>
      </c>
      <c r="D15019" s="104">
        <f t="shared" si="244"/>
        <v>1.7100000000000001E-2</v>
      </c>
    </row>
    <row r="15020" spans="2:6" ht="13.8">
      <c r="B15020" s="187">
        <v>43685</v>
      </c>
      <c r="C15020" s="189">
        <v>1.72</v>
      </c>
      <c r="D15020" s="104">
        <f t="shared" si="244"/>
        <v>1.72E-2</v>
      </c>
    </row>
    <row r="15021" spans="2:6" ht="13.8">
      <c r="B15021" s="187">
        <v>43686</v>
      </c>
      <c r="C15021" s="189">
        <v>1.74</v>
      </c>
      <c r="D15021" s="104">
        <f t="shared" si="244"/>
        <v>1.7399999999999999E-2</v>
      </c>
      <c r="E15021" s="104">
        <f>AVERAGE( D15017:D15021)</f>
        <v>1.7299999999999999E-2</v>
      </c>
      <c r="F15021" s="4" t="str">
        <f>TEXT( B15021, "ddd" )</f>
        <v>Fri</v>
      </c>
    </row>
    <row r="15022" spans="2:6" ht="13.8">
      <c r="B15022" s="187">
        <v>43689</v>
      </c>
      <c r="C15022" s="189">
        <v>1.65</v>
      </c>
      <c r="D15022" s="104">
        <f t="shared" si="244"/>
        <v>1.6500000000000001E-2</v>
      </c>
    </row>
    <row r="15023" spans="2:6" ht="13.8">
      <c r="B15023" s="187">
        <v>43690</v>
      </c>
      <c r="C15023" s="189">
        <v>1.68</v>
      </c>
      <c r="D15023" s="104">
        <f t="shared" si="244"/>
        <v>1.6799999999999999E-2</v>
      </c>
    </row>
    <row r="15024" spans="2:6" ht="13.8">
      <c r="B15024" s="187">
        <v>43691</v>
      </c>
      <c r="C15024" s="189">
        <v>1.59</v>
      </c>
      <c r="D15024" s="104">
        <f t="shared" si="244"/>
        <v>1.5900000000000001E-2</v>
      </c>
    </row>
    <row r="15025" spans="2:6" ht="13.8">
      <c r="B15025" s="187">
        <v>43692</v>
      </c>
      <c r="C15025" s="189">
        <v>1.52</v>
      </c>
      <c r="D15025" s="104">
        <f t="shared" si="244"/>
        <v>1.52E-2</v>
      </c>
    </row>
    <row r="15026" spans="2:6" ht="13.8">
      <c r="B15026" s="187">
        <v>43693</v>
      </c>
      <c r="C15026" s="189">
        <v>1.55</v>
      </c>
      <c r="D15026" s="104">
        <f t="shared" si="244"/>
        <v>1.55E-2</v>
      </c>
      <c r="E15026" s="104">
        <f>AVERAGE( D15022:D15026)</f>
        <v>1.5980000000000001E-2</v>
      </c>
      <c r="F15026" s="4" t="str">
        <f>TEXT( B15026, "ddd" )</f>
        <v>Fri</v>
      </c>
    </row>
    <row r="15027" spans="2:6" ht="13.8">
      <c r="B15027" s="187">
        <v>43696</v>
      </c>
      <c r="C15027" s="189">
        <v>1.6</v>
      </c>
      <c r="D15027" s="104">
        <f t="shared" si="244"/>
        <v>1.6E-2</v>
      </c>
    </row>
    <row r="15028" spans="2:6" ht="13.8">
      <c r="B15028" s="187">
        <v>43697</v>
      </c>
      <c r="C15028" s="189">
        <v>1.55</v>
      </c>
      <c r="D15028" s="104">
        <f t="shared" si="244"/>
        <v>1.55E-2</v>
      </c>
    </row>
    <row r="15029" spans="2:6" ht="13.8">
      <c r="B15029" s="187">
        <v>43698</v>
      </c>
      <c r="C15029" s="189">
        <v>1.59</v>
      </c>
      <c r="D15029" s="104">
        <f t="shared" si="244"/>
        <v>1.5900000000000001E-2</v>
      </c>
    </row>
    <row r="15030" spans="2:6" ht="13.8">
      <c r="B15030" s="187">
        <v>43699</v>
      </c>
      <c r="C15030" s="189">
        <v>1.62</v>
      </c>
      <c r="D15030" s="104">
        <f t="shared" ref="D15030:D15079" si="245">IF( LEN( C15030 ) = 0, #N/A, IF( C15030 = "ND", D15029, C15030 / 100 ) )</f>
        <v>1.6200000000000003E-2</v>
      </c>
    </row>
    <row r="15031" spans="2:6" ht="13.8">
      <c r="B15031" s="187">
        <v>43700</v>
      </c>
      <c r="C15031" s="189">
        <v>1.52</v>
      </c>
      <c r="D15031" s="104">
        <f t="shared" si="245"/>
        <v>1.52E-2</v>
      </c>
      <c r="E15031" s="104">
        <f>AVERAGE( D15027:D15031)</f>
        <v>1.5760000000000003E-2</v>
      </c>
      <c r="F15031" s="4" t="str">
        <f>TEXT( B15031, "ddd" )</f>
        <v>Fri</v>
      </c>
    </row>
    <row r="15032" spans="2:6" ht="13.8">
      <c r="B15032" s="187">
        <v>43703</v>
      </c>
      <c r="C15032" s="189">
        <v>1.54</v>
      </c>
      <c r="D15032" s="104">
        <f t="shared" si="245"/>
        <v>1.54E-2</v>
      </c>
    </row>
    <row r="15033" spans="2:6" ht="13.8">
      <c r="B15033" s="187">
        <v>43704</v>
      </c>
      <c r="C15033" s="189">
        <v>1.49</v>
      </c>
      <c r="D15033" s="104">
        <f t="shared" si="245"/>
        <v>1.49E-2</v>
      </c>
    </row>
    <row r="15034" spans="2:6" ht="13.8">
      <c r="B15034" s="187">
        <v>43705</v>
      </c>
      <c r="C15034" s="189">
        <v>1.47</v>
      </c>
      <c r="D15034" s="104">
        <f t="shared" si="245"/>
        <v>1.47E-2</v>
      </c>
    </row>
    <row r="15035" spans="2:6" ht="13.8">
      <c r="B15035" s="187">
        <v>43706</v>
      </c>
      <c r="C15035" s="189">
        <v>1.5</v>
      </c>
      <c r="D15035" s="104">
        <f t="shared" si="245"/>
        <v>1.4999999999999999E-2</v>
      </c>
    </row>
    <row r="15036" spans="2:6" ht="13.8">
      <c r="B15036" s="187">
        <v>43707</v>
      </c>
      <c r="C15036" s="189">
        <v>1.5</v>
      </c>
      <c r="D15036" s="104">
        <f t="shared" si="245"/>
        <v>1.4999999999999999E-2</v>
      </c>
      <c r="E15036" s="104">
        <f>AVERAGE( D15032:D15036)</f>
        <v>1.4999999999999999E-2</v>
      </c>
      <c r="F15036" s="4" t="str">
        <f>TEXT( B15036, "ddd" )</f>
        <v>Fri</v>
      </c>
    </row>
    <row r="15037" spans="2:6" ht="13.8">
      <c r="B15037" s="187">
        <v>43710</v>
      </c>
      <c r="C15037" s="189" t="s">
        <v>380</v>
      </c>
      <c r="D15037" s="104">
        <f t="shared" si="245"/>
        <v>1.4999999999999999E-2</v>
      </c>
    </row>
    <row r="15038" spans="2:6" ht="13.8">
      <c r="B15038" s="187">
        <v>43711</v>
      </c>
      <c r="C15038" s="189">
        <v>1.47</v>
      </c>
      <c r="D15038" s="104">
        <f t="shared" si="245"/>
        <v>1.47E-2</v>
      </c>
    </row>
    <row r="15039" spans="2:6" ht="13.8">
      <c r="B15039" s="187">
        <v>43712</v>
      </c>
      <c r="C15039" s="189">
        <v>1.47</v>
      </c>
      <c r="D15039" s="104">
        <f t="shared" si="245"/>
        <v>1.47E-2</v>
      </c>
    </row>
    <row r="15040" spans="2:6" ht="13.8">
      <c r="B15040" s="187">
        <v>43713</v>
      </c>
      <c r="C15040" s="189">
        <v>1.57</v>
      </c>
      <c r="D15040" s="104">
        <f t="shared" si="245"/>
        <v>1.5700000000000002E-2</v>
      </c>
    </row>
    <row r="15041" spans="2:6" ht="13.8">
      <c r="B15041" s="187">
        <v>43714</v>
      </c>
      <c r="C15041" s="189">
        <v>1.55</v>
      </c>
      <c r="D15041" s="104">
        <f t="shared" si="245"/>
        <v>1.55E-2</v>
      </c>
      <c r="E15041" s="104">
        <f>AVERAGE( D15037:D15041)</f>
        <v>1.512E-2</v>
      </c>
      <c r="F15041" s="4" t="str">
        <f>TEXT( B15041, "ddd" )</f>
        <v>Fri</v>
      </c>
    </row>
    <row r="15042" spans="2:6" ht="13.8">
      <c r="B15042" s="187">
        <v>43717</v>
      </c>
      <c r="C15042" s="189">
        <v>1.63</v>
      </c>
      <c r="D15042" s="104">
        <f t="shared" si="245"/>
        <v>1.6299999999999999E-2</v>
      </c>
    </row>
    <row r="15043" spans="2:6" ht="13.8">
      <c r="B15043" s="187">
        <v>43718</v>
      </c>
      <c r="C15043" s="189">
        <v>1.72</v>
      </c>
      <c r="D15043" s="104">
        <f t="shared" si="245"/>
        <v>1.72E-2</v>
      </c>
    </row>
    <row r="15044" spans="2:6" ht="13.8">
      <c r="B15044" s="187">
        <v>43719</v>
      </c>
      <c r="C15044" s="189">
        <v>1.75</v>
      </c>
      <c r="D15044" s="104">
        <f t="shared" si="245"/>
        <v>1.7500000000000002E-2</v>
      </c>
    </row>
    <row r="15045" spans="2:6" ht="13.8">
      <c r="B15045" s="187">
        <v>43720</v>
      </c>
      <c r="C15045" s="189">
        <v>1.79</v>
      </c>
      <c r="D15045" s="104">
        <f t="shared" si="245"/>
        <v>1.7899999999999999E-2</v>
      </c>
    </row>
    <row r="15046" spans="2:6" ht="13.8">
      <c r="B15046" s="187">
        <v>43721</v>
      </c>
      <c r="C15046" s="189">
        <v>1.9</v>
      </c>
      <c r="D15046" s="104">
        <f t="shared" si="245"/>
        <v>1.9E-2</v>
      </c>
      <c r="E15046" s="104">
        <f>AVERAGE( D15042:D15046)</f>
        <v>1.7580000000000002E-2</v>
      </c>
      <c r="F15046" s="4" t="str">
        <f>TEXT( B15046, "ddd" )</f>
        <v>Fri</v>
      </c>
    </row>
    <row r="15047" spans="2:6" ht="13.8">
      <c r="B15047" s="187">
        <v>43724</v>
      </c>
      <c r="C15047" s="189">
        <v>1.84</v>
      </c>
      <c r="D15047" s="104">
        <f t="shared" si="245"/>
        <v>1.84E-2</v>
      </c>
    </row>
    <row r="15048" spans="2:6" ht="13.8">
      <c r="B15048" s="187">
        <v>43725</v>
      </c>
      <c r="C15048" s="189">
        <v>1.81</v>
      </c>
      <c r="D15048" s="104">
        <f t="shared" si="245"/>
        <v>1.8100000000000002E-2</v>
      </c>
    </row>
    <row r="15049" spans="2:6" ht="13.8">
      <c r="B15049" s="187">
        <v>43726</v>
      </c>
      <c r="C15049" s="189">
        <v>1.8</v>
      </c>
      <c r="D15049" s="104">
        <f t="shared" si="245"/>
        <v>1.8000000000000002E-2</v>
      </c>
    </row>
    <row r="15050" spans="2:6" ht="13.8">
      <c r="B15050" s="187">
        <v>43727</v>
      </c>
      <c r="C15050" s="189">
        <v>1.79</v>
      </c>
      <c r="D15050" s="104">
        <f t="shared" si="245"/>
        <v>1.7899999999999999E-2</v>
      </c>
    </row>
    <row r="15051" spans="2:6" ht="13.8">
      <c r="B15051" s="187">
        <v>43728</v>
      </c>
      <c r="C15051" s="189">
        <v>1.74</v>
      </c>
      <c r="D15051" s="104">
        <f t="shared" si="245"/>
        <v>1.7399999999999999E-2</v>
      </c>
      <c r="E15051" s="104">
        <f>AVERAGE( D15047:D15051)</f>
        <v>1.796E-2</v>
      </c>
      <c r="F15051" s="4" t="str">
        <f>TEXT( B15051, "ddd" )</f>
        <v>Fri</v>
      </c>
    </row>
    <row r="15052" spans="2:6" ht="13.8">
      <c r="B15052" s="187">
        <v>43731</v>
      </c>
      <c r="C15052" s="189">
        <v>1.72</v>
      </c>
      <c r="D15052" s="104">
        <f t="shared" si="245"/>
        <v>1.72E-2</v>
      </c>
    </row>
    <row r="15053" spans="2:6" ht="13.8">
      <c r="B15053" s="187">
        <v>43732</v>
      </c>
      <c r="C15053" s="189">
        <v>1.64</v>
      </c>
      <c r="D15053" s="104">
        <f t="shared" si="245"/>
        <v>1.6399999999999998E-2</v>
      </c>
    </row>
    <row r="15054" spans="2:6" ht="13.8">
      <c r="B15054" s="187">
        <v>43733</v>
      </c>
      <c r="C15054" s="189">
        <v>1.73</v>
      </c>
      <c r="D15054" s="104">
        <f t="shared" si="245"/>
        <v>1.7299999999999999E-2</v>
      </c>
    </row>
    <row r="15055" spans="2:6" ht="13.8">
      <c r="B15055" s="187">
        <v>43734</v>
      </c>
      <c r="C15055" s="189">
        <v>1.7</v>
      </c>
      <c r="D15055" s="104">
        <f t="shared" si="245"/>
        <v>1.7000000000000001E-2</v>
      </c>
    </row>
    <row r="15056" spans="2:6" ht="13.8">
      <c r="B15056" s="187">
        <v>43735</v>
      </c>
      <c r="C15056" s="189">
        <v>1.69</v>
      </c>
      <c r="D15056" s="104">
        <f t="shared" si="245"/>
        <v>1.6899999999999998E-2</v>
      </c>
      <c r="E15056" s="104">
        <f>AVERAGE( D15052:D15056)</f>
        <v>1.6959999999999999E-2</v>
      </c>
      <c r="F15056" s="4" t="str">
        <f>TEXT( B15056, "ddd" )</f>
        <v>Fri</v>
      </c>
    </row>
    <row r="15057" spans="2:6" ht="13.8">
      <c r="B15057" s="187">
        <v>43738</v>
      </c>
      <c r="C15057" s="189">
        <v>1.68</v>
      </c>
      <c r="D15057" s="104">
        <f t="shared" si="245"/>
        <v>1.6799999999999999E-2</v>
      </c>
    </row>
    <row r="15058" spans="2:6" ht="13.8">
      <c r="B15058" s="187">
        <v>43739</v>
      </c>
      <c r="C15058" s="189">
        <v>1.65</v>
      </c>
      <c r="D15058" s="104">
        <f t="shared" si="245"/>
        <v>1.6500000000000001E-2</v>
      </c>
    </row>
    <row r="15059" spans="2:6" ht="13.8">
      <c r="B15059" s="187">
        <v>43740</v>
      </c>
      <c r="C15059" s="189">
        <v>1.6</v>
      </c>
      <c r="D15059" s="104">
        <f t="shared" si="245"/>
        <v>1.6E-2</v>
      </c>
    </row>
    <row r="15060" spans="2:6" ht="13.8">
      <c r="B15060" s="187">
        <v>43741</v>
      </c>
      <c r="C15060" s="189">
        <v>1.54</v>
      </c>
      <c r="D15060" s="104">
        <f t="shared" si="245"/>
        <v>1.54E-2</v>
      </c>
    </row>
    <row r="15061" spans="2:6" ht="13.8">
      <c r="B15061" s="187">
        <v>43742</v>
      </c>
      <c r="C15061" s="189">
        <v>1.52</v>
      </c>
      <c r="D15061" s="104">
        <f t="shared" si="245"/>
        <v>1.52E-2</v>
      </c>
      <c r="E15061" s="104">
        <f>AVERAGE( D15057:D15061)</f>
        <v>1.5980000000000001E-2</v>
      </c>
      <c r="F15061" s="4" t="str">
        <f>TEXT( B15061, "ddd" )</f>
        <v>Fri</v>
      </c>
    </row>
    <row r="15062" spans="2:6" ht="13.8">
      <c r="B15062" s="187">
        <v>43745</v>
      </c>
      <c r="C15062" s="189">
        <v>1.56</v>
      </c>
      <c r="D15062" s="104">
        <f t="shared" si="245"/>
        <v>1.5600000000000001E-2</v>
      </c>
    </row>
    <row r="15063" spans="2:6" ht="13.8">
      <c r="B15063" s="187">
        <v>43746</v>
      </c>
      <c r="C15063" s="189">
        <v>1.54</v>
      </c>
      <c r="D15063" s="104">
        <f t="shared" si="245"/>
        <v>1.54E-2</v>
      </c>
    </row>
    <row r="15064" spans="2:6" ht="13.8">
      <c r="B15064" s="187">
        <v>43747</v>
      </c>
      <c r="C15064" s="189">
        <v>1.59</v>
      </c>
      <c r="D15064" s="104">
        <f t="shared" si="245"/>
        <v>1.5900000000000001E-2</v>
      </c>
    </row>
    <row r="15065" spans="2:6" ht="13.8">
      <c r="B15065" s="187">
        <v>43748</v>
      </c>
      <c r="C15065" s="189">
        <v>1.67</v>
      </c>
      <c r="D15065" s="104">
        <f t="shared" si="245"/>
        <v>1.67E-2</v>
      </c>
    </row>
    <row r="15066" spans="2:6" ht="13.8">
      <c r="B15066" s="187">
        <v>43749</v>
      </c>
      <c r="C15066" s="189">
        <v>1.76</v>
      </c>
      <c r="D15066" s="104">
        <f t="shared" si="245"/>
        <v>1.7600000000000001E-2</v>
      </c>
      <c r="E15066" s="104">
        <f>AVERAGE( D15062:D15066)</f>
        <v>1.6239999999999997E-2</v>
      </c>
      <c r="F15066" s="4" t="str">
        <f>TEXT( B15066, "ddd" )</f>
        <v>Fri</v>
      </c>
    </row>
    <row r="15067" spans="2:6" ht="13.8">
      <c r="B15067" s="187">
        <v>43752</v>
      </c>
      <c r="C15067" s="189" t="s">
        <v>380</v>
      </c>
      <c r="D15067" s="104">
        <f t="shared" si="245"/>
        <v>1.7600000000000001E-2</v>
      </c>
    </row>
    <row r="15068" spans="2:6" ht="13.8">
      <c r="B15068" s="187">
        <v>43753</v>
      </c>
      <c r="C15068" s="189">
        <v>1.77</v>
      </c>
      <c r="D15068" s="104">
        <f t="shared" si="245"/>
        <v>1.77E-2</v>
      </c>
    </row>
    <row r="15069" spans="2:6" ht="13.8">
      <c r="B15069" s="187">
        <v>43754</v>
      </c>
      <c r="C15069" s="189">
        <v>1.75</v>
      </c>
      <c r="D15069" s="104">
        <f t="shared" si="245"/>
        <v>1.7500000000000002E-2</v>
      </c>
    </row>
    <row r="15070" spans="2:6" ht="13.8">
      <c r="B15070" s="187">
        <v>43755</v>
      </c>
      <c r="C15070" s="189">
        <v>1.76</v>
      </c>
      <c r="D15070" s="104">
        <f t="shared" si="245"/>
        <v>1.7600000000000001E-2</v>
      </c>
    </row>
    <row r="15071" spans="2:6" ht="13.8">
      <c r="B15071" s="187">
        <v>43756</v>
      </c>
      <c r="C15071" s="189">
        <v>1.76</v>
      </c>
      <c r="D15071" s="104">
        <f t="shared" si="245"/>
        <v>1.7600000000000001E-2</v>
      </c>
      <c r="E15071" s="104">
        <f>AVERAGE( D15067:D15071)</f>
        <v>1.7600000000000001E-2</v>
      </c>
      <c r="F15071" s="4" t="str">
        <f>TEXT( B15071, "ddd" )</f>
        <v>Fri</v>
      </c>
    </row>
    <row r="15072" spans="2:6" ht="13.8">
      <c r="B15072" s="187">
        <v>43759</v>
      </c>
      <c r="C15072" s="189">
        <v>1.8</v>
      </c>
      <c r="D15072" s="104">
        <f t="shared" si="245"/>
        <v>1.8000000000000002E-2</v>
      </c>
    </row>
    <row r="15073" spans="2:6" ht="13.8">
      <c r="B15073" s="187">
        <v>43760</v>
      </c>
      <c r="C15073" s="189">
        <v>1.78</v>
      </c>
      <c r="D15073" s="104">
        <f t="shared" si="245"/>
        <v>1.78E-2</v>
      </c>
    </row>
    <row r="15074" spans="2:6" ht="13.8">
      <c r="B15074" s="187">
        <v>43761</v>
      </c>
      <c r="C15074" s="189">
        <v>1.77</v>
      </c>
      <c r="D15074" s="104">
        <f t="shared" si="245"/>
        <v>1.77E-2</v>
      </c>
    </row>
    <row r="15075" spans="2:6" ht="13.8">
      <c r="B15075" s="187">
        <v>43762</v>
      </c>
      <c r="C15075" s="189">
        <v>1.77</v>
      </c>
      <c r="D15075" s="104">
        <f t="shared" si="245"/>
        <v>1.77E-2</v>
      </c>
    </row>
    <row r="15076" spans="2:6" ht="13.8">
      <c r="B15076" s="187">
        <v>43763</v>
      </c>
      <c r="C15076" s="189">
        <v>1.8</v>
      </c>
      <c r="D15076" s="104">
        <f t="shared" si="245"/>
        <v>1.8000000000000002E-2</v>
      </c>
      <c r="E15076" s="104">
        <f>AVERAGE( D15072:D15076)</f>
        <v>1.7840000000000002E-2</v>
      </c>
      <c r="F15076" s="4" t="str">
        <f>TEXT( B15076, "ddd" )</f>
        <v>Fri</v>
      </c>
    </row>
    <row r="15077" spans="2:6" ht="13.8">
      <c r="B15077" s="187">
        <v>43766</v>
      </c>
      <c r="C15077" s="189">
        <v>1.85</v>
      </c>
      <c r="D15077" s="104">
        <f t="shared" si="245"/>
        <v>1.8500000000000003E-2</v>
      </c>
    </row>
    <row r="15078" spans="2:6" ht="13.8">
      <c r="B15078" s="187">
        <v>43767</v>
      </c>
      <c r="C15078" s="189">
        <v>1.84</v>
      </c>
      <c r="D15078" s="104">
        <f t="shared" si="245"/>
        <v>1.84E-2</v>
      </c>
    </row>
    <row r="15079" spans="2:6" ht="13.8">
      <c r="B15079" s="187">
        <v>43768</v>
      </c>
      <c r="C15079" s="189">
        <v>1.78</v>
      </c>
      <c r="D15079" s="104">
        <f t="shared" si="245"/>
        <v>1.78E-2</v>
      </c>
    </row>
    <row r="15080" spans="2:6" ht="13.8">
      <c r="B15080" s="187">
        <v>43769</v>
      </c>
      <c r="C15080" s="189">
        <v>1.69</v>
      </c>
      <c r="D15080" s="104">
        <f t="shared" ref="D15080:D15109" si="246">IF( LEN( C15080 ) = 0, #N/A, IF( C15080 = "ND", D15079, C15080 / 100 ) )</f>
        <v>1.6899999999999998E-2</v>
      </c>
    </row>
    <row r="15081" spans="2:6" ht="13.8">
      <c r="B15081" s="187">
        <v>43770</v>
      </c>
      <c r="C15081" s="189">
        <v>1.73</v>
      </c>
      <c r="D15081" s="104">
        <f t="shared" si="246"/>
        <v>1.7299999999999999E-2</v>
      </c>
      <c r="E15081" s="104">
        <f>AVERAGE( D15077:D15081)</f>
        <v>1.7779999999999997E-2</v>
      </c>
      <c r="F15081" s="4" t="str">
        <f>TEXT( B15081, "ddd" )</f>
        <v>Fri</v>
      </c>
    </row>
    <row r="15082" spans="2:6" ht="13.8">
      <c r="B15082" s="187">
        <v>43773</v>
      </c>
      <c r="C15082" s="189">
        <v>1.79</v>
      </c>
      <c r="D15082" s="104">
        <f t="shared" si="246"/>
        <v>1.7899999999999999E-2</v>
      </c>
    </row>
    <row r="15083" spans="2:6" ht="13.8">
      <c r="B15083" s="187">
        <v>43774</v>
      </c>
      <c r="C15083" s="189">
        <v>1.86</v>
      </c>
      <c r="D15083" s="104">
        <f t="shared" si="246"/>
        <v>1.8600000000000002E-2</v>
      </c>
    </row>
    <row r="15084" spans="2:6" ht="13.8">
      <c r="B15084" s="187">
        <v>43775</v>
      </c>
      <c r="C15084" s="189">
        <v>1.81</v>
      </c>
      <c r="D15084" s="104">
        <f t="shared" si="246"/>
        <v>1.8100000000000002E-2</v>
      </c>
    </row>
    <row r="15085" spans="2:6" ht="13.8">
      <c r="B15085" s="187">
        <v>43776</v>
      </c>
      <c r="C15085" s="189">
        <v>1.92</v>
      </c>
      <c r="D15085" s="104">
        <f t="shared" si="246"/>
        <v>1.9199999999999998E-2</v>
      </c>
    </row>
    <row r="15086" spans="2:6" ht="13.8">
      <c r="B15086" s="187">
        <v>43777</v>
      </c>
      <c r="C15086" s="189">
        <v>1.94</v>
      </c>
      <c r="D15086" s="104">
        <f t="shared" si="246"/>
        <v>1.9400000000000001E-2</v>
      </c>
      <c r="E15086" s="104">
        <f>AVERAGE( D15082:D15086)</f>
        <v>1.864E-2</v>
      </c>
      <c r="F15086" s="4" t="str">
        <f>TEXT( B15086, "ddd" )</f>
        <v>Fri</v>
      </c>
    </row>
    <row r="15087" spans="2:6" ht="13.8">
      <c r="B15087" s="187">
        <v>43780</v>
      </c>
      <c r="C15087" s="189" t="s">
        <v>380</v>
      </c>
      <c r="D15087" s="104">
        <f t="shared" si="246"/>
        <v>1.9400000000000001E-2</v>
      </c>
    </row>
    <row r="15088" spans="2:6" ht="13.8">
      <c r="B15088" s="187">
        <v>43781</v>
      </c>
      <c r="C15088" s="189">
        <v>1.92</v>
      </c>
      <c r="D15088" s="104">
        <f t="shared" si="246"/>
        <v>1.9199999999999998E-2</v>
      </c>
    </row>
    <row r="15089" spans="2:6" ht="13.8">
      <c r="B15089" s="187">
        <v>43782</v>
      </c>
      <c r="C15089" s="189">
        <v>1.88</v>
      </c>
      <c r="D15089" s="104">
        <f t="shared" si="246"/>
        <v>1.8799999999999997E-2</v>
      </c>
    </row>
    <row r="15090" spans="2:6" ht="13.8">
      <c r="B15090" s="187">
        <v>43783</v>
      </c>
      <c r="C15090" s="189">
        <v>1.82</v>
      </c>
      <c r="D15090" s="104">
        <f t="shared" si="246"/>
        <v>1.8200000000000001E-2</v>
      </c>
    </row>
    <row r="15091" spans="2:6" ht="13.8">
      <c r="B15091" s="187">
        <v>43784</v>
      </c>
      <c r="C15091" s="189">
        <v>1.84</v>
      </c>
      <c r="D15091" s="104">
        <f t="shared" si="246"/>
        <v>1.84E-2</v>
      </c>
      <c r="E15091" s="104">
        <f>AVERAGE( D15087:D15091)</f>
        <v>1.8800000000000001E-2</v>
      </c>
      <c r="F15091" s="4" t="str">
        <f>TEXT( B15091, "ddd" )</f>
        <v>Fri</v>
      </c>
    </row>
    <row r="15092" spans="2:6" ht="13.8">
      <c r="B15092" s="187">
        <v>43787</v>
      </c>
      <c r="C15092" s="189">
        <v>1.81</v>
      </c>
      <c r="D15092" s="104">
        <f t="shared" si="246"/>
        <v>1.8100000000000002E-2</v>
      </c>
    </row>
    <row r="15093" spans="2:6" ht="13.8">
      <c r="B15093" s="187">
        <v>43788</v>
      </c>
      <c r="C15093" s="189">
        <v>1.79</v>
      </c>
      <c r="D15093" s="104">
        <f t="shared" si="246"/>
        <v>1.7899999999999999E-2</v>
      </c>
    </row>
    <row r="15094" spans="2:6" ht="13.8">
      <c r="B15094" s="187">
        <v>43789</v>
      </c>
      <c r="C15094" s="189">
        <v>1.73</v>
      </c>
      <c r="D15094" s="104">
        <f t="shared" si="246"/>
        <v>1.7299999999999999E-2</v>
      </c>
    </row>
    <row r="15095" spans="2:6" ht="13.8">
      <c r="B15095" s="187">
        <v>43790</v>
      </c>
      <c r="C15095" s="189">
        <v>1.77</v>
      </c>
      <c r="D15095" s="104">
        <f t="shared" si="246"/>
        <v>1.77E-2</v>
      </c>
    </row>
    <row r="15096" spans="2:6" ht="13.8">
      <c r="B15096" s="187">
        <v>43791</v>
      </c>
      <c r="C15096" s="189">
        <v>1.77</v>
      </c>
      <c r="D15096" s="104">
        <f t="shared" si="246"/>
        <v>1.77E-2</v>
      </c>
      <c r="E15096" s="104">
        <f>AVERAGE( D15092:D15096)</f>
        <v>1.7739999999999999E-2</v>
      </c>
      <c r="F15096" s="4" t="str">
        <f>TEXT( B15096, "ddd" )</f>
        <v>Fri</v>
      </c>
    </row>
    <row r="15097" spans="2:6" ht="13.8">
      <c r="B15097" s="187">
        <v>43794</v>
      </c>
      <c r="C15097" s="189">
        <v>1.76</v>
      </c>
      <c r="D15097" s="104">
        <f t="shared" si="246"/>
        <v>1.7600000000000001E-2</v>
      </c>
    </row>
    <row r="15098" spans="2:6" ht="13.8">
      <c r="B15098" s="187">
        <v>43795</v>
      </c>
      <c r="C15098" s="189">
        <v>1.74</v>
      </c>
      <c r="D15098" s="104">
        <f t="shared" si="246"/>
        <v>1.7399999999999999E-2</v>
      </c>
    </row>
    <row r="15099" spans="2:6" ht="13.8">
      <c r="B15099" s="187">
        <v>43796</v>
      </c>
      <c r="C15099" s="189">
        <v>1.77</v>
      </c>
      <c r="D15099" s="104">
        <f t="shared" si="246"/>
        <v>1.77E-2</v>
      </c>
    </row>
    <row r="15100" spans="2:6" ht="13.8">
      <c r="B15100" s="187">
        <v>43797</v>
      </c>
      <c r="C15100" s="189" t="s">
        <v>380</v>
      </c>
      <c r="D15100" s="104">
        <f t="shared" si="246"/>
        <v>1.77E-2</v>
      </c>
    </row>
    <row r="15101" spans="2:6" ht="13.8">
      <c r="B15101" s="187">
        <v>43798</v>
      </c>
      <c r="C15101" s="189">
        <v>1.78</v>
      </c>
      <c r="D15101" s="104">
        <f t="shared" si="246"/>
        <v>1.78E-2</v>
      </c>
      <c r="E15101" s="104">
        <f>AVERAGE( D15097:D15101)</f>
        <v>1.7639999999999999E-2</v>
      </c>
      <c r="F15101" s="4" t="str">
        <f>TEXT( B15101, "ddd" )</f>
        <v>Fri</v>
      </c>
    </row>
    <row r="15102" spans="2:6" ht="13.8">
      <c r="B15102" s="187">
        <v>43801</v>
      </c>
      <c r="C15102" s="189">
        <v>1.83</v>
      </c>
      <c r="D15102" s="104">
        <f t="shared" si="246"/>
        <v>1.83E-2</v>
      </c>
    </row>
    <row r="15103" spans="2:6" ht="13.8">
      <c r="B15103" s="187">
        <v>43802</v>
      </c>
      <c r="C15103" s="189">
        <v>1.72</v>
      </c>
      <c r="D15103" s="104">
        <f t="shared" si="246"/>
        <v>1.72E-2</v>
      </c>
    </row>
    <row r="15104" spans="2:6" ht="13.8">
      <c r="B15104" s="187">
        <v>43803</v>
      </c>
      <c r="C15104" s="189">
        <v>1.77</v>
      </c>
      <c r="D15104" s="104">
        <f t="shared" si="246"/>
        <v>1.77E-2</v>
      </c>
    </row>
    <row r="15105" spans="2:6" ht="13.8">
      <c r="B15105" s="187">
        <v>43804</v>
      </c>
      <c r="C15105" s="189">
        <v>1.8</v>
      </c>
      <c r="D15105" s="104">
        <f t="shared" si="246"/>
        <v>1.8000000000000002E-2</v>
      </c>
    </row>
    <row r="15106" spans="2:6" ht="13.8">
      <c r="B15106" s="187">
        <v>43805</v>
      </c>
      <c r="C15106" s="189">
        <v>1.84</v>
      </c>
      <c r="D15106" s="104">
        <f t="shared" si="246"/>
        <v>1.84E-2</v>
      </c>
      <c r="E15106" s="104">
        <f>AVERAGE( D15102:D15106)</f>
        <v>1.7920000000000002E-2</v>
      </c>
      <c r="F15106" s="4" t="str">
        <f>TEXT( B15106, "ddd" )</f>
        <v>Fri</v>
      </c>
    </row>
    <row r="15107" spans="2:6" ht="13.8">
      <c r="B15107" s="187">
        <v>43808</v>
      </c>
      <c r="C15107" s="189">
        <v>1.83</v>
      </c>
      <c r="D15107" s="104">
        <f t="shared" si="246"/>
        <v>1.83E-2</v>
      </c>
    </row>
    <row r="15108" spans="2:6" ht="13.8">
      <c r="B15108" s="187">
        <v>43809</v>
      </c>
      <c r="C15108" s="189">
        <v>1.85</v>
      </c>
      <c r="D15108" s="104">
        <f t="shared" si="246"/>
        <v>1.8500000000000003E-2</v>
      </c>
    </row>
    <row r="15109" spans="2:6" ht="13.8">
      <c r="B15109" s="187">
        <v>43810</v>
      </c>
      <c r="C15109" s="189">
        <v>1.79</v>
      </c>
      <c r="D15109" s="104">
        <f t="shared" si="246"/>
        <v>1.7899999999999999E-2</v>
      </c>
    </row>
    <row r="15110" spans="2:6" ht="13.8">
      <c r="B15110" s="187">
        <v>43811</v>
      </c>
      <c r="C15110" s="189">
        <v>1.9</v>
      </c>
      <c r="D15110" s="104">
        <f t="shared" ref="D15110:D15151" si="247">IF( LEN( C15110 ) = 0, #N/A, IF( C15110 = "ND", D15109, C15110 / 100 ) )</f>
        <v>1.9E-2</v>
      </c>
    </row>
    <row r="15111" spans="2:6" ht="13.8">
      <c r="B15111" s="187">
        <v>43812</v>
      </c>
      <c r="C15111" s="189">
        <v>1.82</v>
      </c>
      <c r="D15111" s="104">
        <f t="shared" si="247"/>
        <v>1.8200000000000001E-2</v>
      </c>
      <c r="E15111" s="104">
        <f>AVERAGE( D15107:D15111)</f>
        <v>1.8380000000000001E-2</v>
      </c>
      <c r="F15111" s="4" t="str">
        <f>TEXT( B15111, "ddd" )</f>
        <v>Fri</v>
      </c>
    </row>
    <row r="15112" spans="2:6" ht="13.8">
      <c r="B15112" s="187">
        <v>43815</v>
      </c>
      <c r="C15112" s="189">
        <v>1.89</v>
      </c>
      <c r="D15112" s="104">
        <f t="shared" si="247"/>
        <v>1.89E-2</v>
      </c>
    </row>
    <row r="15113" spans="2:6" ht="13.8">
      <c r="B15113" s="187">
        <v>43816</v>
      </c>
      <c r="C15113" s="189">
        <v>1.89</v>
      </c>
      <c r="D15113" s="104">
        <f t="shared" si="247"/>
        <v>1.89E-2</v>
      </c>
    </row>
    <row r="15114" spans="2:6" ht="13.8">
      <c r="B15114" s="187">
        <v>43817</v>
      </c>
      <c r="C15114" s="189">
        <v>1.92</v>
      </c>
      <c r="D15114" s="104">
        <f t="shared" si="247"/>
        <v>1.9199999999999998E-2</v>
      </c>
    </row>
    <row r="15115" spans="2:6" ht="13.8">
      <c r="B15115" s="187">
        <v>43818</v>
      </c>
      <c r="C15115" s="189">
        <v>1.92</v>
      </c>
      <c r="D15115" s="104">
        <f t="shared" si="247"/>
        <v>1.9199999999999998E-2</v>
      </c>
    </row>
    <row r="15116" spans="2:6" ht="13.8">
      <c r="B15116" s="187">
        <v>43819</v>
      </c>
      <c r="C15116" s="189">
        <v>1.92</v>
      </c>
      <c r="D15116" s="104">
        <f t="shared" si="247"/>
        <v>1.9199999999999998E-2</v>
      </c>
      <c r="E15116" s="104">
        <f>AVERAGE( D15112:D15116)</f>
        <v>1.9079999999999996E-2</v>
      </c>
      <c r="F15116" s="4" t="str">
        <f>TEXT( B15116, "ddd" )</f>
        <v>Fri</v>
      </c>
    </row>
    <row r="15117" spans="2:6" ht="13.8">
      <c r="B15117" s="187">
        <v>43822</v>
      </c>
      <c r="C15117" s="189">
        <v>1.93</v>
      </c>
      <c r="D15117" s="104">
        <f t="shared" si="247"/>
        <v>1.9299999999999998E-2</v>
      </c>
    </row>
    <row r="15118" spans="2:6" ht="13.8">
      <c r="B15118" s="187">
        <v>43823</v>
      </c>
      <c r="C15118" s="189">
        <v>1.9</v>
      </c>
      <c r="D15118" s="104">
        <f t="shared" si="247"/>
        <v>1.9E-2</v>
      </c>
    </row>
    <row r="15119" spans="2:6" ht="13.8">
      <c r="B15119" s="187">
        <v>43824</v>
      </c>
      <c r="C15119" s="189" t="s">
        <v>380</v>
      </c>
      <c r="D15119" s="104">
        <f t="shared" si="247"/>
        <v>1.9E-2</v>
      </c>
    </row>
    <row r="15120" spans="2:6" ht="13.8">
      <c r="B15120" s="187">
        <v>43825</v>
      </c>
      <c r="C15120" s="189">
        <v>1.9</v>
      </c>
      <c r="D15120" s="104">
        <f t="shared" si="247"/>
        <v>1.9E-2</v>
      </c>
    </row>
    <row r="15121" spans="2:6" ht="13.8">
      <c r="B15121" s="187">
        <v>43826</v>
      </c>
      <c r="C15121" s="189">
        <v>1.88</v>
      </c>
      <c r="D15121" s="104">
        <f t="shared" si="247"/>
        <v>1.8799999999999997E-2</v>
      </c>
      <c r="E15121" s="104">
        <f>AVERAGE( D15117:D15121)</f>
        <v>1.9020000000000002E-2</v>
      </c>
      <c r="F15121" s="4" t="str">
        <f>TEXT( B15121, "ddd" )</f>
        <v>Fri</v>
      </c>
    </row>
    <row r="15122" spans="2:6" ht="13.8">
      <c r="B15122" s="187">
        <v>43829</v>
      </c>
      <c r="C15122" s="189">
        <v>1.9</v>
      </c>
      <c r="D15122" s="104">
        <f t="shared" si="247"/>
        <v>1.9E-2</v>
      </c>
    </row>
    <row r="15123" spans="2:6" ht="13.8">
      <c r="B15123" s="187">
        <v>43830</v>
      </c>
      <c r="C15123" s="189">
        <v>1.92</v>
      </c>
      <c r="D15123" s="104">
        <f t="shared" si="247"/>
        <v>1.9199999999999998E-2</v>
      </c>
    </row>
    <row r="15124" spans="2:6" ht="13.8">
      <c r="B15124" s="187">
        <v>43831</v>
      </c>
      <c r="C15124" s="189" t="s">
        <v>380</v>
      </c>
      <c r="D15124" s="104">
        <f t="shared" si="247"/>
        <v>1.9199999999999998E-2</v>
      </c>
    </row>
    <row r="15125" spans="2:6" ht="13.8">
      <c r="B15125" s="187">
        <v>43832</v>
      </c>
      <c r="C15125" s="189">
        <v>1.88</v>
      </c>
      <c r="D15125" s="104">
        <f t="shared" si="247"/>
        <v>1.8799999999999997E-2</v>
      </c>
    </row>
    <row r="15126" spans="2:6" ht="13.8">
      <c r="B15126" s="187">
        <v>43833</v>
      </c>
      <c r="C15126" s="189">
        <v>1.8</v>
      </c>
      <c r="D15126" s="104">
        <f t="shared" si="247"/>
        <v>1.8000000000000002E-2</v>
      </c>
      <c r="E15126" s="104">
        <f>AVERAGE( D15122:D15126)</f>
        <v>1.8839999999999999E-2</v>
      </c>
      <c r="F15126" s="4" t="str">
        <f>TEXT( B15126, "ddd" )</f>
        <v>Fri</v>
      </c>
    </row>
    <row r="15127" spans="2:6" ht="13.8">
      <c r="B15127" s="187">
        <v>43836</v>
      </c>
      <c r="C15127" s="189">
        <v>1.81</v>
      </c>
      <c r="D15127" s="104">
        <f t="shared" si="247"/>
        <v>1.8100000000000002E-2</v>
      </c>
    </row>
    <row r="15128" spans="2:6" ht="13.8">
      <c r="B15128" s="187">
        <v>43837</v>
      </c>
      <c r="C15128" s="189">
        <v>1.83</v>
      </c>
      <c r="D15128" s="104">
        <f t="shared" si="247"/>
        <v>1.83E-2</v>
      </c>
    </row>
    <row r="15129" spans="2:6" ht="13.8">
      <c r="B15129" s="187">
        <v>43838</v>
      </c>
      <c r="C15129" s="189">
        <v>1.87</v>
      </c>
      <c r="D15129" s="104">
        <f t="shared" si="247"/>
        <v>1.8700000000000001E-2</v>
      </c>
    </row>
    <row r="15130" spans="2:6" ht="13.8">
      <c r="B15130" s="187">
        <v>43839</v>
      </c>
      <c r="C15130" s="189">
        <v>1.85</v>
      </c>
      <c r="D15130" s="104">
        <f t="shared" si="247"/>
        <v>1.8500000000000003E-2</v>
      </c>
    </row>
    <row r="15131" spans="2:6" ht="13.8">
      <c r="B15131" s="187">
        <v>43840</v>
      </c>
      <c r="C15131" s="189">
        <v>1.83</v>
      </c>
      <c r="D15131" s="104">
        <f t="shared" si="247"/>
        <v>1.83E-2</v>
      </c>
      <c r="E15131" s="104">
        <f>AVERAGE( D15127:D15131)</f>
        <v>1.8380000000000001E-2</v>
      </c>
      <c r="F15131" s="4" t="str">
        <f>TEXT( B15131, "ddd" )</f>
        <v>Fri</v>
      </c>
    </row>
    <row r="15132" spans="2:6" ht="13.8">
      <c r="B15132" s="187">
        <v>43843</v>
      </c>
      <c r="C15132" s="189">
        <v>1.85</v>
      </c>
      <c r="D15132" s="104">
        <f t="shared" si="247"/>
        <v>1.8500000000000003E-2</v>
      </c>
    </row>
    <row r="15133" spans="2:6" ht="13.8">
      <c r="B15133" s="187">
        <v>43844</v>
      </c>
      <c r="C15133" s="189">
        <v>1.82</v>
      </c>
      <c r="D15133" s="104">
        <f t="shared" si="247"/>
        <v>1.8200000000000001E-2</v>
      </c>
    </row>
    <row r="15134" spans="2:6" ht="13.8">
      <c r="B15134" s="187">
        <v>43845</v>
      </c>
      <c r="C15134" s="189">
        <v>1.79</v>
      </c>
      <c r="D15134" s="104">
        <f t="shared" si="247"/>
        <v>1.7899999999999999E-2</v>
      </c>
    </row>
    <row r="15135" spans="2:6" ht="13.8">
      <c r="B15135" s="187">
        <v>43846</v>
      </c>
      <c r="C15135" s="189">
        <v>1.81</v>
      </c>
      <c r="D15135" s="104">
        <f t="shared" si="247"/>
        <v>1.8100000000000002E-2</v>
      </c>
    </row>
    <row r="15136" spans="2:6" ht="13.8">
      <c r="B15136" s="187">
        <v>43847</v>
      </c>
      <c r="C15136" s="189">
        <v>1.84</v>
      </c>
      <c r="D15136" s="104">
        <f t="shared" si="247"/>
        <v>1.84E-2</v>
      </c>
      <c r="E15136" s="104">
        <f>AVERAGE( D15132:D15136)</f>
        <v>1.822E-2</v>
      </c>
      <c r="F15136" s="4" t="str">
        <f>TEXT( B15136, "ddd" )</f>
        <v>Fri</v>
      </c>
    </row>
    <row r="15137" spans="2:6" ht="13.8">
      <c r="B15137" s="187">
        <v>43850</v>
      </c>
      <c r="C15137" s="189" t="s">
        <v>380</v>
      </c>
      <c r="D15137" s="104">
        <f t="shared" si="247"/>
        <v>1.84E-2</v>
      </c>
    </row>
    <row r="15138" spans="2:6" ht="13.8">
      <c r="B15138" s="187">
        <v>43851</v>
      </c>
      <c r="C15138" s="189">
        <v>1.78</v>
      </c>
      <c r="D15138" s="104">
        <f t="shared" si="247"/>
        <v>1.78E-2</v>
      </c>
    </row>
    <row r="15139" spans="2:6" ht="13.8">
      <c r="B15139" s="187">
        <v>43852</v>
      </c>
      <c r="C15139" s="189">
        <v>1.77</v>
      </c>
      <c r="D15139" s="104">
        <f t="shared" si="247"/>
        <v>1.77E-2</v>
      </c>
    </row>
    <row r="15140" spans="2:6" ht="13.8">
      <c r="B15140" s="187">
        <v>43853</v>
      </c>
      <c r="C15140" s="189">
        <v>1.74</v>
      </c>
      <c r="D15140" s="104">
        <f t="shared" si="247"/>
        <v>1.7399999999999999E-2</v>
      </c>
    </row>
    <row r="15141" spans="2:6" ht="13.8">
      <c r="B15141" s="187">
        <v>43854</v>
      </c>
      <c r="C15141" s="189">
        <v>1.7</v>
      </c>
      <c r="D15141" s="104">
        <f t="shared" si="247"/>
        <v>1.7000000000000001E-2</v>
      </c>
      <c r="E15141" s="104">
        <f>AVERAGE( D15137:D15141)</f>
        <v>1.7660000000000002E-2</v>
      </c>
      <c r="F15141" s="4" t="str">
        <f>TEXT( B15141, "ddd" )</f>
        <v>Fri</v>
      </c>
    </row>
    <row r="15142" spans="2:6" ht="13.8">
      <c r="B15142" s="187">
        <v>43857</v>
      </c>
      <c r="C15142" s="189">
        <v>1.61</v>
      </c>
      <c r="D15142" s="104">
        <f t="shared" si="247"/>
        <v>1.61E-2</v>
      </c>
    </row>
    <row r="15143" spans="2:6" ht="13.8">
      <c r="B15143" s="187">
        <v>43858</v>
      </c>
      <c r="C15143" s="189">
        <v>1.65</v>
      </c>
      <c r="D15143" s="104">
        <f t="shared" si="247"/>
        <v>1.6500000000000001E-2</v>
      </c>
    </row>
    <row r="15144" spans="2:6" ht="13.8">
      <c r="B15144" s="187">
        <v>43859</v>
      </c>
      <c r="C15144" s="189">
        <v>1.6</v>
      </c>
      <c r="D15144" s="104">
        <f t="shared" si="247"/>
        <v>1.6E-2</v>
      </c>
    </row>
    <row r="15145" spans="2:6" ht="13.8">
      <c r="B15145" s="187">
        <v>43860</v>
      </c>
      <c r="C15145" s="189">
        <v>1.57</v>
      </c>
      <c r="D15145" s="104">
        <f t="shared" si="247"/>
        <v>1.5700000000000002E-2</v>
      </c>
    </row>
    <row r="15146" spans="2:6" ht="13.8">
      <c r="B15146" s="187">
        <v>43861</v>
      </c>
      <c r="C15146" s="189">
        <v>1.51</v>
      </c>
      <c r="D15146" s="104">
        <f t="shared" si="247"/>
        <v>1.5100000000000001E-2</v>
      </c>
      <c r="E15146" s="104">
        <f>AVERAGE( D15142:D15146)</f>
        <v>1.5880000000000002E-2</v>
      </c>
      <c r="F15146" s="4" t="str">
        <f>TEXT( B15146, "ddd" )</f>
        <v>Fri</v>
      </c>
    </row>
    <row r="15147" spans="2:6" ht="13.8">
      <c r="B15147" s="187">
        <v>43864</v>
      </c>
      <c r="C15147" s="189">
        <v>1.54</v>
      </c>
      <c r="D15147" s="104">
        <f t="shared" si="247"/>
        <v>1.54E-2</v>
      </c>
    </row>
    <row r="15148" spans="2:6" ht="13.8">
      <c r="B15148" s="187">
        <v>43865</v>
      </c>
      <c r="C15148" s="189">
        <v>1.61</v>
      </c>
      <c r="D15148" s="104">
        <f t="shared" si="247"/>
        <v>1.61E-2</v>
      </c>
    </row>
    <row r="15149" spans="2:6" ht="13.8">
      <c r="B15149" s="187">
        <v>43866</v>
      </c>
      <c r="C15149" s="189">
        <v>1.66</v>
      </c>
      <c r="D15149" s="104">
        <f t="shared" si="247"/>
        <v>1.66E-2</v>
      </c>
    </row>
    <row r="15150" spans="2:6" ht="13.8">
      <c r="B15150" s="187">
        <v>43867</v>
      </c>
      <c r="C15150" s="189">
        <v>1.65</v>
      </c>
      <c r="D15150" s="104">
        <f t="shared" si="247"/>
        <v>1.6500000000000001E-2</v>
      </c>
    </row>
    <row r="15151" spans="2:6" ht="13.8">
      <c r="B15151" s="187">
        <v>43868</v>
      </c>
      <c r="C15151" s="189">
        <v>1.59</v>
      </c>
      <c r="D15151" s="104">
        <f t="shared" si="247"/>
        <v>1.5900000000000001E-2</v>
      </c>
      <c r="E15151" s="104">
        <f>AVERAGE( D15147:D15151)</f>
        <v>1.61E-2</v>
      </c>
      <c r="F15151" s="4" t="str">
        <f>TEXT( B15151, "ddd" )</f>
        <v>Fri</v>
      </c>
    </row>
    <row r="15152" spans="2:6" ht="13.8">
      <c r="B15152" s="187">
        <v>43871</v>
      </c>
      <c r="C15152" s="189">
        <v>1.56</v>
      </c>
      <c r="D15152" s="104">
        <f t="shared" ref="D15152:D15211" si="248">IF( LEN( C15152 ) = 0, #N/A, IF( C15152 = "ND", D15151, C15152 / 100 ) )</f>
        <v>1.5600000000000001E-2</v>
      </c>
    </row>
    <row r="15153" spans="2:6" ht="13.8">
      <c r="B15153" s="187">
        <v>43872</v>
      </c>
      <c r="C15153" s="189">
        <v>1.59</v>
      </c>
      <c r="D15153" s="104">
        <f t="shared" si="248"/>
        <v>1.5900000000000001E-2</v>
      </c>
    </row>
    <row r="15154" spans="2:6" ht="13.8">
      <c r="B15154" s="187">
        <v>43873</v>
      </c>
      <c r="C15154" s="189">
        <v>1.62</v>
      </c>
      <c r="D15154" s="104">
        <f t="shared" si="248"/>
        <v>1.6200000000000003E-2</v>
      </c>
    </row>
    <row r="15155" spans="2:6" ht="13.8">
      <c r="B15155" s="187">
        <v>43874</v>
      </c>
      <c r="C15155" s="189">
        <v>1.61</v>
      </c>
      <c r="D15155" s="104">
        <f t="shared" si="248"/>
        <v>1.61E-2</v>
      </c>
    </row>
    <row r="15156" spans="2:6" ht="13.8">
      <c r="B15156" s="187">
        <v>43875</v>
      </c>
      <c r="C15156" s="189">
        <v>1.59</v>
      </c>
      <c r="D15156" s="104">
        <f t="shared" si="248"/>
        <v>1.5900000000000001E-2</v>
      </c>
      <c r="E15156" s="104">
        <f>AVERAGE( D15152:D15156)</f>
        <v>1.5940000000000003E-2</v>
      </c>
      <c r="F15156" s="4" t="str">
        <f>TEXT( B15156, "ddd" )</f>
        <v>Fri</v>
      </c>
    </row>
    <row r="15157" spans="2:6" ht="13.8">
      <c r="B15157" s="187">
        <v>43878</v>
      </c>
      <c r="C15157" s="189" t="s">
        <v>380</v>
      </c>
      <c r="D15157" s="104">
        <f t="shared" si="248"/>
        <v>1.5900000000000001E-2</v>
      </c>
    </row>
    <row r="15158" spans="2:6" ht="13.8">
      <c r="B15158" s="187">
        <v>43879</v>
      </c>
      <c r="C15158" s="189">
        <v>1.55</v>
      </c>
      <c r="D15158" s="104">
        <f t="shared" si="248"/>
        <v>1.55E-2</v>
      </c>
    </row>
    <row r="15159" spans="2:6" ht="13.8">
      <c r="B15159" s="187">
        <v>43880</v>
      </c>
      <c r="C15159" s="189">
        <v>1.56</v>
      </c>
      <c r="D15159" s="104">
        <f t="shared" si="248"/>
        <v>1.5600000000000001E-2</v>
      </c>
    </row>
    <row r="15160" spans="2:6" ht="13.8">
      <c r="B15160" s="187">
        <v>43881</v>
      </c>
      <c r="C15160" s="189">
        <v>1.52</v>
      </c>
      <c r="D15160" s="104">
        <f t="shared" si="248"/>
        <v>1.52E-2</v>
      </c>
    </row>
    <row r="15161" spans="2:6" ht="13.8">
      <c r="B15161" s="187">
        <v>43882</v>
      </c>
      <c r="C15161" s="189">
        <v>1.46</v>
      </c>
      <c r="D15161" s="104">
        <f t="shared" si="248"/>
        <v>1.46E-2</v>
      </c>
      <c r="E15161" s="104">
        <f>AVERAGE( D15157:D15161)</f>
        <v>1.5359999999999999E-2</v>
      </c>
      <c r="F15161" s="4" t="str">
        <f>TEXT( B15161, "ddd" )</f>
        <v>Fri</v>
      </c>
    </row>
    <row r="15162" spans="2:6" ht="13.8">
      <c r="B15162" s="187">
        <v>43885</v>
      </c>
      <c r="C15162" s="189">
        <v>1.38</v>
      </c>
      <c r="D15162" s="104">
        <f t="shared" si="248"/>
        <v>1.38E-2</v>
      </c>
    </row>
    <row r="15163" spans="2:6" ht="13.8">
      <c r="B15163" s="187">
        <v>43886</v>
      </c>
      <c r="C15163" s="189">
        <v>1.33</v>
      </c>
      <c r="D15163" s="104">
        <f t="shared" si="248"/>
        <v>1.3300000000000001E-2</v>
      </c>
    </row>
    <row r="15164" spans="2:6" ht="13.8">
      <c r="B15164" s="187">
        <v>43887</v>
      </c>
      <c r="C15164" s="189">
        <v>1.33</v>
      </c>
      <c r="D15164" s="104">
        <f t="shared" si="248"/>
        <v>1.3300000000000001E-2</v>
      </c>
    </row>
    <row r="15165" spans="2:6" ht="13.8">
      <c r="B15165" s="187">
        <v>43888</v>
      </c>
      <c r="C15165" s="189">
        <v>1.3</v>
      </c>
      <c r="D15165" s="104">
        <f t="shared" si="248"/>
        <v>1.3000000000000001E-2</v>
      </c>
    </row>
    <row r="15166" spans="2:6" ht="13.8">
      <c r="B15166" s="187">
        <v>43889</v>
      </c>
      <c r="C15166" s="189">
        <v>1.1299999999999999</v>
      </c>
      <c r="D15166" s="104">
        <f t="shared" si="248"/>
        <v>1.1299999999999999E-2</v>
      </c>
      <c r="E15166" s="104">
        <f>AVERAGE( D15162:D15166)</f>
        <v>1.2940000000000002E-2</v>
      </c>
      <c r="F15166" s="4" t="str">
        <f>TEXT( B15166, "ddd" )</f>
        <v>Fri</v>
      </c>
    </row>
    <row r="15167" spans="2:6" ht="13.8">
      <c r="B15167" s="187">
        <v>43892</v>
      </c>
      <c r="C15167" s="189">
        <v>1.1000000000000001</v>
      </c>
      <c r="D15167" s="104">
        <f t="shared" si="248"/>
        <v>1.1000000000000001E-2</v>
      </c>
    </row>
    <row r="15168" spans="2:6" ht="13.8">
      <c r="B15168" s="187">
        <v>43893</v>
      </c>
      <c r="C15168" s="189">
        <v>1.02</v>
      </c>
      <c r="D15168" s="104">
        <f t="shared" si="248"/>
        <v>1.0200000000000001E-2</v>
      </c>
    </row>
    <row r="15169" spans="2:6" ht="13.8">
      <c r="B15169" s="187">
        <v>43894</v>
      </c>
      <c r="C15169" s="189">
        <v>1.02</v>
      </c>
      <c r="D15169" s="104">
        <f t="shared" si="248"/>
        <v>1.0200000000000001E-2</v>
      </c>
    </row>
    <row r="15170" spans="2:6" ht="13.8">
      <c r="B15170" s="187">
        <v>43895</v>
      </c>
      <c r="C15170" s="189">
        <v>0.92</v>
      </c>
      <c r="D15170" s="104">
        <f t="shared" si="248"/>
        <v>9.1999999999999998E-3</v>
      </c>
    </row>
    <row r="15171" spans="2:6" ht="13.8">
      <c r="B15171" s="187">
        <v>43896</v>
      </c>
      <c r="C15171" s="189">
        <v>0.74</v>
      </c>
      <c r="D15171" s="104">
        <f t="shared" si="248"/>
        <v>7.4000000000000003E-3</v>
      </c>
      <c r="E15171" s="104">
        <f>AVERAGE( D15167:D15171)</f>
        <v>9.6000000000000009E-3</v>
      </c>
      <c r="F15171" s="4" t="str">
        <f>TEXT( B15171, "ddd" )</f>
        <v>Fri</v>
      </c>
    </row>
    <row r="15172" spans="2:6" ht="13.8">
      <c r="B15172" s="187">
        <v>43899</v>
      </c>
      <c r="C15172" s="189">
        <v>0.54</v>
      </c>
      <c r="D15172" s="104">
        <f t="shared" si="248"/>
        <v>5.4000000000000003E-3</v>
      </c>
    </row>
    <row r="15173" spans="2:6" ht="13.8">
      <c r="B15173" s="187">
        <v>43900</v>
      </c>
      <c r="C15173" s="189">
        <v>0.76</v>
      </c>
      <c r="D15173" s="104">
        <f t="shared" si="248"/>
        <v>7.6E-3</v>
      </c>
    </row>
    <row r="15174" spans="2:6" ht="13.8">
      <c r="B15174" s="187">
        <v>43901</v>
      </c>
      <c r="C15174" s="189">
        <v>0.82</v>
      </c>
      <c r="D15174" s="104">
        <f t="shared" si="248"/>
        <v>8.199999999999999E-3</v>
      </c>
    </row>
    <row r="15175" spans="2:6" ht="13.8">
      <c r="B15175" s="187">
        <v>43902</v>
      </c>
      <c r="C15175" s="189">
        <v>0.88</v>
      </c>
      <c r="D15175" s="104">
        <f t="shared" si="248"/>
        <v>8.8000000000000005E-3</v>
      </c>
    </row>
    <row r="15176" spans="2:6" ht="13.8">
      <c r="B15176" s="187">
        <v>43903</v>
      </c>
      <c r="C15176" s="189">
        <v>0.94</v>
      </c>
      <c r="D15176" s="104">
        <f t="shared" si="248"/>
        <v>9.3999999999999986E-3</v>
      </c>
      <c r="E15176" s="104">
        <f>AVERAGE( D15172:D15176)</f>
        <v>7.8799999999999999E-3</v>
      </c>
      <c r="F15176" s="4" t="str">
        <f>TEXT( B15176, "ddd" )</f>
        <v>Fri</v>
      </c>
    </row>
    <row r="15177" spans="2:6" ht="13.8">
      <c r="B15177" s="187">
        <v>43906</v>
      </c>
      <c r="C15177" s="189">
        <v>0.73</v>
      </c>
      <c r="D15177" s="104">
        <f t="shared" si="248"/>
        <v>7.3000000000000001E-3</v>
      </c>
    </row>
    <row r="15178" spans="2:6" ht="13.8">
      <c r="B15178" s="187">
        <v>43907</v>
      </c>
      <c r="C15178" s="189">
        <v>1.02</v>
      </c>
      <c r="D15178" s="104">
        <f t="shared" si="248"/>
        <v>1.0200000000000001E-2</v>
      </c>
    </row>
    <row r="15179" spans="2:6" ht="13.8">
      <c r="B15179" s="187">
        <v>43908</v>
      </c>
      <c r="C15179" s="189">
        <v>1.18</v>
      </c>
      <c r="D15179" s="104">
        <f t="shared" si="248"/>
        <v>1.18E-2</v>
      </c>
    </row>
    <row r="15180" spans="2:6" ht="13.8">
      <c r="B15180" s="187">
        <v>43909</v>
      </c>
      <c r="C15180" s="189">
        <v>1.1200000000000001</v>
      </c>
      <c r="D15180" s="104">
        <f t="shared" si="248"/>
        <v>1.1200000000000002E-2</v>
      </c>
    </row>
    <row r="15181" spans="2:6" ht="13.8">
      <c r="B15181" s="187">
        <v>43910</v>
      </c>
      <c r="C15181" s="189">
        <v>0.92</v>
      </c>
      <c r="D15181" s="104">
        <f t="shared" si="248"/>
        <v>9.1999999999999998E-3</v>
      </c>
      <c r="E15181" s="104">
        <f>AVERAGE( D15177:D15181)</f>
        <v>9.9400000000000009E-3</v>
      </c>
      <c r="F15181" s="4" t="str">
        <f>TEXT( B15181, "ddd" )</f>
        <v>Fri</v>
      </c>
    </row>
    <row r="15182" spans="2:6" ht="13.8">
      <c r="B15182" s="187">
        <v>43913</v>
      </c>
      <c r="C15182" s="189">
        <v>0.76</v>
      </c>
      <c r="D15182" s="104">
        <f t="shared" si="248"/>
        <v>7.6E-3</v>
      </c>
    </row>
    <row r="15183" spans="2:6" ht="13.8">
      <c r="B15183" s="187">
        <v>43914</v>
      </c>
      <c r="C15183" s="189">
        <v>0.84</v>
      </c>
      <c r="D15183" s="104">
        <f t="shared" si="248"/>
        <v>8.3999999999999995E-3</v>
      </c>
    </row>
    <row r="15184" spans="2:6" ht="13.8">
      <c r="B15184" s="187">
        <v>43915</v>
      </c>
      <c r="C15184" s="189">
        <v>0.88</v>
      </c>
      <c r="D15184" s="104">
        <f t="shared" si="248"/>
        <v>8.8000000000000005E-3</v>
      </c>
    </row>
    <row r="15185" spans="2:6" ht="13.8">
      <c r="B15185" s="187">
        <v>43916</v>
      </c>
      <c r="C15185" s="189">
        <v>0.83</v>
      </c>
      <c r="D15185" s="104">
        <f t="shared" si="248"/>
        <v>8.3000000000000001E-3</v>
      </c>
    </row>
    <row r="15186" spans="2:6" ht="13.8">
      <c r="B15186" s="187">
        <v>43917</v>
      </c>
      <c r="C15186" s="189">
        <v>0.72</v>
      </c>
      <c r="D15186" s="104">
        <f t="shared" si="248"/>
        <v>7.1999999999999998E-3</v>
      </c>
      <c r="E15186" s="104">
        <f>AVERAGE( D15182:D15186)</f>
        <v>8.0600000000000012E-3</v>
      </c>
      <c r="F15186" s="4" t="str">
        <f>TEXT( B15186, "ddd" )</f>
        <v>Fri</v>
      </c>
    </row>
    <row r="15187" spans="2:6" ht="13.8">
      <c r="B15187" s="187">
        <v>43920</v>
      </c>
      <c r="C15187" s="189">
        <v>0.7</v>
      </c>
      <c r="D15187" s="104">
        <f t="shared" si="248"/>
        <v>6.9999999999999993E-3</v>
      </c>
    </row>
    <row r="15188" spans="2:6" ht="13.8">
      <c r="B15188" s="187">
        <v>43921</v>
      </c>
      <c r="C15188" s="189">
        <v>0.7</v>
      </c>
      <c r="D15188" s="104">
        <f t="shared" si="248"/>
        <v>6.9999999999999993E-3</v>
      </c>
    </row>
    <row r="15189" spans="2:6" ht="13.8">
      <c r="B15189" s="187"/>
      <c r="C15189" s="189"/>
      <c r="D15189" s="104" t="e">
        <f t="shared" si="248"/>
        <v>#N/A</v>
      </c>
    </row>
    <row r="15190" spans="2:6" ht="13.8">
      <c r="B15190" s="187"/>
      <c r="C15190" s="189"/>
      <c r="D15190" s="104" t="e">
        <f t="shared" si="248"/>
        <v>#N/A</v>
      </c>
    </row>
    <row r="15191" spans="2:6" ht="13.8">
      <c r="B15191" s="187"/>
      <c r="C15191" s="189"/>
      <c r="D15191" s="104" t="e">
        <f t="shared" si="248"/>
        <v>#N/A</v>
      </c>
      <c r="E15191" s="104" t="e">
        <f>AVERAGE( D15187:D15191)</f>
        <v>#N/A</v>
      </c>
      <c r="F15191" s="4" t="str">
        <f>TEXT( B15191, "ddd" )</f>
        <v>Sat</v>
      </c>
    </row>
    <row r="15192" spans="2:6" ht="13.8">
      <c r="B15192" s="187"/>
      <c r="C15192" s="189"/>
      <c r="D15192" s="104" t="e">
        <f t="shared" si="248"/>
        <v>#N/A</v>
      </c>
    </row>
    <row r="15193" spans="2:6" ht="13.8">
      <c r="B15193" s="187"/>
      <c r="C15193" s="189"/>
      <c r="D15193" s="104" t="e">
        <f t="shared" si="248"/>
        <v>#N/A</v>
      </c>
    </row>
    <row r="15194" spans="2:6" ht="13.8">
      <c r="B15194" s="187"/>
      <c r="C15194" s="189"/>
      <c r="D15194" s="104" t="e">
        <f t="shared" si="248"/>
        <v>#N/A</v>
      </c>
    </row>
    <row r="15195" spans="2:6" ht="13.8">
      <c r="B15195" s="187"/>
      <c r="C15195" s="189"/>
      <c r="D15195" s="104" t="e">
        <f t="shared" si="248"/>
        <v>#N/A</v>
      </c>
    </row>
    <row r="15196" spans="2:6" ht="13.8">
      <c r="B15196" s="187"/>
      <c r="C15196" s="189"/>
      <c r="D15196" s="104" t="e">
        <f t="shared" si="248"/>
        <v>#N/A</v>
      </c>
      <c r="E15196" s="104" t="e">
        <f>AVERAGE( D15192:D15196)</f>
        <v>#N/A</v>
      </c>
      <c r="F15196" s="4" t="str">
        <f>TEXT( B15196, "ddd" )</f>
        <v>Sat</v>
      </c>
    </row>
    <row r="15197" spans="2:6" ht="13.8">
      <c r="B15197" s="187"/>
      <c r="C15197" s="189"/>
      <c r="D15197" s="104" t="e">
        <f t="shared" si="248"/>
        <v>#N/A</v>
      </c>
    </row>
    <row r="15198" spans="2:6" ht="13.8">
      <c r="B15198" s="187"/>
      <c r="C15198" s="189"/>
      <c r="D15198" s="104" t="e">
        <f t="shared" si="248"/>
        <v>#N/A</v>
      </c>
    </row>
    <row r="15199" spans="2:6" ht="13.8">
      <c r="B15199" s="187"/>
      <c r="C15199" s="189"/>
      <c r="D15199" s="104" t="e">
        <f t="shared" si="248"/>
        <v>#N/A</v>
      </c>
    </row>
    <row r="15200" spans="2:6" ht="13.8">
      <c r="B15200" s="187"/>
      <c r="C15200" s="189"/>
      <c r="D15200" s="104" t="e">
        <f t="shared" si="248"/>
        <v>#N/A</v>
      </c>
    </row>
    <row r="15201" spans="2:6" ht="13.8">
      <c r="B15201" s="187"/>
      <c r="C15201" s="189"/>
      <c r="D15201" s="104" t="e">
        <f t="shared" si="248"/>
        <v>#N/A</v>
      </c>
      <c r="E15201" s="104" t="e">
        <f>AVERAGE( D15197:D15201)</f>
        <v>#N/A</v>
      </c>
      <c r="F15201" s="4" t="str">
        <f>TEXT( B15201, "ddd" )</f>
        <v>Sat</v>
      </c>
    </row>
    <row r="15202" spans="2:6" ht="13.8">
      <c r="B15202" s="187"/>
      <c r="C15202" s="189"/>
      <c r="D15202" s="104" t="e">
        <f t="shared" si="248"/>
        <v>#N/A</v>
      </c>
    </row>
    <row r="15203" spans="2:6" ht="13.8">
      <c r="B15203" s="187"/>
      <c r="C15203" s="189"/>
      <c r="D15203" s="104" t="e">
        <f t="shared" si="248"/>
        <v>#N/A</v>
      </c>
    </row>
    <row r="15204" spans="2:6" ht="13.8">
      <c r="B15204" s="187"/>
      <c r="C15204" s="189"/>
      <c r="D15204" s="104" t="e">
        <f t="shared" si="248"/>
        <v>#N/A</v>
      </c>
    </row>
    <row r="15205" spans="2:6" ht="13.8">
      <c r="B15205" s="187"/>
      <c r="C15205" s="189"/>
      <c r="D15205" s="104" t="e">
        <f t="shared" si="248"/>
        <v>#N/A</v>
      </c>
    </row>
    <row r="15206" spans="2:6" ht="13.8">
      <c r="B15206" s="187"/>
      <c r="C15206" s="189"/>
      <c r="D15206" s="104" t="e">
        <f t="shared" si="248"/>
        <v>#N/A</v>
      </c>
      <c r="E15206" s="104" t="e">
        <f>AVERAGE( D15202:D15206)</f>
        <v>#N/A</v>
      </c>
      <c r="F15206" s="4" t="str">
        <f>TEXT( B15206, "ddd" )</f>
        <v>Sat</v>
      </c>
    </row>
    <row r="15207" spans="2:6" ht="13.8">
      <c r="B15207" s="187"/>
      <c r="C15207" s="189"/>
      <c r="D15207" s="104" t="e">
        <f t="shared" si="248"/>
        <v>#N/A</v>
      </c>
    </row>
    <row r="15208" spans="2:6" ht="13.8">
      <c r="B15208" s="187"/>
      <c r="C15208" s="189"/>
      <c r="D15208" s="104" t="e">
        <f t="shared" si="248"/>
        <v>#N/A</v>
      </c>
    </row>
    <row r="15209" spans="2:6" ht="13.8">
      <c r="B15209" s="187"/>
      <c r="C15209" s="189"/>
      <c r="D15209" s="104" t="e">
        <f t="shared" si="248"/>
        <v>#N/A</v>
      </c>
    </row>
    <row r="15210" spans="2:6" ht="13.8">
      <c r="B15210" s="187"/>
      <c r="C15210" s="189"/>
      <c r="D15210" s="104" t="e">
        <f t="shared" si="248"/>
        <v>#N/A</v>
      </c>
    </row>
    <row r="15211" spans="2:6" ht="13.8">
      <c r="B15211" s="187"/>
      <c r="C15211" s="189"/>
      <c r="D15211" s="104" t="e">
        <f t="shared" si="248"/>
        <v>#N/A</v>
      </c>
      <c r="E15211" s="104" t="e">
        <f>AVERAGE( D15207:D15211)</f>
        <v>#N/A</v>
      </c>
      <c r="F15211" s="4" t="str">
        <f>TEXT( B15211, "ddd" )</f>
        <v>Sat</v>
      </c>
    </row>
  </sheetData>
  <mergeCells count="1">
    <mergeCell ref="A1:B1"/>
  </mergeCells>
  <phoneticPr fontId="3" type="noConversion"/>
  <hyperlinks>
    <hyperlink ref="C23" r:id="rId1" xr:uid="{00000000-0004-0000-0600-000000000000}"/>
    <hyperlink ref="A1" location="Index!A1" display="Return to Index" xr:uid="{00000000-0004-0000-0600-000001000000}"/>
    <hyperlink ref="A1:B1" location="Contents!A1" display="Go to Contents" xr:uid="{00000000-0004-0000-0600-000002000000}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FF00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852" t="s">
        <v>408</v>
      </c>
      <c r="B1" s="855"/>
    </row>
    <row r="2" spans="1:2" ht="18">
      <c r="B2" s="161" t="s">
        <v>641</v>
      </c>
    </row>
    <row r="5" spans="1:2">
      <c r="B5" s="56" t="s">
        <v>672</v>
      </c>
    </row>
  </sheetData>
  <mergeCells count="1">
    <mergeCell ref="A1:B1"/>
  </mergeCells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rgb="FFFFFF00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852" t="s">
        <v>408</v>
      </c>
      <c r="B1" s="855"/>
    </row>
    <row r="2" spans="1:2" ht="18">
      <c r="B2" s="161" t="s">
        <v>104</v>
      </c>
    </row>
    <row r="5" spans="1:2">
      <c r="B5" s="56" t="s">
        <v>672</v>
      </c>
    </row>
  </sheetData>
  <mergeCells count="1">
    <mergeCell ref="A1:B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332F256A-1982-4274-B17A-2025E09B99FB}"/>
</file>

<file path=customXml/itemProps2.xml><?xml version="1.0" encoding="utf-8"?>
<ds:datastoreItem xmlns:ds="http://schemas.openxmlformats.org/officeDocument/2006/customXml" ds:itemID="{DB737727-91F8-481A-8156-17A5EBA48DAF}"/>
</file>

<file path=customXml/itemProps3.xml><?xml version="1.0" encoding="utf-8"?>
<ds:datastoreItem xmlns:ds="http://schemas.openxmlformats.org/officeDocument/2006/customXml" ds:itemID="{88FCBBA9-C872-4E8D-B25B-BB510C670A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Tax/QFU_Stock/2020_Q1_Stock_Performance.xlsx</dc:title>
  <dc:creator>Mathew Martin</dc:creator>
  <cp:lastModifiedBy>Buckley, Michael</cp:lastModifiedBy>
  <cp:lastPrinted>2014-01-09T17:19:11Z</cp:lastPrinted>
  <dcterms:created xsi:type="dcterms:W3CDTF">2005-10-11T17:42:31Z</dcterms:created>
  <dcterms:modified xsi:type="dcterms:W3CDTF">2020-06-23T17:39:09Z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